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eduffy3\OneDrive - McGill University\Storage Lists\REMAIN\"/>
    </mc:Choice>
  </mc:AlternateContent>
  <bookViews>
    <workbookView xWindow="0" yWindow="0" windowWidth="19200" windowHeight="7050"/>
  </bookViews>
  <sheets>
    <sheet name="Print Books" sheetId="1" r:id="rId1"/>
  </sheets>
  <definedNames>
    <definedName name="_xlnm._FilterDatabase" localSheetId="0" hidden="1">'Print Books'!$A$1:$BG$2267</definedName>
  </definedNames>
  <calcPr calcId="162913"/>
</workbook>
</file>

<file path=xl/calcChain.xml><?xml version="1.0" encoding="utf-8"?>
<calcChain xmlns="http://schemas.openxmlformats.org/spreadsheetml/2006/main">
  <c r="AW2267" i="1" l="1"/>
  <c r="AV2267" i="1"/>
  <c r="AU2267" i="1"/>
  <c r="AW2266" i="1"/>
  <c r="AV2266" i="1"/>
  <c r="AW2265" i="1"/>
  <c r="AV2265" i="1"/>
  <c r="AW2264" i="1"/>
  <c r="AV2264" i="1"/>
  <c r="AW2263" i="1"/>
  <c r="AV2263" i="1"/>
  <c r="AW2262" i="1"/>
  <c r="AV2262" i="1"/>
  <c r="AW2261" i="1"/>
  <c r="AV2261" i="1"/>
  <c r="AW2260" i="1"/>
  <c r="AV2260" i="1"/>
  <c r="AW2259" i="1"/>
  <c r="AV2259" i="1"/>
  <c r="AW2258" i="1"/>
  <c r="AV2258" i="1"/>
  <c r="AW2257" i="1"/>
  <c r="AV2257" i="1"/>
  <c r="AW2256" i="1"/>
  <c r="AV2256" i="1"/>
  <c r="AW2255" i="1"/>
  <c r="AV2255" i="1"/>
  <c r="AW2254" i="1"/>
  <c r="AV2254" i="1"/>
  <c r="AW2253" i="1"/>
  <c r="AV2253" i="1"/>
  <c r="AW2252" i="1"/>
  <c r="AV2252" i="1"/>
  <c r="AW2251" i="1"/>
  <c r="AV2251" i="1"/>
  <c r="AW2250" i="1"/>
  <c r="AV2250" i="1"/>
  <c r="AW2249" i="1"/>
  <c r="AV2249" i="1"/>
  <c r="AW2248" i="1"/>
  <c r="AV2248" i="1"/>
  <c r="AU2248" i="1"/>
  <c r="AW2247" i="1"/>
  <c r="AV2247" i="1"/>
  <c r="AU2247" i="1"/>
  <c r="AW2246" i="1"/>
  <c r="AV2246" i="1"/>
  <c r="AU2246" i="1"/>
  <c r="AW2245" i="1"/>
  <c r="AV2245" i="1"/>
  <c r="AW2244" i="1"/>
  <c r="AV2244" i="1"/>
  <c r="AW2243" i="1"/>
  <c r="AV2243" i="1"/>
  <c r="AU2243" i="1"/>
  <c r="AW2242" i="1"/>
  <c r="AV2242" i="1"/>
  <c r="AW2241" i="1"/>
  <c r="AV2241" i="1"/>
  <c r="AW2240" i="1"/>
  <c r="AV2240" i="1"/>
  <c r="AW2239" i="1"/>
  <c r="AV2239" i="1"/>
  <c r="AW2238" i="1"/>
  <c r="AV2238" i="1"/>
  <c r="AW2237" i="1"/>
  <c r="AV2237" i="1"/>
  <c r="AW2236" i="1"/>
  <c r="AV2236" i="1"/>
  <c r="AW2235" i="1"/>
  <c r="AV2235" i="1"/>
  <c r="AU2235" i="1"/>
  <c r="AW2234" i="1"/>
  <c r="AV2234" i="1"/>
  <c r="AU2234" i="1"/>
  <c r="AW2233" i="1"/>
  <c r="AV2233" i="1"/>
  <c r="AU2233" i="1"/>
  <c r="AW2232" i="1"/>
  <c r="AV2232" i="1"/>
  <c r="AW2231" i="1"/>
  <c r="AV2231" i="1"/>
  <c r="AU2231" i="1"/>
  <c r="AW2230" i="1"/>
  <c r="AV2230" i="1"/>
  <c r="AU2230" i="1"/>
  <c r="AW2229" i="1"/>
  <c r="AV2229" i="1"/>
  <c r="AW2228" i="1"/>
  <c r="AV2228" i="1"/>
  <c r="AW2227" i="1"/>
  <c r="AV2227" i="1"/>
  <c r="AW2226" i="1"/>
  <c r="AV2226" i="1"/>
  <c r="AW2225" i="1"/>
  <c r="AV2225" i="1"/>
  <c r="AU2225" i="1"/>
  <c r="AW2224" i="1"/>
  <c r="AV2224" i="1"/>
  <c r="AW2223" i="1"/>
  <c r="AV2223" i="1"/>
  <c r="AW2222" i="1"/>
  <c r="AV2222" i="1"/>
  <c r="AW2221" i="1"/>
  <c r="AV2221" i="1"/>
  <c r="AW2220" i="1"/>
  <c r="AV2220" i="1"/>
  <c r="AW2219" i="1"/>
  <c r="AV2219" i="1"/>
  <c r="AU2219" i="1"/>
  <c r="AW2218" i="1"/>
  <c r="AV2218" i="1"/>
  <c r="AW2217" i="1"/>
  <c r="AV2217" i="1"/>
  <c r="AW2216" i="1"/>
  <c r="AV2216" i="1"/>
  <c r="AW2215" i="1"/>
  <c r="AV2215" i="1"/>
  <c r="AW2214" i="1"/>
  <c r="AV2214" i="1"/>
  <c r="AW2213" i="1"/>
  <c r="AV2213" i="1"/>
  <c r="AW2212" i="1"/>
  <c r="AV2212" i="1"/>
  <c r="AU2212" i="1"/>
  <c r="AW2211" i="1"/>
  <c r="AV2211" i="1"/>
  <c r="AU2211" i="1"/>
  <c r="AW2210" i="1"/>
  <c r="AV2210" i="1"/>
  <c r="AW2209" i="1"/>
  <c r="AV2209" i="1"/>
  <c r="AW2208" i="1"/>
  <c r="AV2208" i="1"/>
  <c r="AW2207" i="1"/>
  <c r="AV2207" i="1"/>
  <c r="AW2206" i="1"/>
  <c r="AV2206" i="1"/>
  <c r="AW2205" i="1"/>
  <c r="AV2205" i="1"/>
  <c r="AU2205" i="1"/>
  <c r="AW2204" i="1"/>
  <c r="AV2204" i="1"/>
  <c r="AW2203" i="1"/>
  <c r="AV2203" i="1"/>
  <c r="AW2202" i="1"/>
  <c r="AV2202" i="1"/>
  <c r="AW2201" i="1"/>
  <c r="AV2201" i="1"/>
  <c r="AU2201" i="1"/>
  <c r="AW2200" i="1"/>
  <c r="AV2200" i="1"/>
  <c r="AW2199" i="1"/>
  <c r="AV2199" i="1"/>
  <c r="AW2198" i="1"/>
  <c r="AV2198" i="1"/>
  <c r="AW2197" i="1"/>
  <c r="AV2197" i="1"/>
  <c r="AW2196" i="1"/>
  <c r="AV2196" i="1"/>
  <c r="AW2195" i="1"/>
  <c r="AV2195" i="1"/>
  <c r="AW2194" i="1"/>
  <c r="AV2194" i="1"/>
  <c r="AW2193" i="1"/>
  <c r="AV2193" i="1"/>
  <c r="AW2192" i="1"/>
  <c r="AV2192" i="1"/>
  <c r="AW2191" i="1"/>
  <c r="AV2191" i="1"/>
  <c r="AW2190" i="1"/>
  <c r="AV2190" i="1"/>
  <c r="AW2189" i="1"/>
  <c r="AV2189" i="1"/>
  <c r="AW2188" i="1"/>
  <c r="AV2188" i="1"/>
  <c r="AW2187" i="1"/>
  <c r="AV2187" i="1"/>
  <c r="AW2186" i="1"/>
  <c r="AV2186" i="1"/>
  <c r="AW2185" i="1"/>
  <c r="AV2185" i="1"/>
  <c r="AW2184" i="1"/>
  <c r="AV2184" i="1"/>
  <c r="AW2183" i="1"/>
  <c r="AV2183" i="1"/>
  <c r="AW2182" i="1"/>
  <c r="AV2182" i="1"/>
  <c r="AW2181" i="1"/>
  <c r="AV2181" i="1"/>
  <c r="AW2180" i="1"/>
  <c r="AV2180" i="1"/>
  <c r="AW2179" i="1"/>
  <c r="AV2179" i="1"/>
  <c r="AU2179" i="1"/>
  <c r="AW2178" i="1"/>
  <c r="AV2178" i="1"/>
  <c r="AW2177" i="1"/>
  <c r="AV2177" i="1"/>
  <c r="AW2176" i="1"/>
  <c r="AV2176" i="1"/>
  <c r="AW2175" i="1"/>
  <c r="AV2175" i="1"/>
  <c r="AW2174" i="1"/>
  <c r="AV2174" i="1"/>
  <c r="AW2173" i="1"/>
  <c r="AV2173" i="1"/>
  <c r="AW2172" i="1"/>
  <c r="AV2172" i="1"/>
  <c r="AW2171" i="1"/>
  <c r="AV2171" i="1"/>
  <c r="AW2170" i="1"/>
  <c r="AV2170" i="1"/>
  <c r="AW2169" i="1"/>
  <c r="AV2169" i="1"/>
  <c r="AW2168" i="1"/>
  <c r="AV2168" i="1"/>
  <c r="AU2168" i="1"/>
  <c r="AW2167" i="1"/>
  <c r="AV2167" i="1"/>
  <c r="AW2166" i="1"/>
  <c r="AV2166" i="1"/>
  <c r="AW2165" i="1"/>
  <c r="AV2165" i="1"/>
  <c r="AW2164" i="1"/>
  <c r="AV2164" i="1"/>
  <c r="AW2163" i="1"/>
  <c r="AV2163" i="1"/>
  <c r="AW2162" i="1"/>
  <c r="AV2162" i="1"/>
  <c r="AW2161" i="1"/>
  <c r="AV2161" i="1"/>
  <c r="AW2160" i="1"/>
  <c r="AV2160" i="1"/>
  <c r="AW2159" i="1"/>
  <c r="AV2159" i="1"/>
  <c r="AW2158" i="1"/>
  <c r="AV2158" i="1"/>
  <c r="AU2158" i="1"/>
  <c r="AW2157" i="1"/>
  <c r="AV2157" i="1"/>
  <c r="AW2156" i="1"/>
  <c r="AV2156" i="1"/>
  <c r="AW2155" i="1"/>
  <c r="AV2155" i="1"/>
  <c r="AW2154" i="1"/>
  <c r="AV2154" i="1"/>
  <c r="AW2153" i="1"/>
  <c r="AV2153" i="1"/>
  <c r="AW2152" i="1"/>
  <c r="AV2152" i="1"/>
  <c r="AW2151" i="1"/>
  <c r="AV2151" i="1"/>
  <c r="AW2150" i="1"/>
  <c r="AV2150" i="1"/>
  <c r="AW2149" i="1"/>
  <c r="AV2149" i="1"/>
  <c r="AW2148" i="1"/>
  <c r="AV2148" i="1"/>
  <c r="AU2148" i="1"/>
  <c r="AW2147" i="1"/>
  <c r="AV2147" i="1"/>
  <c r="AW2146" i="1"/>
  <c r="AV2146" i="1"/>
  <c r="AW2145" i="1"/>
  <c r="AV2145" i="1"/>
  <c r="AU2145" i="1"/>
  <c r="AW2144" i="1"/>
  <c r="AV2144" i="1"/>
  <c r="AW2143" i="1"/>
  <c r="AV2143" i="1"/>
  <c r="AW2142" i="1"/>
  <c r="AV2142" i="1"/>
  <c r="AW2141" i="1"/>
  <c r="AV2141" i="1"/>
  <c r="AW2140" i="1"/>
  <c r="AV2140" i="1"/>
  <c r="AW2139" i="1"/>
  <c r="AV2139" i="1"/>
  <c r="AW2138" i="1"/>
  <c r="AV2138" i="1"/>
  <c r="AW2137" i="1"/>
  <c r="AV2137" i="1"/>
  <c r="AU2137" i="1"/>
  <c r="AW2136" i="1"/>
  <c r="AV2136" i="1"/>
  <c r="AW2135" i="1"/>
  <c r="AV2135" i="1"/>
  <c r="AU2135" i="1"/>
  <c r="AW2134" i="1"/>
  <c r="AV2134" i="1"/>
  <c r="AU2134" i="1"/>
  <c r="AW2133" i="1"/>
  <c r="AV2133" i="1"/>
  <c r="AW2132" i="1"/>
  <c r="AV2132" i="1"/>
  <c r="AW2131" i="1"/>
  <c r="AV2131" i="1"/>
  <c r="AW2130" i="1"/>
  <c r="AV2130" i="1"/>
  <c r="AW2129" i="1"/>
  <c r="AV2129" i="1"/>
  <c r="AU2129" i="1"/>
  <c r="AW2128" i="1"/>
  <c r="AV2128" i="1"/>
  <c r="AU2128" i="1"/>
  <c r="AW2127" i="1"/>
  <c r="AV2127" i="1"/>
  <c r="AU2127" i="1"/>
  <c r="AW2126" i="1"/>
  <c r="AV2126" i="1"/>
  <c r="AU2126" i="1"/>
  <c r="AW2125" i="1"/>
  <c r="AV2125" i="1"/>
  <c r="AU2125" i="1"/>
  <c r="AW2124" i="1"/>
  <c r="AV2124" i="1"/>
  <c r="AU2124" i="1"/>
  <c r="AW2123" i="1"/>
  <c r="AV2123" i="1"/>
  <c r="AW2122" i="1"/>
  <c r="AV2122" i="1"/>
  <c r="AU2122" i="1"/>
  <c r="AW2121" i="1"/>
  <c r="AV2121" i="1"/>
  <c r="AW2120" i="1"/>
  <c r="AV2120" i="1"/>
  <c r="AW2119" i="1"/>
  <c r="AV2119" i="1"/>
  <c r="AW2118" i="1"/>
  <c r="AV2118" i="1"/>
  <c r="AW2117" i="1"/>
  <c r="AV2117" i="1"/>
  <c r="AW2116" i="1"/>
  <c r="AV2116" i="1"/>
  <c r="AW2115" i="1"/>
  <c r="AV2115" i="1"/>
  <c r="AW2114" i="1"/>
  <c r="AV2114" i="1"/>
  <c r="AW2113" i="1"/>
  <c r="AV2113" i="1"/>
  <c r="AW2112" i="1"/>
  <c r="AV2112" i="1"/>
  <c r="AU2112" i="1"/>
  <c r="AW2111" i="1"/>
  <c r="AV2111" i="1"/>
  <c r="AW2110" i="1"/>
  <c r="AV2110" i="1"/>
  <c r="AW2109" i="1"/>
  <c r="AV2109" i="1"/>
  <c r="AW2108" i="1"/>
  <c r="AV2108" i="1"/>
  <c r="AW2107" i="1"/>
  <c r="AV2107" i="1"/>
  <c r="AW2106" i="1"/>
  <c r="AV2106" i="1"/>
  <c r="AW2105" i="1"/>
  <c r="AV2105" i="1"/>
  <c r="AW2104" i="1"/>
  <c r="AV2104" i="1"/>
  <c r="AU2104" i="1"/>
  <c r="AW2103" i="1"/>
  <c r="AV2103" i="1"/>
  <c r="AU2103" i="1"/>
  <c r="AW2102" i="1"/>
  <c r="AV2102" i="1"/>
  <c r="AW2101" i="1"/>
  <c r="AV2101" i="1"/>
  <c r="AU2101" i="1"/>
  <c r="AW2100" i="1"/>
  <c r="AV2100" i="1"/>
  <c r="AU2100" i="1"/>
  <c r="AW2099" i="1"/>
  <c r="AV2099" i="1"/>
  <c r="AW2098" i="1"/>
  <c r="AV2098" i="1"/>
  <c r="AW2097" i="1"/>
  <c r="AV2097" i="1"/>
  <c r="AU2097" i="1"/>
  <c r="AW2096" i="1"/>
  <c r="AV2096" i="1"/>
  <c r="AU2096" i="1"/>
  <c r="AW2095" i="1"/>
  <c r="AV2095" i="1"/>
  <c r="AW2094" i="1"/>
  <c r="AV2094" i="1"/>
  <c r="AW2093" i="1"/>
  <c r="AV2093" i="1"/>
  <c r="AW2092" i="1"/>
  <c r="AV2092" i="1"/>
  <c r="AW2091" i="1"/>
  <c r="AV2091" i="1"/>
  <c r="AW2090" i="1"/>
  <c r="AV2090" i="1"/>
  <c r="AW2089" i="1"/>
  <c r="AV2089" i="1"/>
  <c r="AW2088" i="1"/>
  <c r="AV2088" i="1"/>
  <c r="AU2088" i="1"/>
  <c r="AW2087" i="1"/>
  <c r="AV2087" i="1"/>
  <c r="AU2087" i="1"/>
  <c r="AW2086" i="1"/>
  <c r="AV2086" i="1"/>
  <c r="AW2085" i="1"/>
  <c r="AV2085" i="1"/>
  <c r="AW2084" i="1"/>
  <c r="AV2084" i="1"/>
  <c r="AU2084" i="1"/>
  <c r="AW2083" i="1"/>
  <c r="AV2083" i="1"/>
  <c r="AU2083" i="1"/>
  <c r="AW2082" i="1"/>
  <c r="AV2082" i="1"/>
  <c r="AW2081" i="1"/>
  <c r="AV2081" i="1"/>
  <c r="AU2081" i="1"/>
  <c r="AW2080" i="1"/>
  <c r="AV2080" i="1"/>
  <c r="AW2079" i="1"/>
  <c r="AV2079" i="1"/>
  <c r="AW2078" i="1"/>
  <c r="AV2078" i="1"/>
  <c r="AU2078" i="1"/>
  <c r="AW2077" i="1"/>
  <c r="AV2077" i="1"/>
  <c r="AU2077" i="1"/>
  <c r="AW2076" i="1"/>
  <c r="AV2076" i="1"/>
  <c r="AW2075" i="1"/>
  <c r="AV2075" i="1"/>
  <c r="AW2074" i="1"/>
  <c r="AV2074" i="1"/>
  <c r="AU2074" i="1"/>
  <c r="AW2073" i="1"/>
  <c r="AV2073" i="1"/>
  <c r="AU2073" i="1"/>
  <c r="AW2072" i="1"/>
  <c r="AV2072" i="1"/>
  <c r="AU2072" i="1"/>
  <c r="AW2071" i="1"/>
  <c r="AV2071" i="1"/>
  <c r="AU2071" i="1"/>
  <c r="AW2070" i="1"/>
  <c r="AV2070" i="1"/>
  <c r="AU2070" i="1"/>
  <c r="AW2069" i="1"/>
  <c r="AV2069" i="1"/>
  <c r="AU2069" i="1"/>
  <c r="AW2068" i="1"/>
  <c r="AV2068" i="1"/>
  <c r="AU2068" i="1"/>
  <c r="AW2067" i="1"/>
  <c r="AV2067" i="1"/>
  <c r="AU2067" i="1"/>
  <c r="AW2066" i="1"/>
  <c r="AV2066" i="1"/>
  <c r="AU2066" i="1"/>
  <c r="AW2065" i="1"/>
  <c r="AV2065" i="1"/>
  <c r="AU2065" i="1"/>
  <c r="AW2064" i="1"/>
  <c r="AV2064" i="1"/>
  <c r="AU2064" i="1"/>
  <c r="AW2063" i="1"/>
  <c r="AV2063" i="1"/>
  <c r="AU2063" i="1"/>
  <c r="AW2062" i="1"/>
  <c r="AV2062" i="1"/>
  <c r="AW2061" i="1"/>
  <c r="AV2061" i="1"/>
  <c r="AU2061" i="1"/>
  <c r="AW2060" i="1"/>
  <c r="AV2060" i="1"/>
  <c r="AW2059" i="1"/>
  <c r="AV2059" i="1"/>
  <c r="AW2058" i="1"/>
  <c r="AV2058" i="1"/>
  <c r="AW2057" i="1"/>
  <c r="AV2057" i="1"/>
  <c r="AU2057" i="1"/>
  <c r="AW2056" i="1"/>
  <c r="AV2056" i="1"/>
  <c r="AU2056" i="1"/>
  <c r="AW2055" i="1"/>
  <c r="AV2055" i="1"/>
  <c r="AW2054" i="1"/>
  <c r="AV2054" i="1"/>
  <c r="AW2053" i="1"/>
  <c r="AV2053" i="1"/>
  <c r="AU2053" i="1"/>
  <c r="AW2052" i="1"/>
  <c r="AV2052" i="1"/>
  <c r="AW2051" i="1"/>
  <c r="AV2051" i="1"/>
  <c r="AU2051" i="1"/>
  <c r="AW2050" i="1"/>
  <c r="AV2050" i="1"/>
  <c r="AU2050" i="1"/>
  <c r="AW2049" i="1"/>
  <c r="AV2049" i="1"/>
  <c r="AU2049" i="1"/>
  <c r="AW2048" i="1"/>
  <c r="AV2048" i="1"/>
  <c r="AW2047" i="1"/>
  <c r="AV2047" i="1"/>
  <c r="AU2047" i="1"/>
  <c r="AW2046" i="1"/>
  <c r="AV2046" i="1"/>
  <c r="AU2046" i="1"/>
  <c r="AW2045" i="1"/>
  <c r="AV2045" i="1"/>
  <c r="AU2045" i="1"/>
  <c r="AW2044" i="1"/>
  <c r="AV2044" i="1"/>
  <c r="AU2044" i="1"/>
  <c r="AW2043" i="1"/>
  <c r="AV2043" i="1"/>
  <c r="AU2043" i="1"/>
  <c r="AW2042" i="1"/>
  <c r="AV2042" i="1"/>
  <c r="AW2041" i="1"/>
  <c r="AV2041" i="1"/>
  <c r="AU2041" i="1"/>
  <c r="AW2040" i="1"/>
  <c r="AV2040" i="1"/>
  <c r="AU2040" i="1"/>
  <c r="AW2039" i="1"/>
  <c r="AV2039" i="1"/>
  <c r="AW2038" i="1"/>
  <c r="AV2038" i="1"/>
  <c r="AW2037" i="1"/>
  <c r="AV2037" i="1"/>
  <c r="AU2037" i="1"/>
  <c r="AW2036" i="1"/>
  <c r="AV2036" i="1"/>
  <c r="AU2036" i="1"/>
  <c r="AW2035" i="1"/>
  <c r="AV2035" i="1"/>
  <c r="AW2034" i="1"/>
  <c r="AV2034" i="1"/>
  <c r="AW2033" i="1"/>
  <c r="AV2033" i="1"/>
  <c r="AW2032" i="1"/>
  <c r="AV2032" i="1"/>
  <c r="AW2031" i="1"/>
  <c r="AV2031" i="1"/>
  <c r="AW2030" i="1"/>
  <c r="AV2030" i="1"/>
  <c r="AW2029" i="1"/>
  <c r="AV2029" i="1"/>
  <c r="AW2028" i="1"/>
  <c r="AV2028" i="1"/>
  <c r="AW2027" i="1"/>
  <c r="AV2027" i="1"/>
  <c r="AU2027" i="1"/>
  <c r="AW2026" i="1"/>
  <c r="AV2026" i="1"/>
  <c r="AW2025" i="1"/>
  <c r="AV2025" i="1"/>
  <c r="AW2024" i="1"/>
  <c r="AV2024" i="1"/>
  <c r="AW2023" i="1"/>
  <c r="AV2023" i="1"/>
  <c r="AW2022" i="1"/>
  <c r="AV2022" i="1"/>
  <c r="AW2021" i="1"/>
  <c r="AV2021" i="1"/>
  <c r="AU2021" i="1"/>
  <c r="AW2020" i="1"/>
  <c r="AV2020" i="1"/>
  <c r="AW2019" i="1"/>
  <c r="AV2019" i="1"/>
  <c r="AU2019" i="1"/>
  <c r="AW2018" i="1"/>
  <c r="AV2018" i="1"/>
  <c r="AU2018" i="1"/>
  <c r="AW2017" i="1"/>
  <c r="AV2017" i="1"/>
  <c r="AU2017" i="1"/>
  <c r="AW2016" i="1"/>
  <c r="AV2016" i="1"/>
  <c r="AU2016" i="1"/>
  <c r="AW2015" i="1"/>
  <c r="AV2015" i="1"/>
  <c r="AW2014" i="1"/>
  <c r="AV2014" i="1"/>
  <c r="AW2013" i="1"/>
  <c r="AV2013" i="1"/>
  <c r="AW2012" i="1"/>
  <c r="AV2012" i="1"/>
  <c r="AW2011" i="1"/>
  <c r="AV2011" i="1"/>
  <c r="AU2011" i="1"/>
  <c r="AW2010" i="1"/>
  <c r="AV2010" i="1"/>
  <c r="AW2009" i="1"/>
  <c r="AV2009" i="1"/>
  <c r="AW2008" i="1"/>
  <c r="AV2008" i="1"/>
  <c r="AW2007" i="1"/>
  <c r="AV2007" i="1"/>
  <c r="AU2007" i="1"/>
  <c r="AW2006" i="1"/>
  <c r="AV2006" i="1"/>
  <c r="AU2006" i="1"/>
  <c r="AW2005" i="1"/>
  <c r="AV2005" i="1"/>
  <c r="AU2005" i="1"/>
  <c r="AW2004" i="1"/>
  <c r="AV2004" i="1"/>
  <c r="AW2003" i="1"/>
  <c r="AV2003" i="1"/>
  <c r="AU2003" i="1"/>
  <c r="AW2002" i="1"/>
  <c r="AV2002" i="1"/>
  <c r="AU2002" i="1"/>
  <c r="AW2001" i="1"/>
  <c r="AV2001" i="1"/>
  <c r="AU2001" i="1"/>
  <c r="AW2000" i="1"/>
  <c r="AV2000" i="1"/>
  <c r="AU2000" i="1"/>
  <c r="AW1999" i="1"/>
  <c r="AV1999" i="1"/>
  <c r="AU1999" i="1"/>
  <c r="AW1998" i="1"/>
  <c r="AV1998" i="1"/>
  <c r="AW1997" i="1"/>
  <c r="AV1997" i="1"/>
  <c r="AW1996" i="1"/>
  <c r="AV1996" i="1"/>
  <c r="AW1995" i="1"/>
  <c r="AV1995" i="1"/>
  <c r="AW1994" i="1"/>
  <c r="AV1994" i="1"/>
  <c r="AU1994" i="1"/>
  <c r="AW1993" i="1"/>
  <c r="AV1993" i="1"/>
  <c r="AW1992" i="1"/>
  <c r="AV1992" i="1"/>
  <c r="AU1992" i="1"/>
  <c r="AW1991" i="1"/>
  <c r="AV1991" i="1"/>
  <c r="AU1991" i="1"/>
  <c r="AW1990" i="1"/>
  <c r="AV1990" i="1"/>
  <c r="AU1990" i="1"/>
  <c r="AW1989" i="1"/>
  <c r="AV1989" i="1"/>
  <c r="AU1989" i="1"/>
  <c r="AW1988" i="1"/>
  <c r="AV1988" i="1"/>
  <c r="AU1988" i="1"/>
  <c r="AW1987" i="1"/>
  <c r="AV1987" i="1"/>
  <c r="AW1986" i="1"/>
  <c r="AV1986" i="1"/>
  <c r="AW1985" i="1"/>
  <c r="AV1985" i="1"/>
  <c r="AW1984" i="1"/>
  <c r="AV1984" i="1"/>
  <c r="AW1983" i="1"/>
  <c r="AV1983" i="1"/>
  <c r="AW1982" i="1"/>
  <c r="AV1982" i="1"/>
  <c r="AW1981" i="1"/>
  <c r="AV1981" i="1"/>
  <c r="AW1980" i="1"/>
  <c r="AV1980" i="1"/>
  <c r="AW1979" i="1"/>
  <c r="AV1979" i="1"/>
  <c r="AW1978" i="1"/>
  <c r="AV1978" i="1"/>
  <c r="AW1977" i="1"/>
  <c r="AV1977" i="1"/>
  <c r="AW1976" i="1"/>
  <c r="AV1976" i="1"/>
  <c r="AW1975" i="1"/>
  <c r="AV1975" i="1"/>
  <c r="AW1974" i="1"/>
  <c r="AV1974" i="1"/>
  <c r="AW1973" i="1"/>
  <c r="AV1973" i="1"/>
  <c r="AW1972" i="1"/>
  <c r="AV1972" i="1"/>
  <c r="AW1971" i="1"/>
  <c r="AV1971" i="1"/>
  <c r="AW1970" i="1"/>
  <c r="AV1970" i="1"/>
  <c r="AW1969" i="1"/>
  <c r="AV1969" i="1"/>
  <c r="AW1968" i="1"/>
  <c r="AV1968" i="1"/>
  <c r="AW1967" i="1"/>
  <c r="AV1967" i="1"/>
  <c r="AW1966" i="1"/>
  <c r="AV1966" i="1"/>
  <c r="AU1966" i="1"/>
  <c r="AW1965" i="1"/>
  <c r="AV1965" i="1"/>
  <c r="AW1964" i="1"/>
  <c r="AV1964" i="1"/>
  <c r="AW1963" i="1"/>
  <c r="AV1963" i="1"/>
  <c r="AU1963" i="1"/>
  <c r="AW1962" i="1"/>
  <c r="AV1962" i="1"/>
  <c r="AW1961" i="1"/>
  <c r="AV1961" i="1"/>
  <c r="AW1960" i="1"/>
  <c r="AV1960" i="1"/>
  <c r="AU1960" i="1"/>
  <c r="AW1959" i="1"/>
  <c r="AV1959" i="1"/>
  <c r="AW1958" i="1"/>
  <c r="AV1958" i="1"/>
  <c r="AW1957" i="1"/>
  <c r="AV1957" i="1"/>
  <c r="AW1956" i="1"/>
  <c r="AV1956" i="1"/>
  <c r="AU1956" i="1"/>
  <c r="AW1955" i="1"/>
  <c r="AV1955" i="1"/>
  <c r="AU1955" i="1"/>
  <c r="AW1954" i="1"/>
  <c r="AV1954" i="1"/>
  <c r="AW1953" i="1"/>
  <c r="AV1953" i="1"/>
  <c r="AW1952" i="1"/>
  <c r="AV1952" i="1"/>
  <c r="AW1951" i="1"/>
  <c r="AV1951" i="1"/>
  <c r="AW1950" i="1"/>
  <c r="AV1950" i="1"/>
  <c r="AW1949" i="1"/>
  <c r="AV1949" i="1"/>
  <c r="AW1948" i="1"/>
  <c r="AV1948" i="1"/>
  <c r="AW1947" i="1"/>
  <c r="AV1947" i="1"/>
  <c r="AW1946" i="1"/>
  <c r="AV1946" i="1"/>
  <c r="AW1945" i="1"/>
  <c r="AV1945" i="1"/>
  <c r="AU1945" i="1"/>
  <c r="AW1944" i="1"/>
  <c r="AV1944" i="1"/>
  <c r="AU1944" i="1"/>
  <c r="AW1943" i="1"/>
  <c r="AV1943" i="1"/>
  <c r="AU1943" i="1"/>
  <c r="AW1942" i="1"/>
  <c r="AV1942" i="1"/>
  <c r="AW1941" i="1"/>
  <c r="AV1941" i="1"/>
  <c r="AW1940" i="1"/>
  <c r="AV1940" i="1"/>
  <c r="AU1940" i="1"/>
  <c r="AW1939" i="1"/>
  <c r="AV1939" i="1"/>
  <c r="AU1939" i="1"/>
  <c r="AW1938" i="1"/>
  <c r="AV1938" i="1"/>
  <c r="AW1937" i="1"/>
  <c r="AV1937" i="1"/>
  <c r="AW1936" i="1"/>
  <c r="AV1936" i="1"/>
  <c r="AW1935" i="1"/>
  <c r="AV1935" i="1"/>
  <c r="AW1934" i="1"/>
  <c r="AV1934" i="1"/>
  <c r="AW1933" i="1"/>
  <c r="AV1933" i="1"/>
  <c r="AW1932" i="1"/>
  <c r="AV1932" i="1"/>
  <c r="AU1932" i="1"/>
  <c r="AW1931" i="1"/>
  <c r="AV1931" i="1"/>
  <c r="AW1930" i="1"/>
  <c r="AV1930" i="1"/>
  <c r="AW1929" i="1"/>
  <c r="AV1929" i="1"/>
  <c r="AW1928" i="1"/>
  <c r="AV1928" i="1"/>
  <c r="AW1927" i="1"/>
  <c r="AV1927" i="1"/>
  <c r="AW1926" i="1"/>
  <c r="AV1926" i="1"/>
  <c r="AW1925" i="1"/>
  <c r="AV1925" i="1"/>
  <c r="AW1924" i="1"/>
  <c r="AV1924" i="1"/>
  <c r="AW1923" i="1"/>
  <c r="AV1923" i="1"/>
  <c r="AW1922" i="1"/>
  <c r="AV1922" i="1"/>
  <c r="AW1921" i="1"/>
  <c r="AV1921" i="1"/>
  <c r="AW1920" i="1"/>
  <c r="AV1920" i="1"/>
  <c r="AW1919" i="1"/>
  <c r="AV1919" i="1"/>
  <c r="AW1918" i="1"/>
  <c r="AV1918" i="1"/>
  <c r="AW1917" i="1"/>
  <c r="AV1917" i="1"/>
  <c r="AW1916" i="1"/>
  <c r="AV1916" i="1"/>
  <c r="AW1915" i="1"/>
  <c r="AV1915" i="1"/>
  <c r="AW1914" i="1"/>
  <c r="AV1914" i="1"/>
  <c r="AU1914" i="1"/>
  <c r="AW1913" i="1"/>
  <c r="AV1913" i="1"/>
  <c r="AW1912" i="1"/>
  <c r="AV1912" i="1"/>
  <c r="AW1911" i="1"/>
  <c r="AV1911" i="1"/>
  <c r="AW1910" i="1"/>
  <c r="AV1910" i="1"/>
  <c r="AW1909" i="1"/>
  <c r="AV1909" i="1"/>
  <c r="AW1908" i="1"/>
  <c r="AV1908" i="1"/>
  <c r="AU1908" i="1"/>
  <c r="AW1907" i="1"/>
  <c r="AV1907" i="1"/>
  <c r="AW1906" i="1"/>
  <c r="AV1906" i="1"/>
  <c r="AW1905" i="1"/>
  <c r="AV1905" i="1"/>
  <c r="AW1904" i="1"/>
  <c r="AV1904" i="1"/>
  <c r="AW1903" i="1"/>
  <c r="AV1903" i="1"/>
  <c r="AW1902" i="1"/>
  <c r="AV1902" i="1"/>
  <c r="AW1901" i="1"/>
  <c r="AV1901" i="1"/>
  <c r="AW1900" i="1"/>
  <c r="AV1900" i="1"/>
  <c r="AW1899" i="1"/>
  <c r="AV1899" i="1"/>
  <c r="AW1898" i="1"/>
  <c r="AV1898" i="1"/>
  <c r="AW1897" i="1"/>
  <c r="AV1897" i="1"/>
  <c r="AW1896" i="1"/>
  <c r="AV1896" i="1"/>
  <c r="AW1895" i="1"/>
  <c r="AV1895" i="1"/>
  <c r="AW1894" i="1"/>
  <c r="AV1894" i="1"/>
  <c r="AU1894" i="1"/>
  <c r="AW1893" i="1"/>
  <c r="AV1893" i="1"/>
  <c r="AU1893" i="1"/>
  <c r="AW1892" i="1"/>
  <c r="AV1892" i="1"/>
  <c r="AU1892" i="1"/>
  <c r="AW1891" i="1"/>
  <c r="AV1891" i="1"/>
  <c r="AW1890" i="1"/>
  <c r="AV1890" i="1"/>
  <c r="AW1889" i="1"/>
  <c r="AV1889" i="1"/>
  <c r="AW1888" i="1"/>
  <c r="AV1888" i="1"/>
  <c r="AW1887" i="1"/>
  <c r="AV1887" i="1"/>
  <c r="AW1886" i="1"/>
  <c r="AV1886" i="1"/>
  <c r="AW1885" i="1"/>
  <c r="AV1885" i="1"/>
  <c r="AW1884" i="1"/>
  <c r="AV1884" i="1"/>
  <c r="AW1883" i="1"/>
  <c r="AV1883" i="1"/>
  <c r="AU1883" i="1"/>
  <c r="AW1882" i="1"/>
  <c r="AV1882" i="1"/>
  <c r="AW1881" i="1"/>
  <c r="AV1881" i="1"/>
  <c r="AW1880" i="1"/>
  <c r="AV1880" i="1"/>
  <c r="AW1879" i="1"/>
  <c r="AV1879" i="1"/>
  <c r="AU1879" i="1"/>
  <c r="AW1878" i="1"/>
  <c r="AV1878" i="1"/>
  <c r="AU1878" i="1"/>
  <c r="AW1877" i="1"/>
  <c r="AV1877" i="1"/>
  <c r="AU1877" i="1"/>
  <c r="AW1876" i="1"/>
  <c r="AV1876" i="1"/>
  <c r="AW1875" i="1"/>
  <c r="AV1875" i="1"/>
  <c r="AW1874" i="1"/>
  <c r="AV1874" i="1"/>
  <c r="AW1873" i="1"/>
  <c r="AV1873" i="1"/>
  <c r="AU1873" i="1"/>
  <c r="AW1872" i="1"/>
  <c r="AV1872" i="1"/>
  <c r="AW1871" i="1"/>
  <c r="AV1871" i="1"/>
  <c r="AW1870" i="1"/>
  <c r="AV1870" i="1"/>
  <c r="AW1869" i="1"/>
  <c r="AV1869" i="1"/>
  <c r="AW1868" i="1"/>
  <c r="AV1868" i="1"/>
  <c r="AW1867" i="1"/>
  <c r="AV1867" i="1"/>
  <c r="AW1866" i="1"/>
  <c r="AV1866" i="1"/>
  <c r="AW1865" i="1"/>
  <c r="AV1865" i="1"/>
  <c r="AW1864" i="1"/>
  <c r="AV1864" i="1"/>
  <c r="AW1863" i="1"/>
  <c r="AV1863" i="1"/>
  <c r="AW1862" i="1"/>
  <c r="AV1862" i="1"/>
  <c r="AW1861" i="1"/>
  <c r="AV1861" i="1"/>
  <c r="AU1861" i="1"/>
  <c r="AW1860" i="1"/>
  <c r="AV1860" i="1"/>
  <c r="AW1859" i="1"/>
  <c r="AV1859" i="1"/>
  <c r="AW1858" i="1"/>
  <c r="AV1858" i="1"/>
  <c r="AW1857" i="1"/>
  <c r="AV1857" i="1"/>
  <c r="AW1856" i="1"/>
  <c r="AV1856" i="1"/>
  <c r="AW1855" i="1"/>
  <c r="AV1855" i="1"/>
  <c r="AW1854" i="1"/>
  <c r="AV1854" i="1"/>
  <c r="AW1853" i="1"/>
  <c r="AV1853" i="1"/>
  <c r="AW1852" i="1"/>
  <c r="AV1852" i="1"/>
  <c r="AW1851" i="1"/>
  <c r="AV1851" i="1"/>
  <c r="AW1850" i="1"/>
  <c r="AV1850" i="1"/>
  <c r="AW1849" i="1"/>
  <c r="AV1849" i="1"/>
  <c r="AW1848" i="1"/>
  <c r="AV1848" i="1"/>
  <c r="AW1847" i="1"/>
  <c r="AV1847" i="1"/>
  <c r="AW1846" i="1"/>
  <c r="AV1846" i="1"/>
  <c r="AU1846" i="1"/>
  <c r="AW1845" i="1"/>
  <c r="AV1845" i="1"/>
  <c r="AW1844" i="1"/>
  <c r="AV1844" i="1"/>
  <c r="AW1843" i="1"/>
  <c r="AV1843" i="1"/>
  <c r="AW1842" i="1"/>
  <c r="AV1842" i="1"/>
  <c r="AW1841" i="1"/>
  <c r="AV1841" i="1"/>
  <c r="AW1840" i="1"/>
  <c r="AV1840" i="1"/>
  <c r="AW1839" i="1"/>
  <c r="AV1839" i="1"/>
  <c r="AW1838" i="1"/>
  <c r="AV1838" i="1"/>
  <c r="AW1837" i="1"/>
  <c r="AV1837" i="1"/>
  <c r="AU1837" i="1"/>
  <c r="AW1836" i="1"/>
  <c r="AV1836" i="1"/>
  <c r="AW1835" i="1"/>
  <c r="AV1835" i="1"/>
  <c r="AW1834" i="1"/>
  <c r="AV1834" i="1"/>
  <c r="AU1834" i="1"/>
  <c r="AW1833" i="1"/>
  <c r="AV1833" i="1"/>
  <c r="AU1833" i="1"/>
  <c r="AW1832" i="1"/>
  <c r="AV1832" i="1"/>
  <c r="AU1832" i="1"/>
  <c r="AW1831" i="1"/>
  <c r="AV1831" i="1"/>
  <c r="AW1830" i="1"/>
  <c r="AV1830" i="1"/>
  <c r="AW1829" i="1"/>
  <c r="AV1829" i="1"/>
  <c r="AW1828" i="1"/>
  <c r="AV1828" i="1"/>
  <c r="AW1827" i="1"/>
  <c r="AV1827" i="1"/>
  <c r="AW1826" i="1"/>
  <c r="AV1826" i="1"/>
  <c r="AW1825" i="1"/>
  <c r="AV1825" i="1"/>
  <c r="AW1824" i="1"/>
  <c r="AV1824" i="1"/>
  <c r="AW1823" i="1"/>
  <c r="AV1823" i="1"/>
  <c r="AW1822" i="1"/>
  <c r="AV1822" i="1"/>
  <c r="AW1821" i="1"/>
  <c r="AV1821" i="1"/>
  <c r="AW1820" i="1"/>
  <c r="AV1820" i="1"/>
  <c r="AU1820" i="1"/>
  <c r="AW1819" i="1"/>
  <c r="AV1819" i="1"/>
  <c r="AU1819" i="1"/>
  <c r="AW1818" i="1"/>
  <c r="AV1818" i="1"/>
  <c r="AW1817" i="1"/>
  <c r="AV1817" i="1"/>
  <c r="AW1816" i="1"/>
  <c r="AV1816" i="1"/>
  <c r="AW1815" i="1"/>
  <c r="AV1815" i="1"/>
  <c r="AW1814" i="1"/>
  <c r="AV1814" i="1"/>
  <c r="AW1813" i="1"/>
  <c r="AV1813" i="1"/>
  <c r="AW1812" i="1"/>
  <c r="AV1812" i="1"/>
  <c r="AU1812" i="1"/>
  <c r="AW1811" i="1"/>
  <c r="AV1811" i="1"/>
  <c r="AU1811" i="1"/>
  <c r="AW1810" i="1"/>
  <c r="AV1810" i="1"/>
  <c r="AU1810" i="1"/>
  <c r="AW1809" i="1"/>
  <c r="AV1809" i="1"/>
  <c r="AU1809" i="1"/>
  <c r="AW1808" i="1"/>
  <c r="AV1808" i="1"/>
  <c r="AU1808" i="1"/>
  <c r="AW1807" i="1"/>
  <c r="AV1807" i="1"/>
  <c r="AU1807" i="1"/>
  <c r="AW1806" i="1"/>
  <c r="AV1806" i="1"/>
  <c r="AU1806" i="1"/>
  <c r="AW1805" i="1"/>
  <c r="AV1805" i="1"/>
  <c r="AU1805" i="1"/>
  <c r="AW1804" i="1"/>
  <c r="AV1804" i="1"/>
  <c r="AU1804" i="1"/>
  <c r="AW1803" i="1"/>
  <c r="AV1803" i="1"/>
  <c r="AU1803" i="1"/>
  <c r="AW1802" i="1"/>
  <c r="AV1802" i="1"/>
  <c r="AU1802" i="1"/>
  <c r="AW1801" i="1"/>
  <c r="AV1801" i="1"/>
  <c r="AU1801" i="1"/>
  <c r="AW1800" i="1"/>
  <c r="AV1800" i="1"/>
  <c r="AU1800" i="1"/>
  <c r="AW1799" i="1"/>
  <c r="AV1799" i="1"/>
  <c r="AU1799" i="1"/>
  <c r="AW1798" i="1"/>
  <c r="AV1798" i="1"/>
  <c r="AU1798" i="1"/>
  <c r="AW1797" i="1"/>
  <c r="AV1797" i="1"/>
  <c r="AW1796" i="1"/>
  <c r="AV1796" i="1"/>
  <c r="AU1796" i="1"/>
  <c r="AW1795" i="1"/>
  <c r="AV1795" i="1"/>
  <c r="AU1795" i="1"/>
  <c r="AW1794" i="1"/>
  <c r="AV1794" i="1"/>
  <c r="AU1794" i="1"/>
  <c r="AW1793" i="1"/>
  <c r="AV1793" i="1"/>
  <c r="AW1792" i="1"/>
  <c r="AV1792" i="1"/>
  <c r="AW1791" i="1"/>
  <c r="AV1791" i="1"/>
  <c r="AU1791" i="1"/>
  <c r="AW1790" i="1"/>
  <c r="AV1790" i="1"/>
  <c r="AW1789" i="1"/>
  <c r="AV1789" i="1"/>
  <c r="AU1789" i="1"/>
  <c r="AW1788" i="1"/>
  <c r="AV1788" i="1"/>
  <c r="AW1787" i="1"/>
  <c r="AV1787" i="1"/>
  <c r="AW1786" i="1"/>
  <c r="AV1786" i="1"/>
  <c r="AW1785" i="1"/>
  <c r="AV1785" i="1"/>
  <c r="AU1785" i="1"/>
  <c r="AW1784" i="1"/>
  <c r="AV1784" i="1"/>
  <c r="AW1783" i="1"/>
  <c r="AV1783" i="1"/>
  <c r="AW1782" i="1"/>
  <c r="AV1782" i="1"/>
  <c r="AW1781" i="1"/>
  <c r="AV1781" i="1"/>
  <c r="AW1780" i="1"/>
  <c r="AV1780" i="1"/>
  <c r="AU1780" i="1"/>
  <c r="AW1779" i="1"/>
  <c r="AV1779" i="1"/>
  <c r="AW1778" i="1"/>
  <c r="AV1778" i="1"/>
  <c r="AW1777" i="1"/>
  <c r="AV1777" i="1"/>
  <c r="AW1776" i="1"/>
  <c r="AV1776" i="1"/>
  <c r="AW1775" i="1"/>
  <c r="AV1775" i="1"/>
  <c r="AW1774" i="1"/>
  <c r="AV1774" i="1"/>
  <c r="AW1773" i="1"/>
  <c r="AV1773" i="1"/>
  <c r="AW1772" i="1"/>
  <c r="AV1772" i="1"/>
  <c r="AW1771" i="1"/>
  <c r="AV1771" i="1"/>
  <c r="AU1771" i="1"/>
  <c r="AW1770" i="1"/>
  <c r="AV1770" i="1"/>
  <c r="AW1769" i="1"/>
  <c r="AV1769" i="1"/>
  <c r="AU1769" i="1"/>
  <c r="AW1768" i="1"/>
  <c r="AV1768" i="1"/>
  <c r="AU1768" i="1"/>
  <c r="AW1767" i="1"/>
  <c r="AV1767" i="1"/>
  <c r="AW1766" i="1"/>
  <c r="AV1766" i="1"/>
  <c r="AW1765" i="1"/>
  <c r="AV1765" i="1"/>
  <c r="AW1764" i="1"/>
  <c r="AV1764" i="1"/>
  <c r="AW1763" i="1"/>
  <c r="AV1763" i="1"/>
  <c r="AW1762" i="1"/>
  <c r="AV1762" i="1"/>
  <c r="AW1761" i="1"/>
  <c r="AV1761" i="1"/>
  <c r="AW1760" i="1"/>
  <c r="AV1760" i="1"/>
  <c r="AW1759" i="1"/>
  <c r="AV1759" i="1"/>
  <c r="AU1759" i="1"/>
  <c r="AW1758" i="1"/>
  <c r="AV1758" i="1"/>
  <c r="AW1757" i="1"/>
  <c r="AV1757" i="1"/>
  <c r="AW1756" i="1"/>
  <c r="AV1756" i="1"/>
  <c r="AW1755" i="1"/>
  <c r="AV1755" i="1"/>
  <c r="AW1754" i="1"/>
  <c r="AV1754" i="1"/>
  <c r="AW1753" i="1"/>
  <c r="AV1753" i="1"/>
  <c r="AW1752" i="1"/>
  <c r="AV1752" i="1"/>
  <c r="AU1752" i="1"/>
  <c r="AW1751" i="1"/>
  <c r="AV1751" i="1"/>
  <c r="AW1750" i="1"/>
  <c r="AV1750" i="1"/>
  <c r="AW1749" i="1"/>
  <c r="AV1749" i="1"/>
  <c r="AW1748" i="1"/>
  <c r="AV1748" i="1"/>
  <c r="AU1748" i="1"/>
  <c r="AW1747" i="1"/>
  <c r="AV1747" i="1"/>
  <c r="AW1746" i="1"/>
  <c r="AV1746" i="1"/>
  <c r="AW1745" i="1"/>
  <c r="AV1745" i="1"/>
  <c r="AU1745" i="1"/>
  <c r="AW1744" i="1"/>
  <c r="AV1744" i="1"/>
  <c r="AW1743" i="1"/>
  <c r="AV1743" i="1"/>
  <c r="AW1742" i="1"/>
  <c r="AV1742" i="1"/>
  <c r="AW1741" i="1"/>
  <c r="AV1741" i="1"/>
  <c r="AW1740" i="1"/>
  <c r="AV1740" i="1"/>
  <c r="AU1740" i="1"/>
  <c r="AW1739" i="1"/>
  <c r="AV1739" i="1"/>
  <c r="AW1738" i="1"/>
  <c r="AV1738" i="1"/>
  <c r="AW1737" i="1"/>
  <c r="AV1737" i="1"/>
  <c r="AW1736" i="1"/>
  <c r="AV1736" i="1"/>
  <c r="AU1736" i="1"/>
  <c r="AW1735" i="1"/>
  <c r="AV1735" i="1"/>
  <c r="AU1735" i="1"/>
  <c r="AW1734" i="1"/>
  <c r="AV1734" i="1"/>
  <c r="AW1733" i="1"/>
  <c r="AV1733" i="1"/>
  <c r="AW1732" i="1"/>
  <c r="AV1732" i="1"/>
  <c r="AW1731" i="1"/>
  <c r="AV1731" i="1"/>
  <c r="AW1730" i="1"/>
  <c r="AV1730" i="1"/>
  <c r="AU1730" i="1"/>
  <c r="AW1729" i="1"/>
  <c r="AV1729" i="1"/>
  <c r="AU1729" i="1"/>
  <c r="AW1728" i="1"/>
  <c r="AV1728" i="1"/>
  <c r="AW1727" i="1"/>
  <c r="AV1727" i="1"/>
  <c r="AU1727" i="1"/>
  <c r="AW1726" i="1"/>
  <c r="AV1726" i="1"/>
  <c r="AU1726" i="1"/>
  <c r="AW1725" i="1"/>
  <c r="AV1725" i="1"/>
  <c r="AU1725" i="1"/>
  <c r="AW1724" i="1"/>
  <c r="AV1724" i="1"/>
  <c r="AW1723" i="1"/>
  <c r="AV1723" i="1"/>
  <c r="AW1722" i="1"/>
  <c r="AV1722" i="1"/>
  <c r="AW1721" i="1"/>
  <c r="AV1721" i="1"/>
  <c r="AU1721" i="1"/>
  <c r="AW1720" i="1"/>
  <c r="AV1720" i="1"/>
  <c r="AW1719" i="1"/>
  <c r="AV1719" i="1"/>
  <c r="AW1718" i="1"/>
  <c r="AV1718" i="1"/>
  <c r="AU1718" i="1"/>
  <c r="AW1717" i="1"/>
  <c r="AV1717" i="1"/>
  <c r="AW1716" i="1"/>
  <c r="AV1716" i="1"/>
  <c r="AW1715" i="1"/>
  <c r="AV1715" i="1"/>
  <c r="AU1715" i="1"/>
  <c r="AW1714" i="1"/>
  <c r="AV1714" i="1"/>
  <c r="AW1713" i="1"/>
  <c r="AV1713" i="1"/>
  <c r="AW1712" i="1"/>
  <c r="AV1712" i="1"/>
  <c r="AW1711" i="1"/>
  <c r="AV1711" i="1"/>
  <c r="AW1710" i="1"/>
  <c r="AV1710" i="1"/>
  <c r="AU1710" i="1"/>
  <c r="AW1709" i="1"/>
  <c r="AV1709" i="1"/>
  <c r="AW1708" i="1"/>
  <c r="AV1708" i="1"/>
  <c r="AW1707" i="1"/>
  <c r="AV1707" i="1"/>
  <c r="AW1706" i="1"/>
  <c r="AV1706" i="1"/>
  <c r="AW1705" i="1"/>
  <c r="AV1705" i="1"/>
  <c r="AW1704" i="1"/>
  <c r="AV1704" i="1"/>
  <c r="AW1703" i="1"/>
  <c r="AV1703" i="1"/>
  <c r="AW1702" i="1"/>
  <c r="AV1702" i="1"/>
  <c r="AW1701" i="1"/>
  <c r="AV1701" i="1"/>
  <c r="AW1700" i="1"/>
  <c r="AV1700" i="1"/>
  <c r="AW1699" i="1"/>
  <c r="AV1699" i="1"/>
  <c r="AU1699" i="1"/>
  <c r="AW1698" i="1"/>
  <c r="AV1698" i="1"/>
  <c r="AW1697" i="1"/>
  <c r="AV1697" i="1"/>
  <c r="AW1696" i="1"/>
  <c r="AV1696" i="1"/>
  <c r="AW1695" i="1"/>
  <c r="AV1695" i="1"/>
  <c r="AW1694" i="1"/>
  <c r="AV1694" i="1"/>
  <c r="AW1693" i="1"/>
  <c r="AV1693" i="1"/>
  <c r="AW1692" i="1"/>
  <c r="AV1692" i="1"/>
  <c r="AW1691" i="1"/>
  <c r="AV1691" i="1"/>
  <c r="AW1690" i="1"/>
  <c r="AV1690" i="1"/>
  <c r="AW1689" i="1"/>
  <c r="AV1689" i="1"/>
  <c r="AW1688" i="1"/>
  <c r="AV1688" i="1"/>
  <c r="AU1688" i="1"/>
  <c r="AW1687" i="1"/>
  <c r="AV1687" i="1"/>
  <c r="AU1687" i="1"/>
  <c r="AW1686" i="1"/>
  <c r="AV1686" i="1"/>
  <c r="AW1685" i="1"/>
  <c r="AV1685" i="1"/>
  <c r="AW1684" i="1"/>
  <c r="AV1684" i="1"/>
  <c r="AW1683" i="1"/>
  <c r="AV1683" i="1"/>
  <c r="AW1682" i="1"/>
  <c r="AV1682" i="1"/>
  <c r="AW1681" i="1"/>
  <c r="AV1681" i="1"/>
  <c r="AW1680" i="1"/>
  <c r="AV1680" i="1"/>
  <c r="AW1679" i="1"/>
  <c r="AV1679" i="1"/>
  <c r="AW1678" i="1"/>
  <c r="AV1678" i="1"/>
  <c r="AW1677" i="1"/>
  <c r="AV1677" i="1"/>
  <c r="AW1676" i="1"/>
  <c r="AV1676" i="1"/>
  <c r="AW1675" i="1"/>
  <c r="AV1675" i="1"/>
  <c r="AW1674" i="1"/>
  <c r="AV1674" i="1"/>
  <c r="AW1673" i="1"/>
  <c r="AV1673" i="1"/>
  <c r="AW1672" i="1"/>
  <c r="AV1672" i="1"/>
  <c r="AW1671" i="1"/>
  <c r="AV1671" i="1"/>
  <c r="AU1671" i="1"/>
  <c r="AW1670" i="1"/>
  <c r="AV1670" i="1"/>
  <c r="AU1670" i="1"/>
  <c r="AW1669" i="1"/>
  <c r="AV1669" i="1"/>
  <c r="AU1669" i="1"/>
  <c r="AW1668" i="1"/>
  <c r="AV1668" i="1"/>
  <c r="AW1667" i="1"/>
  <c r="AV1667" i="1"/>
  <c r="AW1666" i="1"/>
  <c r="AV1666" i="1"/>
  <c r="AW1665" i="1"/>
  <c r="AV1665" i="1"/>
  <c r="AW1664" i="1"/>
  <c r="AV1664" i="1"/>
  <c r="AW1663" i="1"/>
  <c r="AV1663" i="1"/>
  <c r="AW1662" i="1"/>
  <c r="AV1662" i="1"/>
  <c r="AU1662" i="1"/>
  <c r="AW1661" i="1"/>
  <c r="AV1661" i="1"/>
  <c r="AU1661" i="1"/>
  <c r="AW1660" i="1"/>
  <c r="AV1660" i="1"/>
  <c r="AW1659" i="1"/>
  <c r="AV1659" i="1"/>
  <c r="AW1658" i="1"/>
  <c r="AV1658" i="1"/>
  <c r="AW1657" i="1"/>
  <c r="AV1657" i="1"/>
  <c r="AU1657" i="1"/>
  <c r="AW1656" i="1"/>
  <c r="AV1656" i="1"/>
  <c r="AW1655" i="1"/>
  <c r="AV1655" i="1"/>
  <c r="AW1654" i="1"/>
  <c r="AV1654" i="1"/>
  <c r="AW1653" i="1"/>
  <c r="AV1653" i="1"/>
  <c r="AW1652" i="1"/>
  <c r="AV1652" i="1"/>
  <c r="AW1651" i="1"/>
  <c r="AV1651" i="1"/>
  <c r="AW1650" i="1"/>
  <c r="AV1650" i="1"/>
  <c r="AW1649" i="1"/>
  <c r="AV1649" i="1"/>
  <c r="AU1649" i="1"/>
  <c r="AW1648" i="1"/>
  <c r="AV1648" i="1"/>
  <c r="AW1647" i="1"/>
  <c r="AV1647" i="1"/>
  <c r="AU1647" i="1"/>
  <c r="AW1646" i="1"/>
  <c r="AV1646" i="1"/>
  <c r="AW1645" i="1"/>
  <c r="AV1645" i="1"/>
  <c r="AW1644" i="1"/>
  <c r="AV1644" i="1"/>
  <c r="AW1643" i="1"/>
  <c r="AV1643" i="1"/>
  <c r="AW1642" i="1"/>
  <c r="AV1642" i="1"/>
  <c r="AW1641" i="1"/>
  <c r="AV1641" i="1"/>
  <c r="AW1640" i="1"/>
  <c r="AV1640" i="1"/>
  <c r="AW1639" i="1"/>
  <c r="AV1639" i="1"/>
  <c r="AW1638" i="1"/>
  <c r="AV1638" i="1"/>
  <c r="AW1637" i="1"/>
  <c r="AV1637" i="1"/>
  <c r="AW1636" i="1"/>
  <c r="AV1636" i="1"/>
  <c r="AW1635" i="1"/>
  <c r="AV1635" i="1"/>
  <c r="AW1634" i="1"/>
  <c r="AV1634" i="1"/>
  <c r="AW1633" i="1"/>
  <c r="AV1633" i="1"/>
  <c r="AW1632" i="1"/>
  <c r="AV1632" i="1"/>
  <c r="AU1632" i="1"/>
  <c r="AW1631" i="1"/>
  <c r="AV1631" i="1"/>
  <c r="AW1630" i="1"/>
  <c r="AV1630" i="1"/>
  <c r="AW1629" i="1"/>
  <c r="AV1629" i="1"/>
  <c r="AW1628" i="1"/>
  <c r="AV1628" i="1"/>
  <c r="AW1627" i="1"/>
  <c r="AV1627" i="1"/>
  <c r="AW1626" i="1"/>
  <c r="AV1626" i="1"/>
  <c r="AU1626" i="1"/>
  <c r="AW1625" i="1"/>
  <c r="AV1625" i="1"/>
  <c r="AW1624" i="1"/>
  <c r="AV1624" i="1"/>
  <c r="AW1623" i="1"/>
  <c r="AV1623" i="1"/>
  <c r="AW1622" i="1"/>
  <c r="AV1622" i="1"/>
  <c r="AW1621" i="1"/>
  <c r="AV1621" i="1"/>
  <c r="AU1621" i="1"/>
  <c r="AW1620" i="1"/>
  <c r="AV1620" i="1"/>
  <c r="AW1619" i="1"/>
  <c r="AV1619" i="1"/>
  <c r="AW1618" i="1"/>
  <c r="AV1618" i="1"/>
  <c r="AW1617" i="1"/>
  <c r="AV1617" i="1"/>
  <c r="AU1617" i="1"/>
  <c r="AW1616" i="1"/>
  <c r="AV1616" i="1"/>
  <c r="AU1616" i="1"/>
  <c r="AW1615" i="1"/>
  <c r="AV1615" i="1"/>
  <c r="AU1615" i="1"/>
  <c r="AW1614" i="1"/>
  <c r="AV1614" i="1"/>
  <c r="AW1613" i="1"/>
  <c r="AV1613" i="1"/>
  <c r="AW1612" i="1"/>
  <c r="AV1612" i="1"/>
  <c r="AW1611" i="1"/>
  <c r="AV1611" i="1"/>
  <c r="AW1610" i="1"/>
  <c r="AV1610" i="1"/>
  <c r="AW1609" i="1"/>
  <c r="AV1609" i="1"/>
  <c r="AW1608" i="1"/>
  <c r="AV1608" i="1"/>
  <c r="AU1608" i="1"/>
  <c r="AW1607" i="1"/>
  <c r="AV1607" i="1"/>
  <c r="AW1606" i="1"/>
  <c r="AV1606" i="1"/>
  <c r="AW1605" i="1"/>
  <c r="AV1605" i="1"/>
  <c r="AW1604" i="1"/>
  <c r="AV1604" i="1"/>
  <c r="AW1603" i="1"/>
  <c r="AV1603" i="1"/>
  <c r="AW1602" i="1"/>
  <c r="AV1602" i="1"/>
  <c r="AU1602" i="1"/>
  <c r="AW1601" i="1"/>
  <c r="AV1601" i="1"/>
  <c r="AU1601" i="1"/>
  <c r="AW1600" i="1"/>
  <c r="AV1600" i="1"/>
  <c r="AW1599" i="1"/>
  <c r="AV1599" i="1"/>
  <c r="AW1598" i="1"/>
  <c r="AV1598" i="1"/>
  <c r="AW1597" i="1"/>
  <c r="AV1597" i="1"/>
  <c r="AU1597" i="1"/>
  <c r="AW1596" i="1"/>
  <c r="AV1596" i="1"/>
  <c r="AU1596" i="1"/>
  <c r="AW1595" i="1"/>
  <c r="AV1595" i="1"/>
  <c r="AU1595" i="1"/>
  <c r="AW1594" i="1"/>
  <c r="AV1594" i="1"/>
  <c r="AW1593" i="1"/>
  <c r="AV1593" i="1"/>
  <c r="AU1593" i="1"/>
  <c r="AW1592" i="1"/>
  <c r="AV1592" i="1"/>
  <c r="AU1592" i="1"/>
  <c r="AW1591" i="1"/>
  <c r="AV1591" i="1"/>
  <c r="AU1591" i="1"/>
  <c r="AW1590" i="1"/>
  <c r="AV1590" i="1"/>
  <c r="AU1590" i="1"/>
  <c r="AW1589" i="1"/>
  <c r="AV1589" i="1"/>
  <c r="AW1588" i="1"/>
  <c r="AV1588" i="1"/>
  <c r="AW1587" i="1"/>
  <c r="AV1587" i="1"/>
  <c r="AW1586" i="1"/>
  <c r="AV1586" i="1"/>
  <c r="AW1585" i="1"/>
  <c r="AV1585" i="1"/>
  <c r="AU1585" i="1"/>
  <c r="AW1584" i="1"/>
  <c r="AV1584" i="1"/>
  <c r="AU1584" i="1"/>
  <c r="AW1583" i="1"/>
  <c r="AV1583" i="1"/>
  <c r="AU1583" i="1"/>
  <c r="AW1582" i="1"/>
  <c r="AV1582" i="1"/>
  <c r="AU1582" i="1"/>
  <c r="AW1581" i="1"/>
  <c r="AV1581" i="1"/>
  <c r="AU1581" i="1"/>
  <c r="AW1580" i="1"/>
  <c r="AV1580" i="1"/>
  <c r="AU1580" i="1"/>
  <c r="AW1579" i="1"/>
  <c r="AV1579" i="1"/>
  <c r="AW1578" i="1"/>
  <c r="AV1578" i="1"/>
  <c r="AW1577" i="1"/>
  <c r="AV1577" i="1"/>
  <c r="AW1576" i="1"/>
  <c r="AV1576" i="1"/>
  <c r="AU1576" i="1"/>
  <c r="AW1575" i="1"/>
  <c r="AV1575" i="1"/>
  <c r="AU1575" i="1"/>
  <c r="AW1574" i="1"/>
  <c r="AV1574" i="1"/>
  <c r="AW1573" i="1"/>
  <c r="AV1573" i="1"/>
  <c r="AW1572" i="1"/>
  <c r="AV1572" i="1"/>
  <c r="AU1572" i="1"/>
  <c r="AW1571" i="1"/>
  <c r="AV1571" i="1"/>
  <c r="AU1571" i="1"/>
  <c r="AW1570" i="1"/>
  <c r="AV1570" i="1"/>
  <c r="AW1569" i="1"/>
  <c r="AV1569" i="1"/>
  <c r="AW1568" i="1"/>
  <c r="AV1568" i="1"/>
  <c r="AW1567" i="1"/>
  <c r="AV1567" i="1"/>
  <c r="AW1566" i="1"/>
  <c r="AV1566" i="1"/>
  <c r="AW1565" i="1"/>
  <c r="AV1565" i="1"/>
  <c r="AW1564" i="1"/>
  <c r="AV1564" i="1"/>
  <c r="AW1563" i="1"/>
  <c r="AV1563" i="1"/>
  <c r="AU1563" i="1"/>
  <c r="AW1562" i="1"/>
  <c r="AV1562" i="1"/>
  <c r="AW1561" i="1"/>
  <c r="AV1561" i="1"/>
  <c r="AU1561" i="1"/>
  <c r="AW1560" i="1"/>
  <c r="AV1560" i="1"/>
  <c r="AW1559" i="1"/>
  <c r="AV1559" i="1"/>
  <c r="AU1559" i="1"/>
  <c r="AW1558" i="1"/>
  <c r="AV1558" i="1"/>
  <c r="AU1558" i="1"/>
  <c r="AW1557" i="1"/>
  <c r="AV1557" i="1"/>
  <c r="AW1556" i="1"/>
  <c r="AV1556" i="1"/>
  <c r="AW1555" i="1"/>
  <c r="AV1555" i="1"/>
  <c r="AW1554" i="1"/>
  <c r="AV1554" i="1"/>
  <c r="AW1553" i="1"/>
  <c r="AV1553" i="1"/>
  <c r="AW1552" i="1"/>
  <c r="AV1552" i="1"/>
  <c r="AW1551" i="1"/>
  <c r="AV1551" i="1"/>
  <c r="AU1551" i="1"/>
  <c r="AW1550" i="1"/>
  <c r="AV1550" i="1"/>
  <c r="AW1549" i="1"/>
  <c r="AV1549" i="1"/>
  <c r="AU1549" i="1"/>
  <c r="AW1548" i="1"/>
  <c r="AV1548" i="1"/>
  <c r="AU1548" i="1"/>
  <c r="AW1547" i="1"/>
  <c r="AV1547" i="1"/>
  <c r="AW1546" i="1"/>
  <c r="AV1546" i="1"/>
  <c r="AU1546" i="1"/>
  <c r="AW1545" i="1"/>
  <c r="AV1545" i="1"/>
  <c r="AU1545" i="1"/>
  <c r="AW1544" i="1"/>
  <c r="AV1544" i="1"/>
  <c r="AW1543" i="1"/>
  <c r="AV1543" i="1"/>
  <c r="AU1543" i="1"/>
  <c r="AW1542" i="1"/>
  <c r="AV1542" i="1"/>
  <c r="AW1541" i="1"/>
  <c r="AV1541" i="1"/>
  <c r="AW1540" i="1"/>
  <c r="AV1540" i="1"/>
  <c r="AW1539" i="1"/>
  <c r="AV1539" i="1"/>
  <c r="AW1538" i="1"/>
  <c r="AV1538" i="1"/>
  <c r="AW1537" i="1"/>
  <c r="AV1537" i="1"/>
  <c r="AU1537" i="1"/>
  <c r="AW1536" i="1"/>
  <c r="AV1536" i="1"/>
  <c r="AW1535" i="1"/>
  <c r="AV1535" i="1"/>
  <c r="AW1534" i="1"/>
  <c r="AV1534" i="1"/>
  <c r="AW1533" i="1"/>
  <c r="AV1533" i="1"/>
  <c r="AW1532" i="1"/>
  <c r="AV1532" i="1"/>
  <c r="AW1531" i="1"/>
  <c r="AV1531" i="1"/>
  <c r="AW1530" i="1"/>
  <c r="AV1530" i="1"/>
  <c r="AW1529" i="1"/>
  <c r="AV1529" i="1"/>
  <c r="AW1528" i="1"/>
  <c r="AV1528" i="1"/>
  <c r="AU1528" i="1"/>
  <c r="AW1527" i="1"/>
  <c r="AV1527" i="1"/>
  <c r="AW1526" i="1"/>
  <c r="AV1526" i="1"/>
  <c r="AW1525" i="1"/>
  <c r="AV1525" i="1"/>
  <c r="AU1525" i="1"/>
  <c r="AW1524" i="1"/>
  <c r="AV1524" i="1"/>
  <c r="AU1524" i="1"/>
  <c r="AW1523" i="1"/>
  <c r="AV1523" i="1"/>
  <c r="AW1522" i="1"/>
  <c r="AV1522" i="1"/>
  <c r="AU1522" i="1"/>
  <c r="AW1521" i="1"/>
  <c r="AV1521" i="1"/>
  <c r="AW1520" i="1"/>
  <c r="AV1520" i="1"/>
  <c r="AW1519" i="1"/>
  <c r="AV1519" i="1"/>
  <c r="AW1518" i="1"/>
  <c r="AV1518" i="1"/>
  <c r="AW1517" i="1"/>
  <c r="AV1517" i="1"/>
  <c r="AU1517" i="1"/>
  <c r="AW1516" i="1"/>
  <c r="AV1516" i="1"/>
  <c r="AU1516" i="1"/>
  <c r="AW1515" i="1"/>
  <c r="AV1515" i="1"/>
  <c r="AU1515" i="1"/>
  <c r="AW1514" i="1"/>
  <c r="AV1514" i="1"/>
  <c r="AU1514" i="1"/>
  <c r="AW1513" i="1"/>
  <c r="AV1513" i="1"/>
  <c r="AU1513" i="1"/>
  <c r="AW1512" i="1"/>
  <c r="AV1512" i="1"/>
  <c r="AU1512" i="1"/>
  <c r="AW1511" i="1"/>
  <c r="AV1511" i="1"/>
  <c r="AW1510" i="1"/>
  <c r="AV1510" i="1"/>
  <c r="AW1509" i="1"/>
  <c r="AV1509" i="1"/>
  <c r="AW1508" i="1"/>
  <c r="AV1508" i="1"/>
  <c r="AU1508" i="1"/>
  <c r="AW1507" i="1"/>
  <c r="AV1507" i="1"/>
  <c r="AW1506" i="1"/>
  <c r="AV1506" i="1"/>
  <c r="AU1506" i="1"/>
  <c r="AW1505" i="1"/>
  <c r="AV1505" i="1"/>
  <c r="AW1504" i="1"/>
  <c r="AV1504" i="1"/>
  <c r="AU1504" i="1"/>
  <c r="AW1503" i="1"/>
  <c r="AV1503" i="1"/>
  <c r="AU1503" i="1"/>
  <c r="AW1502" i="1"/>
  <c r="AV1502" i="1"/>
  <c r="AU1502" i="1"/>
  <c r="AW1501" i="1"/>
  <c r="AV1501" i="1"/>
  <c r="AW1500" i="1"/>
  <c r="AV1500" i="1"/>
  <c r="AU1500" i="1"/>
  <c r="AW1499" i="1"/>
  <c r="AV1499" i="1"/>
  <c r="AU1499" i="1"/>
  <c r="AW1498" i="1"/>
  <c r="AV1498" i="1"/>
  <c r="AU1498" i="1"/>
  <c r="AW1497" i="1"/>
  <c r="AV1497" i="1"/>
  <c r="AW1496" i="1"/>
  <c r="AV1496" i="1"/>
  <c r="AW1495" i="1"/>
  <c r="AV1495" i="1"/>
  <c r="AW1494" i="1"/>
  <c r="AV1494" i="1"/>
  <c r="AW1493" i="1"/>
  <c r="AV1493" i="1"/>
  <c r="AU1493" i="1"/>
  <c r="AW1492" i="1"/>
  <c r="AV1492" i="1"/>
  <c r="AW1491" i="1"/>
  <c r="AV1491" i="1"/>
  <c r="AU1491" i="1"/>
  <c r="AW1490" i="1"/>
  <c r="AV1490" i="1"/>
  <c r="AU1490" i="1"/>
  <c r="AW1489" i="1"/>
  <c r="AV1489" i="1"/>
  <c r="AU1489" i="1"/>
  <c r="AW1488" i="1"/>
  <c r="AV1488" i="1"/>
  <c r="AW1487" i="1"/>
  <c r="AV1487" i="1"/>
  <c r="AW1486" i="1"/>
  <c r="AV1486" i="1"/>
  <c r="AW1485" i="1"/>
  <c r="AV1485" i="1"/>
  <c r="AW1484" i="1"/>
  <c r="AV1484" i="1"/>
  <c r="AU1484" i="1"/>
  <c r="AW1483" i="1"/>
  <c r="AV1483" i="1"/>
  <c r="AW1482" i="1"/>
  <c r="AV1482" i="1"/>
  <c r="AU1482" i="1"/>
  <c r="AW1481" i="1"/>
  <c r="AV1481" i="1"/>
  <c r="AU1481" i="1"/>
  <c r="AW1480" i="1"/>
  <c r="AV1480" i="1"/>
  <c r="AU1480" i="1"/>
  <c r="AW1479" i="1"/>
  <c r="AV1479" i="1"/>
  <c r="AW1478" i="1"/>
  <c r="AV1478" i="1"/>
  <c r="AU1478" i="1"/>
  <c r="AW1477" i="1"/>
  <c r="AV1477" i="1"/>
  <c r="AW1476" i="1"/>
  <c r="AV1476" i="1"/>
  <c r="AW1475" i="1"/>
  <c r="AV1475" i="1"/>
  <c r="AW1474" i="1"/>
  <c r="AV1474" i="1"/>
  <c r="AW1473" i="1"/>
  <c r="AV1473" i="1"/>
  <c r="AW1472" i="1"/>
  <c r="AV1472" i="1"/>
  <c r="AW1471" i="1"/>
  <c r="AV1471" i="1"/>
  <c r="AU1471" i="1"/>
  <c r="AW1470" i="1"/>
  <c r="AV1470" i="1"/>
  <c r="AW1469" i="1"/>
  <c r="AV1469" i="1"/>
  <c r="AW1468" i="1"/>
  <c r="AV1468" i="1"/>
  <c r="AW1467" i="1"/>
  <c r="AV1467" i="1"/>
  <c r="AU1467" i="1"/>
  <c r="AW1466" i="1"/>
  <c r="AV1466" i="1"/>
  <c r="AW1465" i="1"/>
  <c r="AV1465" i="1"/>
  <c r="AW1464" i="1"/>
  <c r="AV1464" i="1"/>
  <c r="AU1464" i="1"/>
  <c r="AW1463" i="1"/>
  <c r="AV1463" i="1"/>
  <c r="AW1462" i="1"/>
  <c r="AV1462" i="1"/>
  <c r="AW1461" i="1"/>
  <c r="AV1461" i="1"/>
  <c r="AU1461" i="1"/>
  <c r="AW1460" i="1"/>
  <c r="AV1460" i="1"/>
  <c r="AU1460" i="1"/>
  <c r="AW1459" i="1"/>
  <c r="AV1459" i="1"/>
  <c r="AU1459" i="1"/>
  <c r="AW1458" i="1"/>
  <c r="AV1458" i="1"/>
  <c r="AU1458" i="1"/>
  <c r="AW1457" i="1"/>
  <c r="AV1457" i="1"/>
  <c r="AW1456" i="1"/>
  <c r="AV1456" i="1"/>
  <c r="AW1455" i="1"/>
  <c r="AV1455" i="1"/>
  <c r="AW1454" i="1"/>
  <c r="AV1454" i="1"/>
  <c r="AW1453" i="1"/>
  <c r="AV1453" i="1"/>
  <c r="AW1452" i="1"/>
  <c r="AV1452" i="1"/>
  <c r="AW1451" i="1"/>
  <c r="AV1451" i="1"/>
  <c r="AW1450" i="1"/>
  <c r="AV1450" i="1"/>
  <c r="AW1449" i="1"/>
  <c r="AV1449" i="1"/>
  <c r="AU1449" i="1"/>
  <c r="AW1448" i="1"/>
  <c r="AV1448" i="1"/>
  <c r="AU1448" i="1"/>
  <c r="AW1447" i="1"/>
  <c r="AV1447" i="1"/>
  <c r="AW1446" i="1"/>
  <c r="AV1446" i="1"/>
  <c r="AW1445" i="1"/>
  <c r="AV1445" i="1"/>
  <c r="AW1444" i="1"/>
  <c r="AV1444" i="1"/>
  <c r="AW1443" i="1"/>
  <c r="AV1443" i="1"/>
  <c r="AU1443" i="1"/>
  <c r="AW1442" i="1"/>
  <c r="AV1442" i="1"/>
  <c r="AW1441" i="1"/>
  <c r="AV1441" i="1"/>
  <c r="AW1440" i="1"/>
  <c r="AV1440" i="1"/>
  <c r="AW1439" i="1"/>
  <c r="AV1439" i="1"/>
  <c r="AW1438" i="1"/>
  <c r="AV1438" i="1"/>
  <c r="AU1438" i="1"/>
  <c r="AW1437" i="1"/>
  <c r="AV1437" i="1"/>
  <c r="AW1436" i="1"/>
  <c r="AV1436" i="1"/>
  <c r="AW1435" i="1"/>
  <c r="AV1435" i="1"/>
  <c r="AU1435" i="1"/>
  <c r="AW1434" i="1"/>
  <c r="AV1434" i="1"/>
  <c r="AW1433" i="1"/>
  <c r="AV1433" i="1"/>
  <c r="AW1432" i="1"/>
  <c r="AV1432" i="1"/>
  <c r="AU1432" i="1"/>
  <c r="AW1431" i="1"/>
  <c r="AV1431" i="1"/>
  <c r="AW1430" i="1"/>
  <c r="AV1430" i="1"/>
  <c r="AW1429" i="1"/>
  <c r="AV1429" i="1"/>
  <c r="AU1429" i="1"/>
  <c r="AW1428" i="1"/>
  <c r="AV1428" i="1"/>
  <c r="AW1427" i="1"/>
  <c r="AV1427" i="1"/>
  <c r="AW1426" i="1"/>
  <c r="AV1426" i="1"/>
  <c r="AW1425" i="1"/>
  <c r="AV1425" i="1"/>
  <c r="AU1425" i="1"/>
  <c r="AW1424" i="1"/>
  <c r="AV1424" i="1"/>
  <c r="AU1424" i="1"/>
  <c r="AW1423" i="1"/>
  <c r="AV1423" i="1"/>
  <c r="AW1422" i="1"/>
  <c r="AV1422" i="1"/>
  <c r="AU1422" i="1"/>
  <c r="AW1421" i="1"/>
  <c r="AV1421" i="1"/>
  <c r="AU1421" i="1"/>
  <c r="AW1420" i="1"/>
  <c r="AV1420" i="1"/>
  <c r="AU1420" i="1"/>
  <c r="AW1419" i="1"/>
  <c r="AV1419" i="1"/>
  <c r="AU1419" i="1"/>
  <c r="AW1418" i="1"/>
  <c r="AV1418" i="1"/>
  <c r="AU1418" i="1"/>
  <c r="AW1417" i="1"/>
  <c r="AV1417" i="1"/>
  <c r="AW1416" i="1"/>
  <c r="AV1416" i="1"/>
  <c r="AU1416" i="1"/>
  <c r="AW1415" i="1"/>
  <c r="AV1415" i="1"/>
  <c r="AU1415" i="1"/>
  <c r="AW1414" i="1"/>
  <c r="AV1414" i="1"/>
  <c r="AU1414" i="1"/>
  <c r="AW1413" i="1"/>
  <c r="AV1413" i="1"/>
  <c r="AW1412" i="1"/>
  <c r="AV1412" i="1"/>
  <c r="AW1411" i="1"/>
  <c r="AV1411" i="1"/>
  <c r="AW1410" i="1"/>
  <c r="AV1410" i="1"/>
  <c r="AU1410" i="1"/>
  <c r="AW1409" i="1"/>
  <c r="AV1409" i="1"/>
  <c r="AW1408" i="1"/>
  <c r="AV1408" i="1"/>
  <c r="AW1407" i="1"/>
  <c r="AV1407" i="1"/>
  <c r="AW1406" i="1"/>
  <c r="AV1406" i="1"/>
  <c r="AU1406" i="1"/>
  <c r="AW1405" i="1"/>
  <c r="AV1405" i="1"/>
  <c r="AW1404" i="1"/>
  <c r="AV1404" i="1"/>
  <c r="AU1404" i="1"/>
  <c r="AW1403" i="1"/>
  <c r="AV1403" i="1"/>
  <c r="AW1402" i="1"/>
  <c r="AV1402" i="1"/>
  <c r="AU1402" i="1"/>
  <c r="AW1401" i="1"/>
  <c r="AV1401" i="1"/>
  <c r="AU1401" i="1"/>
  <c r="AW1400" i="1"/>
  <c r="AV1400" i="1"/>
  <c r="AW1399" i="1"/>
  <c r="AV1399" i="1"/>
  <c r="AU1399" i="1"/>
  <c r="AW1398" i="1"/>
  <c r="AV1398" i="1"/>
  <c r="AU1398" i="1"/>
  <c r="AW1397" i="1"/>
  <c r="AV1397" i="1"/>
  <c r="AW1396" i="1"/>
  <c r="AV1396" i="1"/>
  <c r="AW1395" i="1"/>
  <c r="AV1395" i="1"/>
  <c r="AU1395" i="1"/>
  <c r="AW1394" i="1"/>
  <c r="AV1394" i="1"/>
  <c r="AW1393" i="1"/>
  <c r="AV1393" i="1"/>
  <c r="AU1393" i="1"/>
  <c r="AW1392" i="1"/>
  <c r="AV1392" i="1"/>
  <c r="AU1392" i="1"/>
  <c r="AW1391" i="1"/>
  <c r="AV1391" i="1"/>
  <c r="AU1391" i="1"/>
  <c r="AW1390" i="1"/>
  <c r="AV1390" i="1"/>
  <c r="AU1390" i="1"/>
  <c r="AW1389" i="1"/>
  <c r="AV1389" i="1"/>
  <c r="AW1388" i="1"/>
  <c r="AV1388" i="1"/>
  <c r="AU1388" i="1"/>
  <c r="AW1387" i="1"/>
  <c r="AV1387" i="1"/>
  <c r="AU1387" i="1"/>
  <c r="AW1386" i="1"/>
  <c r="AV1386" i="1"/>
  <c r="AW1385" i="1"/>
  <c r="AV1385" i="1"/>
  <c r="AW1384" i="1"/>
  <c r="AV1384" i="1"/>
  <c r="AW1383" i="1"/>
  <c r="AV1383" i="1"/>
  <c r="AW1382" i="1"/>
  <c r="AV1382" i="1"/>
  <c r="AW1381" i="1"/>
  <c r="AV1381" i="1"/>
  <c r="AU1381" i="1"/>
  <c r="AW1380" i="1"/>
  <c r="AV1380" i="1"/>
  <c r="AW1379" i="1"/>
  <c r="AV1379" i="1"/>
  <c r="AW1378" i="1"/>
  <c r="AV1378" i="1"/>
  <c r="AW1377" i="1"/>
  <c r="AV1377" i="1"/>
  <c r="AW1376" i="1"/>
  <c r="AV1376" i="1"/>
  <c r="AW1375" i="1"/>
  <c r="AV1375" i="1"/>
  <c r="AW1374" i="1"/>
  <c r="AV1374" i="1"/>
  <c r="AW1373" i="1"/>
  <c r="AV1373" i="1"/>
  <c r="AW1372" i="1"/>
  <c r="AV1372" i="1"/>
  <c r="AU1372" i="1"/>
  <c r="AW1371" i="1"/>
  <c r="AV1371" i="1"/>
  <c r="AW1370" i="1"/>
  <c r="AV1370" i="1"/>
  <c r="AW1369" i="1"/>
  <c r="AV1369" i="1"/>
  <c r="AW1368" i="1"/>
  <c r="AV1368" i="1"/>
  <c r="AW1367" i="1"/>
  <c r="AV1367" i="1"/>
  <c r="AU1367" i="1"/>
  <c r="AW1366" i="1"/>
  <c r="AV1366" i="1"/>
  <c r="AW1365" i="1"/>
  <c r="AV1365" i="1"/>
  <c r="AU1365" i="1"/>
  <c r="AW1364" i="1"/>
  <c r="AV1364" i="1"/>
  <c r="AU1364" i="1"/>
  <c r="AW1363" i="1"/>
  <c r="AV1363" i="1"/>
  <c r="AU1363" i="1"/>
  <c r="AW1362" i="1"/>
  <c r="AV1362" i="1"/>
  <c r="AU1362" i="1"/>
  <c r="AW1361" i="1"/>
  <c r="AV1361" i="1"/>
  <c r="AU1361" i="1"/>
  <c r="AW1360" i="1"/>
  <c r="AV1360" i="1"/>
  <c r="AU1360" i="1"/>
  <c r="AW1359" i="1"/>
  <c r="AV1359" i="1"/>
  <c r="AU1359" i="1"/>
  <c r="AW1358" i="1"/>
  <c r="AV1358" i="1"/>
  <c r="AU1358" i="1"/>
  <c r="AW1357" i="1"/>
  <c r="AV1357" i="1"/>
  <c r="AW1356" i="1"/>
  <c r="AV1356" i="1"/>
  <c r="AU1356" i="1"/>
  <c r="AW1355" i="1"/>
  <c r="AV1355" i="1"/>
  <c r="AU1355" i="1"/>
  <c r="AW1354" i="1"/>
  <c r="AV1354" i="1"/>
  <c r="AU1354" i="1"/>
  <c r="AW1353" i="1"/>
  <c r="AV1353" i="1"/>
  <c r="AU1353" i="1"/>
  <c r="AW1352" i="1"/>
  <c r="AV1352" i="1"/>
  <c r="AU1352" i="1"/>
  <c r="AW1351" i="1"/>
  <c r="AV1351" i="1"/>
  <c r="AU1351" i="1"/>
  <c r="AW1350" i="1"/>
  <c r="AV1350" i="1"/>
  <c r="AU1350" i="1"/>
  <c r="AW1349" i="1"/>
  <c r="AV1349" i="1"/>
  <c r="AW1348" i="1"/>
  <c r="AV1348" i="1"/>
  <c r="AW1347" i="1"/>
  <c r="AV1347" i="1"/>
  <c r="AU1347" i="1"/>
  <c r="AW1346" i="1"/>
  <c r="AV1346" i="1"/>
  <c r="AU1346" i="1"/>
  <c r="AW1345" i="1"/>
  <c r="AV1345" i="1"/>
  <c r="AU1345" i="1"/>
  <c r="AW1344" i="1"/>
  <c r="AV1344" i="1"/>
  <c r="AW1343" i="1"/>
  <c r="AV1343" i="1"/>
  <c r="AW1342" i="1"/>
  <c r="AV1342" i="1"/>
  <c r="AW1341" i="1"/>
  <c r="AV1341" i="1"/>
  <c r="AW1340" i="1"/>
  <c r="AV1340" i="1"/>
  <c r="AU1340" i="1"/>
  <c r="AW1339" i="1"/>
  <c r="AV1339" i="1"/>
  <c r="AU1339" i="1"/>
  <c r="AW1338" i="1"/>
  <c r="AV1338" i="1"/>
  <c r="AW1337" i="1"/>
  <c r="AV1337" i="1"/>
  <c r="AU1337" i="1"/>
  <c r="AW1336" i="1"/>
  <c r="AV1336" i="1"/>
  <c r="AW1335" i="1"/>
  <c r="AV1335" i="1"/>
  <c r="AU1335" i="1"/>
  <c r="AW1334" i="1"/>
  <c r="AV1334" i="1"/>
  <c r="AU1334" i="1"/>
  <c r="AW1333" i="1"/>
  <c r="AV1333" i="1"/>
  <c r="AU1333" i="1"/>
  <c r="AW1332" i="1"/>
  <c r="AV1332" i="1"/>
  <c r="AU1332" i="1"/>
  <c r="AW1331" i="1"/>
  <c r="AV1331" i="1"/>
  <c r="AW1330" i="1"/>
  <c r="AV1330" i="1"/>
  <c r="AW1329" i="1"/>
  <c r="AV1329" i="1"/>
  <c r="AW1328" i="1"/>
  <c r="AV1328" i="1"/>
  <c r="AU1328" i="1"/>
  <c r="AW1327" i="1"/>
  <c r="AV1327" i="1"/>
  <c r="AW1326" i="1"/>
  <c r="AV1326" i="1"/>
  <c r="AW1325" i="1"/>
  <c r="AV1325" i="1"/>
  <c r="AU1325" i="1"/>
  <c r="AW1324" i="1"/>
  <c r="AV1324" i="1"/>
  <c r="AU1324" i="1"/>
  <c r="AW1323" i="1"/>
  <c r="AV1323" i="1"/>
  <c r="AU1323" i="1"/>
  <c r="AW1322" i="1"/>
  <c r="AV1322" i="1"/>
  <c r="AW1321" i="1"/>
  <c r="AV1321" i="1"/>
  <c r="AW1320" i="1"/>
  <c r="AV1320" i="1"/>
  <c r="AW1319" i="1"/>
  <c r="AV1319" i="1"/>
  <c r="AW1318" i="1"/>
  <c r="AV1318" i="1"/>
  <c r="AW1317" i="1"/>
  <c r="AV1317" i="1"/>
  <c r="AU1317" i="1"/>
  <c r="AW1316" i="1"/>
  <c r="AV1316" i="1"/>
  <c r="AU1316" i="1"/>
  <c r="AW1315" i="1"/>
  <c r="AV1315" i="1"/>
  <c r="AW1314" i="1"/>
  <c r="AV1314" i="1"/>
  <c r="AU1314" i="1"/>
  <c r="AW1313" i="1"/>
  <c r="AV1313" i="1"/>
  <c r="AU1313" i="1"/>
  <c r="AW1312" i="1"/>
  <c r="AV1312" i="1"/>
  <c r="AW1311" i="1"/>
  <c r="AV1311" i="1"/>
  <c r="AU1311" i="1"/>
  <c r="AW1310" i="1"/>
  <c r="AV1310" i="1"/>
  <c r="AU1310" i="1"/>
  <c r="AW1309" i="1"/>
  <c r="AV1309" i="1"/>
  <c r="AW1308" i="1"/>
  <c r="AV1308" i="1"/>
  <c r="AU1308" i="1"/>
  <c r="AW1307" i="1"/>
  <c r="AV1307" i="1"/>
  <c r="AW1306" i="1"/>
  <c r="AV1306" i="1"/>
  <c r="AU1306" i="1"/>
  <c r="AW1305" i="1"/>
  <c r="AV1305" i="1"/>
  <c r="AU1305" i="1"/>
  <c r="AW1304" i="1"/>
  <c r="AV1304" i="1"/>
  <c r="AU1304" i="1"/>
  <c r="AW1303" i="1"/>
  <c r="AV1303" i="1"/>
  <c r="AW1302" i="1"/>
  <c r="AV1302" i="1"/>
  <c r="AW1301" i="1"/>
  <c r="AV1301" i="1"/>
  <c r="AU1301" i="1"/>
  <c r="AW1300" i="1"/>
  <c r="AV1300" i="1"/>
  <c r="AU1300" i="1"/>
  <c r="AW1299" i="1"/>
  <c r="AV1299" i="1"/>
  <c r="AW1298" i="1"/>
  <c r="AV1298" i="1"/>
  <c r="AU1298" i="1"/>
  <c r="AW1297" i="1"/>
  <c r="AV1297" i="1"/>
  <c r="AW1296" i="1"/>
  <c r="AV1296" i="1"/>
  <c r="AW1295" i="1"/>
  <c r="AV1295" i="1"/>
  <c r="AW1294" i="1"/>
  <c r="AV1294" i="1"/>
  <c r="AW1293" i="1"/>
  <c r="AV1293" i="1"/>
  <c r="AW1292" i="1"/>
  <c r="AV1292" i="1"/>
  <c r="AU1292" i="1"/>
  <c r="AW1291" i="1"/>
  <c r="AV1291" i="1"/>
  <c r="AW1290" i="1"/>
  <c r="AV1290" i="1"/>
  <c r="AU1290" i="1"/>
  <c r="AW1289" i="1"/>
  <c r="AV1289" i="1"/>
  <c r="AW1288" i="1"/>
  <c r="AV1288" i="1"/>
  <c r="AU1288" i="1"/>
  <c r="AW1287" i="1"/>
  <c r="AV1287" i="1"/>
  <c r="AW1286" i="1"/>
  <c r="AV1286" i="1"/>
  <c r="AW1285" i="1"/>
  <c r="AV1285" i="1"/>
  <c r="AW1284" i="1"/>
  <c r="AV1284" i="1"/>
  <c r="AW1283" i="1"/>
  <c r="AV1283" i="1"/>
  <c r="AW1282" i="1"/>
  <c r="AV1282" i="1"/>
  <c r="AW1281" i="1"/>
  <c r="AV1281" i="1"/>
  <c r="AU1281" i="1"/>
  <c r="AW1280" i="1"/>
  <c r="AV1280" i="1"/>
  <c r="AW1279" i="1"/>
  <c r="AV1279" i="1"/>
  <c r="AW1278" i="1"/>
  <c r="AV1278" i="1"/>
  <c r="AU1278" i="1"/>
  <c r="AW1277" i="1"/>
  <c r="AV1277" i="1"/>
  <c r="AW1276" i="1"/>
  <c r="AV1276" i="1"/>
  <c r="AW1275" i="1"/>
  <c r="AV1275" i="1"/>
  <c r="AW1274" i="1"/>
  <c r="AV1274" i="1"/>
  <c r="AW1273" i="1"/>
  <c r="AV1273" i="1"/>
  <c r="AU1273" i="1"/>
  <c r="AW1272" i="1"/>
  <c r="AV1272" i="1"/>
  <c r="AW1271" i="1"/>
  <c r="AV1271" i="1"/>
  <c r="AW1270" i="1"/>
  <c r="AV1270" i="1"/>
  <c r="AW1269" i="1"/>
  <c r="AV1269" i="1"/>
  <c r="AU1269" i="1"/>
  <c r="AW1268" i="1"/>
  <c r="AV1268" i="1"/>
  <c r="AU1268" i="1"/>
  <c r="AW1267" i="1"/>
  <c r="AV1267" i="1"/>
  <c r="AW1266" i="1"/>
  <c r="AV1266" i="1"/>
  <c r="AU1266" i="1"/>
  <c r="AW1265" i="1"/>
  <c r="AV1265" i="1"/>
  <c r="AU1265" i="1"/>
  <c r="AW1264" i="1"/>
  <c r="AV1264" i="1"/>
  <c r="AW1263" i="1"/>
  <c r="AV1263" i="1"/>
  <c r="AU1263" i="1"/>
  <c r="AW1262" i="1"/>
  <c r="AV1262" i="1"/>
  <c r="AU1262" i="1"/>
  <c r="AW1261" i="1"/>
  <c r="AV1261" i="1"/>
  <c r="AW1260" i="1"/>
  <c r="AV1260" i="1"/>
  <c r="AW1259" i="1"/>
  <c r="AV1259" i="1"/>
  <c r="AU1259" i="1"/>
  <c r="AW1258" i="1"/>
  <c r="AV1258" i="1"/>
  <c r="AU1258" i="1"/>
  <c r="AW1257" i="1"/>
  <c r="AV1257" i="1"/>
  <c r="AU1257" i="1"/>
  <c r="AW1256" i="1"/>
  <c r="AV1256" i="1"/>
  <c r="AW1255" i="1"/>
  <c r="AV1255" i="1"/>
  <c r="AW1254" i="1"/>
  <c r="AV1254" i="1"/>
  <c r="AW1253" i="1"/>
  <c r="AV1253" i="1"/>
  <c r="AW1252" i="1"/>
  <c r="AV1252" i="1"/>
  <c r="AW1251" i="1"/>
  <c r="AV1251" i="1"/>
  <c r="AW1250" i="1"/>
  <c r="AV1250" i="1"/>
  <c r="AW1249" i="1"/>
  <c r="AV1249" i="1"/>
  <c r="AW1248" i="1"/>
  <c r="AV1248" i="1"/>
  <c r="AU1248" i="1"/>
  <c r="AW1247" i="1"/>
  <c r="AV1247" i="1"/>
  <c r="AU1247" i="1"/>
  <c r="AW1246" i="1"/>
  <c r="AV1246" i="1"/>
  <c r="AU1246" i="1"/>
  <c r="AW1245" i="1"/>
  <c r="AV1245" i="1"/>
  <c r="AW1244" i="1"/>
  <c r="AV1244" i="1"/>
  <c r="AU1244" i="1"/>
  <c r="AW1243" i="1"/>
  <c r="AV1243" i="1"/>
  <c r="AU1243" i="1"/>
  <c r="AW1242" i="1"/>
  <c r="AV1242" i="1"/>
  <c r="AU1242" i="1"/>
  <c r="AW1241" i="1"/>
  <c r="AV1241" i="1"/>
  <c r="AW1240" i="1"/>
  <c r="AV1240" i="1"/>
  <c r="AW1239" i="1"/>
  <c r="AV1239" i="1"/>
  <c r="AW1238" i="1"/>
  <c r="AV1238" i="1"/>
  <c r="AW1237" i="1"/>
  <c r="AV1237" i="1"/>
  <c r="AW1236" i="1"/>
  <c r="AV1236" i="1"/>
  <c r="AW1235" i="1"/>
  <c r="AV1235" i="1"/>
  <c r="AW1234" i="1"/>
  <c r="AV1234" i="1"/>
  <c r="AW1233" i="1"/>
  <c r="AV1233" i="1"/>
  <c r="AW1232" i="1"/>
  <c r="AV1232" i="1"/>
  <c r="AW1231" i="1"/>
  <c r="AV1231" i="1"/>
  <c r="AW1230" i="1"/>
  <c r="AV1230" i="1"/>
  <c r="AW1229" i="1"/>
  <c r="AV1229" i="1"/>
  <c r="AW1228" i="1"/>
  <c r="AV1228" i="1"/>
  <c r="AW1227" i="1"/>
  <c r="AV1227" i="1"/>
  <c r="AW1226" i="1"/>
  <c r="AV1226" i="1"/>
  <c r="AW1225" i="1"/>
  <c r="AV1225" i="1"/>
  <c r="AW1224" i="1"/>
  <c r="AV1224" i="1"/>
  <c r="AU1224" i="1"/>
  <c r="AW1223" i="1"/>
  <c r="AV1223" i="1"/>
  <c r="AU1223" i="1"/>
  <c r="AW1222" i="1"/>
  <c r="AV1222" i="1"/>
  <c r="AW1221" i="1"/>
  <c r="AV1221" i="1"/>
  <c r="AW1220" i="1"/>
  <c r="AV1220" i="1"/>
  <c r="AW1219" i="1"/>
  <c r="AV1219" i="1"/>
  <c r="AU1219" i="1"/>
  <c r="AW1218" i="1"/>
  <c r="AV1218" i="1"/>
  <c r="AU1218" i="1"/>
  <c r="AW1217" i="1"/>
  <c r="AV1217" i="1"/>
  <c r="AW1216" i="1"/>
  <c r="AV1216" i="1"/>
  <c r="AW1215" i="1"/>
  <c r="AV1215" i="1"/>
  <c r="AW1214" i="1"/>
  <c r="AV1214" i="1"/>
  <c r="AU1214" i="1"/>
  <c r="AW1213" i="1"/>
  <c r="AV1213" i="1"/>
  <c r="AW1212" i="1"/>
  <c r="AV1212" i="1"/>
  <c r="AW1211" i="1"/>
  <c r="AV1211" i="1"/>
  <c r="AW1210" i="1"/>
  <c r="AV1210" i="1"/>
  <c r="AW1209" i="1"/>
  <c r="AV1209" i="1"/>
  <c r="AW1208" i="1"/>
  <c r="AV1208" i="1"/>
  <c r="AW1207" i="1"/>
  <c r="AV1207" i="1"/>
  <c r="AU1207" i="1"/>
  <c r="AW1206" i="1"/>
  <c r="AV1206" i="1"/>
  <c r="AW1205" i="1"/>
  <c r="AV1205" i="1"/>
  <c r="AW1204" i="1"/>
  <c r="AV1204" i="1"/>
  <c r="AW1203" i="1"/>
  <c r="AV1203" i="1"/>
  <c r="AW1202" i="1"/>
  <c r="AV1202" i="1"/>
  <c r="AW1201" i="1"/>
  <c r="AV1201" i="1"/>
  <c r="AU1201" i="1"/>
  <c r="AW1200" i="1"/>
  <c r="AV1200" i="1"/>
  <c r="AW1199" i="1"/>
  <c r="AV1199" i="1"/>
  <c r="AW1198" i="1"/>
  <c r="AV1198" i="1"/>
  <c r="AU1198" i="1"/>
  <c r="AW1197" i="1"/>
  <c r="AV1197" i="1"/>
  <c r="AW1196" i="1"/>
  <c r="AV1196" i="1"/>
  <c r="AW1195" i="1"/>
  <c r="AV1195" i="1"/>
  <c r="AW1194" i="1"/>
  <c r="AV1194" i="1"/>
  <c r="AU1194" i="1"/>
  <c r="AW1193" i="1"/>
  <c r="AV1193" i="1"/>
  <c r="AU1193" i="1"/>
  <c r="AW1192" i="1"/>
  <c r="AV1192" i="1"/>
  <c r="AU1192" i="1"/>
  <c r="AW1191" i="1"/>
  <c r="AV1191" i="1"/>
  <c r="AU1191" i="1"/>
  <c r="AW1190" i="1"/>
  <c r="AV1190" i="1"/>
  <c r="AW1189" i="1"/>
  <c r="AV1189" i="1"/>
  <c r="AW1188" i="1"/>
  <c r="AV1188" i="1"/>
  <c r="AW1187" i="1"/>
  <c r="AV1187" i="1"/>
  <c r="AU1187" i="1"/>
  <c r="AW1186" i="1"/>
  <c r="AV1186" i="1"/>
  <c r="AW1185" i="1"/>
  <c r="AV1185" i="1"/>
  <c r="AW1184" i="1"/>
  <c r="AV1184" i="1"/>
  <c r="AW1183" i="1"/>
  <c r="AV1183" i="1"/>
  <c r="AW1182" i="1"/>
  <c r="AV1182" i="1"/>
  <c r="AW1181" i="1"/>
  <c r="AV1181" i="1"/>
  <c r="AU1181" i="1"/>
  <c r="AW1180" i="1"/>
  <c r="AV1180" i="1"/>
  <c r="AU1180" i="1"/>
  <c r="AW1179" i="1"/>
  <c r="AV1179" i="1"/>
  <c r="AW1178" i="1"/>
  <c r="AV1178" i="1"/>
  <c r="AW1177" i="1"/>
  <c r="AV1177" i="1"/>
  <c r="AW1176" i="1"/>
  <c r="AV1176" i="1"/>
  <c r="AW1175" i="1"/>
  <c r="AV1175" i="1"/>
  <c r="AW1174" i="1"/>
  <c r="AV1174" i="1"/>
  <c r="AU1174" i="1"/>
  <c r="AW1173" i="1"/>
  <c r="AV1173" i="1"/>
  <c r="AU1173" i="1"/>
  <c r="AW1172" i="1"/>
  <c r="AV1172" i="1"/>
  <c r="AU1172" i="1"/>
  <c r="AW1171" i="1"/>
  <c r="AV1171" i="1"/>
  <c r="AU1171" i="1"/>
  <c r="AW1170" i="1"/>
  <c r="AV1170" i="1"/>
  <c r="AW1169" i="1"/>
  <c r="AV1169" i="1"/>
  <c r="AW1168" i="1"/>
  <c r="AV1168" i="1"/>
  <c r="AW1167" i="1"/>
  <c r="AV1167" i="1"/>
  <c r="AW1166" i="1"/>
  <c r="AV1166" i="1"/>
  <c r="AW1165" i="1"/>
  <c r="AV1165" i="1"/>
  <c r="AW1164" i="1"/>
  <c r="AV1164" i="1"/>
  <c r="AW1163" i="1"/>
  <c r="AV1163" i="1"/>
  <c r="AW1162" i="1"/>
  <c r="AV1162" i="1"/>
  <c r="AW1161" i="1"/>
  <c r="AV1161" i="1"/>
  <c r="AW1160" i="1"/>
  <c r="AV1160" i="1"/>
  <c r="AW1159" i="1"/>
  <c r="AV1159" i="1"/>
  <c r="AU1159" i="1"/>
  <c r="AW1158" i="1"/>
  <c r="AV1158" i="1"/>
  <c r="AU1158" i="1"/>
  <c r="AW1157" i="1"/>
  <c r="AV1157" i="1"/>
  <c r="AW1156" i="1"/>
  <c r="AV1156" i="1"/>
  <c r="AW1155" i="1"/>
  <c r="AV1155" i="1"/>
  <c r="AW1154" i="1"/>
  <c r="AV1154" i="1"/>
  <c r="AU1154" i="1"/>
  <c r="AW1153" i="1"/>
  <c r="AV1153" i="1"/>
  <c r="AU1153" i="1"/>
  <c r="AW1152" i="1"/>
  <c r="AV1152" i="1"/>
  <c r="AU1152" i="1"/>
  <c r="AW1151" i="1"/>
  <c r="AV1151" i="1"/>
  <c r="AU1151" i="1"/>
  <c r="AW1150" i="1"/>
  <c r="AV1150" i="1"/>
  <c r="AW1149" i="1"/>
  <c r="AV1149" i="1"/>
  <c r="AW1148" i="1"/>
  <c r="AV1148" i="1"/>
  <c r="AW1147" i="1"/>
  <c r="AV1147" i="1"/>
  <c r="AW1146" i="1"/>
  <c r="AV1146" i="1"/>
  <c r="AW1145" i="1"/>
  <c r="AV1145" i="1"/>
  <c r="AW1144" i="1"/>
  <c r="AV1144" i="1"/>
  <c r="AW1143" i="1"/>
  <c r="AV1143" i="1"/>
  <c r="AW1142" i="1"/>
  <c r="AV1142" i="1"/>
  <c r="AW1141" i="1"/>
  <c r="AV1141" i="1"/>
  <c r="AW1140" i="1"/>
  <c r="AV1140" i="1"/>
  <c r="AW1139" i="1"/>
  <c r="AV1139" i="1"/>
  <c r="AW1138" i="1"/>
  <c r="AV1138" i="1"/>
  <c r="AW1137" i="1"/>
  <c r="AV1137" i="1"/>
  <c r="AW1136" i="1"/>
  <c r="AV1136" i="1"/>
  <c r="AW1135" i="1"/>
  <c r="AV1135" i="1"/>
  <c r="AU1135" i="1"/>
  <c r="AW1134" i="1"/>
  <c r="AV1134" i="1"/>
  <c r="AU1134" i="1"/>
  <c r="AW1133" i="1"/>
  <c r="AV1133" i="1"/>
  <c r="AW1132" i="1"/>
  <c r="AV1132" i="1"/>
  <c r="AW1131" i="1"/>
  <c r="AV1131" i="1"/>
  <c r="AW1130" i="1"/>
  <c r="AV1130" i="1"/>
  <c r="AW1129" i="1"/>
  <c r="AV1129" i="1"/>
  <c r="AU1129" i="1"/>
  <c r="AW1128" i="1"/>
  <c r="AV1128" i="1"/>
  <c r="AU1128" i="1"/>
  <c r="AW1127" i="1"/>
  <c r="AV1127" i="1"/>
  <c r="AU1127" i="1"/>
  <c r="AW1126" i="1"/>
  <c r="AV1126" i="1"/>
  <c r="AW1125" i="1"/>
  <c r="AV1125" i="1"/>
  <c r="AW1124" i="1"/>
  <c r="AV1124" i="1"/>
  <c r="AW1123" i="1"/>
  <c r="AV1123" i="1"/>
  <c r="AW1122" i="1"/>
  <c r="AV1122" i="1"/>
  <c r="AW1121" i="1"/>
  <c r="AV1121" i="1"/>
  <c r="AW1120" i="1"/>
  <c r="AV1120" i="1"/>
  <c r="AW1119" i="1"/>
  <c r="AV1119" i="1"/>
  <c r="AW1118" i="1"/>
  <c r="AV1118" i="1"/>
  <c r="AW1117" i="1"/>
  <c r="AV1117" i="1"/>
  <c r="AU1117" i="1"/>
  <c r="AW1116" i="1"/>
  <c r="AV1116" i="1"/>
  <c r="AU1116" i="1"/>
  <c r="AW1115" i="1"/>
  <c r="AV1115" i="1"/>
  <c r="AW1114" i="1"/>
  <c r="AV1114" i="1"/>
  <c r="AW1113" i="1"/>
  <c r="AV1113" i="1"/>
  <c r="AW1112" i="1"/>
  <c r="AV1112" i="1"/>
  <c r="AU1112" i="1"/>
  <c r="AW1111" i="1"/>
  <c r="AV1111" i="1"/>
  <c r="AW1110" i="1"/>
  <c r="AV1110" i="1"/>
  <c r="AU1110" i="1"/>
  <c r="AW1109" i="1"/>
  <c r="AV1109" i="1"/>
  <c r="AW1108" i="1"/>
  <c r="AV1108" i="1"/>
  <c r="AW1107" i="1"/>
  <c r="AV1107" i="1"/>
  <c r="AW1106" i="1"/>
  <c r="AV1106" i="1"/>
  <c r="AW1105" i="1"/>
  <c r="AV1105" i="1"/>
  <c r="AW1104" i="1"/>
  <c r="AV1104" i="1"/>
  <c r="AU1104" i="1"/>
  <c r="AW1103" i="1"/>
  <c r="AV1103" i="1"/>
  <c r="AU1103" i="1"/>
  <c r="AW1102" i="1"/>
  <c r="AV1102" i="1"/>
  <c r="AW1101" i="1"/>
  <c r="AV1101" i="1"/>
  <c r="AW1100" i="1"/>
  <c r="AV1100" i="1"/>
  <c r="AW1099" i="1"/>
  <c r="AV1099" i="1"/>
  <c r="AW1098" i="1"/>
  <c r="AV1098" i="1"/>
  <c r="AW1097" i="1"/>
  <c r="AV1097" i="1"/>
  <c r="AW1096" i="1"/>
  <c r="AV1096" i="1"/>
  <c r="AW1095" i="1"/>
  <c r="AV1095" i="1"/>
  <c r="AW1094" i="1"/>
  <c r="AV1094" i="1"/>
  <c r="AW1093" i="1"/>
  <c r="AV1093" i="1"/>
  <c r="AW1092" i="1"/>
  <c r="AV1092" i="1"/>
  <c r="AW1091" i="1"/>
  <c r="AV1091" i="1"/>
  <c r="AW1090" i="1"/>
  <c r="AV1090" i="1"/>
  <c r="AU1090" i="1"/>
  <c r="AW1089" i="1"/>
  <c r="AV1089" i="1"/>
  <c r="AW1088" i="1"/>
  <c r="AV1088" i="1"/>
  <c r="AU1088" i="1"/>
  <c r="AW1087" i="1"/>
  <c r="AV1087" i="1"/>
  <c r="AW1086" i="1"/>
  <c r="AV1086" i="1"/>
  <c r="AU1086" i="1"/>
  <c r="AW1085" i="1"/>
  <c r="AV1085" i="1"/>
  <c r="AU1085" i="1"/>
  <c r="AW1084" i="1"/>
  <c r="AV1084" i="1"/>
  <c r="AU1084" i="1"/>
  <c r="AW1083" i="1"/>
  <c r="AV1083" i="1"/>
  <c r="AW1082" i="1"/>
  <c r="AV1082" i="1"/>
  <c r="AW1081" i="1"/>
  <c r="AV1081" i="1"/>
  <c r="AU1081" i="1"/>
  <c r="AW1080" i="1"/>
  <c r="AV1080" i="1"/>
  <c r="AW1079" i="1"/>
  <c r="AV1079" i="1"/>
  <c r="AW1078" i="1"/>
  <c r="AV1078" i="1"/>
  <c r="AW1077" i="1"/>
  <c r="AV1077" i="1"/>
  <c r="AW1076" i="1"/>
  <c r="AV1076" i="1"/>
  <c r="AW1075" i="1"/>
  <c r="AV1075" i="1"/>
  <c r="AU1075" i="1"/>
  <c r="AW1074" i="1"/>
  <c r="AV1074" i="1"/>
  <c r="AW1073" i="1"/>
  <c r="AV1073" i="1"/>
  <c r="AW1072" i="1"/>
  <c r="AV1072" i="1"/>
  <c r="AW1071" i="1"/>
  <c r="AV1071" i="1"/>
  <c r="AW1070" i="1"/>
  <c r="AV1070" i="1"/>
  <c r="AU1070" i="1"/>
  <c r="AW1069" i="1"/>
  <c r="AV1069" i="1"/>
  <c r="AW1068" i="1"/>
  <c r="AV1068" i="1"/>
  <c r="AW1067" i="1"/>
  <c r="AV1067" i="1"/>
  <c r="AW1066" i="1"/>
  <c r="AV1066" i="1"/>
  <c r="AU1066" i="1"/>
  <c r="AW1065" i="1"/>
  <c r="AV1065" i="1"/>
  <c r="AW1064" i="1"/>
  <c r="AV1064" i="1"/>
  <c r="AU1064" i="1"/>
  <c r="AW1063" i="1"/>
  <c r="AV1063" i="1"/>
  <c r="AW1062" i="1"/>
  <c r="AV1062" i="1"/>
  <c r="AW1061" i="1"/>
  <c r="AV1061" i="1"/>
  <c r="AW1060" i="1"/>
  <c r="AV1060" i="1"/>
  <c r="AW1059" i="1"/>
  <c r="AV1059" i="1"/>
  <c r="AU1059" i="1"/>
  <c r="AW1058" i="1"/>
  <c r="AV1058" i="1"/>
  <c r="AW1057" i="1"/>
  <c r="AV1057" i="1"/>
  <c r="AU1057" i="1"/>
  <c r="AW1056" i="1"/>
  <c r="AV1056" i="1"/>
  <c r="AU1056" i="1"/>
  <c r="AW1055" i="1"/>
  <c r="AV1055" i="1"/>
  <c r="AW1054" i="1"/>
  <c r="AV1054" i="1"/>
  <c r="AW1053" i="1"/>
  <c r="AV1053" i="1"/>
  <c r="AU1053" i="1"/>
  <c r="AW1052" i="1"/>
  <c r="AV1052" i="1"/>
  <c r="AW1051" i="1"/>
  <c r="AV1051" i="1"/>
  <c r="AW1050" i="1"/>
  <c r="AV1050" i="1"/>
  <c r="AU1050" i="1"/>
  <c r="AW1049" i="1"/>
  <c r="AV1049" i="1"/>
  <c r="AW1048" i="1"/>
  <c r="AV1048" i="1"/>
  <c r="AU1048" i="1"/>
  <c r="AW1047" i="1"/>
  <c r="AV1047" i="1"/>
  <c r="AW1046" i="1"/>
  <c r="AV1046" i="1"/>
  <c r="AU1046" i="1"/>
  <c r="AW1045" i="1"/>
  <c r="AV1045" i="1"/>
  <c r="AW1044" i="1"/>
  <c r="AV1044" i="1"/>
  <c r="AW1043" i="1"/>
  <c r="AV1043" i="1"/>
  <c r="AU1043" i="1"/>
  <c r="AW1042" i="1"/>
  <c r="AV1042" i="1"/>
  <c r="AW1041" i="1"/>
  <c r="AV1041" i="1"/>
  <c r="AU1041" i="1"/>
  <c r="AW1040" i="1"/>
  <c r="AV1040" i="1"/>
  <c r="AW1039" i="1"/>
  <c r="AV1039" i="1"/>
  <c r="AW1038" i="1"/>
  <c r="AV1038" i="1"/>
  <c r="AU1038" i="1"/>
  <c r="AW1037" i="1"/>
  <c r="AV1037" i="1"/>
  <c r="AW1036" i="1"/>
  <c r="AV1036" i="1"/>
  <c r="AW1035" i="1"/>
  <c r="AV1035" i="1"/>
  <c r="AW1034" i="1"/>
  <c r="AV1034" i="1"/>
  <c r="AW1033" i="1"/>
  <c r="AV1033" i="1"/>
  <c r="AU1033" i="1"/>
  <c r="AW1032" i="1"/>
  <c r="AV1032" i="1"/>
  <c r="AU1032" i="1"/>
  <c r="AW1031" i="1"/>
  <c r="AV1031" i="1"/>
  <c r="AW1030" i="1"/>
  <c r="AV1030" i="1"/>
  <c r="AW1029" i="1"/>
  <c r="AV1029" i="1"/>
  <c r="AU1029" i="1"/>
  <c r="AW1028" i="1"/>
  <c r="AV1028" i="1"/>
  <c r="AW1027" i="1"/>
  <c r="AV1027" i="1"/>
  <c r="AW1026" i="1"/>
  <c r="AV1026" i="1"/>
  <c r="AW1025" i="1"/>
  <c r="AV1025" i="1"/>
  <c r="AW1024" i="1"/>
  <c r="AV1024" i="1"/>
  <c r="AU1024" i="1"/>
  <c r="AW1023" i="1"/>
  <c r="AV1023" i="1"/>
  <c r="AW1022" i="1"/>
  <c r="AV1022" i="1"/>
  <c r="AW1021" i="1"/>
  <c r="AV1021" i="1"/>
  <c r="AW1020" i="1"/>
  <c r="AV1020" i="1"/>
  <c r="AU1020" i="1"/>
  <c r="AW1019" i="1"/>
  <c r="AV1019" i="1"/>
  <c r="AU1019" i="1"/>
  <c r="AW1018" i="1"/>
  <c r="AV1018" i="1"/>
  <c r="AW1017" i="1"/>
  <c r="AV1017" i="1"/>
  <c r="AU1017" i="1"/>
  <c r="AW1016" i="1"/>
  <c r="AV1016" i="1"/>
  <c r="AU1016" i="1"/>
  <c r="AW1015" i="1"/>
  <c r="AV1015" i="1"/>
  <c r="AW1014" i="1"/>
  <c r="AV1014" i="1"/>
  <c r="AW1013" i="1"/>
  <c r="AV1013" i="1"/>
  <c r="AW1012" i="1"/>
  <c r="AV1012" i="1"/>
  <c r="AU1012" i="1"/>
  <c r="AW1011" i="1"/>
  <c r="AV1011" i="1"/>
  <c r="AW1010" i="1"/>
  <c r="AV1010" i="1"/>
  <c r="AW1009" i="1"/>
  <c r="AV1009" i="1"/>
  <c r="AW1008" i="1"/>
  <c r="AV1008" i="1"/>
  <c r="AU1008" i="1"/>
  <c r="AW1007" i="1"/>
  <c r="AV1007" i="1"/>
  <c r="AU1007" i="1"/>
  <c r="AW1006" i="1"/>
  <c r="AV1006" i="1"/>
  <c r="AW1005" i="1"/>
  <c r="AV1005" i="1"/>
  <c r="AW1004" i="1"/>
  <c r="AV1004" i="1"/>
  <c r="AU1004" i="1"/>
  <c r="AW1003" i="1"/>
  <c r="AV1003" i="1"/>
  <c r="AW1002" i="1"/>
  <c r="AV1002" i="1"/>
  <c r="AU1002" i="1"/>
  <c r="AW1001" i="1"/>
  <c r="AV1001" i="1"/>
  <c r="AU1001" i="1"/>
  <c r="AW1000" i="1"/>
  <c r="AV1000" i="1"/>
  <c r="AW999" i="1"/>
  <c r="AV999" i="1"/>
  <c r="AW998" i="1"/>
  <c r="AV998" i="1"/>
  <c r="AU998" i="1"/>
  <c r="AW997" i="1"/>
  <c r="AV997" i="1"/>
  <c r="AU997" i="1"/>
  <c r="AW996" i="1"/>
  <c r="AV996" i="1"/>
  <c r="AW995" i="1"/>
  <c r="AV995" i="1"/>
  <c r="AU995" i="1"/>
  <c r="AW994" i="1"/>
  <c r="AV994" i="1"/>
  <c r="AW993" i="1"/>
  <c r="AV993" i="1"/>
  <c r="AU993" i="1"/>
  <c r="AW992" i="1"/>
  <c r="AV992" i="1"/>
  <c r="AU992" i="1"/>
  <c r="AW991" i="1"/>
  <c r="AV991" i="1"/>
  <c r="AW990" i="1"/>
  <c r="AV990" i="1"/>
  <c r="AW989" i="1"/>
  <c r="AV989" i="1"/>
  <c r="AW988" i="1"/>
  <c r="AV988" i="1"/>
  <c r="AW987" i="1"/>
  <c r="AV987" i="1"/>
  <c r="AU987" i="1"/>
  <c r="AW986" i="1"/>
  <c r="AV986" i="1"/>
  <c r="AU986" i="1"/>
  <c r="AW985" i="1"/>
  <c r="AV985" i="1"/>
  <c r="AU985" i="1"/>
  <c r="AW984" i="1"/>
  <c r="AV984" i="1"/>
  <c r="AU984" i="1"/>
  <c r="AW983" i="1"/>
  <c r="AV983" i="1"/>
  <c r="AU983" i="1"/>
  <c r="AW982" i="1"/>
  <c r="AV982" i="1"/>
  <c r="AU982" i="1"/>
  <c r="AW981" i="1"/>
  <c r="AV981" i="1"/>
  <c r="AU981" i="1"/>
  <c r="AW980" i="1"/>
  <c r="AV980" i="1"/>
  <c r="AU980" i="1"/>
  <c r="AW979" i="1"/>
  <c r="AV979" i="1"/>
  <c r="AU979" i="1"/>
  <c r="AW978" i="1"/>
  <c r="AV978" i="1"/>
  <c r="AU978" i="1"/>
  <c r="AW977" i="1"/>
  <c r="AV977" i="1"/>
  <c r="AU977" i="1"/>
  <c r="AW976" i="1"/>
  <c r="AV976" i="1"/>
  <c r="AU976" i="1"/>
  <c r="AW975" i="1"/>
  <c r="AV975" i="1"/>
  <c r="AW974" i="1"/>
  <c r="AV974" i="1"/>
  <c r="AW973" i="1"/>
  <c r="AV973" i="1"/>
  <c r="AW972" i="1"/>
  <c r="AV972" i="1"/>
  <c r="AW971" i="1"/>
  <c r="AV971" i="1"/>
  <c r="AW970" i="1"/>
  <c r="AV970" i="1"/>
  <c r="AW969" i="1"/>
  <c r="AV969" i="1"/>
  <c r="AW968" i="1"/>
  <c r="AV968" i="1"/>
  <c r="AW967" i="1"/>
  <c r="AV967" i="1"/>
  <c r="AW966" i="1"/>
  <c r="AV966" i="1"/>
  <c r="AU966" i="1"/>
  <c r="AW965" i="1"/>
  <c r="AV965" i="1"/>
  <c r="AW964" i="1"/>
  <c r="AV964" i="1"/>
  <c r="AW963" i="1"/>
  <c r="AV963" i="1"/>
  <c r="AU963" i="1"/>
  <c r="AW962" i="1"/>
  <c r="AV962" i="1"/>
  <c r="AW961" i="1"/>
  <c r="AV961" i="1"/>
  <c r="AU961" i="1"/>
  <c r="AW960" i="1"/>
  <c r="AV960" i="1"/>
  <c r="AU960" i="1"/>
  <c r="AW959" i="1"/>
  <c r="AV959" i="1"/>
  <c r="AU959" i="1"/>
  <c r="AW958" i="1"/>
  <c r="AV958" i="1"/>
  <c r="AU958" i="1"/>
  <c r="AW957" i="1"/>
  <c r="AV957" i="1"/>
  <c r="AU957" i="1"/>
  <c r="AW956" i="1"/>
  <c r="AV956" i="1"/>
  <c r="AW955" i="1"/>
  <c r="AV955" i="1"/>
  <c r="AW954" i="1"/>
  <c r="AV954" i="1"/>
  <c r="AW953" i="1"/>
  <c r="AV953" i="1"/>
  <c r="AW952" i="1"/>
  <c r="AV952" i="1"/>
  <c r="AW951" i="1"/>
  <c r="AV951" i="1"/>
  <c r="AU951" i="1"/>
  <c r="AW950" i="1"/>
  <c r="AV950" i="1"/>
  <c r="AW949" i="1"/>
  <c r="AV949" i="1"/>
  <c r="AU949" i="1"/>
  <c r="AW948" i="1"/>
  <c r="AV948" i="1"/>
  <c r="AW947" i="1"/>
  <c r="AV947" i="1"/>
  <c r="AW946" i="1"/>
  <c r="AV946" i="1"/>
  <c r="AU946" i="1"/>
  <c r="AW945" i="1"/>
  <c r="AV945" i="1"/>
  <c r="AW944" i="1"/>
  <c r="AV944" i="1"/>
  <c r="AW943" i="1"/>
  <c r="AV943" i="1"/>
  <c r="AW942" i="1"/>
  <c r="AV942" i="1"/>
  <c r="AU942" i="1"/>
  <c r="AW941" i="1"/>
  <c r="AV941" i="1"/>
  <c r="AU941" i="1"/>
  <c r="AW940" i="1"/>
  <c r="AV940" i="1"/>
  <c r="AW939" i="1"/>
  <c r="AV939" i="1"/>
  <c r="AU939" i="1"/>
  <c r="AW938" i="1"/>
  <c r="AV938" i="1"/>
  <c r="AW937" i="1"/>
  <c r="AV937" i="1"/>
  <c r="AW936" i="1"/>
  <c r="AV936" i="1"/>
  <c r="AW935" i="1"/>
  <c r="AV935" i="1"/>
  <c r="AW934" i="1"/>
  <c r="AV934" i="1"/>
  <c r="AW933" i="1"/>
  <c r="AV933" i="1"/>
  <c r="AW932" i="1"/>
  <c r="AV932" i="1"/>
  <c r="AU932" i="1"/>
  <c r="AW931" i="1"/>
  <c r="AV931" i="1"/>
  <c r="AU931" i="1"/>
  <c r="AW930" i="1"/>
  <c r="AV930" i="1"/>
  <c r="AU930" i="1"/>
  <c r="AW929" i="1"/>
  <c r="AV929" i="1"/>
  <c r="AW928" i="1"/>
  <c r="AV928" i="1"/>
  <c r="AW927" i="1"/>
  <c r="AV927" i="1"/>
  <c r="AW926" i="1"/>
  <c r="AV926" i="1"/>
  <c r="AU926" i="1"/>
  <c r="AW925" i="1"/>
  <c r="AV925" i="1"/>
  <c r="AU925" i="1"/>
  <c r="AW924" i="1"/>
  <c r="AV924" i="1"/>
  <c r="AW923" i="1"/>
  <c r="AV923" i="1"/>
  <c r="AW922" i="1"/>
  <c r="AV922" i="1"/>
  <c r="AW921" i="1"/>
  <c r="AV921" i="1"/>
  <c r="AU921" i="1"/>
  <c r="AW920" i="1"/>
  <c r="AV920" i="1"/>
  <c r="AU920" i="1"/>
  <c r="AW919" i="1"/>
  <c r="AV919" i="1"/>
  <c r="AW918" i="1"/>
  <c r="AV918" i="1"/>
  <c r="AW917" i="1"/>
  <c r="AV917" i="1"/>
  <c r="AU917" i="1"/>
  <c r="AW916" i="1"/>
  <c r="AV916" i="1"/>
  <c r="AW915" i="1"/>
  <c r="AV915" i="1"/>
  <c r="AW914" i="1"/>
  <c r="AV914" i="1"/>
  <c r="AW913" i="1"/>
  <c r="AV913" i="1"/>
  <c r="AU913" i="1"/>
  <c r="AW912" i="1"/>
  <c r="AV912" i="1"/>
  <c r="AW911" i="1"/>
  <c r="AV911" i="1"/>
  <c r="AW910" i="1"/>
  <c r="AV910" i="1"/>
  <c r="AW909" i="1"/>
  <c r="AV909" i="1"/>
  <c r="AW908" i="1"/>
  <c r="AV908" i="1"/>
  <c r="AW907" i="1"/>
  <c r="AV907" i="1"/>
  <c r="AU907" i="1"/>
  <c r="AW906" i="1"/>
  <c r="AV906" i="1"/>
  <c r="AW905" i="1"/>
  <c r="AV905" i="1"/>
  <c r="AU905" i="1"/>
  <c r="AW904" i="1"/>
  <c r="AV904" i="1"/>
  <c r="AU904" i="1"/>
  <c r="AW903" i="1"/>
  <c r="AV903" i="1"/>
  <c r="AU903" i="1"/>
  <c r="AW902" i="1"/>
  <c r="AV902" i="1"/>
  <c r="AW901" i="1"/>
  <c r="AV901" i="1"/>
  <c r="AW900" i="1"/>
  <c r="AV900" i="1"/>
  <c r="AW899" i="1"/>
  <c r="AV899" i="1"/>
  <c r="AU899" i="1"/>
  <c r="AW898" i="1"/>
  <c r="AV898" i="1"/>
  <c r="AW897" i="1"/>
  <c r="AV897" i="1"/>
  <c r="AU897" i="1"/>
  <c r="AW896" i="1"/>
  <c r="AV896" i="1"/>
  <c r="AU896" i="1"/>
  <c r="AW895" i="1"/>
  <c r="AV895" i="1"/>
  <c r="AW894" i="1"/>
  <c r="AV894" i="1"/>
  <c r="AW893" i="1"/>
  <c r="AV893" i="1"/>
  <c r="AU893" i="1"/>
  <c r="AW892" i="1"/>
  <c r="AV892" i="1"/>
  <c r="AU892" i="1"/>
  <c r="AW891" i="1"/>
  <c r="AV891" i="1"/>
  <c r="AW890" i="1"/>
  <c r="AV890" i="1"/>
  <c r="AW889" i="1"/>
  <c r="AV889" i="1"/>
  <c r="AW888" i="1"/>
  <c r="AV888" i="1"/>
  <c r="AU888" i="1"/>
  <c r="AW887" i="1"/>
  <c r="AV887" i="1"/>
  <c r="AU887" i="1"/>
  <c r="AW886" i="1"/>
  <c r="AV886" i="1"/>
  <c r="AU886" i="1"/>
  <c r="AW885" i="1"/>
  <c r="AV885" i="1"/>
  <c r="AW884" i="1"/>
  <c r="AV884" i="1"/>
  <c r="AW883" i="1"/>
  <c r="AV883" i="1"/>
  <c r="AW882" i="1"/>
  <c r="AV882" i="1"/>
  <c r="AW881" i="1"/>
  <c r="AV881" i="1"/>
  <c r="AU881" i="1"/>
  <c r="AW880" i="1"/>
  <c r="AV880" i="1"/>
  <c r="AW879" i="1"/>
  <c r="AV879" i="1"/>
  <c r="AU879" i="1"/>
  <c r="AW878" i="1"/>
  <c r="AV878" i="1"/>
  <c r="AW877" i="1"/>
  <c r="AV877" i="1"/>
  <c r="AW876" i="1"/>
  <c r="AV876" i="1"/>
  <c r="AW875" i="1"/>
  <c r="AV875" i="1"/>
  <c r="AW874" i="1"/>
  <c r="AV874" i="1"/>
  <c r="AU874" i="1"/>
  <c r="AW873" i="1"/>
  <c r="AV873" i="1"/>
  <c r="AW872" i="1"/>
  <c r="AV872" i="1"/>
  <c r="AW871" i="1"/>
  <c r="AV871" i="1"/>
  <c r="AU871" i="1"/>
  <c r="AW870" i="1"/>
  <c r="AV870" i="1"/>
  <c r="AW869" i="1"/>
  <c r="AV869" i="1"/>
  <c r="AU869" i="1"/>
  <c r="AW868" i="1"/>
  <c r="AV868" i="1"/>
  <c r="AU868" i="1"/>
  <c r="AW867" i="1"/>
  <c r="AV867" i="1"/>
  <c r="AU867" i="1"/>
  <c r="AW866" i="1"/>
  <c r="AV866" i="1"/>
  <c r="AW865" i="1"/>
  <c r="AV865" i="1"/>
  <c r="AW864" i="1"/>
  <c r="AV864" i="1"/>
  <c r="AU864" i="1"/>
  <c r="AW863" i="1"/>
  <c r="AV863" i="1"/>
  <c r="AW862" i="1"/>
  <c r="AV862" i="1"/>
  <c r="AW861" i="1"/>
  <c r="AV861" i="1"/>
  <c r="AW860" i="1"/>
  <c r="AV860" i="1"/>
  <c r="AW859" i="1"/>
  <c r="AV859" i="1"/>
  <c r="AU859" i="1"/>
  <c r="AW858" i="1"/>
  <c r="AV858" i="1"/>
  <c r="AW857" i="1"/>
  <c r="AV857" i="1"/>
  <c r="AW856" i="1"/>
  <c r="AV856" i="1"/>
  <c r="AU856" i="1"/>
  <c r="AW855" i="1"/>
  <c r="AV855" i="1"/>
  <c r="AU855" i="1"/>
  <c r="AW854" i="1"/>
  <c r="AV854" i="1"/>
  <c r="AW853" i="1"/>
  <c r="AV853" i="1"/>
  <c r="AW852" i="1"/>
  <c r="AV852" i="1"/>
  <c r="AU852" i="1"/>
  <c r="AW851" i="1"/>
  <c r="AV851" i="1"/>
  <c r="AW850" i="1"/>
  <c r="AV850" i="1"/>
  <c r="AU850" i="1"/>
  <c r="AW849" i="1"/>
  <c r="AV849" i="1"/>
  <c r="AU849" i="1"/>
  <c r="AW848" i="1"/>
  <c r="AV848" i="1"/>
  <c r="AW847" i="1"/>
  <c r="AV847" i="1"/>
  <c r="AU847" i="1"/>
  <c r="AW846" i="1"/>
  <c r="AV846" i="1"/>
  <c r="AW845" i="1"/>
  <c r="AV845" i="1"/>
  <c r="AW844" i="1"/>
  <c r="AV844" i="1"/>
  <c r="AW843" i="1"/>
  <c r="AV843" i="1"/>
  <c r="AW842" i="1"/>
  <c r="AV842" i="1"/>
  <c r="AU842" i="1"/>
  <c r="AW841" i="1"/>
  <c r="AV841" i="1"/>
  <c r="AW840" i="1"/>
  <c r="AV840" i="1"/>
  <c r="AU840" i="1"/>
  <c r="AW839" i="1"/>
  <c r="AV839" i="1"/>
  <c r="AW838" i="1"/>
  <c r="AV838" i="1"/>
  <c r="AU838" i="1"/>
  <c r="AW837" i="1"/>
  <c r="AV837" i="1"/>
  <c r="AW836" i="1"/>
  <c r="AV836" i="1"/>
  <c r="AW835" i="1"/>
  <c r="AV835" i="1"/>
  <c r="AW834" i="1"/>
  <c r="AV834" i="1"/>
  <c r="AW833" i="1"/>
  <c r="AV833" i="1"/>
  <c r="AW832" i="1"/>
  <c r="AV832" i="1"/>
  <c r="AW831" i="1"/>
  <c r="AV831" i="1"/>
  <c r="AW830" i="1"/>
  <c r="AV830" i="1"/>
  <c r="AW829" i="1"/>
  <c r="AV829" i="1"/>
  <c r="AW828" i="1"/>
  <c r="AV828" i="1"/>
  <c r="AW827" i="1"/>
  <c r="AV827" i="1"/>
  <c r="AW826" i="1"/>
  <c r="AV826" i="1"/>
  <c r="AW825" i="1"/>
  <c r="AV825" i="1"/>
  <c r="AW824" i="1"/>
  <c r="AV824" i="1"/>
  <c r="AW823" i="1"/>
  <c r="AV823" i="1"/>
  <c r="AW822" i="1"/>
  <c r="AV822" i="1"/>
  <c r="AW821" i="1"/>
  <c r="AV821" i="1"/>
  <c r="AW820" i="1"/>
  <c r="AV820" i="1"/>
  <c r="AW819" i="1"/>
  <c r="AV819" i="1"/>
  <c r="AW818" i="1"/>
  <c r="AV818" i="1"/>
  <c r="AW817" i="1"/>
  <c r="AV817" i="1"/>
  <c r="AW816" i="1"/>
  <c r="AV816" i="1"/>
  <c r="AW815" i="1"/>
  <c r="AV815" i="1"/>
  <c r="AU815" i="1"/>
  <c r="AW814" i="1"/>
  <c r="AV814" i="1"/>
  <c r="AW813" i="1"/>
  <c r="AV813" i="1"/>
  <c r="AU813" i="1"/>
  <c r="AW812" i="1"/>
  <c r="AV812" i="1"/>
  <c r="AW811" i="1"/>
  <c r="AV811" i="1"/>
  <c r="AW810" i="1"/>
  <c r="AV810" i="1"/>
  <c r="AU810" i="1"/>
  <c r="AW809" i="1"/>
  <c r="AV809" i="1"/>
  <c r="AW808" i="1"/>
  <c r="AV808" i="1"/>
  <c r="AW807" i="1"/>
  <c r="AV807" i="1"/>
  <c r="AW806" i="1"/>
  <c r="AV806" i="1"/>
  <c r="AW805" i="1"/>
  <c r="AV805" i="1"/>
  <c r="AU805" i="1"/>
  <c r="AW804" i="1"/>
  <c r="AV804" i="1"/>
  <c r="AW803" i="1"/>
  <c r="AV803" i="1"/>
  <c r="AW802" i="1"/>
  <c r="AV802" i="1"/>
  <c r="AW801" i="1"/>
  <c r="AV801" i="1"/>
  <c r="AW800" i="1"/>
  <c r="AV800" i="1"/>
  <c r="AW799" i="1"/>
  <c r="AV799" i="1"/>
  <c r="AW798" i="1"/>
  <c r="AV798" i="1"/>
  <c r="AW797" i="1"/>
  <c r="AV797" i="1"/>
  <c r="AW796" i="1"/>
  <c r="AV796" i="1"/>
  <c r="AW795" i="1"/>
  <c r="AV795" i="1"/>
  <c r="AW794" i="1"/>
  <c r="AV794" i="1"/>
  <c r="AW793" i="1"/>
  <c r="AV793" i="1"/>
  <c r="AU793" i="1"/>
  <c r="AW792" i="1"/>
  <c r="AV792" i="1"/>
  <c r="AW791" i="1"/>
  <c r="AV791" i="1"/>
  <c r="AW790" i="1"/>
  <c r="AV790" i="1"/>
  <c r="AW789" i="1"/>
  <c r="AV789" i="1"/>
  <c r="AW788" i="1"/>
  <c r="AV788" i="1"/>
  <c r="AU788" i="1"/>
  <c r="AW787" i="1"/>
  <c r="AV787" i="1"/>
  <c r="AW786" i="1"/>
  <c r="AV786" i="1"/>
  <c r="AW785" i="1"/>
  <c r="AV785" i="1"/>
  <c r="AW784" i="1"/>
  <c r="AV784" i="1"/>
  <c r="AU784" i="1"/>
  <c r="AW783" i="1"/>
  <c r="AV783" i="1"/>
  <c r="AW782" i="1"/>
  <c r="AV782" i="1"/>
  <c r="AW781" i="1"/>
  <c r="AV781" i="1"/>
  <c r="AW780" i="1"/>
  <c r="AV780" i="1"/>
  <c r="AW779" i="1"/>
  <c r="AV779" i="1"/>
  <c r="AW778" i="1"/>
  <c r="AV778" i="1"/>
  <c r="AW777" i="1"/>
  <c r="AV777" i="1"/>
  <c r="AW776" i="1"/>
  <c r="AV776" i="1"/>
  <c r="AW775" i="1"/>
  <c r="AV775" i="1"/>
  <c r="AU775" i="1"/>
  <c r="AW774" i="1"/>
  <c r="AV774" i="1"/>
  <c r="AU774" i="1"/>
  <c r="AW773" i="1"/>
  <c r="AV773" i="1"/>
  <c r="AW772" i="1"/>
  <c r="AV772" i="1"/>
  <c r="AW771" i="1"/>
  <c r="AV771" i="1"/>
  <c r="AW770" i="1"/>
  <c r="AV770" i="1"/>
  <c r="AW769" i="1"/>
  <c r="AV769" i="1"/>
  <c r="AW768" i="1"/>
  <c r="AV768" i="1"/>
  <c r="AW767" i="1"/>
  <c r="AV767" i="1"/>
  <c r="AW766" i="1"/>
  <c r="AV766" i="1"/>
  <c r="AW765" i="1"/>
  <c r="AV765" i="1"/>
  <c r="AW764" i="1"/>
  <c r="AV764" i="1"/>
  <c r="AW763" i="1"/>
  <c r="AV763" i="1"/>
  <c r="AW762" i="1"/>
  <c r="AV762" i="1"/>
  <c r="AW761" i="1"/>
  <c r="AV761" i="1"/>
  <c r="AW760" i="1"/>
  <c r="AV760" i="1"/>
  <c r="AW759" i="1"/>
  <c r="AV759" i="1"/>
  <c r="AU759" i="1"/>
  <c r="AW758" i="1"/>
  <c r="AV758" i="1"/>
  <c r="AW757" i="1"/>
  <c r="AV757" i="1"/>
  <c r="AW756" i="1"/>
  <c r="AV756" i="1"/>
  <c r="AW755" i="1"/>
  <c r="AV755" i="1"/>
  <c r="AW754" i="1"/>
  <c r="AV754" i="1"/>
  <c r="AW753" i="1"/>
  <c r="AV753" i="1"/>
  <c r="AU753" i="1"/>
  <c r="AW752" i="1"/>
  <c r="AV752" i="1"/>
  <c r="AW751" i="1"/>
  <c r="AV751" i="1"/>
  <c r="AW750" i="1"/>
  <c r="AV750" i="1"/>
  <c r="AW749" i="1"/>
  <c r="AV749" i="1"/>
  <c r="AW748" i="1"/>
  <c r="AV748" i="1"/>
  <c r="AW747" i="1"/>
  <c r="AV747" i="1"/>
  <c r="AW746" i="1"/>
  <c r="AV746" i="1"/>
  <c r="AW745" i="1"/>
  <c r="AV745" i="1"/>
  <c r="AW744" i="1"/>
  <c r="AV744" i="1"/>
  <c r="AU744" i="1"/>
  <c r="AW743" i="1"/>
  <c r="AV743" i="1"/>
  <c r="AU743" i="1"/>
  <c r="AW742" i="1"/>
  <c r="AV742" i="1"/>
  <c r="AU742" i="1"/>
  <c r="AW741" i="1"/>
  <c r="AV741" i="1"/>
  <c r="AU741" i="1"/>
  <c r="AW740" i="1"/>
  <c r="AV740" i="1"/>
  <c r="AW739" i="1"/>
  <c r="AV739" i="1"/>
  <c r="AW738" i="1"/>
  <c r="AV738" i="1"/>
  <c r="AW737" i="1"/>
  <c r="AV737" i="1"/>
  <c r="AW736" i="1"/>
  <c r="AV736" i="1"/>
  <c r="AU736" i="1"/>
  <c r="AW735" i="1"/>
  <c r="AV735" i="1"/>
  <c r="AW734" i="1"/>
  <c r="AV734" i="1"/>
  <c r="AW733" i="1"/>
  <c r="AV733" i="1"/>
  <c r="AU733" i="1"/>
  <c r="AW732" i="1"/>
  <c r="AV732" i="1"/>
  <c r="AU732" i="1"/>
  <c r="AW731" i="1"/>
  <c r="AV731" i="1"/>
  <c r="AU731" i="1"/>
  <c r="AW730" i="1"/>
  <c r="AV730" i="1"/>
  <c r="AW729" i="1"/>
  <c r="AV729" i="1"/>
  <c r="AW728" i="1"/>
  <c r="AV728" i="1"/>
  <c r="AW727" i="1"/>
  <c r="AV727" i="1"/>
  <c r="AW726" i="1"/>
  <c r="AV726" i="1"/>
  <c r="AW725" i="1"/>
  <c r="AV725" i="1"/>
  <c r="AU725" i="1"/>
  <c r="AW724" i="1"/>
  <c r="AV724" i="1"/>
  <c r="AU724" i="1"/>
  <c r="AW723" i="1"/>
  <c r="AV723" i="1"/>
  <c r="AW722" i="1"/>
  <c r="AV722" i="1"/>
  <c r="AU722" i="1"/>
  <c r="AW721" i="1"/>
  <c r="AV721" i="1"/>
  <c r="AW720" i="1"/>
  <c r="AV720" i="1"/>
  <c r="AW719" i="1"/>
  <c r="AV719" i="1"/>
  <c r="AU719" i="1"/>
  <c r="AW718" i="1"/>
  <c r="AV718" i="1"/>
  <c r="AU718" i="1"/>
  <c r="AW717" i="1"/>
  <c r="AV717" i="1"/>
  <c r="AU717" i="1"/>
  <c r="AW716" i="1"/>
  <c r="AV716" i="1"/>
  <c r="AU716" i="1"/>
  <c r="AW715" i="1"/>
  <c r="AV715" i="1"/>
  <c r="AU715" i="1"/>
  <c r="AW714" i="1"/>
  <c r="AV714" i="1"/>
  <c r="AU714" i="1"/>
  <c r="AW713" i="1"/>
  <c r="AV713" i="1"/>
  <c r="AW712" i="1"/>
  <c r="AV712" i="1"/>
  <c r="AU712" i="1"/>
  <c r="AW711" i="1"/>
  <c r="AV711" i="1"/>
  <c r="AW710" i="1"/>
  <c r="AV710" i="1"/>
  <c r="AU710" i="1"/>
  <c r="AW709" i="1"/>
  <c r="AV709" i="1"/>
  <c r="AU709" i="1"/>
  <c r="AW708" i="1"/>
  <c r="AV708" i="1"/>
  <c r="AU708" i="1"/>
  <c r="AW707" i="1"/>
  <c r="AV707" i="1"/>
  <c r="AW706" i="1"/>
  <c r="AV706" i="1"/>
  <c r="AU706" i="1"/>
  <c r="AW705" i="1"/>
  <c r="AV705" i="1"/>
  <c r="AW704" i="1"/>
  <c r="AV704" i="1"/>
  <c r="AW703" i="1"/>
  <c r="AV703" i="1"/>
  <c r="AW702" i="1"/>
  <c r="AV702" i="1"/>
  <c r="AW701" i="1"/>
  <c r="AV701" i="1"/>
  <c r="AW700" i="1"/>
  <c r="AV700" i="1"/>
  <c r="AW699" i="1"/>
  <c r="AV699" i="1"/>
  <c r="AW698" i="1"/>
  <c r="AV698" i="1"/>
  <c r="AU698" i="1"/>
  <c r="AW697" i="1"/>
  <c r="AV697" i="1"/>
  <c r="AU697" i="1"/>
  <c r="AW696" i="1"/>
  <c r="AV696" i="1"/>
  <c r="AW695" i="1"/>
  <c r="AV695" i="1"/>
  <c r="AW694" i="1"/>
  <c r="AV694" i="1"/>
  <c r="AW693" i="1"/>
  <c r="AV693" i="1"/>
  <c r="AU693" i="1"/>
  <c r="AW692" i="1"/>
  <c r="AV692" i="1"/>
  <c r="AW691" i="1"/>
  <c r="AV691" i="1"/>
  <c r="AW690" i="1"/>
  <c r="AV690" i="1"/>
  <c r="AW689" i="1"/>
  <c r="AV689" i="1"/>
  <c r="AW688" i="1"/>
  <c r="AV688" i="1"/>
  <c r="AW687" i="1"/>
  <c r="AV687" i="1"/>
  <c r="AW686" i="1"/>
  <c r="AV686" i="1"/>
  <c r="AW685" i="1"/>
  <c r="AV685" i="1"/>
  <c r="AW684" i="1"/>
  <c r="AV684" i="1"/>
  <c r="AW683" i="1"/>
  <c r="AV683" i="1"/>
  <c r="AW682" i="1"/>
  <c r="AV682" i="1"/>
  <c r="AW681" i="1"/>
  <c r="AV681" i="1"/>
  <c r="AW680" i="1"/>
  <c r="AV680" i="1"/>
  <c r="AW679" i="1"/>
  <c r="AV679" i="1"/>
  <c r="AW678" i="1"/>
  <c r="AV678" i="1"/>
  <c r="AW677" i="1"/>
  <c r="AV677" i="1"/>
  <c r="AW676" i="1"/>
  <c r="AV676" i="1"/>
  <c r="AW675" i="1"/>
  <c r="AV675" i="1"/>
  <c r="AW674" i="1"/>
  <c r="AV674" i="1"/>
  <c r="AW673" i="1"/>
  <c r="AV673" i="1"/>
  <c r="AW672" i="1"/>
  <c r="AV672" i="1"/>
  <c r="AW671" i="1"/>
  <c r="AV671" i="1"/>
  <c r="AW670" i="1"/>
  <c r="AV670" i="1"/>
  <c r="AW669" i="1"/>
  <c r="AV669" i="1"/>
  <c r="AW668" i="1"/>
  <c r="AV668" i="1"/>
  <c r="AW667" i="1"/>
  <c r="AV667" i="1"/>
  <c r="AW666" i="1"/>
  <c r="AV666" i="1"/>
  <c r="AU666" i="1"/>
  <c r="AW665" i="1"/>
  <c r="AV665" i="1"/>
  <c r="AW664" i="1"/>
  <c r="AV664" i="1"/>
  <c r="AW663" i="1"/>
  <c r="AV663" i="1"/>
  <c r="AW662" i="1"/>
  <c r="AV662" i="1"/>
  <c r="AW661" i="1"/>
  <c r="AV661" i="1"/>
  <c r="AW660" i="1"/>
  <c r="AV660" i="1"/>
  <c r="AW659" i="1"/>
  <c r="AV659" i="1"/>
  <c r="AW658" i="1"/>
  <c r="AV658" i="1"/>
  <c r="AW657" i="1"/>
  <c r="AV657" i="1"/>
  <c r="AW656" i="1"/>
  <c r="AV656" i="1"/>
  <c r="AW655" i="1"/>
  <c r="AV655" i="1"/>
  <c r="AU655" i="1"/>
  <c r="AW654" i="1"/>
  <c r="AV654" i="1"/>
  <c r="AW653" i="1"/>
  <c r="AV653" i="1"/>
  <c r="AW652" i="1"/>
  <c r="AV652" i="1"/>
  <c r="AW651" i="1"/>
  <c r="AV651" i="1"/>
  <c r="AU651" i="1"/>
  <c r="AW650" i="1"/>
  <c r="AV650" i="1"/>
  <c r="AU650" i="1"/>
  <c r="AW649" i="1"/>
  <c r="AV649" i="1"/>
  <c r="AU649" i="1"/>
  <c r="AW648" i="1"/>
  <c r="AV648" i="1"/>
  <c r="AU648" i="1"/>
  <c r="AW647" i="1"/>
  <c r="AV647" i="1"/>
  <c r="AU647" i="1"/>
  <c r="AW646" i="1"/>
  <c r="AV646" i="1"/>
  <c r="AU646" i="1"/>
  <c r="AW645" i="1"/>
  <c r="AV645" i="1"/>
  <c r="AW644" i="1"/>
  <c r="AV644" i="1"/>
  <c r="AW643" i="1"/>
  <c r="AV643" i="1"/>
  <c r="AW642" i="1"/>
  <c r="AV642" i="1"/>
  <c r="AW641" i="1"/>
  <c r="AV641" i="1"/>
  <c r="AW640" i="1"/>
  <c r="AV640" i="1"/>
  <c r="AW639" i="1"/>
  <c r="AV639" i="1"/>
  <c r="AW638" i="1"/>
  <c r="AV638" i="1"/>
  <c r="AW637" i="1"/>
  <c r="AV637" i="1"/>
  <c r="AU637" i="1"/>
  <c r="AW636" i="1"/>
  <c r="AV636" i="1"/>
  <c r="AU636" i="1"/>
  <c r="AW635" i="1"/>
  <c r="AV635" i="1"/>
  <c r="AW634" i="1"/>
  <c r="AV634" i="1"/>
  <c r="AW633" i="1"/>
  <c r="AV633" i="1"/>
  <c r="AW632" i="1"/>
  <c r="AV632" i="1"/>
  <c r="AW631" i="1"/>
  <c r="AV631" i="1"/>
  <c r="AW630" i="1"/>
  <c r="AV630" i="1"/>
  <c r="AW629" i="1"/>
  <c r="AV629" i="1"/>
  <c r="AW628" i="1"/>
  <c r="AV628" i="1"/>
  <c r="AW627" i="1"/>
  <c r="AV627" i="1"/>
  <c r="AW626" i="1"/>
  <c r="AV626" i="1"/>
  <c r="AW625" i="1"/>
  <c r="AV625" i="1"/>
  <c r="AW624" i="1"/>
  <c r="AV624" i="1"/>
  <c r="AU624" i="1"/>
  <c r="AW623" i="1"/>
  <c r="AV623" i="1"/>
  <c r="AU623" i="1"/>
  <c r="AW622" i="1"/>
  <c r="AV622" i="1"/>
  <c r="AW621" i="1"/>
  <c r="AV621" i="1"/>
  <c r="AW620" i="1"/>
  <c r="AV620" i="1"/>
  <c r="AW619" i="1"/>
  <c r="AV619" i="1"/>
  <c r="AW618" i="1"/>
  <c r="AV618" i="1"/>
  <c r="AW617" i="1"/>
  <c r="AV617" i="1"/>
  <c r="AW616" i="1"/>
  <c r="AV616" i="1"/>
  <c r="AW615" i="1"/>
  <c r="AV615" i="1"/>
  <c r="AW614" i="1"/>
  <c r="AV614" i="1"/>
  <c r="AW613" i="1"/>
  <c r="AV613" i="1"/>
  <c r="AU613" i="1"/>
  <c r="AW612" i="1"/>
  <c r="AV612" i="1"/>
  <c r="AW611" i="1"/>
  <c r="AV611" i="1"/>
  <c r="AW610" i="1"/>
  <c r="AV610" i="1"/>
  <c r="AW609" i="1"/>
  <c r="AV609" i="1"/>
  <c r="AU609" i="1"/>
  <c r="AW608" i="1"/>
  <c r="AV608" i="1"/>
  <c r="AU608" i="1"/>
  <c r="AW607" i="1"/>
  <c r="AV607" i="1"/>
  <c r="AW606" i="1"/>
  <c r="AV606" i="1"/>
  <c r="AW605" i="1"/>
  <c r="AV605" i="1"/>
  <c r="AW604" i="1"/>
  <c r="AV604" i="1"/>
  <c r="AW603" i="1"/>
  <c r="AV603" i="1"/>
  <c r="AW602" i="1"/>
  <c r="AV602" i="1"/>
  <c r="AW601" i="1"/>
  <c r="AV601" i="1"/>
  <c r="AW600" i="1"/>
  <c r="AV600" i="1"/>
  <c r="AW599" i="1"/>
  <c r="AV599" i="1"/>
  <c r="AW598" i="1"/>
  <c r="AV598" i="1"/>
  <c r="AW597" i="1"/>
  <c r="AV597" i="1"/>
  <c r="AW596" i="1"/>
  <c r="AV596" i="1"/>
  <c r="AW595" i="1"/>
  <c r="AV595" i="1"/>
  <c r="AW594" i="1"/>
  <c r="AV594" i="1"/>
  <c r="AU594" i="1"/>
  <c r="AW593" i="1"/>
  <c r="AV593" i="1"/>
  <c r="AU593" i="1"/>
  <c r="AW592" i="1"/>
  <c r="AV592" i="1"/>
  <c r="AW591" i="1"/>
  <c r="AV591" i="1"/>
  <c r="AW590" i="1"/>
  <c r="AV590" i="1"/>
  <c r="AW589" i="1"/>
  <c r="AV589" i="1"/>
  <c r="AW588" i="1"/>
  <c r="AV588" i="1"/>
  <c r="AU588" i="1"/>
  <c r="AW587" i="1"/>
  <c r="AV587" i="1"/>
  <c r="AW586" i="1"/>
  <c r="AV586" i="1"/>
  <c r="AW585" i="1"/>
  <c r="AV585" i="1"/>
  <c r="AW584" i="1"/>
  <c r="AV584" i="1"/>
  <c r="AW583" i="1"/>
  <c r="AV583" i="1"/>
  <c r="AW582" i="1"/>
  <c r="AV582" i="1"/>
  <c r="AW581" i="1"/>
  <c r="AV581" i="1"/>
  <c r="AW580" i="1"/>
  <c r="AV580" i="1"/>
  <c r="AW579" i="1"/>
  <c r="AV579" i="1"/>
  <c r="AW578" i="1"/>
  <c r="AV578" i="1"/>
  <c r="AU578" i="1"/>
  <c r="AW577" i="1"/>
  <c r="AV577" i="1"/>
  <c r="AU577" i="1"/>
  <c r="AW576" i="1"/>
  <c r="AV576" i="1"/>
  <c r="AU576" i="1"/>
  <c r="AW575" i="1"/>
  <c r="AV575" i="1"/>
  <c r="AU575" i="1"/>
  <c r="AW574" i="1"/>
  <c r="AV574" i="1"/>
  <c r="AW573" i="1"/>
  <c r="AV573" i="1"/>
  <c r="AW572" i="1"/>
  <c r="AV572" i="1"/>
  <c r="AU572" i="1"/>
  <c r="AW571" i="1"/>
  <c r="AV571" i="1"/>
  <c r="AU571" i="1"/>
  <c r="AW570" i="1"/>
  <c r="AV570" i="1"/>
  <c r="AW569" i="1"/>
  <c r="AV569" i="1"/>
  <c r="AU569" i="1"/>
  <c r="AW568" i="1"/>
  <c r="AV568" i="1"/>
  <c r="AW567" i="1"/>
  <c r="AV567" i="1"/>
  <c r="AW566" i="1"/>
  <c r="AV566" i="1"/>
  <c r="AW565" i="1"/>
  <c r="AV565" i="1"/>
  <c r="AW564" i="1"/>
  <c r="AV564" i="1"/>
  <c r="AW563" i="1"/>
  <c r="AV563" i="1"/>
  <c r="AW562" i="1"/>
  <c r="AV562" i="1"/>
  <c r="AW561" i="1"/>
  <c r="AV561" i="1"/>
  <c r="AU561" i="1"/>
  <c r="AW560" i="1"/>
  <c r="AV560" i="1"/>
  <c r="AW559" i="1"/>
  <c r="AV559" i="1"/>
  <c r="AU559" i="1"/>
  <c r="AW558" i="1"/>
  <c r="AV558" i="1"/>
  <c r="AW557" i="1"/>
  <c r="AV557" i="1"/>
  <c r="AU557" i="1"/>
  <c r="AW556" i="1"/>
  <c r="AV556" i="1"/>
  <c r="AW555" i="1"/>
  <c r="AV555" i="1"/>
  <c r="AW554" i="1"/>
  <c r="AV554" i="1"/>
  <c r="AW553" i="1"/>
  <c r="AV553" i="1"/>
  <c r="AW552" i="1"/>
  <c r="AV552" i="1"/>
  <c r="AU552" i="1"/>
  <c r="AW551" i="1"/>
  <c r="AV551" i="1"/>
  <c r="AW550" i="1"/>
  <c r="AV550" i="1"/>
  <c r="AW549" i="1"/>
  <c r="AV549" i="1"/>
  <c r="AW548" i="1"/>
  <c r="AV548" i="1"/>
  <c r="AU548" i="1"/>
  <c r="AW547" i="1"/>
  <c r="AV547" i="1"/>
  <c r="AW546" i="1"/>
  <c r="AV546" i="1"/>
  <c r="AU546" i="1"/>
  <c r="AW545" i="1"/>
  <c r="AV545" i="1"/>
  <c r="AU545" i="1"/>
  <c r="AW544" i="1"/>
  <c r="AV544" i="1"/>
  <c r="AU544" i="1"/>
  <c r="AW543" i="1"/>
  <c r="AV543" i="1"/>
  <c r="AW542" i="1"/>
  <c r="AV542" i="1"/>
  <c r="AW541" i="1"/>
  <c r="AV541" i="1"/>
  <c r="AU541" i="1"/>
  <c r="AW540" i="1"/>
  <c r="AV540" i="1"/>
  <c r="AW539" i="1"/>
  <c r="AV539" i="1"/>
  <c r="AW538" i="1"/>
  <c r="AV538" i="1"/>
  <c r="AW537" i="1"/>
  <c r="AV537" i="1"/>
  <c r="AW536" i="1"/>
  <c r="AV536" i="1"/>
  <c r="AW535" i="1"/>
  <c r="AV535" i="1"/>
  <c r="AW534" i="1"/>
  <c r="AV534" i="1"/>
  <c r="AW533" i="1"/>
  <c r="AV533" i="1"/>
  <c r="AW532" i="1"/>
  <c r="AV532" i="1"/>
  <c r="AW531" i="1"/>
  <c r="AV531" i="1"/>
  <c r="AW530" i="1"/>
  <c r="AV530" i="1"/>
  <c r="AW529" i="1"/>
  <c r="AV529" i="1"/>
  <c r="AU529" i="1"/>
  <c r="AW528" i="1"/>
  <c r="AV528" i="1"/>
  <c r="AW527" i="1"/>
  <c r="AV527" i="1"/>
  <c r="AU527" i="1"/>
  <c r="AW526" i="1"/>
  <c r="AV526" i="1"/>
  <c r="AW525" i="1"/>
  <c r="AV525" i="1"/>
  <c r="AW524" i="1"/>
  <c r="AV524" i="1"/>
  <c r="AW523" i="1"/>
  <c r="AV523" i="1"/>
  <c r="AW522" i="1"/>
  <c r="AV522" i="1"/>
  <c r="AW521" i="1"/>
  <c r="AV521" i="1"/>
  <c r="AW520" i="1"/>
  <c r="AV520" i="1"/>
  <c r="AW519" i="1"/>
  <c r="AV519" i="1"/>
  <c r="AW518" i="1"/>
  <c r="AV518" i="1"/>
  <c r="AW517" i="1"/>
  <c r="AV517" i="1"/>
  <c r="AW516" i="1"/>
  <c r="AV516" i="1"/>
  <c r="AU516" i="1"/>
  <c r="AW515" i="1"/>
  <c r="AV515" i="1"/>
  <c r="AW514" i="1"/>
  <c r="AV514" i="1"/>
  <c r="AW513" i="1"/>
  <c r="AV513" i="1"/>
  <c r="AW512" i="1"/>
  <c r="AV512" i="1"/>
  <c r="AW511" i="1"/>
  <c r="AV511" i="1"/>
  <c r="AW510" i="1"/>
  <c r="AV510" i="1"/>
  <c r="AW509" i="1"/>
  <c r="AV509" i="1"/>
  <c r="AW508" i="1"/>
  <c r="AV508" i="1"/>
  <c r="AU508" i="1"/>
  <c r="AW507" i="1"/>
  <c r="AV507" i="1"/>
  <c r="AU507" i="1"/>
  <c r="AW506" i="1"/>
  <c r="AV506" i="1"/>
  <c r="AU506" i="1"/>
  <c r="AW505" i="1"/>
  <c r="AV505" i="1"/>
  <c r="AW504" i="1"/>
  <c r="AV504" i="1"/>
  <c r="AW503" i="1"/>
  <c r="AV503" i="1"/>
  <c r="AW502" i="1"/>
  <c r="AV502" i="1"/>
  <c r="AW501" i="1"/>
  <c r="AV501" i="1"/>
  <c r="AW500" i="1"/>
  <c r="AV500" i="1"/>
  <c r="AU500" i="1"/>
  <c r="AW499" i="1"/>
  <c r="AV499" i="1"/>
  <c r="AW498" i="1"/>
  <c r="AV498" i="1"/>
  <c r="AW497" i="1"/>
  <c r="AV497" i="1"/>
  <c r="AW496" i="1"/>
  <c r="AV496" i="1"/>
  <c r="AW495" i="1"/>
  <c r="AV495" i="1"/>
  <c r="AW494" i="1"/>
  <c r="AV494" i="1"/>
  <c r="AW493" i="1"/>
  <c r="AV493" i="1"/>
  <c r="AW492" i="1"/>
  <c r="AV492" i="1"/>
  <c r="AW491" i="1"/>
  <c r="AV491" i="1"/>
  <c r="AW490" i="1"/>
  <c r="AV490" i="1"/>
  <c r="AW489" i="1"/>
  <c r="AV489" i="1"/>
  <c r="AW488" i="1"/>
  <c r="AV488" i="1"/>
  <c r="AU488" i="1"/>
  <c r="AW487" i="1"/>
  <c r="AV487" i="1"/>
  <c r="AU487" i="1"/>
  <c r="AW486" i="1"/>
  <c r="AV486" i="1"/>
  <c r="AU486" i="1"/>
  <c r="AW485" i="1"/>
  <c r="AV485" i="1"/>
  <c r="AW484" i="1"/>
  <c r="AV484" i="1"/>
  <c r="AW483" i="1"/>
  <c r="AV483" i="1"/>
  <c r="AW482" i="1"/>
  <c r="AV482" i="1"/>
  <c r="AU482" i="1"/>
  <c r="AW481" i="1"/>
  <c r="AV481" i="1"/>
  <c r="AU481" i="1"/>
  <c r="AW480" i="1"/>
  <c r="AV480" i="1"/>
  <c r="AU480" i="1"/>
  <c r="AW479" i="1"/>
  <c r="AV479" i="1"/>
  <c r="AW478" i="1"/>
  <c r="AV478" i="1"/>
  <c r="AW477" i="1"/>
  <c r="AV477" i="1"/>
  <c r="AW476" i="1"/>
  <c r="AV476" i="1"/>
  <c r="AW475" i="1"/>
  <c r="AV475" i="1"/>
  <c r="AU475" i="1"/>
  <c r="AW474" i="1"/>
  <c r="AV474" i="1"/>
  <c r="AU474" i="1"/>
  <c r="AW473" i="1"/>
  <c r="AV473" i="1"/>
  <c r="AU473" i="1"/>
  <c r="AW472" i="1"/>
  <c r="AV472" i="1"/>
  <c r="AU472" i="1"/>
  <c r="AW471" i="1"/>
  <c r="AV471" i="1"/>
  <c r="AW470" i="1"/>
  <c r="AV470" i="1"/>
  <c r="AW469" i="1"/>
  <c r="AV469" i="1"/>
  <c r="AU469" i="1"/>
  <c r="AW468" i="1"/>
  <c r="AV468" i="1"/>
  <c r="AW467" i="1"/>
  <c r="AV467" i="1"/>
  <c r="AW466" i="1"/>
  <c r="AV466" i="1"/>
  <c r="AW465" i="1"/>
  <c r="AV465" i="1"/>
  <c r="AW464" i="1"/>
  <c r="AV464" i="1"/>
  <c r="AW463" i="1"/>
  <c r="AV463" i="1"/>
  <c r="AW462" i="1"/>
  <c r="AV462" i="1"/>
  <c r="AW461" i="1"/>
  <c r="AV461" i="1"/>
  <c r="AW460" i="1"/>
  <c r="AV460" i="1"/>
  <c r="AW459" i="1"/>
  <c r="AV459" i="1"/>
  <c r="AW458" i="1"/>
  <c r="AV458" i="1"/>
  <c r="AW457" i="1"/>
  <c r="AV457" i="1"/>
  <c r="AW456" i="1"/>
  <c r="AV456" i="1"/>
  <c r="AU456" i="1"/>
  <c r="AW455" i="1"/>
  <c r="AV455" i="1"/>
  <c r="AW454" i="1"/>
  <c r="AV454" i="1"/>
  <c r="AW453" i="1"/>
  <c r="AV453" i="1"/>
  <c r="AW452" i="1"/>
  <c r="AV452" i="1"/>
  <c r="AW451" i="1"/>
  <c r="AV451" i="1"/>
  <c r="AW450" i="1"/>
  <c r="AV450" i="1"/>
  <c r="AW449" i="1"/>
  <c r="AV449" i="1"/>
  <c r="AW448" i="1"/>
  <c r="AV448" i="1"/>
  <c r="AW447" i="1"/>
  <c r="AV447" i="1"/>
  <c r="AW446" i="1"/>
  <c r="AV446" i="1"/>
  <c r="AU446" i="1"/>
  <c r="AW445" i="1"/>
  <c r="AV445" i="1"/>
  <c r="AW444" i="1"/>
  <c r="AV444" i="1"/>
  <c r="AU444" i="1"/>
  <c r="AW443" i="1"/>
  <c r="AV443" i="1"/>
  <c r="AU443" i="1"/>
  <c r="AW442" i="1"/>
  <c r="AV442" i="1"/>
  <c r="AU442" i="1"/>
  <c r="AW441" i="1"/>
  <c r="AV441" i="1"/>
  <c r="AU441" i="1"/>
  <c r="AW440" i="1"/>
  <c r="AV440" i="1"/>
  <c r="AW439" i="1"/>
  <c r="AV439" i="1"/>
  <c r="AW438" i="1"/>
  <c r="AV438" i="1"/>
  <c r="AU438" i="1"/>
  <c r="AW437" i="1"/>
  <c r="AV437" i="1"/>
  <c r="AW436" i="1"/>
  <c r="AV436" i="1"/>
  <c r="AU436" i="1"/>
  <c r="AW435" i="1"/>
  <c r="AV435" i="1"/>
  <c r="AU435" i="1"/>
  <c r="AW434" i="1"/>
  <c r="AV434" i="1"/>
  <c r="AW433" i="1"/>
  <c r="AV433" i="1"/>
  <c r="AU433" i="1"/>
  <c r="AW432" i="1"/>
  <c r="AV432" i="1"/>
  <c r="AW431" i="1"/>
  <c r="AV431" i="1"/>
  <c r="AW430" i="1"/>
  <c r="AV430" i="1"/>
  <c r="AW429" i="1"/>
  <c r="AV429" i="1"/>
  <c r="AW428" i="1"/>
  <c r="AV428" i="1"/>
  <c r="AW427" i="1"/>
  <c r="AV427" i="1"/>
  <c r="AW426" i="1"/>
  <c r="AV426" i="1"/>
  <c r="AW425" i="1"/>
  <c r="AV425" i="1"/>
  <c r="AW424" i="1"/>
  <c r="AV424" i="1"/>
  <c r="AW423" i="1"/>
  <c r="AV423" i="1"/>
  <c r="AW422" i="1"/>
  <c r="AV422" i="1"/>
  <c r="AW421" i="1"/>
  <c r="AV421" i="1"/>
  <c r="AU421" i="1"/>
  <c r="AW420" i="1"/>
  <c r="AV420" i="1"/>
  <c r="AW419" i="1"/>
  <c r="AV419" i="1"/>
  <c r="AW418" i="1"/>
  <c r="AV418" i="1"/>
  <c r="AW417" i="1"/>
  <c r="AV417" i="1"/>
  <c r="AW416" i="1"/>
  <c r="AV416" i="1"/>
  <c r="AW415" i="1"/>
  <c r="AV415" i="1"/>
  <c r="AW414" i="1"/>
  <c r="AV414" i="1"/>
  <c r="AW413" i="1"/>
  <c r="AV413" i="1"/>
  <c r="AW412" i="1"/>
  <c r="AV412" i="1"/>
  <c r="AU412" i="1"/>
  <c r="AW411" i="1"/>
  <c r="AV411" i="1"/>
  <c r="AW410" i="1"/>
  <c r="AV410" i="1"/>
  <c r="AU410" i="1"/>
  <c r="AW409" i="1"/>
  <c r="AV409" i="1"/>
  <c r="AW408" i="1"/>
  <c r="AV408" i="1"/>
  <c r="AU408" i="1"/>
  <c r="AW407" i="1"/>
  <c r="AV407" i="1"/>
  <c r="AU407" i="1"/>
  <c r="AW406" i="1"/>
  <c r="AV406" i="1"/>
  <c r="AW405" i="1"/>
  <c r="AV405" i="1"/>
  <c r="AU405" i="1"/>
  <c r="AW404" i="1"/>
  <c r="AV404" i="1"/>
  <c r="AW403" i="1"/>
  <c r="AV403" i="1"/>
  <c r="AU403" i="1"/>
  <c r="AW402" i="1"/>
  <c r="AV402" i="1"/>
  <c r="AU402" i="1"/>
  <c r="AW401" i="1"/>
  <c r="AV401" i="1"/>
  <c r="AW400" i="1"/>
  <c r="AV400" i="1"/>
  <c r="AW399" i="1"/>
  <c r="AV399" i="1"/>
  <c r="AW398" i="1"/>
  <c r="AV398" i="1"/>
  <c r="AU398" i="1"/>
  <c r="AW397" i="1"/>
  <c r="AV397" i="1"/>
  <c r="AU397" i="1"/>
  <c r="AW396" i="1"/>
  <c r="AV396" i="1"/>
  <c r="AW395" i="1"/>
  <c r="AV395" i="1"/>
  <c r="AU395" i="1"/>
  <c r="AW394" i="1"/>
  <c r="AV394" i="1"/>
  <c r="AU394" i="1"/>
  <c r="AW393" i="1"/>
  <c r="AV393" i="1"/>
  <c r="AU393" i="1"/>
  <c r="AW392" i="1"/>
  <c r="AV392" i="1"/>
  <c r="AU392" i="1"/>
  <c r="AW391" i="1"/>
  <c r="AV391" i="1"/>
  <c r="AW390" i="1"/>
  <c r="AV390" i="1"/>
  <c r="AW389" i="1"/>
  <c r="AV389" i="1"/>
  <c r="AW388" i="1"/>
  <c r="AV388" i="1"/>
  <c r="AU388" i="1"/>
  <c r="AW387" i="1"/>
  <c r="AV387" i="1"/>
  <c r="AU387" i="1"/>
  <c r="AW386" i="1"/>
  <c r="AV386" i="1"/>
  <c r="AW385" i="1"/>
  <c r="AV385" i="1"/>
  <c r="AW384" i="1"/>
  <c r="AV384" i="1"/>
  <c r="AW383" i="1"/>
  <c r="AV383" i="1"/>
  <c r="AW382" i="1"/>
  <c r="AV382" i="1"/>
  <c r="AW381" i="1"/>
  <c r="AV381" i="1"/>
  <c r="AU381" i="1"/>
  <c r="AW380" i="1"/>
  <c r="AV380" i="1"/>
  <c r="AU380" i="1"/>
  <c r="AW379" i="1"/>
  <c r="AV379" i="1"/>
  <c r="AU379" i="1"/>
  <c r="AW378" i="1"/>
  <c r="AV378" i="1"/>
  <c r="AU378" i="1"/>
  <c r="AW377" i="1"/>
  <c r="AV377" i="1"/>
  <c r="AU377" i="1"/>
  <c r="AW376" i="1"/>
  <c r="AV376" i="1"/>
  <c r="AU376" i="1"/>
  <c r="AW375" i="1"/>
  <c r="AV375" i="1"/>
  <c r="AU375" i="1"/>
  <c r="AW374" i="1"/>
  <c r="AV374" i="1"/>
  <c r="AU374" i="1"/>
  <c r="AW373" i="1"/>
  <c r="AV373" i="1"/>
  <c r="AU373" i="1"/>
  <c r="AW372" i="1"/>
  <c r="AV372" i="1"/>
  <c r="AU372" i="1"/>
  <c r="AW371" i="1"/>
  <c r="AV371" i="1"/>
  <c r="AU371" i="1"/>
  <c r="AW370" i="1"/>
  <c r="AV370" i="1"/>
  <c r="AU370" i="1"/>
  <c r="AW369" i="1"/>
  <c r="AV369" i="1"/>
  <c r="AU369" i="1"/>
  <c r="AW368" i="1"/>
  <c r="AV368" i="1"/>
  <c r="AU368" i="1"/>
  <c r="AW367" i="1"/>
  <c r="AV367" i="1"/>
  <c r="AU367" i="1"/>
  <c r="AW366" i="1"/>
  <c r="AV366" i="1"/>
  <c r="AU366" i="1"/>
  <c r="AW365" i="1"/>
  <c r="AV365" i="1"/>
  <c r="AU365" i="1"/>
  <c r="AW364" i="1"/>
  <c r="AV364" i="1"/>
  <c r="AU364" i="1"/>
  <c r="AW363" i="1"/>
  <c r="AV363" i="1"/>
  <c r="AU363" i="1"/>
  <c r="AW362" i="1"/>
  <c r="AV362" i="1"/>
  <c r="AU362" i="1"/>
  <c r="AW361" i="1"/>
  <c r="AV361" i="1"/>
  <c r="AU361" i="1"/>
  <c r="AW360" i="1"/>
  <c r="AV360" i="1"/>
  <c r="AW359" i="1"/>
  <c r="AV359" i="1"/>
  <c r="AW358" i="1"/>
  <c r="AV358" i="1"/>
  <c r="AW357" i="1"/>
  <c r="AV357" i="1"/>
  <c r="AW356" i="1"/>
  <c r="AV356" i="1"/>
  <c r="AU356" i="1"/>
  <c r="AW355" i="1"/>
  <c r="AV355" i="1"/>
  <c r="AU355" i="1"/>
  <c r="AW354" i="1"/>
  <c r="AV354" i="1"/>
  <c r="AW353" i="1"/>
  <c r="AV353" i="1"/>
  <c r="AU353" i="1"/>
  <c r="AW352" i="1"/>
  <c r="AV352" i="1"/>
  <c r="AW351" i="1"/>
  <c r="AV351" i="1"/>
  <c r="AU351" i="1"/>
  <c r="AW350" i="1"/>
  <c r="AV350" i="1"/>
  <c r="AU350" i="1"/>
  <c r="AW349" i="1"/>
  <c r="AV349" i="1"/>
  <c r="AW348" i="1"/>
  <c r="AV348" i="1"/>
  <c r="AW347" i="1"/>
  <c r="AV347" i="1"/>
  <c r="AW346" i="1"/>
  <c r="AV346" i="1"/>
  <c r="AW345" i="1"/>
  <c r="AV345" i="1"/>
  <c r="AW344" i="1"/>
  <c r="AV344" i="1"/>
  <c r="AW343" i="1"/>
  <c r="AV343" i="1"/>
  <c r="AU343" i="1"/>
  <c r="AW342" i="1"/>
  <c r="AV342" i="1"/>
  <c r="AU342" i="1"/>
  <c r="AW341" i="1"/>
  <c r="AV341" i="1"/>
  <c r="AU341" i="1"/>
  <c r="AW340" i="1"/>
  <c r="AV340" i="1"/>
  <c r="AU340" i="1"/>
  <c r="AW339" i="1"/>
  <c r="AV339" i="1"/>
  <c r="AW338" i="1"/>
  <c r="AV338" i="1"/>
  <c r="AU338" i="1"/>
  <c r="AW337" i="1"/>
  <c r="AV337" i="1"/>
  <c r="AU337" i="1"/>
  <c r="AW336" i="1"/>
  <c r="AV336" i="1"/>
  <c r="AU336" i="1"/>
  <c r="AW335" i="1"/>
  <c r="AV335" i="1"/>
  <c r="AW334" i="1"/>
  <c r="AV334" i="1"/>
  <c r="AU334" i="1"/>
  <c r="AW333" i="1"/>
  <c r="AV333" i="1"/>
  <c r="AW332" i="1"/>
  <c r="AV332" i="1"/>
  <c r="AW331" i="1"/>
  <c r="AV331" i="1"/>
  <c r="AW330" i="1"/>
  <c r="AV330" i="1"/>
  <c r="AU330" i="1"/>
  <c r="AW329" i="1"/>
  <c r="AV329" i="1"/>
  <c r="AU329" i="1"/>
  <c r="AW328" i="1"/>
  <c r="AV328" i="1"/>
  <c r="AU328" i="1"/>
  <c r="AW327" i="1"/>
  <c r="AV327" i="1"/>
  <c r="AU327" i="1"/>
  <c r="AW326" i="1"/>
  <c r="AV326" i="1"/>
  <c r="AW325" i="1"/>
  <c r="AV325" i="1"/>
  <c r="AW324" i="1"/>
  <c r="AV324" i="1"/>
  <c r="AW323" i="1"/>
  <c r="AV323" i="1"/>
  <c r="AW322" i="1"/>
  <c r="AV322" i="1"/>
  <c r="AU322" i="1"/>
  <c r="AW321" i="1"/>
  <c r="AV321" i="1"/>
  <c r="AW320" i="1"/>
  <c r="AV320" i="1"/>
  <c r="AW319" i="1"/>
  <c r="AV319" i="1"/>
  <c r="AW318" i="1"/>
  <c r="AV318" i="1"/>
  <c r="AW317" i="1"/>
  <c r="AV317" i="1"/>
  <c r="AW316" i="1"/>
  <c r="AV316" i="1"/>
  <c r="AW315" i="1"/>
  <c r="AV315" i="1"/>
  <c r="AW314" i="1"/>
  <c r="AV314" i="1"/>
  <c r="AW313" i="1"/>
  <c r="AV313" i="1"/>
  <c r="AW312" i="1"/>
  <c r="AV312" i="1"/>
  <c r="AU312" i="1"/>
  <c r="AW311" i="1"/>
  <c r="AV311" i="1"/>
  <c r="AU311" i="1"/>
  <c r="AW310" i="1"/>
  <c r="AV310" i="1"/>
  <c r="AU310" i="1"/>
  <c r="AW309" i="1"/>
  <c r="AV309" i="1"/>
  <c r="AU309" i="1"/>
  <c r="AW308" i="1"/>
  <c r="AV308" i="1"/>
  <c r="AU308" i="1"/>
  <c r="AW307" i="1"/>
  <c r="AV307" i="1"/>
  <c r="AW306" i="1"/>
  <c r="AV306" i="1"/>
  <c r="AW305" i="1"/>
  <c r="AV305" i="1"/>
  <c r="AW304" i="1"/>
  <c r="AV304" i="1"/>
  <c r="AW303" i="1"/>
  <c r="AV303" i="1"/>
  <c r="AW302" i="1"/>
  <c r="AV302" i="1"/>
  <c r="AW301" i="1"/>
  <c r="AV301" i="1"/>
  <c r="AW300" i="1"/>
  <c r="AV300" i="1"/>
  <c r="AW299" i="1"/>
  <c r="AV299" i="1"/>
  <c r="AW298" i="1"/>
  <c r="AV298" i="1"/>
  <c r="AU298" i="1"/>
  <c r="AW297" i="1"/>
  <c r="AV297" i="1"/>
  <c r="AU297" i="1"/>
  <c r="AW296" i="1"/>
  <c r="AV296" i="1"/>
  <c r="AU296" i="1"/>
  <c r="AW295" i="1"/>
  <c r="AV295" i="1"/>
  <c r="AU295" i="1"/>
  <c r="AW294" i="1"/>
  <c r="AV294" i="1"/>
  <c r="AW293" i="1"/>
  <c r="AV293" i="1"/>
  <c r="AW292" i="1"/>
  <c r="AV292" i="1"/>
  <c r="AW291" i="1"/>
  <c r="AV291" i="1"/>
  <c r="AW290" i="1"/>
  <c r="AV290" i="1"/>
  <c r="AW289" i="1"/>
  <c r="AV289" i="1"/>
  <c r="AU289" i="1"/>
  <c r="AW288" i="1"/>
  <c r="AV288" i="1"/>
  <c r="AW287" i="1"/>
  <c r="AV287" i="1"/>
  <c r="AW286" i="1"/>
  <c r="AV286" i="1"/>
  <c r="AW285" i="1"/>
  <c r="AV285" i="1"/>
  <c r="AU285" i="1"/>
  <c r="AW284" i="1"/>
  <c r="AV284" i="1"/>
  <c r="AU284" i="1"/>
  <c r="AW283" i="1"/>
  <c r="AV283" i="1"/>
  <c r="AU283" i="1"/>
  <c r="AW282" i="1"/>
  <c r="AV282" i="1"/>
  <c r="AW281" i="1"/>
  <c r="AV281" i="1"/>
  <c r="AW280" i="1"/>
  <c r="AV280" i="1"/>
  <c r="AU280" i="1"/>
  <c r="AW279" i="1"/>
  <c r="AV279" i="1"/>
  <c r="AU279" i="1"/>
  <c r="AW278" i="1"/>
  <c r="AV278" i="1"/>
  <c r="AU278" i="1"/>
  <c r="AW277" i="1"/>
  <c r="AV277" i="1"/>
  <c r="AU277" i="1"/>
  <c r="AW276" i="1"/>
  <c r="AV276" i="1"/>
  <c r="AU276" i="1"/>
  <c r="AW275" i="1"/>
  <c r="AV275" i="1"/>
  <c r="AU275" i="1"/>
  <c r="AW274" i="1"/>
  <c r="AV274" i="1"/>
  <c r="AW273" i="1"/>
  <c r="AV273" i="1"/>
  <c r="AU273" i="1"/>
  <c r="AW272" i="1"/>
  <c r="AV272" i="1"/>
  <c r="AU272" i="1"/>
  <c r="AW271" i="1"/>
  <c r="AV271" i="1"/>
  <c r="AU271" i="1"/>
  <c r="AW270" i="1"/>
  <c r="AV270" i="1"/>
  <c r="AW269" i="1"/>
  <c r="AV269" i="1"/>
  <c r="AW268" i="1"/>
  <c r="AV268" i="1"/>
  <c r="AU268" i="1"/>
  <c r="AW267" i="1"/>
  <c r="AV267" i="1"/>
  <c r="AW266" i="1"/>
  <c r="AV266" i="1"/>
  <c r="AW265" i="1"/>
  <c r="AV265" i="1"/>
  <c r="AU265" i="1"/>
  <c r="AW264" i="1"/>
  <c r="AV264" i="1"/>
  <c r="AW263" i="1"/>
  <c r="AV263" i="1"/>
  <c r="AW262" i="1"/>
  <c r="AV262" i="1"/>
  <c r="AW261" i="1"/>
  <c r="AV261" i="1"/>
  <c r="AW260" i="1"/>
  <c r="AV260" i="1"/>
  <c r="AW259" i="1"/>
  <c r="AV259" i="1"/>
  <c r="AW258" i="1"/>
  <c r="AV258" i="1"/>
  <c r="AW257" i="1"/>
  <c r="AV257" i="1"/>
  <c r="AW256" i="1"/>
  <c r="AV256" i="1"/>
  <c r="AW255" i="1"/>
  <c r="AV255" i="1"/>
  <c r="AW254" i="1"/>
  <c r="AV254" i="1"/>
  <c r="AW253" i="1"/>
  <c r="AV253" i="1"/>
  <c r="AW252" i="1"/>
  <c r="AV252" i="1"/>
  <c r="AU252" i="1"/>
  <c r="AW251" i="1"/>
  <c r="AV251" i="1"/>
  <c r="AU251" i="1"/>
  <c r="AW250" i="1"/>
  <c r="AV250" i="1"/>
  <c r="AU250" i="1"/>
  <c r="AW249" i="1"/>
  <c r="AV249" i="1"/>
  <c r="AU249" i="1"/>
  <c r="AW248" i="1"/>
  <c r="AV248" i="1"/>
  <c r="AW247" i="1"/>
  <c r="AV247" i="1"/>
  <c r="AW246" i="1"/>
  <c r="AV246" i="1"/>
  <c r="AU246" i="1"/>
  <c r="AW245" i="1"/>
  <c r="AV245" i="1"/>
  <c r="AW244" i="1"/>
  <c r="AV244" i="1"/>
  <c r="AW243" i="1"/>
  <c r="AV243" i="1"/>
  <c r="AW242" i="1"/>
  <c r="AV242" i="1"/>
  <c r="AW241" i="1"/>
  <c r="AV241" i="1"/>
  <c r="AW240" i="1"/>
  <c r="AV240" i="1"/>
  <c r="AW239" i="1"/>
  <c r="AV239" i="1"/>
  <c r="AW238" i="1"/>
  <c r="AV238" i="1"/>
  <c r="AW237" i="1"/>
  <c r="AV237" i="1"/>
  <c r="AW236" i="1"/>
  <c r="AV236" i="1"/>
  <c r="AW235" i="1"/>
  <c r="AV235" i="1"/>
  <c r="AW234" i="1"/>
  <c r="AV234" i="1"/>
  <c r="AW233" i="1"/>
  <c r="AV233" i="1"/>
  <c r="AW232" i="1"/>
  <c r="AV232" i="1"/>
  <c r="AW231" i="1"/>
  <c r="AV231" i="1"/>
  <c r="AW230" i="1"/>
  <c r="AV230" i="1"/>
  <c r="AW229" i="1"/>
  <c r="AV229" i="1"/>
  <c r="AU229" i="1"/>
  <c r="AW228" i="1"/>
  <c r="AV228" i="1"/>
  <c r="AW227" i="1"/>
  <c r="AV227" i="1"/>
  <c r="AW226" i="1"/>
  <c r="AV226" i="1"/>
  <c r="AU226" i="1"/>
  <c r="AW225" i="1"/>
  <c r="AV225" i="1"/>
  <c r="AW224" i="1"/>
  <c r="AV224" i="1"/>
  <c r="AW223" i="1"/>
  <c r="AV223" i="1"/>
  <c r="AU223" i="1"/>
  <c r="AW222" i="1"/>
  <c r="AV222" i="1"/>
  <c r="AW221" i="1"/>
  <c r="AV221" i="1"/>
  <c r="AW220" i="1"/>
  <c r="AV220" i="1"/>
  <c r="AW219" i="1"/>
  <c r="AV219" i="1"/>
  <c r="AW218" i="1"/>
  <c r="AV218" i="1"/>
  <c r="AU218" i="1"/>
  <c r="AW217" i="1"/>
  <c r="AV217" i="1"/>
  <c r="AW216" i="1"/>
  <c r="AV216" i="1"/>
  <c r="AW215" i="1"/>
  <c r="AV215" i="1"/>
  <c r="AW214" i="1"/>
  <c r="AV214" i="1"/>
  <c r="AU214" i="1"/>
  <c r="AW213" i="1"/>
  <c r="AV213" i="1"/>
  <c r="AW212" i="1"/>
  <c r="AV212" i="1"/>
  <c r="AW211" i="1"/>
  <c r="AV211" i="1"/>
  <c r="AU211" i="1"/>
  <c r="AW210" i="1"/>
  <c r="AV210" i="1"/>
  <c r="AU210" i="1"/>
  <c r="AW209" i="1"/>
  <c r="AV209" i="1"/>
  <c r="AU209" i="1"/>
  <c r="AW208" i="1"/>
  <c r="AV208" i="1"/>
  <c r="AW207" i="1"/>
  <c r="AV207" i="1"/>
  <c r="AW206" i="1"/>
  <c r="AV206" i="1"/>
  <c r="AW205" i="1"/>
  <c r="AV205" i="1"/>
  <c r="AW204" i="1"/>
  <c r="AV204" i="1"/>
  <c r="AW203" i="1"/>
  <c r="AV203" i="1"/>
  <c r="AU203" i="1"/>
  <c r="AW202" i="1"/>
  <c r="AV202" i="1"/>
  <c r="AU202" i="1"/>
  <c r="AW201" i="1"/>
  <c r="AV201" i="1"/>
  <c r="AU201" i="1"/>
  <c r="AW200" i="1"/>
  <c r="AV200" i="1"/>
  <c r="AU200" i="1"/>
  <c r="AW199" i="1"/>
  <c r="AV199" i="1"/>
  <c r="AW198" i="1"/>
  <c r="AV198" i="1"/>
  <c r="AW197" i="1"/>
  <c r="AV197" i="1"/>
  <c r="AW196" i="1"/>
  <c r="AV196" i="1"/>
  <c r="AW195" i="1"/>
  <c r="AV195" i="1"/>
  <c r="AW194" i="1"/>
  <c r="AV194" i="1"/>
  <c r="AU194" i="1"/>
  <c r="AW193" i="1"/>
  <c r="AV193" i="1"/>
  <c r="AW192" i="1"/>
  <c r="AV192" i="1"/>
  <c r="AW191" i="1"/>
  <c r="AV191" i="1"/>
  <c r="AU191" i="1"/>
  <c r="AW190" i="1"/>
  <c r="AV190" i="1"/>
  <c r="AU190" i="1"/>
  <c r="AW189" i="1"/>
  <c r="AV189" i="1"/>
  <c r="AU189" i="1"/>
  <c r="AW188" i="1"/>
  <c r="AV188" i="1"/>
  <c r="AU188" i="1"/>
  <c r="AW187" i="1"/>
  <c r="AV187" i="1"/>
  <c r="AU187" i="1"/>
  <c r="AW186" i="1"/>
  <c r="AV186" i="1"/>
  <c r="AU186" i="1"/>
  <c r="AW185" i="1"/>
  <c r="AV185" i="1"/>
  <c r="AW184" i="1"/>
  <c r="AV184" i="1"/>
  <c r="AU184" i="1"/>
  <c r="AW183" i="1"/>
  <c r="AV183" i="1"/>
  <c r="AW182" i="1"/>
  <c r="AV182" i="1"/>
  <c r="AW181" i="1"/>
  <c r="AV181" i="1"/>
  <c r="AW180" i="1"/>
  <c r="AV180" i="1"/>
  <c r="AW179" i="1"/>
  <c r="AV179" i="1"/>
  <c r="AW178" i="1"/>
  <c r="AV178" i="1"/>
  <c r="AW177" i="1"/>
  <c r="AV177" i="1"/>
  <c r="AW176" i="1"/>
  <c r="AV176" i="1"/>
  <c r="AW175" i="1"/>
  <c r="AV175" i="1"/>
  <c r="AW174" i="1"/>
  <c r="AV174" i="1"/>
  <c r="AW173" i="1"/>
  <c r="AV173" i="1"/>
  <c r="AW172" i="1"/>
  <c r="AV172" i="1"/>
  <c r="AW171" i="1"/>
  <c r="AV171" i="1"/>
  <c r="AW170" i="1"/>
  <c r="AV170" i="1"/>
  <c r="AW169" i="1"/>
  <c r="AV169" i="1"/>
  <c r="AW168" i="1"/>
  <c r="AV168" i="1"/>
  <c r="AW167" i="1"/>
  <c r="AV167" i="1"/>
  <c r="AW166" i="1"/>
  <c r="AV166" i="1"/>
  <c r="AU166" i="1"/>
  <c r="AW165" i="1"/>
  <c r="AV165" i="1"/>
  <c r="AU165" i="1"/>
  <c r="AW164" i="1"/>
  <c r="AV164" i="1"/>
  <c r="AW163" i="1"/>
  <c r="AV163" i="1"/>
  <c r="AW162" i="1"/>
  <c r="AV162" i="1"/>
  <c r="AW161" i="1"/>
  <c r="AV161" i="1"/>
  <c r="AU161" i="1"/>
  <c r="AW160" i="1"/>
  <c r="AV160" i="1"/>
  <c r="AW159" i="1"/>
  <c r="AV159" i="1"/>
  <c r="AW158" i="1"/>
  <c r="AV158" i="1"/>
  <c r="AW157" i="1"/>
  <c r="AV157" i="1"/>
  <c r="AU157" i="1"/>
  <c r="AW156" i="1"/>
  <c r="AV156" i="1"/>
  <c r="AW155" i="1"/>
  <c r="AV155" i="1"/>
  <c r="AU155" i="1"/>
  <c r="AW154" i="1"/>
  <c r="AV154" i="1"/>
  <c r="AW153" i="1"/>
  <c r="AV153" i="1"/>
  <c r="AW152" i="1"/>
  <c r="AV152" i="1"/>
  <c r="AW151" i="1"/>
  <c r="AV151" i="1"/>
  <c r="AW150" i="1"/>
  <c r="AV150" i="1"/>
  <c r="AU150" i="1"/>
  <c r="AW149" i="1"/>
  <c r="AV149" i="1"/>
  <c r="AU149" i="1"/>
  <c r="AW148" i="1"/>
  <c r="AV148" i="1"/>
  <c r="AW147" i="1"/>
  <c r="AV147" i="1"/>
  <c r="AW146" i="1"/>
  <c r="AV146" i="1"/>
  <c r="AW145" i="1"/>
  <c r="AV145" i="1"/>
  <c r="AU145" i="1"/>
  <c r="AW144" i="1"/>
  <c r="AV144" i="1"/>
  <c r="AW143" i="1"/>
  <c r="AV143" i="1"/>
  <c r="AW142" i="1"/>
  <c r="AV142" i="1"/>
  <c r="AW141" i="1"/>
  <c r="AV141" i="1"/>
  <c r="AW140" i="1"/>
  <c r="AV140" i="1"/>
  <c r="AW139" i="1"/>
  <c r="AV139" i="1"/>
  <c r="AW138" i="1"/>
  <c r="AV138" i="1"/>
  <c r="AW137" i="1"/>
  <c r="AV137" i="1"/>
  <c r="AW136" i="1"/>
  <c r="AV136" i="1"/>
  <c r="AW135" i="1"/>
  <c r="AV135" i="1"/>
  <c r="AU135" i="1"/>
  <c r="AW134" i="1"/>
  <c r="AV134" i="1"/>
  <c r="AU134" i="1"/>
  <c r="AW133" i="1"/>
  <c r="AV133" i="1"/>
  <c r="AU133" i="1"/>
  <c r="AW132" i="1"/>
  <c r="AV132" i="1"/>
  <c r="AW131" i="1"/>
  <c r="AV131" i="1"/>
  <c r="AW130" i="1"/>
  <c r="AV130" i="1"/>
  <c r="AW129" i="1"/>
  <c r="AV129" i="1"/>
  <c r="AW128" i="1"/>
  <c r="AV128" i="1"/>
  <c r="AW127" i="1"/>
  <c r="AV127" i="1"/>
  <c r="AU127" i="1"/>
  <c r="AW126" i="1"/>
  <c r="AV126" i="1"/>
  <c r="AW125" i="1"/>
  <c r="AV125" i="1"/>
  <c r="AW124" i="1"/>
  <c r="AV124" i="1"/>
  <c r="AW123" i="1"/>
  <c r="AV123" i="1"/>
  <c r="AW122" i="1"/>
  <c r="AV122" i="1"/>
  <c r="AU122" i="1"/>
  <c r="AW121" i="1"/>
  <c r="AV121" i="1"/>
  <c r="AU121" i="1"/>
  <c r="AW120" i="1"/>
  <c r="AV120" i="1"/>
  <c r="AW119" i="1"/>
  <c r="AV119" i="1"/>
  <c r="AW118" i="1"/>
  <c r="AV118" i="1"/>
  <c r="AW117" i="1"/>
  <c r="AV117" i="1"/>
  <c r="AW116" i="1"/>
  <c r="AV116" i="1"/>
  <c r="AW115" i="1"/>
  <c r="AV115" i="1"/>
  <c r="AW114" i="1"/>
  <c r="AV114" i="1"/>
  <c r="AU114" i="1"/>
  <c r="AW113" i="1"/>
  <c r="AV113" i="1"/>
  <c r="AU113" i="1"/>
  <c r="AW112" i="1"/>
  <c r="AV112" i="1"/>
  <c r="AW111" i="1"/>
  <c r="AV111" i="1"/>
  <c r="AW110" i="1"/>
  <c r="AV110" i="1"/>
  <c r="AW109" i="1"/>
  <c r="AV109" i="1"/>
  <c r="AW108" i="1"/>
  <c r="AV108" i="1"/>
  <c r="AW107" i="1"/>
  <c r="AV107" i="1"/>
  <c r="AW106" i="1"/>
  <c r="AV106" i="1"/>
  <c r="AW105" i="1"/>
  <c r="AV105" i="1"/>
  <c r="AW104" i="1"/>
  <c r="AV104" i="1"/>
  <c r="AW103" i="1"/>
  <c r="AV103" i="1"/>
  <c r="AW102" i="1"/>
  <c r="AV102" i="1"/>
  <c r="AU102" i="1"/>
  <c r="AW101" i="1"/>
  <c r="AV101" i="1"/>
  <c r="AU101" i="1"/>
  <c r="AW100" i="1"/>
  <c r="AV100" i="1"/>
  <c r="AW99" i="1"/>
  <c r="AV99" i="1"/>
  <c r="AW98" i="1"/>
  <c r="AV98" i="1"/>
  <c r="AW97" i="1"/>
  <c r="AV97" i="1"/>
  <c r="AU97" i="1"/>
  <c r="AW96" i="1"/>
  <c r="AV96" i="1"/>
  <c r="AU96" i="1"/>
  <c r="AW95" i="1"/>
  <c r="AV95" i="1"/>
  <c r="AW94" i="1"/>
  <c r="AV94" i="1"/>
  <c r="AW93" i="1"/>
  <c r="AV93" i="1"/>
  <c r="AW92" i="1"/>
  <c r="AV92" i="1"/>
  <c r="AW91" i="1"/>
  <c r="AV91" i="1"/>
  <c r="AU91" i="1"/>
  <c r="AW90" i="1"/>
  <c r="AV90" i="1"/>
  <c r="AW89" i="1"/>
  <c r="AV89" i="1"/>
  <c r="AU89" i="1"/>
  <c r="AW88" i="1"/>
  <c r="AV88" i="1"/>
  <c r="AW87" i="1"/>
  <c r="AV87" i="1"/>
  <c r="AU87" i="1"/>
  <c r="AW86" i="1"/>
  <c r="AV86" i="1"/>
  <c r="AW85" i="1"/>
  <c r="AV85" i="1"/>
  <c r="AU85" i="1"/>
  <c r="AW84" i="1"/>
  <c r="AV84" i="1"/>
  <c r="AW83" i="1"/>
  <c r="AV83" i="1"/>
  <c r="AW82" i="1"/>
  <c r="AV82" i="1"/>
  <c r="AW81" i="1"/>
  <c r="AV81" i="1"/>
  <c r="AW80" i="1"/>
  <c r="AV80" i="1"/>
  <c r="AU80" i="1"/>
  <c r="AW79" i="1"/>
  <c r="AV79" i="1"/>
  <c r="AW78" i="1"/>
  <c r="AV78" i="1"/>
  <c r="AU78" i="1"/>
  <c r="AW77" i="1"/>
  <c r="AV77" i="1"/>
  <c r="AW76" i="1"/>
  <c r="AV76" i="1"/>
  <c r="AW75" i="1"/>
  <c r="AV75" i="1"/>
  <c r="AW74" i="1"/>
  <c r="AV74" i="1"/>
  <c r="AU74" i="1"/>
  <c r="AW73" i="1"/>
  <c r="AV73" i="1"/>
  <c r="AW72" i="1"/>
  <c r="AV72" i="1"/>
  <c r="AU72" i="1"/>
  <c r="AW71" i="1"/>
  <c r="AV71" i="1"/>
  <c r="AU71" i="1"/>
  <c r="AW70" i="1"/>
  <c r="AV70" i="1"/>
  <c r="AW69" i="1"/>
  <c r="AV69" i="1"/>
  <c r="AW68" i="1"/>
  <c r="AV68" i="1"/>
  <c r="AW67" i="1"/>
  <c r="AV67" i="1"/>
  <c r="AW66" i="1"/>
  <c r="AV66" i="1"/>
  <c r="AW65" i="1"/>
  <c r="AV65" i="1"/>
  <c r="AW64" i="1"/>
  <c r="AV64" i="1"/>
  <c r="AW63" i="1"/>
  <c r="AV63" i="1"/>
  <c r="AW62" i="1"/>
  <c r="AV62" i="1"/>
  <c r="AU62" i="1"/>
  <c r="AW61" i="1"/>
  <c r="AV61" i="1"/>
  <c r="AU61" i="1"/>
  <c r="AW60" i="1"/>
  <c r="AV60" i="1"/>
  <c r="AU60" i="1"/>
  <c r="AW59" i="1"/>
  <c r="AV59" i="1"/>
  <c r="AW58" i="1"/>
  <c r="AV58" i="1"/>
  <c r="AW57" i="1"/>
  <c r="AV57" i="1"/>
  <c r="AW56" i="1"/>
  <c r="AV56" i="1"/>
  <c r="AW55" i="1"/>
  <c r="AV55" i="1"/>
  <c r="AW54" i="1"/>
  <c r="AV54" i="1"/>
  <c r="AW53" i="1"/>
  <c r="AV53" i="1"/>
  <c r="AW52" i="1"/>
  <c r="AV52" i="1"/>
  <c r="AW51" i="1"/>
  <c r="AV51" i="1"/>
  <c r="AU51" i="1"/>
  <c r="AW50" i="1"/>
  <c r="AV50" i="1"/>
  <c r="AW49" i="1"/>
  <c r="AV49" i="1"/>
  <c r="AW48" i="1"/>
  <c r="AV48" i="1"/>
  <c r="AW47" i="1"/>
  <c r="AV47" i="1"/>
  <c r="AU47" i="1"/>
  <c r="AW46" i="1"/>
  <c r="AV46" i="1"/>
  <c r="AW45" i="1"/>
  <c r="AV45" i="1"/>
  <c r="AW44" i="1"/>
  <c r="AV44" i="1"/>
  <c r="AW43" i="1"/>
  <c r="AV43" i="1"/>
  <c r="AW42" i="1"/>
  <c r="AV42" i="1"/>
  <c r="AW41" i="1"/>
  <c r="AV41" i="1"/>
  <c r="AW40" i="1"/>
  <c r="AV40" i="1"/>
  <c r="AW39" i="1"/>
  <c r="AV39" i="1"/>
  <c r="AW38" i="1"/>
  <c r="AV38" i="1"/>
  <c r="AW37" i="1"/>
  <c r="AV37" i="1"/>
  <c r="AW36" i="1"/>
  <c r="AV36" i="1"/>
  <c r="AW35" i="1"/>
  <c r="AV35" i="1"/>
  <c r="AW34" i="1"/>
  <c r="AV34" i="1"/>
  <c r="AW33" i="1"/>
  <c r="AV33" i="1"/>
  <c r="AW32" i="1"/>
  <c r="AV32" i="1"/>
  <c r="AW31" i="1"/>
  <c r="AV31" i="1"/>
  <c r="AW30" i="1"/>
  <c r="AV30" i="1"/>
  <c r="AW29" i="1"/>
  <c r="AV29" i="1"/>
  <c r="AU29" i="1"/>
  <c r="AW28" i="1"/>
  <c r="AV28" i="1"/>
  <c r="AU28" i="1"/>
  <c r="AW27" i="1"/>
  <c r="AV27" i="1"/>
  <c r="AW26" i="1"/>
  <c r="AV26" i="1"/>
  <c r="AU26" i="1"/>
  <c r="AW25" i="1"/>
  <c r="AV25" i="1"/>
  <c r="AU25" i="1"/>
  <c r="AW24" i="1"/>
  <c r="AV24" i="1"/>
  <c r="AW23" i="1"/>
  <c r="AV23" i="1"/>
  <c r="AW22" i="1"/>
  <c r="AV22" i="1"/>
  <c r="AU22" i="1"/>
  <c r="AW21" i="1"/>
  <c r="AV21" i="1"/>
  <c r="AU21" i="1"/>
  <c r="AW20" i="1"/>
  <c r="AV20" i="1"/>
  <c r="AW19" i="1"/>
  <c r="AV19" i="1"/>
  <c r="AW18" i="1"/>
  <c r="AV18" i="1"/>
  <c r="AU18" i="1"/>
  <c r="AW17" i="1"/>
  <c r="AV17" i="1"/>
  <c r="AW16" i="1"/>
  <c r="AV16" i="1"/>
  <c r="AU16" i="1"/>
  <c r="AW15" i="1"/>
  <c r="AV15" i="1"/>
  <c r="AW14" i="1"/>
  <c r="AV14" i="1"/>
  <c r="AW13" i="1"/>
  <c r="AV13" i="1"/>
  <c r="AW12" i="1"/>
  <c r="AV12" i="1"/>
  <c r="AU12" i="1"/>
  <c r="AW11" i="1"/>
  <c r="AV11" i="1"/>
  <c r="AU11" i="1"/>
  <c r="AW10" i="1"/>
  <c r="AV10" i="1"/>
  <c r="AW9" i="1"/>
  <c r="AV9" i="1"/>
  <c r="AU9" i="1"/>
  <c r="AW8" i="1"/>
  <c r="AV8" i="1"/>
  <c r="AU8" i="1"/>
  <c r="AW7" i="1"/>
  <c r="AV7" i="1"/>
  <c r="AW6" i="1"/>
  <c r="AV6" i="1"/>
  <c r="AW5" i="1"/>
  <c r="AV5" i="1"/>
  <c r="AW4" i="1"/>
  <c r="AV4" i="1"/>
  <c r="AU4" i="1"/>
  <c r="AW3" i="1"/>
  <c r="AV3" i="1"/>
  <c r="AW2" i="1"/>
  <c r="AV2" i="1"/>
</calcChain>
</file>

<file path=xl/sharedStrings.xml><?xml version="1.0" encoding="utf-8"?>
<sst xmlns="http://schemas.openxmlformats.org/spreadsheetml/2006/main" count="70204" uniqueCount="23504">
  <si>
    <t>Collection Code</t>
  </si>
  <si>
    <t>Location Code</t>
  </si>
  <si>
    <t>Display Call Number</t>
  </si>
  <si>
    <t>Display Call Number Normalized</t>
  </si>
  <si>
    <t>Title</t>
  </si>
  <si>
    <t>Enumeration</t>
  </si>
  <si>
    <t>Possible Multi-Volume Set</t>
  </si>
  <si>
    <t>Copy Number</t>
  </si>
  <si>
    <t>Possible Duplicate</t>
  </si>
  <si>
    <t>Multi-Edition Title</t>
  </si>
  <si>
    <t>Number of Related Ebooks</t>
  </si>
  <si>
    <t>Author</t>
  </si>
  <si>
    <t>Publisher</t>
  </si>
  <si>
    <t>Publication Year</t>
  </si>
  <si>
    <t>Edition</t>
  </si>
  <si>
    <t>Primary Language</t>
  </si>
  <si>
    <t>Series</t>
  </si>
  <si>
    <t>LC Subclass</t>
  </si>
  <si>
    <t>Recorded Uses - Item</t>
  </si>
  <si>
    <t>Recorded Uses - Title</t>
  </si>
  <si>
    <t>Last Charge Date - Item</t>
  </si>
  <si>
    <t>Last Charge Date - Title</t>
  </si>
  <si>
    <t>Last Add Date - Item</t>
  </si>
  <si>
    <t>Last Add Date - Title</t>
  </si>
  <si>
    <t>Global Holdings - Same Edition</t>
  </si>
  <si>
    <t>Canada Holdings - Same Edition</t>
  </si>
  <si>
    <t>Canada Holdings - Any Edition</t>
  </si>
  <si>
    <t>Quebec Holdings - Same Edition</t>
  </si>
  <si>
    <t>Quebec Holdings - Any Edition</t>
  </si>
  <si>
    <t>All Comparator Library Holdings - Same Edition</t>
  </si>
  <si>
    <t>All Comparator Library Holdings - Any Edition</t>
  </si>
  <si>
    <t>BCI - Same Edition</t>
  </si>
  <si>
    <t>BCI - Any Edition</t>
  </si>
  <si>
    <t>ARL Libraries - Same Edition</t>
  </si>
  <si>
    <t>ARL Libraries - Any Edition</t>
  </si>
  <si>
    <t>CARL - Same Edition</t>
  </si>
  <si>
    <t>CARL - Any Edition</t>
  </si>
  <si>
    <t>AAU - Same Edition</t>
  </si>
  <si>
    <t>AAU - Any Edition</t>
  </si>
  <si>
    <t>HathiTrust Retention Commitments - Same Edition</t>
  </si>
  <si>
    <t>HathiTrust Retention Commitments - Any Edition</t>
  </si>
  <si>
    <t>CRKN - Same Edition</t>
  </si>
  <si>
    <t>CRKN - Any Edition</t>
  </si>
  <si>
    <t>Published in Canada</t>
  </si>
  <si>
    <t>HathiTrust Public Domain</t>
  </si>
  <si>
    <t>HathiTrust In Copyright</t>
  </si>
  <si>
    <t>HathiTrust URL</t>
  </si>
  <si>
    <t>OPAC URL</t>
  </si>
  <si>
    <t>WorldCat URL</t>
  </si>
  <si>
    <t>OCLC Work ID</t>
  </si>
  <si>
    <t>WorldCat OCLC Number</t>
  </si>
  <si>
    <t>Bib Record Number</t>
  </si>
  <si>
    <t>Bib Control Number</t>
  </si>
  <si>
    <t>Item Control Number</t>
  </si>
  <si>
    <t>Item Type Code</t>
  </si>
  <si>
    <t>Item Status Code</t>
  </si>
  <si>
    <t>ISBN</t>
  </si>
  <si>
    <t>Barcode</t>
  </si>
  <si>
    <t>SCS Item ID</t>
  </si>
  <si>
    <t>LGGG</t>
  </si>
  <si>
    <t>- Blackader-Lauterman Collection - Regular Loan</t>
  </si>
  <si>
    <t>U13 C32 O86 2006</t>
  </si>
  <si>
    <t>0                      U  0013000C  32                 O  86          2006</t>
  </si>
  <si>
    <t>In search of a soul : designing and realizing the new Canadian War Museum / Raymond Moriyama.</t>
  </si>
  <si>
    <t>No</t>
  </si>
  <si>
    <t>0</t>
  </si>
  <si>
    <t>Moriyama, Raymond.</t>
  </si>
  <si>
    <t>Vancouver : Douglas &amp; McIntyre, c2006.</t>
  </si>
  <si>
    <t>2006</t>
  </si>
  <si>
    <t>eng</t>
  </si>
  <si>
    <t xml:space="preserve">U  </t>
  </si>
  <si>
    <t>2016-11-03</t>
  </si>
  <si>
    <t>2019-02-02</t>
  </si>
  <si>
    <t>Yes</t>
  </si>
  <si>
    <t>196798592:eng</t>
  </si>
  <si>
    <t>65206207</t>
  </si>
  <si>
    <t>ocm65206207</t>
  </si>
  <si>
    <t>3102552117K</t>
  </si>
  <si>
    <t>Book</t>
  </si>
  <si>
    <t>AVAILABLE</t>
  </si>
  <si>
    <t>9781553652076</t>
  </si>
  <si>
    <t>794133431</t>
  </si>
  <si>
    <t>U13 C32 O89 2015</t>
  </si>
  <si>
    <t>0                      U  0013000C  32                 O  89          2015</t>
  </si>
  <si>
    <t>The legacy document : Canadian War Museum / Raymond Moriyama.</t>
  </si>
  <si>
    <t>Moriyama, Raymond, author.</t>
  </si>
  <si>
    <t>Ottawa, Ontario : Canadian War Museum, 2015.</t>
  </si>
  <si>
    <t>2015</t>
  </si>
  <si>
    <t>3103704725:eng</t>
  </si>
  <si>
    <t>928680379</t>
  </si>
  <si>
    <t>ocn928680379</t>
  </si>
  <si>
    <t>3103658379P</t>
  </si>
  <si>
    <t>9780660033983</t>
  </si>
  <si>
    <t>795006340</t>
  </si>
  <si>
    <t>- Main Collection - Regular Loan</t>
  </si>
  <si>
    <t>U19 E49 1959</t>
  </si>
  <si>
    <t>0                      U  0019000E  49          1959</t>
  </si>
  <si>
    <t>Engels as military critic; articles reprinted from the Volunteer Journal and the Manchester Guardian of the 1860s. With an introd. by W.H. Chaloner and W.O. Henderson.</t>
  </si>
  <si>
    <t>Engels, Friedrich, 1820-1895.</t>
  </si>
  <si>
    <t>[Manchester, Eng.] Manchester University Press [©1959]</t>
  </si>
  <si>
    <t>1959</t>
  </si>
  <si>
    <t>2015-03-09</t>
  </si>
  <si>
    <t>1659269:eng</t>
  </si>
  <si>
    <t>567771</t>
  </si>
  <si>
    <t>ocm00567771</t>
  </si>
  <si>
    <t>3103046523I</t>
  </si>
  <si>
    <t>791416835</t>
  </si>
  <si>
    <t>U19 F35 1941</t>
  </si>
  <si>
    <t>0                      U  0019000F  35          1941</t>
  </si>
  <si>
    <t>The nature of modern warfare / by Cyril Falls; with an introduction by Major George Fielding Eliot.</t>
  </si>
  <si>
    <t>Falls, Cyril Bentham, 1888-</t>
  </si>
  <si>
    <t>London Methuen 1941.</t>
  </si>
  <si>
    <t>1941</t>
  </si>
  <si>
    <t>2d ed.</t>
  </si>
  <si>
    <t>Lees Knowles lectures, 1941</t>
  </si>
  <si>
    <t>2015-07-07</t>
  </si>
  <si>
    <t>1437782:eng</t>
  </si>
  <si>
    <t>270651098</t>
  </si>
  <si>
    <t>ocn270651098</t>
  </si>
  <si>
    <t>31002492107</t>
  </si>
  <si>
    <t>794411240</t>
  </si>
  <si>
    <t>U20 K58 2015</t>
  </si>
  <si>
    <t>0                      U  0020000K  58          2015</t>
  </si>
  <si>
    <t>The comic art of war : a critical study of military cartoons, 1805-2014, with a guide to artists / Christina M. Knopf.</t>
  </si>
  <si>
    <t>Knopf, Christina M., 1980-</t>
  </si>
  <si>
    <t>Jefferson, North Carolina : McFarland &amp; Company, Inc., Publishers, 2015.</t>
  </si>
  <si>
    <t>2598786060:eng</t>
  </si>
  <si>
    <t>900306760</t>
  </si>
  <si>
    <t>ocn900306760</t>
  </si>
  <si>
    <t>31035836930</t>
  </si>
  <si>
    <t>9780786498352</t>
  </si>
  <si>
    <t>794987364</t>
  </si>
  <si>
    <t>U21 B58 2000</t>
  </si>
  <si>
    <t>0                      U  0021000B  58          2000</t>
  </si>
  <si>
    <t>The book of war / introduction by Ralph Peters.</t>
  </si>
  <si>
    <t>New York : Modern Library, 2000.</t>
  </si>
  <si>
    <t>2000</t>
  </si>
  <si>
    <t>2017-11-13</t>
  </si>
  <si>
    <t>411025350:eng</t>
  </si>
  <si>
    <t>42475643</t>
  </si>
  <si>
    <t>ocm42475643</t>
  </si>
  <si>
    <t>3102092293H</t>
  </si>
  <si>
    <t>9780375754777</t>
  </si>
  <si>
    <t>793608317</t>
  </si>
  <si>
    <t>U21 B637</t>
  </si>
  <si>
    <t>0                      U  0021000B  637</t>
  </si>
  <si>
    <t>War : studies from psychology, sociology, anthropology / edited by Leon Bramson and George W. Goethals.</t>
  </si>
  <si>
    <t>New York : Basic Books, [1964]</t>
  </si>
  <si>
    <t>1964</t>
  </si>
  <si>
    <t>2016-11-09</t>
  </si>
  <si>
    <t>1574889:eng</t>
  </si>
  <si>
    <t>567776</t>
  </si>
  <si>
    <t>ocm00567776</t>
  </si>
  <si>
    <t>3103592739Y</t>
  </si>
  <si>
    <t>791416837</t>
  </si>
  <si>
    <t>U21 C475 t. 1</t>
  </si>
  <si>
    <t>0                      U  0021000C  475                                                     t. 1</t>
  </si>
  <si>
    <t>Convulsions de la force.</t>
  </si>
  <si>
    <t>t. 1*</t>
  </si>
  <si>
    <t>Alain, 1868-1951.</t>
  </si>
  <si>
    <t>Paris, Gallimard [1939]</t>
  </si>
  <si>
    <t>1939</t>
  </si>
  <si>
    <t>fre</t>
  </si>
  <si>
    <t>His Suite à Mars. [I]</t>
  </si>
  <si>
    <t>2018-09-04</t>
  </si>
  <si>
    <t>3768423550:fre</t>
  </si>
  <si>
    <t>1497198</t>
  </si>
  <si>
    <t>ocm01497198</t>
  </si>
  <si>
    <t>3000406241V</t>
  </si>
  <si>
    <t>791674984</t>
  </si>
  <si>
    <t>U21 F68 2014</t>
  </si>
  <si>
    <t>0                      U  0021000F  68          2014</t>
  </si>
  <si>
    <t>War against war! / Ernst Friedrich ; with a foreword by Bruce Kent.</t>
  </si>
  <si>
    <t>Friedrich, Ernst, author.</t>
  </si>
  <si>
    <t>Nottingham, England : Spokesman, 2014.</t>
  </si>
  <si>
    <t>2014</t>
  </si>
  <si>
    <t>Facsimile edition.</t>
  </si>
  <si>
    <t>2018-02-24</t>
  </si>
  <si>
    <t>10264470:eng</t>
  </si>
  <si>
    <t>883483758</t>
  </si>
  <si>
    <t>ocn883483758</t>
  </si>
  <si>
    <t>31036082363</t>
  </si>
  <si>
    <t>9780851248318</t>
  </si>
  <si>
    <t>794975622</t>
  </si>
  <si>
    <t>U21 G313</t>
  </si>
  <si>
    <t>0                      U  0021000G  313</t>
  </si>
  <si>
    <t>The edge of the sword / Charles de Gaulle ; translated from the French by Gerard Hopkins.</t>
  </si>
  <si>
    <t>Gaulle, Charles de, 1890-1970.</t>
  </si>
  <si>
    <t>New York : Criterion Books, ©1960.</t>
  </si>
  <si>
    <t>1960</t>
  </si>
  <si>
    <t>2015-12-22</t>
  </si>
  <si>
    <t>348599140:eng</t>
  </si>
  <si>
    <t>567816</t>
  </si>
  <si>
    <t>ocm00567816</t>
  </si>
  <si>
    <t>3001012131Z</t>
  </si>
  <si>
    <t>791416849</t>
  </si>
  <si>
    <t>U21 G758 1970</t>
  </si>
  <si>
    <t>0                      U  0021000G  758         1970</t>
  </si>
  <si>
    <t>O voennoĭ dei︠a︡telʹnosti V.I. Lenina.</t>
  </si>
  <si>
    <t>Grinishin, Danil Maksimovich.</t>
  </si>
  <si>
    <t>Kiev, Izd. Kievskogo un-ta, 1970.</t>
  </si>
  <si>
    <t>1970</t>
  </si>
  <si>
    <t>rus</t>
  </si>
  <si>
    <t>2016-06-23</t>
  </si>
  <si>
    <t>43148640:rus</t>
  </si>
  <si>
    <t>9564218</t>
  </si>
  <si>
    <t>ocm09564218</t>
  </si>
  <si>
    <t>31002492115</t>
  </si>
  <si>
    <t>792682308</t>
  </si>
  <si>
    <t>U21 L524 2010</t>
  </si>
  <si>
    <t>0                      U  0021000L  524         2010</t>
  </si>
  <si>
    <t>Nothing less than victory : decisive wars and the lessons of history / John David Lewis.</t>
  </si>
  <si>
    <t>Lewis, John, 1955-2012.</t>
  </si>
  <si>
    <t>Princeton : Princeton University Press, 2010.</t>
  </si>
  <si>
    <t>2010</t>
  </si>
  <si>
    <t>2014-04-05</t>
  </si>
  <si>
    <t>457863195:eng</t>
  </si>
  <si>
    <t>406945805</t>
  </si>
  <si>
    <t>ocn406945805</t>
  </si>
  <si>
    <t>31031564622</t>
  </si>
  <si>
    <t>9780691135182</t>
  </si>
  <si>
    <t>794499931</t>
  </si>
  <si>
    <t>U21.2 A74 1997</t>
  </si>
  <si>
    <t>0                      U  0021200A  74          1997</t>
  </si>
  <si>
    <t>In Athena's camp : preparing for conflict in the information age / John Arquilla and David Ronfeldt, editors ; foreword by Alvin and Heidi Toffler.</t>
  </si>
  <si>
    <t>Santa Monica, Calif. : Rand, 1997.</t>
  </si>
  <si>
    <t>1997</t>
  </si>
  <si>
    <t>Rand Corporation ; MR-880-OSD</t>
  </si>
  <si>
    <t>2015-11-15</t>
  </si>
  <si>
    <t>793887894:eng</t>
  </si>
  <si>
    <t>37595156</t>
  </si>
  <si>
    <t>ocm37595156</t>
  </si>
  <si>
    <t>31019054462</t>
  </si>
  <si>
    <t>9780833025142</t>
  </si>
  <si>
    <t>793502338</t>
  </si>
  <si>
    <t>U21.2 B48 2015</t>
  </si>
  <si>
    <t>0                      U  0021200B  48          2015</t>
  </si>
  <si>
    <t>Carnage and connectivity : landmarks in the decline of conventional military power / David Betz.</t>
  </si>
  <si>
    <t>Betz, David, 1969- author.</t>
  </si>
  <si>
    <t>Oxford : Oxford University Press, [2015]</t>
  </si>
  <si>
    <t>2016-03-14</t>
  </si>
  <si>
    <t>2768405636:eng</t>
  </si>
  <si>
    <t>902661014</t>
  </si>
  <si>
    <t>ocn902661014</t>
  </si>
  <si>
    <t>3103653310C</t>
  </si>
  <si>
    <t>9780190264857</t>
  </si>
  <si>
    <t>794988377</t>
  </si>
  <si>
    <t>U21.2 B53 1973</t>
  </si>
  <si>
    <t>0                      U  0021200B  53          1973</t>
  </si>
  <si>
    <t>The causes of war / Geoffrey Blainey.</t>
  </si>
  <si>
    <t>Blainey, Geoffrey.</t>
  </si>
  <si>
    <t>New York : Free Press, ©1973.</t>
  </si>
  <si>
    <t>1973</t>
  </si>
  <si>
    <t>2016-08-09</t>
  </si>
  <si>
    <t>1694313:eng</t>
  </si>
  <si>
    <t>695491</t>
  </si>
  <si>
    <t>ocm00695491</t>
  </si>
  <si>
    <t>3103596942H</t>
  </si>
  <si>
    <t>9780029035900</t>
  </si>
  <si>
    <t>791448297</t>
  </si>
  <si>
    <t>U21.2 B53 1977</t>
  </si>
  <si>
    <t>0                      U  0021200B  53          1977</t>
  </si>
  <si>
    <t>Blainey, Geoffrey Norman, 1930-</t>
  </si>
  <si>
    <t>South Melbourne, Vic. : Sun Books, 1977.</t>
  </si>
  <si>
    <t>1977</t>
  </si>
  <si>
    <t>2018-03-19</t>
  </si>
  <si>
    <t>29321145</t>
  </si>
  <si>
    <t>ocm29321145</t>
  </si>
  <si>
    <t>3000148646T</t>
  </si>
  <si>
    <t>9780725102432</t>
  </si>
  <si>
    <t>793308012</t>
  </si>
  <si>
    <t>U21.2 B53 1988</t>
  </si>
  <si>
    <t>0                      U  0021200B  53          1988</t>
  </si>
  <si>
    <t>Baksingstoke [England] : Macmillan Press, 1988.</t>
  </si>
  <si>
    <t>1988</t>
  </si>
  <si>
    <t>3rd ed.</t>
  </si>
  <si>
    <t>2018-01-03</t>
  </si>
  <si>
    <t>28995459</t>
  </si>
  <si>
    <t>ocm28995459</t>
  </si>
  <si>
    <t>3100419233$</t>
  </si>
  <si>
    <t>9780333462140</t>
  </si>
  <si>
    <t>793301133</t>
  </si>
  <si>
    <t>U21.2 B83</t>
  </si>
  <si>
    <t>0                      U  0021200B  83</t>
  </si>
  <si>
    <t>The war trap / Bruce Bueno de Mesquita.</t>
  </si>
  <si>
    <t>Bueno de Mesquita, Bruce, 1946-</t>
  </si>
  <si>
    <t>New Haven : Yale University Press, ©1981.</t>
  </si>
  <si>
    <t>1981</t>
  </si>
  <si>
    <t>2018-08-29</t>
  </si>
  <si>
    <t>435648:eng</t>
  </si>
  <si>
    <t>6891318</t>
  </si>
  <si>
    <t>ocm06891318</t>
  </si>
  <si>
    <t>3102947306E</t>
  </si>
  <si>
    <t>9780300025583</t>
  </si>
  <si>
    <t>792529057</t>
  </si>
  <si>
    <t>2018-04-07</t>
  </si>
  <si>
    <t>3102916227W</t>
  </si>
  <si>
    <t>792529058</t>
  </si>
  <si>
    <t>U21.2 C37 1993</t>
  </si>
  <si>
    <t>0                      U  0021200C  37          1993</t>
  </si>
  <si>
    <t>What causes war? : an introduction to theories of international conflict / Greg Cashman.</t>
  </si>
  <si>
    <t>Cashman, Greg.</t>
  </si>
  <si>
    <t>New York : Lexington Books ; Toronto : Maxwell Macmillan Canada ; New York : Maxwell Macmillan International, ©1993.</t>
  </si>
  <si>
    <t>1993</t>
  </si>
  <si>
    <t>4928125894:eng</t>
  </si>
  <si>
    <t>27012226</t>
  </si>
  <si>
    <t>ocm27012226</t>
  </si>
  <si>
    <t>3102785813Y</t>
  </si>
  <si>
    <t>9780669212150</t>
  </si>
  <si>
    <t>793256856</t>
  </si>
  <si>
    <t>U21.2 C43 1987</t>
  </si>
  <si>
    <t>0                      U  0021200C  43          1987</t>
  </si>
  <si>
    <t>Thinking about peace and war / Martin Ceadel.</t>
  </si>
  <si>
    <t>Ceadel, Martin.</t>
  </si>
  <si>
    <t>Oxford [Oxfordshire] ; New York : Oxford University Press, 1987.</t>
  </si>
  <si>
    <t>1987</t>
  </si>
  <si>
    <t>OPUS</t>
  </si>
  <si>
    <t>2017-03-30</t>
  </si>
  <si>
    <t>9913728:eng</t>
  </si>
  <si>
    <t>15283178</t>
  </si>
  <si>
    <t>ocm15283178</t>
  </si>
  <si>
    <t>30004819297</t>
  </si>
  <si>
    <t>9780192192004</t>
  </si>
  <si>
    <t>792926783</t>
  </si>
  <si>
    <t>U21.2 C4435 2011</t>
  </si>
  <si>
    <t>0                      U  0021200C  4435        2011</t>
  </si>
  <si>
    <t>The changing character of war / edited by Hew Strachan and Sibylle Scheipers.</t>
  </si>
  <si>
    <t>Oxford ; New York : Oxford University Press, 2011.</t>
  </si>
  <si>
    <t>2011</t>
  </si>
  <si>
    <t>2019-01-04</t>
  </si>
  <si>
    <t>681035288:eng</t>
  </si>
  <si>
    <t>687684026</t>
  </si>
  <si>
    <t>ocn687684026</t>
  </si>
  <si>
    <t>3103341632F</t>
  </si>
  <si>
    <t>9780199596737</t>
  </si>
  <si>
    <t>794854064</t>
  </si>
  <si>
    <t>U21.2 C48 1998</t>
  </si>
  <si>
    <t>0                      U  0021200C  48          1998</t>
  </si>
  <si>
    <t>The changing face of war : learning from history / edited by Allan D. English.</t>
  </si>
  <si>
    <t>Montreal ; Buffalo : Published for the Royal Military College of Canada by McGill-Queen's University Press, ©1998.</t>
  </si>
  <si>
    <t>1998</t>
  </si>
  <si>
    <t>2019-05-16</t>
  </si>
  <si>
    <t>1074114012:eng</t>
  </si>
  <si>
    <t>40299071</t>
  </si>
  <si>
    <t>ocm40299071</t>
  </si>
  <si>
    <t>3101903967L</t>
  </si>
  <si>
    <t>9780773517233</t>
  </si>
  <si>
    <t>793563654</t>
  </si>
  <si>
    <t>U21.2 C52 1988</t>
  </si>
  <si>
    <t>0                      U  0021200C  52          1988</t>
  </si>
  <si>
    <t>Waging war : a philosophical introduction / Ian Clark.</t>
  </si>
  <si>
    <t>Clark, Ian, 1949-</t>
  </si>
  <si>
    <t>Oxford : Clarendon Press ; New York : Oxford University Press, 1988.</t>
  </si>
  <si>
    <t>2015-08-11</t>
  </si>
  <si>
    <t>796591957:eng</t>
  </si>
  <si>
    <t>17106604</t>
  </si>
  <si>
    <t>ocm17106604</t>
  </si>
  <si>
    <t>3100991749W</t>
  </si>
  <si>
    <t>9780198273257</t>
  </si>
  <si>
    <t>792982484</t>
  </si>
  <si>
    <t>U21.2 C54 A7613 1985</t>
  </si>
  <si>
    <t>0                      U  0021200C  54                 A  7613        1985</t>
  </si>
  <si>
    <t>Clausewitz, philosopher of war / Raymond Aron ; translated by Christine Booker and Norman Stone.</t>
  </si>
  <si>
    <t>Aron, Raymond, 1905-1983.</t>
  </si>
  <si>
    <t>Englewood Cliffs, N.J. : Prentice-Hall, ©1985.</t>
  </si>
  <si>
    <t>1985</t>
  </si>
  <si>
    <t>2019-10-15</t>
  </si>
  <si>
    <t>2909136446:eng</t>
  </si>
  <si>
    <t>11623341</t>
  </si>
  <si>
    <t>ocm11623341</t>
  </si>
  <si>
    <t>3000370067G</t>
  </si>
  <si>
    <t>9780131363427</t>
  </si>
  <si>
    <t>792781169</t>
  </si>
  <si>
    <t>U21.2 C585 2012</t>
  </si>
  <si>
    <t>0                      U  0021200C  585         2012</t>
  </si>
  <si>
    <t>Civilians and war in Europe, 1618-1815 / edited by Erica Charters, Eve Rosenhaft and Hannah Smith.</t>
  </si>
  <si>
    <t>Liverpool : Liverpool UP, ©2012.</t>
  </si>
  <si>
    <t>2012</t>
  </si>
  <si>
    <t>Eighteenth-century worlds</t>
  </si>
  <si>
    <t>1101330011:eng</t>
  </si>
  <si>
    <t>760973354</t>
  </si>
  <si>
    <t>ocn760973354</t>
  </si>
  <si>
    <t>3103406045P</t>
  </si>
  <si>
    <t>9781846317118</t>
  </si>
  <si>
    <t>794898801</t>
  </si>
  <si>
    <t>U21.2 C67</t>
  </si>
  <si>
    <t>0                      U  0021200C  67</t>
  </si>
  <si>
    <t>The Correlates of war / edited by J. David Singer.</t>
  </si>
  <si>
    <t>v.1</t>
  </si>
  <si>
    <t>New York : Free Press, ©1979-&lt;c1980&gt;</t>
  </si>
  <si>
    <t>1979</t>
  </si>
  <si>
    <t>2001-03-29</t>
  </si>
  <si>
    <t>2016-02-07</t>
  </si>
  <si>
    <t>3772418341:eng</t>
  </si>
  <si>
    <t>3751081</t>
  </si>
  <si>
    <t>ocm03751081</t>
  </si>
  <si>
    <t>3000147468W</t>
  </si>
  <si>
    <t>9780029289600</t>
  </si>
  <si>
    <t>792287773</t>
  </si>
  <si>
    <t>v.2</t>
  </si>
  <si>
    <t>3100136207O</t>
  </si>
  <si>
    <t>792287772</t>
  </si>
  <si>
    <t>U21.2 D3313 1986</t>
  </si>
  <si>
    <t>0                      U  0021200D  3313        1986</t>
  </si>
  <si>
    <t>Nomadology : the war machine / Gilles Deleuze and Félix Guattari ; translated by Brian Massumi.</t>
  </si>
  <si>
    <t>Deleuze, Gilles, 1925-1995.</t>
  </si>
  <si>
    <t>New York, NY, USA : Semiotext(e), ©1986.</t>
  </si>
  <si>
    <t>1986</t>
  </si>
  <si>
    <t>Foreign agents series</t>
  </si>
  <si>
    <t>2019-03-09</t>
  </si>
  <si>
    <t>9434663:eng</t>
  </si>
  <si>
    <t>15098379</t>
  </si>
  <si>
    <t>ocm15098379</t>
  </si>
  <si>
    <t>3103466735D</t>
  </si>
  <si>
    <t>ON_LOAN</t>
  </si>
  <si>
    <t>9780936756097</t>
  </si>
  <si>
    <t>792919929</t>
  </si>
  <si>
    <t>U21.2 D347 2001</t>
  </si>
  <si>
    <t>0                      U  0021200D  347         2001</t>
  </si>
  <si>
    <t>Virtuous war : mapping the military-industrial-media-entertainment network / James Der Derian.</t>
  </si>
  <si>
    <t>Der Derian, James.</t>
  </si>
  <si>
    <t>Boulder, Colo. : Westview Press, 2001.</t>
  </si>
  <si>
    <t>2001</t>
  </si>
  <si>
    <t>2018-02-16</t>
  </si>
  <si>
    <t>793042365:eng</t>
  </si>
  <si>
    <t>46393797</t>
  </si>
  <si>
    <t>ocm46393797</t>
  </si>
  <si>
    <t>3102818730D</t>
  </si>
  <si>
    <t>9780813397948</t>
  </si>
  <si>
    <t>793683881</t>
  </si>
  <si>
    <t>2013-12-06</t>
  </si>
  <si>
    <t>3102094317J</t>
  </si>
  <si>
    <t>793683882</t>
  </si>
  <si>
    <t>U21.2 D55 1988</t>
  </si>
  <si>
    <t>0                      U  0021200D  55          1988</t>
  </si>
  <si>
    <t>War and the changing global system / William K. Domke.</t>
  </si>
  <si>
    <t>Domke, William Kinkade.</t>
  </si>
  <si>
    <t>New Haven : Yale University Press, ©1988.</t>
  </si>
  <si>
    <t>10575704:eng</t>
  </si>
  <si>
    <t>15589654</t>
  </si>
  <si>
    <t>ocm15589654</t>
  </si>
  <si>
    <t>3000588105B</t>
  </si>
  <si>
    <t>9780300036893</t>
  </si>
  <si>
    <t>792936165</t>
  </si>
  <si>
    <t>U21.2 D587 2008</t>
  </si>
  <si>
    <t>0                      U  0021200D  587         2008</t>
  </si>
  <si>
    <t>Targeting civilians in war / Alexander B. Downes.</t>
  </si>
  <si>
    <t>Downes, Alexander B., 1969-</t>
  </si>
  <si>
    <t>Ithaca : Cornell University Press, 2008.</t>
  </si>
  <si>
    <t>2008</t>
  </si>
  <si>
    <t>Cornell studies in security affairs</t>
  </si>
  <si>
    <t>114586262:eng</t>
  </si>
  <si>
    <t>174040195</t>
  </si>
  <si>
    <t>ocn174040195</t>
  </si>
  <si>
    <t>31028827126</t>
  </si>
  <si>
    <t>9780801446344</t>
  </si>
  <si>
    <t>794272254</t>
  </si>
  <si>
    <t>U21.2 D75 2012</t>
  </si>
  <si>
    <t>0                      U  0021200D  75          2012</t>
  </si>
  <si>
    <t>War time : an idea, its history, its consequences / Mary L. Dudziak.</t>
  </si>
  <si>
    <t>Dudziak, Mary L., 1956-</t>
  </si>
  <si>
    <t>Oxford ; New York : Oxford University Press, ©2012.</t>
  </si>
  <si>
    <t>909098147:eng</t>
  </si>
  <si>
    <t>730413891</t>
  </si>
  <si>
    <t>ocn730413891</t>
  </si>
  <si>
    <t>3103421543K</t>
  </si>
  <si>
    <t>9780199775231</t>
  </si>
  <si>
    <t>794880203</t>
  </si>
  <si>
    <t>U21.2 D835 1990</t>
  </si>
  <si>
    <t>0                      U  0021200D  835         1990</t>
  </si>
  <si>
    <t>Attrition : forecasting battle casualties and equipment losses in modern war / by T.N. Dupuy.</t>
  </si>
  <si>
    <t>Dupuy, Trevor N. (Trevor Nevitt), 1916-1995, author.</t>
  </si>
  <si>
    <t>Fairfax, Va. : Hero Books, ©1990.</t>
  </si>
  <si>
    <t>1990</t>
  </si>
  <si>
    <t>2017-11-27</t>
  </si>
  <si>
    <t>336698898:eng</t>
  </si>
  <si>
    <t>22965210</t>
  </si>
  <si>
    <t>ocm22965210</t>
  </si>
  <si>
    <t>3101013572R</t>
  </si>
  <si>
    <t>9780915979264</t>
  </si>
  <si>
    <t>793158390</t>
  </si>
  <si>
    <t>U21.2 D84</t>
  </si>
  <si>
    <t>0                      U  0021200D  84</t>
  </si>
  <si>
    <t>The evolution of weapons and warfare / by Trevor N. Dupuy.</t>
  </si>
  <si>
    <t>Dupuy, Trevor N. (Trevor Nevitt), 1916-1995.</t>
  </si>
  <si>
    <t>Indianapolis : Bobbs-Merrill, ©1980.</t>
  </si>
  <si>
    <t>1980</t>
  </si>
  <si>
    <t>2017-02-03</t>
  </si>
  <si>
    <t>284234012:eng</t>
  </si>
  <si>
    <t>6420556</t>
  </si>
  <si>
    <t>ocm06420556</t>
  </si>
  <si>
    <t>3102267551U</t>
  </si>
  <si>
    <t>9780672520501</t>
  </si>
  <si>
    <t>792497713</t>
  </si>
  <si>
    <t>U21.2 D88 2005</t>
  </si>
  <si>
    <t>0                      U  0021200D  88          2005</t>
  </si>
  <si>
    <t>Clausewitz and African war : politics and strategy in Liberia and Somalia / Isabelle Duyvesteyn.</t>
  </si>
  <si>
    <t>Duyvesteyn, Isabelle, 1972-</t>
  </si>
  <si>
    <t>Oxon ; New York : Frank Cass, 2005.</t>
  </si>
  <si>
    <t>2005</t>
  </si>
  <si>
    <t>2017-03-17</t>
  </si>
  <si>
    <t>801237413:eng</t>
  </si>
  <si>
    <t>55008616</t>
  </si>
  <si>
    <t>ocm55008616</t>
  </si>
  <si>
    <t>3102463374$</t>
  </si>
  <si>
    <t>9780714657240</t>
  </si>
  <si>
    <t>793872449</t>
  </si>
  <si>
    <t>U21.2 D8824 2005</t>
  </si>
  <si>
    <t>0                      U  0021200D  8824        2005</t>
  </si>
  <si>
    <t>Rethinking the nature of war / edited by Isabelle Duyvesteyn and Jan Ångström.</t>
  </si>
  <si>
    <t>London ; New York : Frank Cass, 2005.</t>
  </si>
  <si>
    <t>Cass contemporary security studies series</t>
  </si>
  <si>
    <t>2019-09-05</t>
  </si>
  <si>
    <t>792923450:eng</t>
  </si>
  <si>
    <t>55600698</t>
  </si>
  <si>
    <t>ocm55600698</t>
  </si>
  <si>
    <t>3102944511I</t>
  </si>
  <si>
    <t>9780415354615</t>
  </si>
  <si>
    <t>793879190</t>
  </si>
  <si>
    <t>U21.2 E54 2013</t>
  </si>
  <si>
    <t>0                      U  0021200E  54          2013</t>
  </si>
  <si>
    <t>Modern war : a very short introduction / Richard English.</t>
  </si>
  <si>
    <t>English, Richard, 1963- author.</t>
  </si>
  <si>
    <t>Oxford : Oxford University Press, 2013.</t>
  </si>
  <si>
    <t>2013</t>
  </si>
  <si>
    <t>First edition.</t>
  </si>
  <si>
    <t>Very short introductions ; 363</t>
  </si>
  <si>
    <t>2017-05-25</t>
  </si>
  <si>
    <t>1219357320:eng</t>
  </si>
  <si>
    <t>835969145</t>
  </si>
  <si>
    <t>ocn835969145</t>
  </si>
  <si>
    <t>31035295949</t>
  </si>
  <si>
    <t>9780199607891</t>
  </si>
  <si>
    <t>794944779</t>
  </si>
  <si>
    <t>U21.2 E96 2007</t>
  </si>
  <si>
    <t>0                      U  0021200E  96          2007</t>
  </si>
  <si>
    <t>Explaining war and peace : case studies and necessary condition counterfactuals / edited by Gary Goertz and Jack S. Levy.</t>
  </si>
  <si>
    <t>London ; New York : Routledge, 2007.</t>
  </si>
  <si>
    <t>2007</t>
  </si>
  <si>
    <t>Contemporary security studies</t>
  </si>
  <si>
    <t>2016-10-25</t>
  </si>
  <si>
    <t>801356821:eng</t>
  </si>
  <si>
    <t>77048219</t>
  </si>
  <si>
    <t>ocm77048219</t>
  </si>
  <si>
    <t>3102642737Y</t>
  </si>
  <si>
    <t>9780415422321</t>
  </si>
  <si>
    <t>794180624</t>
  </si>
  <si>
    <t>U21.2 F682</t>
  </si>
  <si>
    <t>0                      U  0021200F  682</t>
  </si>
  <si>
    <t>The Fourth dimension of warfare; edited by Michael Elliott-Bateman.</t>
  </si>
  <si>
    <t>v. 1</t>
  </si>
  <si>
    <t>Manchester, Manchester U.P., 1970-74.</t>
  </si>
  <si>
    <t>2017-10-05</t>
  </si>
  <si>
    <t>2999380479:eng</t>
  </si>
  <si>
    <t>144761</t>
  </si>
  <si>
    <t>ocm00144761</t>
  </si>
  <si>
    <t>3000233799S</t>
  </si>
  <si>
    <t>9780719003547</t>
  </si>
  <si>
    <t>791271271</t>
  </si>
  <si>
    <t>v. 2</t>
  </si>
  <si>
    <t>3100136209K</t>
  </si>
  <si>
    <t>791271270</t>
  </si>
  <si>
    <t>U21.2 F79 2007</t>
  </si>
  <si>
    <t>0                      U  0021200F  79          2007</t>
  </si>
  <si>
    <t>Beyond war : the human potential for peace / Douglas P. Fry.</t>
  </si>
  <si>
    <t>Fry, Douglas P., 1953-</t>
  </si>
  <si>
    <t>Oxford ; New York : Oxford, 2007.</t>
  </si>
  <si>
    <t>797239380:eng</t>
  </si>
  <si>
    <t>70668814</t>
  </si>
  <si>
    <t>ocm70668814</t>
  </si>
  <si>
    <t>3102594010W</t>
  </si>
  <si>
    <t>9780195309485</t>
  </si>
  <si>
    <t>794157218</t>
  </si>
  <si>
    <t>U21.2 G436 1998</t>
  </si>
  <si>
    <t>0                      U  0021200G  436         1998</t>
  </si>
  <si>
    <t>Nations at war : a scientific study of international conflict / Daniel S. Geller, J. David Singer.</t>
  </si>
  <si>
    <t>Geller, Daniel S.</t>
  </si>
  <si>
    <t>Cambridge ; New York, NY : Cambridge University Press, 1998.</t>
  </si>
  <si>
    <t>Cambridge studies in international relations ; 58</t>
  </si>
  <si>
    <t>2015-01-09</t>
  </si>
  <si>
    <t>327271940:eng</t>
  </si>
  <si>
    <t>36597729</t>
  </si>
  <si>
    <t>ocm36597729</t>
  </si>
  <si>
    <t>3102947232B</t>
  </si>
  <si>
    <t>9780521621199</t>
  </si>
  <si>
    <t>793479362</t>
  </si>
  <si>
    <t>U21.2 G45 1993</t>
  </si>
  <si>
    <t>0                      U  0021200G  45          1993</t>
  </si>
  <si>
    <t>Gendering war talk / edited by Miriam Cooke and Angela Woollacott.</t>
  </si>
  <si>
    <t>Princeton, N.J. : Princeton University Press, ©1993.</t>
  </si>
  <si>
    <t>2019-11-25</t>
  </si>
  <si>
    <t>29494184:eng</t>
  </si>
  <si>
    <t>26722916</t>
  </si>
  <si>
    <t>ocm26722916</t>
  </si>
  <si>
    <t>31013355983</t>
  </si>
  <si>
    <t>9780691069807</t>
  </si>
  <si>
    <t>793250367</t>
  </si>
  <si>
    <t>U21.2 G52513 2010</t>
  </si>
  <si>
    <t>0                      U  0021200G  52513       2010</t>
  </si>
  <si>
    <t>Battling to the end : conversations with Benoît Chantre / René Girard ; translated by Mary Baker.</t>
  </si>
  <si>
    <t>Girard, René, 1923-2015.</t>
  </si>
  <si>
    <t>East Lansing : Michigan State University Press, ©2010.</t>
  </si>
  <si>
    <t>Studies in violence, mimesis, and culture series</t>
  </si>
  <si>
    <t>2018-03-15</t>
  </si>
  <si>
    <t>4495127718:eng</t>
  </si>
  <si>
    <t>429634814</t>
  </si>
  <si>
    <t>ocn429634814</t>
  </si>
  <si>
    <t>3103243030V</t>
  </si>
  <si>
    <t>9780870138775</t>
  </si>
  <si>
    <t>794780202</t>
  </si>
  <si>
    <t>U21.2 G669 2005</t>
  </si>
  <si>
    <t>0                      U  0021200G  669         2005</t>
  </si>
  <si>
    <t>Peace, war, and computers / Chris Hables Gray.</t>
  </si>
  <si>
    <t>Gray, Chris Hables.</t>
  </si>
  <si>
    <t>New York : Routledge, 2005.</t>
  </si>
  <si>
    <t>2017-04-07</t>
  </si>
  <si>
    <t>967186:eng</t>
  </si>
  <si>
    <t>56672159</t>
  </si>
  <si>
    <t>ocm56672159</t>
  </si>
  <si>
    <t>3102460051O</t>
  </si>
  <si>
    <t>9780415928854</t>
  </si>
  <si>
    <t>793898805</t>
  </si>
  <si>
    <t>U21.2 G67 2005</t>
  </si>
  <si>
    <t>0                      U  0021200G  67          2005</t>
  </si>
  <si>
    <t>Another bloody century : future warfare / Colin S. Gray.</t>
  </si>
  <si>
    <t>Gray, Colin S.</t>
  </si>
  <si>
    <t>London : Weidenfeld &amp; Nicolson, 2005.</t>
  </si>
  <si>
    <t>2018-09-05</t>
  </si>
  <si>
    <t>503608605:eng</t>
  </si>
  <si>
    <t>58998864</t>
  </si>
  <si>
    <t>ocm58998864</t>
  </si>
  <si>
    <t>3102489687S</t>
  </si>
  <si>
    <t>9780297846277</t>
  </si>
  <si>
    <t>793926440</t>
  </si>
  <si>
    <t>U21.2 G673 2012</t>
  </si>
  <si>
    <t>0                      U  0021200G  673         2012</t>
  </si>
  <si>
    <t>War, peace and international relations : an introduction to strategic history / Colin S. Gray.</t>
  </si>
  <si>
    <t>Abingdon, UK : New York : Routledge, 2011.</t>
  </si>
  <si>
    <t>2nd ed.</t>
  </si>
  <si>
    <t>2016-11-18</t>
  </si>
  <si>
    <t>4916527285:eng</t>
  </si>
  <si>
    <t>725298459</t>
  </si>
  <si>
    <t>ocn725298459</t>
  </si>
  <si>
    <t>3103381190Z</t>
  </si>
  <si>
    <t>9780415594851</t>
  </si>
  <si>
    <t>794876828</t>
  </si>
  <si>
    <t>U21.2 H545 2003</t>
  </si>
  <si>
    <t>0                      U  0021200H  545         2003</t>
  </si>
  <si>
    <t>War no more : eliminating conflict in the nuclear age / Robert Hinde and Joseph Rotblat ; foreword by Robert S. McNamara.</t>
  </si>
  <si>
    <t>Hinde, Robert A.</t>
  </si>
  <si>
    <t>London ; Sterling, VA : Pluto Press, 2003.</t>
  </si>
  <si>
    <t>2003</t>
  </si>
  <si>
    <t>2017-09-18</t>
  </si>
  <si>
    <t>797214163:eng</t>
  </si>
  <si>
    <t>52478422</t>
  </si>
  <si>
    <t>ocm52478422</t>
  </si>
  <si>
    <t>3102740673V</t>
  </si>
  <si>
    <t>9780745321929</t>
  </si>
  <si>
    <t>793807464</t>
  </si>
  <si>
    <t>U21.2 H57 2001</t>
  </si>
  <si>
    <t>0                      U  0021200H  57          2001</t>
  </si>
  <si>
    <t>War and power in the 21st century : the State, military conflict, and the international system / Paul Hirst.</t>
  </si>
  <si>
    <t>Hirst, Paul Heywood.</t>
  </si>
  <si>
    <t>Cambridge, UK : Polity Press ; Malden, MA : Blackwell Publishers, 2001.</t>
  </si>
  <si>
    <t>Themes for the 21st century</t>
  </si>
  <si>
    <t>2016-02-09</t>
  </si>
  <si>
    <t>38225629:eng</t>
  </si>
  <si>
    <t>49306316</t>
  </si>
  <si>
    <t>ocm49306316</t>
  </si>
  <si>
    <t>3102379090I</t>
  </si>
  <si>
    <t>9780745625201</t>
  </si>
  <si>
    <t>793737169</t>
  </si>
  <si>
    <t>U21.2 H625 1986</t>
  </si>
  <si>
    <t>0                      U  0021200H  625         1986</t>
  </si>
  <si>
    <t>Acts of war : the behavior of men in battle / by Richard Holmes.</t>
  </si>
  <si>
    <t>Holmes, Richard, 1946-2011.</t>
  </si>
  <si>
    <t>New York : Free Press, 1986, ©1985.</t>
  </si>
  <si>
    <t>1st American ed.</t>
  </si>
  <si>
    <t>3902611135:eng</t>
  </si>
  <si>
    <t>12810162</t>
  </si>
  <si>
    <t>ocm12810162</t>
  </si>
  <si>
    <t>30004794154</t>
  </si>
  <si>
    <t>9780029150207</t>
  </si>
  <si>
    <t>792829251</t>
  </si>
  <si>
    <t>U21.2 H627 1991</t>
  </si>
  <si>
    <t>0                      U  0021200H  627         1991</t>
  </si>
  <si>
    <t>Peace and war : armed conflicts and international order, 1648-1989 / Kalevi J. Holsti.</t>
  </si>
  <si>
    <t>Holsti, K. J. (Kalevi Jaakko), 1935-</t>
  </si>
  <si>
    <t>Cambridge ; New York : Cambridge University Press, 1991.</t>
  </si>
  <si>
    <t>1991</t>
  </si>
  <si>
    <t>Cambridge studies in international relations ; 14</t>
  </si>
  <si>
    <t>2016-08-30</t>
  </si>
  <si>
    <t>2019-08-29</t>
  </si>
  <si>
    <t>55335246:eng</t>
  </si>
  <si>
    <t>21596037</t>
  </si>
  <si>
    <t>ocm21596037</t>
  </si>
  <si>
    <t>3102944521G</t>
  </si>
  <si>
    <t>9780521390484</t>
  </si>
  <si>
    <t>793123785</t>
  </si>
  <si>
    <t>31027406480</t>
  </si>
  <si>
    <t>793123784</t>
  </si>
  <si>
    <t>U21.2 H62723 1996</t>
  </si>
  <si>
    <t>0                      U  0021200H  62723       1996</t>
  </si>
  <si>
    <t>The state, war, and the state of war / by K.J. Holsti.</t>
  </si>
  <si>
    <t>Cambridge ; New York, N.Y., USA : Cambridge University Press, 1996.</t>
  </si>
  <si>
    <t>1996</t>
  </si>
  <si>
    <t>Cambridge studies in international relations ; 51</t>
  </si>
  <si>
    <t>2019-09-28</t>
  </si>
  <si>
    <t>14455290:eng</t>
  </si>
  <si>
    <t>34151627</t>
  </si>
  <si>
    <t>ocm34151627</t>
  </si>
  <si>
    <t>3102923932G</t>
  </si>
  <si>
    <t>9780521571135</t>
  </si>
  <si>
    <t>793420438</t>
  </si>
  <si>
    <t>U21.2 H656 1984b</t>
  </si>
  <si>
    <t>0                      U  0021200H  656         1984b</t>
  </si>
  <si>
    <t>The causes of wars and other essays / Michael Howard.</t>
  </si>
  <si>
    <t>Howard, Michael, 1922-</t>
  </si>
  <si>
    <t>Cambridge, Mass. : Harvard University Press, 1984, ©1983.</t>
  </si>
  <si>
    <t>1984</t>
  </si>
  <si>
    <t>2nd ed., enl.</t>
  </si>
  <si>
    <t>366891488:eng</t>
  </si>
  <si>
    <t>10458768</t>
  </si>
  <si>
    <t>ocm10458768</t>
  </si>
  <si>
    <t>31000217091</t>
  </si>
  <si>
    <t>9780674104174</t>
  </si>
  <si>
    <t>792727531</t>
  </si>
  <si>
    <t>31038801859</t>
  </si>
  <si>
    <t>792727532</t>
  </si>
  <si>
    <t>U21.2 H657 1983</t>
  </si>
  <si>
    <t>0                      U  0021200H  657         1983</t>
  </si>
  <si>
    <t>Clausewitz / Michael Howard.</t>
  </si>
  <si>
    <t>Oxford ; New York : Oxford University Press, 1983.</t>
  </si>
  <si>
    <t>1983</t>
  </si>
  <si>
    <t>Past masters</t>
  </si>
  <si>
    <t>2019-10-29</t>
  </si>
  <si>
    <t>365157606:eng</t>
  </si>
  <si>
    <t>8709266</t>
  </si>
  <si>
    <t>ocm08709266</t>
  </si>
  <si>
    <t>3000165421J</t>
  </si>
  <si>
    <t>9780192876089</t>
  </si>
  <si>
    <t>792636773</t>
  </si>
  <si>
    <t>U21.2 J34 1988</t>
  </si>
  <si>
    <t>0                      U  0021200J  34          1988</t>
  </si>
  <si>
    <t>Crisis and war / Patrick James.</t>
  </si>
  <si>
    <t>James, Patrick, 1957-</t>
  </si>
  <si>
    <t>Kingston : McGill-Queen's University Press, ©1988.</t>
  </si>
  <si>
    <t>2007-11-19</t>
  </si>
  <si>
    <t>21461472:eng</t>
  </si>
  <si>
    <t>19921534</t>
  </si>
  <si>
    <t>ocm19921534</t>
  </si>
  <si>
    <t>3100021369$</t>
  </si>
  <si>
    <t>9780773505742</t>
  </si>
  <si>
    <t>793072273</t>
  </si>
  <si>
    <t>3100254848E</t>
  </si>
  <si>
    <t>793072272</t>
  </si>
  <si>
    <t>2007-09-16</t>
  </si>
  <si>
    <t>3100021379X</t>
  </si>
  <si>
    <t>793072271</t>
  </si>
  <si>
    <t>U21.2 J626 2006</t>
  </si>
  <si>
    <t>0                      U  0021200J  626         2006</t>
  </si>
  <si>
    <t>Failing to win : perceptions of victory and defeat in international politics / Dominic D.P. Johnson and Dominic Tierney.</t>
  </si>
  <si>
    <t>Johnson, Dominic D. P., 1974-</t>
  </si>
  <si>
    <t>Cambridge, Mass. : Harvard University Press, 2006.</t>
  </si>
  <si>
    <t>2019-11-14</t>
  </si>
  <si>
    <t>801719140:eng</t>
  </si>
  <si>
    <t>67945685</t>
  </si>
  <si>
    <t>ocm67945685</t>
  </si>
  <si>
    <t>31025910353</t>
  </si>
  <si>
    <t>9780674023246</t>
  </si>
  <si>
    <t>794142043</t>
  </si>
  <si>
    <t>U21.2 J63</t>
  </si>
  <si>
    <t>0                      U  0021200J  63</t>
  </si>
  <si>
    <t>Just war tradition and the restraint of war : a moral and historical inquiry / James Turner Johnson.</t>
  </si>
  <si>
    <t>Johnson, James Turner.</t>
  </si>
  <si>
    <t>Princeton, N.J. : Princeton University Press, ©1981.</t>
  </si>
  <si>
    <t>2016-05-27</t>
  </si>
  <si>
    <t>8495303:eng</t>
  </si>
  <si>
    <t>7284042</t>
  </si>
  <si>
    <t>ocm07284042</t>
  </si>
  <si>
    <t>30003291805</t>
  </si>
  <si>
    <t>9780691072630</t>
  </si>
  <si>
    <t>792551420</t>
  </si>
  <si>
    <t>U21.2 J849 2013</t>
  </si>
  <si>
    <t>0                      U  0021200J  849         2013</t>
  </si>
  <si>
    <t>Just war : authority, tradition, and practice / Anthony F. Lang, Jr., Cian O'Driscoll, and John Williams, editors.</t>
  </si>
  <si>
    <t>Washington, DC : Georgetown University Press, 2013.</t>
  </si>
  <si>
    <t>1203221737:eng</t>
  </si>
  <si>
    <t>824670668</t>
  </si>
  <si>
    <t>ocn824670668</t>
  </si>
  <si>
    <t>31035021013</t>
  </si>
  <si>
    <t>9781589019966</t>
  </si>
  <si>
    <t>794938097</t>
  </si>
  <si>
    <t>U21.2 J85 2003</t>
  </si>
  <si>
    <t>0                      U  0021200J  85          2003</t>
  </si>
  <si>
    <t>Just war in comparative perspective / edited by Paul Robinson.</t>
  </si>
  <si>
    <t>Aldershot, Hampshire, England : Burlington, Vt. : Ashgate, ©2003.</t>
  </si>
  <si>
    <t>2018-04-06</t>
  </si>
  <si>
    <t>145730983:eng</t>
  </si>
  <si>
    <t>51652817</t>
  </si>
  <si>
    <t>ocm51652817</t>
  </si>
  <si>
    <t>31033631626</t>
  </si>
  <si>
    <t>9780754635871</t>
  </si>
  <si>
    <t>793788703</t>
  </si>
  <si>
    <t>U21.2 K427 2012</t>
  </si>
  <si>
    <t>0                      U  0021200K  427         2012</t>
  </si>
  <si>
    <t>Useful enemies : when waging wars is more important than winning them / David Keen.</t>
  </si>
  <si>
    <t>Keen, David, 1958-</t>
  </si>
  <si>
    <t>New Haven, CT : Yale University Press, 2012.</t>
  </si>
  <si>
    <t>2016-04-25</t>
  </si>
  <si>
    <t>1082657134:eng</t>
  </si>
  <si>
    <t>759174514</t>
  </si>
  <si>
    <t>ocn759174514</t>
  </si>
  <si>
    <t>3103396883S</t>
  </si>
  <si>
    <t>9780300162745</t>
  </si>
  <si>
    <t>794897150</t>
  </si>
  <si>
    <t>U21.2 L374 2015</t>
  </si>
  <si>
    <t>0                      U  0021200L  374         2015</t>
  </si>
  <si>
    <t>Théories des conflits internationaux / Josepha Laroche.</t>
  </si>
  <si>
    <t>Laroche, Josepha, author.</t>
  </si>
  <si>
    <t>Montréal : Liber, [2015]-</t>
  </si>
  <si>
    <t>2924259990:fre</t>
  </si>
  <si>
    <t>923732100</t>
  </si>
  <si>
    <t>ocn923732100</t>
  </si>
  <si>
    <t>3103496815$</t>
  </si>
  <si>
    <t>9782895784876</t>
  </si>
  <si>
    <t>795004624</t>
  </si>
  <si>
    <t>U21.2 L386 2010</t>
  </si>
  <si>
    <t>0                      U  0021200L  386         2010</t>
  </si>
  <si>
    <t>Why nations fight : past and future motives for war / Richard Ned Lebow.</t>
  </si>
  <si>
    <t>Lebow, Richard Ned.</t>
  </si>
  <si>
    <t>New York : Cambridge University Press, 2010.</t>
  </si>
  <si>
    <t>2017-09-14</t>
  </si>
  <si>
    <t>796603735:eng</t>
  </si>
  <si>
    <t>528665854</t>
  </si>
  <si>
    <t>ocn528665854</t>
  </si>
  <si>
    <t>3103230749P</t>
  </si>
  <si>
    <t>9780521192835</t>
  </si>
  <si>
    <t>794809678</t>
  </si>
  <si>
    <t>3103491762C</t>
  </si>
  <si>
    <t>794809679</t>
  </si>
  <si>
    <t>U21.2 L44 1983</t>
  </si>
  <si>
    <t>0                      U  0021200L  44          1983</t>
  </si>
  <si>
    <t>War in the modern great power system, 1495-1975 / Jack S. Levy.</t>
  </si>
  <si>
    <t>Levy, Jack S., 1948-</t>
  </si>
  <si>
    <t>Lexington, Ky : University Press of Kentucky, ©1983.</t>
  </si>
  <si>
    <t>2018-11-19</t>
  </si>
  <si>
    <t>43700244:eng</t>
  </si>
  <si>
    <t>9644170</t>
  </si>
  <si>
    <t>ocm09644170</t>
  </si>
  <si>
    <t>3103773810A</t>
  </si>
  <si>
    <t>9780813114972</t>
  </si>
  <si>
    <t>792686307</t>
  </si>
  <si>
    <t>2015-03-05</t>
  </si>
  <si>
    <t>3000162190R</t>
  </si>
  <si>
    <t>792686306</t>
  </si>
  <si>
    <t>U21.2 M8397 2004</t>
  </si>
  <si>
    <t>0                      U  0021200M  8397        2004</t>
  </si>
  <si>
    <t>The remnants of war / John Mueller.</t>
  </si>
  <si>
    <t>Mueller, John E.</t>
  </si>
  <si>
    <t>Ithaca : Cornell University Press, 2004.</t>
  </si>
  <si>
    <t>2004</t>
  </si>
  <si>
    <t>1055869:eng</t>
  </si>
  <si>
    <t>54817452</t>
  </si>
  <si>
    <t>ocm54817452</t>
  </si>
  <si>
    <t>31024101803</t>
  </si>
  <si>
    <t>9780801442391</t>
  </si>
  <si>
    <t>793868475</t>
  </si>
  <si>
    <t>U21.2 M84 1989</t>
  </si>
  <si>
    <t>0                      U  0021200M  84          1989</t>
  </si>
  <si>
    <t>Retreat from doomsday : the obsolescence of major war / John Mueller.</t>
  </si>
  <si>
    <t>New York : Basic Books, ©1989.</t>
  </si>
  <si>
    <t>1989</t>
  </si>
  <si>
    <t>2019-10-22</t>
  </si>
  <si>
    <t>19005114:eng</t>
  </si>
  <si>
    <t>18835561</t>
  </si>
  <si>
    <t>ocm18835561</t>
  </si>
  <si>
    <t>3102944447F</t>
  </si>
  <si>
    <t>9780465069392</t>
  </si>
  <si>
    <t>793038821</t>
  </si>
  <si>
    <t>U21.2 M88 2011</t>
  </si>
  <si>
    <t>0                      U  0021200M  88          2011</t>
  </si>
  <si>
    <t>Military adaptation in war : with fear of change / Williamson Murray.</t>
  </si>
  <si>
    <t>Murray, Williamson.</t>
  </si>
  <si>
    <t>New York : Cambridge University Press, 2011.</t>
  </si>
  <si>
    <t>2012-01-25</t>
  </si>
  <si>
    <t>911749824:eng</t>
  </si>
  <si>
    <t>731192657</t>
  </si>
  <si>
    <t>ocn731192657</t>
  </si>
  <si>
    <t>3103383587H</t>
  </si>
  <si>
    <t>9781107006591</t>
  </si>
  <si>
    <t>794880649</t>
  </si>
  <si>
    <t>U21.2 O7 1980</t>
  </si>
  <si>
    <t>0                      U  0021200O  7           1980</t>
  </si>
  <si>
    <t>The war ledger / A.F.K. Organski, Jacek Kugler.</t>
  </si>
  <si>
    <t>Organski, A. F. K., 1923-1998.</t>
  </si>
  <si>
    <t>Chicago : University of Chicago Press, 1980.</t>
  </si>
  <si>
    <t>2018-03-27</t>
  </si>
  <si>
    <t>18869176:eng</t>
  </si>
  <si>
    <t>5674966</t>
  </si>
  <si>
    <t>ocm05674966</t>
  </si>
  <si>
    <t>3100881419T</t>
  </si>
  <si>
    <t>9780226632797</t>
  </si>
  <si>
    <t>792445643</t>
  </si>
  <si>
    <t>2018-03-16</t>
  </si>
  <si>
    <t>30001663381</t>
  </si>
  <si>
    <t>792445642</t>
  </si>
  <si>
    <t>U21.2 O88</t>
  </si>
  <si>
    <t>0                      U  0021200O  88</t>
  </si>
  <si>
    <t>The evolution of war; a cross-cultural study [by] Keith F. Otterbein. With a foreword by Robert L. Carneiro.</t>
  </si>
  <si>
    <t>Otterbein, Keith F.</t>
  </si>
  <si>
    <t>[Place of publication not identified] H[uman] R[elations] A[rea] F[iles] Press, 1970.</t>
  </si>
  <si>
    <t>2016-12-01</t>
  </si>
  <si>
    <t>376026:eng</t>
  </si>
  <si>
    <t>103734</t>
  </si>
  <si>
    <t>ocm00103734</t>
  </si>
  <si>
    <t>3000465342V</t>
  </si>
  <si>
    <t>791258068</t>
  </si>
  <si>
    <t>U21.2 O94 2012</t>
  </si>
  <si>
    <t>0                      U  0021200O  94          2012</t>
  </si>
  <si>
    <t>The Oxford handbook of war / edited by Julian Lindley-French and Yves Boyer.</t>
  </si>
  <si>
    <t>Oxford ; New York : Oxford University Press, 2012.</t>
  </si>
  <si>
    <t>[Oxford handbooks]</t>
  </si>
  <si>
    <t>2014-09-24</t>
  </si>
  <si>
    <t>1105146764:eng</t>
  </si>
  <si>
    <t>791690317</t>
  </si>
  <si>
    <t>ocn791690317</t>
  </si>
  <si>
    <t>31034090895</t>
  </si>
  <si>
    <t>9780199562930</t>
  </si>
  <si>
    <t>794916901</t>
  </si>
  <si>
    <t>U21.2 P323 1996</t>
  </si>
  <si>
    <t>0                      U  0021200P  323         1996</t>
  </si>
  <si>
    <t>Parity and war : evaluations and extensions of The war ledger / edited by Jacek Kugler and Douglas Lemke.</t>
  </si>
  <si>
    <t>Ann Arbor : University of Michigan Press, ©1996.</t>
  </si>
  <si>
    <t>2019-09-16</t>
  </si>
  <si>
    <t>892239380:eng</t>
  </si>
  <si>
    <t>32859231</t>
  </si>
  <si>
    <t>ocm32859231</t>
  </si>
  <si>
    <t>3101995292N</t>
  </si>
  <si>
    <t>9780472096022</t>
  </si>
  <si>
    <t>793396154</t>
  </si>
  <si>
    <t>U21.2 R45 2013</t>
  </si>
  <si>
    <t>0                      U  0021200R  45          2013</t>
  </si>
  <si>
    <t>Just war and international order : the uncivil condition in world politics / Nicholas Rengger, St Andrews University.</t>
  </si>
  <si>
    <t>Rengger, N. J. (Nicholas J.), author.</t>
  </si>
  <si>
    <t>Cambridge : Cambridge University Press, 2013.</t>
  </si>
  <si>
    <t>1185457730:eng</t>
  </si>
  <si>
    <t>820553382</t>
  </si>
  <si>
    <t>ocn820553382</t>
  </si>
  <si>
    <t>31035003065</t>
  </si>
  <si>
    <t>9781107031647</t>
  </si>
  <si>
    <t>794935468</t>
  </si>
  <si>
    <t>U21.2 R645 2011</t>
  </si>
  <si>
    <t>0                      U  0021200R  645         2011</t>
  </si>
  <si>
    <t>Why they die : civilian devastation in violent conflict / Daniel Rothbart and Karina V. Korostelina.</t>
  </si>
  <si>
    <t>Rothbart, Daniel.</t>
  </si>
  <si>
    <t>Ann Arbor : University of Michigan Press, ©2011.</t>
  </si>
  <si>
    <t>2016-05-06</t>
  </si>
  <si>
    <t>931959597:eng</t>
  </si>
  <si>
    <t>687681623</t>
  </si>
  <si>
    <t>ocn687681623</t>
  </si>
  <si>
    <t>31033620879</t>
  </si>
  <si>
    <t>9780472117536</t>
  </si>
  <si>
    <t>794854042</t>
  </si>
  <si>
    <t>U21.2 S522 2005</t>
  </si>
  <si>
    <t>0                      U  0021200S  522         2005</t>
  </si>
  <si>
    <t>The new western way of war : risk-transfer war and its crisis in Iraq / Martin Shaw.</t>
  </si>
  <si>
    <t>Shaw, Martin.</t>
  </si>
  <si>
    <t>Cambridge : Polity, 2005.</t>
  </si>
  <si>
    <t>2019-09-06</t>
  </si>
  <si>
    <t>908361606:eng</t>
  </si>
  <si>
    <t>61108437</t>
  </si>
  <si>
    <t>ocm61108437</t>
  </si>
  <si>
    <t>3102554437$</t>
  </si>
  <si>
    <t>9780745634104</t>
  </si>
  <si>
    <t>793946341</t>
  </si>
  <si>
    <t>U21.2 S523 2003</t>
  </si>
  <si>
    <t>0                      U  0021200S  523         2003</t>
  </si>
  <si>
    <t>War and genocide : organized killing in modern society / Martin Shaw.</t>
  </si>
  <si>
    <t>Cambridge, UK : Polity Press in association with Blackwell, 2003.</t>
  </si>
  <si>
    <t>203318353:eng</t>
  </si>
  <si>
    <t>50899036</t>
  </si>
  <si>
    <t>ocm50899036</t>
  </si>
  <si>
    <t>3102283842T</t>
  </si>
  <si>
    <t>9780745619064</t>
  </si>
  <si>
    <t>793774820</t>
  </si>
  <si>
    <t>U21.2 S55 1985</t>
  </si>
  <si>
    <t>0                      U  0021200S  55          1985</t>
  </si>
  <si>
    <t>Race to the swift : thoughts on twenty-first century warfare / by Richard E. Simpkin ; foreword by Donn A. Starry.</t>
  </si>
  <si>
    <t>Simpkin, Richard E.</t>
  </si>
  <si>
    <t>London ; Washington, DC : Brassey's Defence, 1985.</t>
  </si>
  <si>
    <t>[Future warfare series ; v. 1]</t>
  </si>
  <si>
    <t>4523689:eng</t>
  </si>
  <si>
    <t>11727384</t>
  </si>
  <si>
    <t>ocm11727384</t>
  </si>
  <si>
    <t>3103039133L</t>
  </si>
  <si>
    <t>9780080311708</t>
  </si>
  <si>
    <t>792784881</t>
  </si>
  <si>
    <t>U21.2 S595 2008</t>
  </si>
  <si>
    <t>0                      U  0021200S  595         2008</t>
  </si>
  <si>
    <t>Killing civilians : method, madness, and morality in war / Hugo Slim.</t>
  </si>
  <si>
    <t>Slim, Hugo.</t>
  </si>
  <si>
    <t>New York : Columbia University Press, ©2008.</t>
  </si>
  <si>
    <t>2015-05-30</t>
  </si>
  <si>
    <t>297616247:eng</t>
  </si>
  <si>
    <t>182621481</t>
  </si>
  <si>
    <t>ocn182621481</t>
  </si>
  <si>
    <t>3102653546T</t>
  </si>
  <si>
    <t>9780231700368</t>
  </si>
  <si>
    <t>794284869</t>
  </si>
  <si>
    <t>U21.2 S624 2007</t>
  </si>
  <si>
    <t>0                      U  0021200S  624         2007</t>
  </si>
  <si>
    <t>The utility of force : the art of war in the modern world / Rupert Smith.</t>
  </si>
  <si>
    <t>Smith, Rupert, 1943-</t>
  </si>
  <si>
    <t>New York : Knopf, 2007.</t>
  </si>
  <si>
    <t>1st U.S. ed.</t>
  </si>
  <si>
    <t>Borzoi Books</t>
  </si>
  <si>
    <t>2018-02-26</t>
  </si>
  <si>
    <t>351786340:eng</t>
  </si>
  <si>
    <t>69680187</t>
  </si>
  <si>
    <t>ocm69680187</t>
  </si>
  <si>
    <t>3102634627$</t>
  </si>
  <si>
    <t>9780307265623</t>
  </si>
  <si>
    <t>794146850</t>
  </si>
  <si>
    <t>U21.2 S6375 2009</t>
  </si>
  <si>
    <t>0                      U  0021200S  6375        2009</t>
  </si>
  <si>
    <t>The causes of war / David Sobek.</t>
  </si>
  <si>
    <t>Sobek, David.</t>
  </si>
  <si>
    <t>Cambridge : Polity, ©2009.</t>
  </si>
  <si>
    <t>2009</t>
  </si>
  <si>
    <t>2015-02-04</t>
  </si>
  <si>
    <t>3945673171:eng</t>
  </si>
  <si>
    <t>243821236</t>
  </si>
  <si>
    <t>ocn243821236</t>
  </si>
  <si>
    <t>3103056042O</t>
  </si>
  <si>
    <t>9780745641980</t>
  </si>
  <si>
    <t>794379397</t>
  </si>
  <si>
    <t>U21.2 T47</t>
  </si>
  <si>
    <t>0                      U  0021200T  47</t>
  </si>
  <si>
    <t>Three generals on war; comprising Old Europe's suicide, by Brig. General Christopher B. Thomson, War is a racket, by Major General Smedley D. Butler [and] The men I killed, by Brig. General Frank P. Crozier. With a new introd. for the Garland ed. by John Whiteclay Chambers.</t>
  </si>
  <si>
    <t>New York, Garland Pub., 1973.</t>
  </si>
  <si>
    <t>The Garland library of war and peace</t>
  </si>
  <si>
    <t>2018-11-03</t>
  </si>
  <si>
    <t>1620326:eng</t>
  </si>
  <si>
    <t>896106</t>
  </si>
  <si>
    <t>ocm00896106</t>
  </si>
  <si>
    <t>30005755802</t>
  </si>
  <si>
    <t>9780824004231</t>
  </si>
  <si>
    <t>791496807</t>
  </si>
  <si>
    <t>U21.2 U53 2007</t>
  </si>
  <si>
    <t>0                      U  0021200U  53          2007</t>
  </si>
  <si>
    <t>Understanding victory and defeat in contemporary war / edited by Jan Angstrom and Isabelle Duyvesteyn.</t>
  </si>
  <si>
    <t>2017-06-05</t>
  </si>
  <si>
    <t>965044534:eng</t>
  </si>
  <si>
    <t>69992448</t>
  </si>
  <si>
    <t>ocm69992448</t>
  </si>
  <si>
    <t>31026343650</t>
  </si>
  <si>
    <t>9780415404570</t>
  </si>
  <si>
    <t>794147542</t>
  </si>
  <si>
    <t>U21.2 V34 1999</t>
  </si>
  <si>
    <t>0                      U  0021200V  34          1999</t>
  </si>
  <si>
    <t>Causes of war : power and the roots of conflict / Stephen Van Evera.</t>
  </si>
  <si>
    <t>Van Evera, Stephen, author.</t>
  </si>
  <si>
    <t>Ithaca : Cornell University Press, 1999.</t>
  </si>
  <si>
    <t>1999</t>
  </si>
  <si>
    <t>2016-09-29</t>
  </si>
  <si>
    <t>837016488:eng</t>
  </si>
  <si>
    <t>40331094</t>
  </si>
  <si>
    <t>ocm40331094</t>
  </si>
  <si>
    <t>31029473554</t>
  </si>
  <si>
    <t>9780801432019</t>
  </si>
  <si>
    <t>793564331</t>
  </si>
  <si>
    <t>U21.2 V378 2009</t>
  </si>
  <si>
    <t>0                      U  0021200V  378         2009</t>
  </si>
  <si>
    <t>The war puzzle revisited / John A. Vasquez.</t>
  </si>
  <si>
    <t>Vasquez, John A., 1945-</t>
  </si>
  <si>
    <t>Cambridge ; New York : Cambridge University Press, 2009.</t>
  </si>
  <si>
    <t>Cambridge studies in international relations ; 110</t>
  </si>
  <si>
    <t>2261087470:eng</t>
  </si>
  <si>
    <t>316824225</t>
  </si>
  <si>
    <t>ocn316824225</t>
  </si>
  <si>
    <t>3102859930K</t>
  </si>
  <si>
    <t>9780521881791</t>
  </si>
  <si>
    <t>794449827</t>
  </si>
  <si>
    <t>U21.2 V57 2008</t>
  </si>
  <si>
    <t>0                      U  0021200V  57          2008</t>
  </si>
  <si>
    <t>Pure war / Paul Virilio and Sylvère Lotringer ; translated by Mark Polizzotti.</t>
  </si>
  <si>
    <t>Virilio, Paul.</t>
  </si>
  <si>
    <t>Cambridge, Mass ; London : Semiotext(e), 2008.</t>
  </si>
  <si>
    <t>New ed. / with a new introduction by Sylvere Lotringer and Paul Virilio.</t>
  </si>
  <si>
    <t>Semiotext(e) foreign agents series</t>
  </si>
  <si>
    <t>2017-09-03</t>
  </si>
  <si>
    <t>3943191:eng</t>
  </si>
  <si>
    <t>191754134</t>
  </si>
  <si>
    <t>ocn191754134</t>
  </si>
  <si>
    <t>3102884547Z</t>
  </si>
  <si>
    <t>9781584350590</t>
  </si>
  <si>
    <t>794300914</t>
  </si>
  <si>
    <t>U21.2 W34497 2004</t>
  </si>
  <si>
    <t>0                      U  0021200W  34497       2004</t>
  </si>
  <si>
    <t>Arguing about war / Michael Walzer.</t>
  </si>
  <si>
    <t>Walzer, Michael.</t>
  </si>
  <si>
    <t>New Haven [Ct.] : Yale University Press, ©2004.</t>
  </si>
  <si>
    <t>2016-11-08</t>
  </si>
  <si>
    <t>997737:eng</t>
  </si>
  <si>
    <t>53814333</t>
  </si>
  <si>
    <t>ocm53814333</t>
  </si>
  <si>
    <t>3103032056B</t>
  </si>
  <si>
    <t>9780300103656</t>
  </si>
  <si>
    <t>793850867</t>
  </si>
  <si>
    <t>2015-05-14</t>
  </si>
  <si>
    <t>31031449414</t>
  </si>
  <si>
    <t>793850866</t>
  </si>
  <si>
    <t>U21.2 W345</t>
  </si>
  <si>
    <t>0                      U  0021200W  345</t>
  </si>
  <si>
    <t>Just and unjust wars : a moral argument with historical illustrations / Michael Walzer.</t>
  </si>
  <si>
    <t>New York : Basic Books, ©1977.</t>
  </si>
  <si>
    <t>2017-11-11</t>
  </si>
  <si>
    <t>2018-06-28</t>
  </si>
  <si>
    <t>796455851:eng</t>
  </si>
  <si>
    <t>3168545</t>
  </si>
  <si>
    <t>ocm03168545</t>
  </si>
  <si>
    <t>3103309206L</t>
  </si>
  <si>
    <t>9780465037049</t>
  </si>
  <si>
    <t>792225136</t>
  </si>
  <si>
    <t>3103742656H</t>
  </si>
  <si>
    <t>792225137</t>
  </si>
  <si>
    <t>U21.2 W34514 1999</t>
  </si>
  <si>
    <t>0                      U  0021200W  34514       1999</t>
  </si>
  <si>
    <t>Guerres justes et injustes : argumentation morale avec exemples historiques / Michael Walzer ; traduit par Simone Chambon et Anne Wicke.</t>
  </si>
  <si>
    <t>[Paris] : Belin, ©1999.</t>
  </si>
  <si>
    <t>Littérature et politique, 0985-9632</t>
  </si>
  <si>
    <t>2018-08-06</t>
  </si>
  <si>
    <t>2908884788:fre</t>
  </si>
  <si>
    <t>41607816</t>
  </si>
  <si>
    <t>ocm41607816</t>
  </si>
  <si>
    <t>31027860677</t>
  </si>
  <si>
    <t>9782701121161</t>
  </si>
  <si>
    <t>793595147</t>
  </si>
  <si>
    <t>U21.2 W349 2006</t>
  </si>
  <si>
    <t>0                      U  0021200W  349         2006</t>
  </si>
  <si>
    <t>The waning of major war : theories and debates / edited by Raimo Väyrynen.</t>
  </si>
  <si>
    <t>London ; New York : Routledge, 2006.</t>
  </si>
  <si>
    <t>Contemporary security studies series</t>
  </si>
  <si>
    <t>57089987:eng</t>
  </si>
  <si>
    <t>56371031</t>
  </si>
  <si>
    <t>ocm56371031</t>
  </si>
  <si>
    <t>3102558606K</t>
  </si>
  <si>
    <t>9780714657233</t>
  </si>
  <si>
    <t>793891914</t>
  </si>
  <si>
    <t>U21.2 W357 1994</t>
  </si>
  <si>
    <t>0                      U  0021200W  357         1994</t>
  </si>
  <si>
    <t>War / edited by Lawrence Freedman.</t>
  </si>
  <si>
    <t>Oxford ; New York : Oxford University Press, 1994.</t>
  </si>
  <si>
    <t>1994</t>
  </si>
  <si>
    <t>Oxford readers</t>
  </si>
  <si>
    <t>2019-10-02</t>
  </si>
  <si>
    <t>3943732811:eng</t>
  </si>
  <si>
    <t>28929196</t>
  </si>
  <si>
    <t>ocm28929196</t>
  </si>
  <si>
    <t>3102947315C</t>
  </si>
  <si>
    <t>9780192892546</t>
  </si>
  <si>
    <t>793299756</t>
  </si>
  <si>
    <t>U21.2 W36</t>
  </si>
  <si>
    <t>0                      U  0021200W  36</t>
  </si>
  <si>
    <t>War : a historical, political, and social study / L.L. Farrar, Jr., editor.</t>
  </si>
  <si>
    <t>Santa Barbara, Calif. : ABC-Clio, ©1978.</t>
  </si>
  <si>
    <t>1978</t>
  </si>
  <si>
    <t>Studies in international and comparative politics ; 9</t>
  </si>
  <si>
    <t>2015-03-17</t>
  </si>
  <si>
    <t>10029692:eng</t>
  </si>
  <si>
    <t>3415151</t>
  </si>
  <si>
    <t>ocm03415151</t>
  </si>
  <si>
    <t>3000456099F</t>
  </si>
  <si>
    <t>9780874362213</t>
  </si>
  <si>
    <t>792253080</t>
  </si>
  <si>
    <t>U21.2 W477 2000</t>
  </si>
  <si>
    <t>0                      U  0021200W  477         2000</t>
  </si>
  <si>
    <t>What do we know about war? / edited by John A. Vasquez.</t>
  </si>
  <si>
    <t>Lanham, Md. : Rowan &amp; Littlefield Pub., ©2000.</t>
  </si>
  <si>
    <t>2015-11-24</t>
  </si>
  <si>
    <t>56543776:eng</t>
  </si>
  <si>
    <t>43919649</t>
  </si>
  <si>
    <t>ocm43919649</t>
  </si>
  <si>
    <t>3102947314C</t>
  </si>
  <si>
    <t>9780847699261</t>
  </si>
  <si>
    <t>793638810</t>
  </si>
  <si>
    <t>U21.2 W75 1983</t>
  </si>
  <si>
    <t>0                      U  0021200W  75          1983</t>
  </si>
  <si>
    <t>A study of war / Quincy Wright ; abridged by Louise Leonard Wright.</t>
  </si>
  <si>
    <t>Wright, Quincy, 1890-1970.</t>
  </si>
  <si>
    <t>Chicago : University of Chicago Press, 1983, ©1964.</t>
  </si>
  <si>
    <t>Midway reprint</t>
  </si>
  <si>
    <t>2018-04-25</t>
  </si>
  <si>
    <t>1659361:eng</t>
  </si>
  <si>
    <t>7595200</t>
  </si>
  <si>
    <t>ocm07595200</t>
  </si>
  <si>
    <t>31029877509</t>
  </si>
  <si>
    <t>9780226910017</t>
  </si>
  <si>
    <t>792568547</t>
  </si>
  <si>
    <t>U21.5 A25 2007</t>
  </si>
  <si>
    <t>0                      U  0021500A  25          2007</t>
  </si>
  <si>
    <t>Aboriginal peoples and military participation : Canadian and international perspectives / edited by P. Whitney Lackenbauer, R. Scott Sheffield and Craig Leslie Mantle.</t>
  </si>
  <si>
    <t>Winnipeg : Canadian Defence Academy Press, 2007.</t>
  </si>
  <si>
    <t>2015-12-03</t>
  </si>
  <si>
    <t>894520501:eng</t>
  </si>
  <si>
    <t>163698909</t>
  </si>
  <si>
    <t>ocn163698909</t>
  </si>
  <si>
    <t>3103039955U</t>
  </si>
  <si>
    <t>9780662459491</t>
  </si>
  <si>
    <t>794258565</t>
  </si>
  <si>
    <t>U21.5 A26 2007</t>
  </si>
  <si>
    <t>0                      U  0021500A  26          2007</t>
  </si>
  <si>
    <t>Aboriginal peoples and the Canadian military : historical perspectives / edited by P. Whitney Lackenbauer and Craig Leslie Mantle.</t>
  </si>
  <si>
    <t>Winnipeg : Canadian Defence Academy Press, ©2007.</t>
  </si>
  <si>
    <t>2017-10-24</t>
  </si>
  <si>
    <t>403026769:eng</t>
  </si>
  <si>
    <t>181078599</t>
  </si>
  <si>
    <t>ocn181078599</t>
  </si>
  <si>
    <t>3103039992M</t>
  </si>
  <si>
    <t>9780662458760</t>
  </si>
  <si>
    <t>794281443</t>
  </si>
  <si>
    <t>U21.5 A28 1972</t>
  </si>
  <si>
    <t>0                      U  0021500A  28          1972</t>
  </si>
  <si>
    <t>Military professionalization and political power. With a foreword by Morris Janowitz.</t>
  </si>
  <si>
    <t>Abrahamsson, Bengt, 1937-</t>
  </si>
  <si>
    <t>Beverly Hills [Calif.] Sage Publications [1972]</t>
  </si>
  <si>
    <t>1972</t>
  </si>
  <si>
    <t>Sage series on armed forces and society</t>
  </si>
  <si>
    <t>2017-10-13</t>
  </si>
  <si>
    <t>1444457:eng</t>
  </si>
  <si>
    <t>370416</t>
  </si>
  <si>
    <t>ocm00370416</t>
  </si>
  <si>
    <t>3000402910Y</t>
  </si>
  <si>
    <t>9780803901384</t>
  </si>
  <si>
    <t>791354595</t>
  </si>
  <si>
    <t>U21.5 A49 2010</t>
  </si>
  <si>
    <t>0                      U  0021500A  49          2010</t>
  </si>
  <si>
    <t>The wars we inherit : military life, gender violence, and memory / Lori E. Amy.</t>
  </si>
  <si>
    <t>Amy, Lori E. (Lori Eileen)</t>
  </si>
  <si>
    <t>Philadelphia : Temple University Press, 2010.</t>
  </si>
  <si>
    <t>796366461:eng</t>
  </si>
  <si>
    <t>468973485</t>
  </si>
  <si>
    <t>ocn468973485</t>
  </si>
  <si>
    <t>31032402282</t>
  </si>
  <si>
    <t>9781592139606</t>
  </si>
  <si>
    <t>794795587</t>
  </si>
  <si>
    <t>1974</t>
  </si>
  <si>
    <t>2015-12-02</t>
  </si>
  <si>
    <t>2012-09-07</t>
  </si>
  <si>
    <t>U21.5 B45 2012</t>
  </si>
  <si>
    <t>0                      U  0021500B  45          2012</t>
  </si>
  <si>
    <t>Bring me men : military masculinity and the benign facade of American empire, 1898-2001 / Aaron Belkin.</t>
  </si>
  <si>
    <t>Belkin, Aaron, 1966-</t>
  </si>
  <si>
    <t>New York : Columbia University Press, ©2012.</t>
  </si>
  <si>
    <t>2016-01-28</t>
  </si>
  <si>
    <t>904659245:eng</t>
  </si>
  <si>
    <t>765485546</t>
  </si>
  <si>
    <t>ocn765485546</t>
  </si>
  <si>
    <t>3103414525H</t>
  </si>
  <si>
    <t>9780231702843</t>
  </si>
  <si>
    <t>794900659</t>
  </si>
  <si>
    <t>U21.5 B52</t>
  </si>
  <si>
    <t>0                      U  0021500B  52</t>
  </si>
  <si>
    <t>The military intervenes; case studies in political development. Edited by Henry Bienen.</t>
  </si>
  <si>
    <t>Bienen, Henry.</t>
  </si>
  <si>
    <t>New York, Russell Sage Foundation, 1968.</t>
  </si>
  <si>
    <t>1968</t>
  </si>
  <si>
    <t>2015-04-04</t>
  </si>
  <si>
    <t>887850664:eng</t>
  </si>
  <si>
    <t>712688</t>
  </si>
  <si>
    <t>ocm00712688</t>
  </si>
  <si>
    <t>3000224427T</t>
  </si>
  <si>
    <t>791453141</t>
  </si>
  <si>
    <t>2003-04-12</t>
  </si>
  <si>
    <t>30005123132</t>
  </si>
  <si>
    <t>791453142</t>
  </si>
  <si>
    <t>U21.5 C445 2003</t>
  </si>
  <si>
    <t>0                      U  0021500C  445         2003</t>
  </si>
  <si>
    <t>The chivalric ethos and the development of military professionalism / edited by D.J.B. Trim.</t>
  </si>
  <si>
    <t>Leiden ; Boston : Brill, 2003.</t>
  </si>
  <si>
    <t>History of warfare, 1385-7827 ; v. 11</t>
  </si>
  <si>
    <t>2019-01-18</t>
  </si>
  <si>
    <t>1074660683:eng</t>
  </si>
  <si>
    <t>50042862</t>
  </si>
  <si>
    <t>ocm50042862</t>
  </si>
  <si>
    <t>3102980842$</t>
  </si>
  <si>
    <t>9789004120952</t>
  </si>
  <si>
    <t>793754360</t>
  </si>
  <si>
    <t>U21.5 C74 2008</t>
  </si>
  <si>
    <t>0                      U  0021500C  74          2008</t>
  </si>
  <si>
    <t>The culture of war / Martin van Creveld.</t>
  </si>
  <si>
    <t>Van Creveld, Martin, 1946-</t>
  </si>
  <si>
    <t>New York : Presidio Press/Ballantine Books, ©2008.</t>
  </si>
  <si>
    <t>1st ed.</t>
  </si>
  <si>
    <t>119837115:eng</t>
  </si>
  <si>
    <t>191922864</t>
  </si>
  <si>
    <t>ocn191922864</t>
  </si>
  <si>
    <t>3102976249Z</t>
  </si>
  <si>
    <t>9780345505408</t>
  </si>
  <si>
    <t>794302155</t>
  </si>
  <si>
    <t>U21.5 E45 1987</t>
  </si>
  <si>
    <t>0                      U  0021500E  45          1987</t>
  </si>
  <si>
    <t>Women and War / Jean Bethke Elshtain.</t>
  </si>
  <si>
    <t>Elshtain, Jean Bethke, 1941-2013.</t>
  </si>
  <si>
    <t>New York : Basic Books, 1987.</t>
  </si>
  <si>
    <t>2017-12-16</t>
  </si>
  <si>
    <t>8538216:eng</t>
  </si>
  <si>
    <t>14818714</t>
  </si>
  <si>
    <t>ocm14818714</t>
  </si>
  <si>
    <t>3103872028L</t>
  </si>
  <si>
    <t>9780465092147</t>
  </si>
  <si>
    <t>792908387</t>
  </si>
  <si>
    <t>2015-11-02</t>
  </si>
  <si>
    <t>3000482534P</t>
  </si>
  <si>
    <t>792908386</t>
  </si>
  <si>
    <t>U21.5 E45 1995</t>
  </si>
  <si>
    <t>0                      U  0021500E  45          1995</t>
  </si>
  <si>
    <t>Women and war / Jean Bethke Elshtain ; with a new epilogue.</t>
  </si>
  <si>
    <t>Chicago : University of Chicago Press, 1995.</t>
  </si>
  <si>
    <t>1995</t>
  </si>
  <si>
    <t>University of Chicago Press ed.</t>
  </si>
  <si>
    <t>2017-11-23</t>
  </si>
  <si>
    <t>31936038</t>
  </si>
  <si>
    <t>ocm31936038</t>
  </si>
  <si>
    <t>3103710481H</t>
  </si>
  <si>
    <t>9780226206264</t>
  </si>
  <si>
    <t>793371647</t>
  </si>
  <si>
    <t>U21.5 G65 2001</t>
  </si>
  <si>
    <t>0                      U  0021500G  65          2001</t>
  </si>
  <si>
    <t>War and gender : how gender shapes the war system and vice versa / Joshua S. Goldstein.</t>
  </si>
  <si>
    <t>Goldstein, Joshua S., 1952-</t>
  </si>
  <si>
    <t>Cambridge : Cambridge University Press, 2001.</t>
  </si>
  <si>
    <t>2019-11-29</t>
  </si>
  <si>
    <t>707646:eng</t>
  </si>
  <si>
    <t>46909154</t>
  </si>
  <si>
    <t>ocm46909154</t>
  </si>
  <si>
    <t>3102796161$</t>
  </si>
  <si>
    <t>9780521807166</t>
  </si>
  <si>
    <t>793694193</t>
  </si>
  <si>
    <t>U21.5 I58 2008</t>
  </si>
  <si>
    <t>0                      U  0021500I  58          2008</t>
  </si>
  <si>
    <t>Advances in military sociology : essays in honor of Charles C. Moskos / [editor] Giuseppe Caforio, President of the ISA Research Committee on Armed Forces and Conflict Resolution, Italy.</t>
  </si>
  <si>
    <t>v.12 pt.A</t>
  </si>
  <si>
    <t>United Kingdom ; North America : Emerald, 2009.</t>
  </si>
  <si>
    <t>Contributions to conflict management, peace economics and development, 1572-8323 ; v. 12</t>
  </si>
  <si>
    <t>2017-01-10</t>
  </si>
  <si>
    <t>865980536:eng</t>
  </si>
  <si>
    <t>426030675</t>
  </si>
  <si>
    <t>ocn426030675</t>
  </si>
  <si>
    <t>31032517687</t>
  </si>
  <si>
    <t>9781848558908</t>
  </si>
  <si>
    <t>794514284</t>
  </si>
  <si>
    <t>v.12 pt.B</t>
  </si>
  <si>
    <t>31032517725</t>
  </si>
  <si>
    <t>794514283</t>
  </si>
  <si>
    <t>U21.5 I58 2009</t>
  </si>
  <si>
    <t>0                      U  0021500I  58          2009</t>
  </si>
  <si>
    <t>Inventing collateral damage : civilian casualities, war, and empire / edited by Stephen J. Rockel and Rick Halpern.</t>
  </si>
  <si>
    <t>Toronto : Between the Lines, 2009.</t>
  </si>
  <si>
    <t>793232289:eng</t>
  </si>
  <si>
    <t>434559333</t>
  </si>
  <si>
    <t>ocn434559333</t>
  </si>
  <si>
    <t>31030719329</t>
  </si>
  <si>
    <t>9781897071120</t>
  </si>
  <si>
    <t>794782986</t>
  </si>
  <si>
    <t>U21.5 M33 2013</t>
  </si>
  <si>
    <t>0                      U  0021500M  33          2013</t>
  </si>
  <si>
    <t>Yellow ribbons : the militarization of national identity in Canada / A.L. McCready.</t>
  </si>
  <si>
    <t>McCready, A. L., 1981-, author.</t>
  </si>
  <si>
    <t>Halifax ; Winnipeg : Fernwood Publishing, [2013]</t>
  </si>
  <si>
    <t>Fernwood basics</t>
  </si>
  <si>
    <t>2013-12-05</t>
  </si>
  <si>
    <t>2970682622:eng</t>
  </si>
  <si>
    <t>847332549</t>
  </si>
  <si>
    <t>ocn847332549</t>
  </si>
  <si>
    <t>3103493196G</t>
  </si>
  <si>
    <t>9781552665800</t>
  </si>
  <si>
    <t>794949460</t>
  </si>
  <si>
    <t>U21.5 M48 1973</t>
  </si>
  <si>
    <t>0                      U  0021500M  48          1973</t>
  </si>
  <si>
    <t>Military force and American society / edited by Bruce M. Russett and Alfred Stepan.</t>
  </si>
  <si>
    <t>New York Evanston ; San Francisco ; London : Harper &amp; Row, 1973.</t>
  </si>
  <si>
    <t>Harper torchbooks ; 1719</t>
  </si>
  <si>
    <t>2016-02-08</t>
  </si>
  <si>
    <t>346256129:eng</t>
  </si>
  <si>
    <t>658088</t>
  </si>
  <si>
    <t>ocm00658088</t>
  </si>
  <si>
    <t>3100249217U</t>
  </si>
  <si>
    <t>9780061360992</t>
  </si>
  <si>
    <t>791439612</t>
  </si>
  <si>
    <t>U21.5 M4975 2003</t>
  </si>
  <si>
    <t>0                      U  0021500M  4975        2003</t>
  </si>
  <si>
    <t>Military masculinities : identity and the state / [edited by] Paul R. Higate ; foreword by Jeff Hearn.</t>
  </si>
  <si>
    <t>Westport, Conn. : Praeger, 2003.</t>
  </si>
  <si>
    <t>2016-10-28</t>
  </si>
  <si>
    <t>353361883:eng</t>
  </si>
  <si>
    <t>50042811</t>
  </si>
  <si>
    <t>ocm50042811</t>
  </si>
  <si>
    <t>3102744807N</t>
  </si>
  <si>
    <t>9780275975586</t>
  </si>
  <si>
    <t>793754356</t>
  </si>
  <si>
    <t>U21.5 M67 2001</t>
  </si>
  <si>
    <t>0                      U  0021500M  67          2001</t>
  </si>
  <si>
    <t>Manliness and militarism : educating young boys in Ontario for war / Mark Moss.</t>
  </si>
  <si>
    <t>Moss, Mark Howard, 1962-</t>
  </si>
  <si>
    <t>Don Mills, Ont. ; New York : Oxford University Press, 2001.</t>
  </si>
  <si>
    <t>Canadian social history series</t>
  </si>
  <si>
    <t>2015-09-26</t>
  </si>
  <si>
    <t>2018-10-19</t>
  </si>
  <si>
    <t>837065763:eng</t>
  </si>
  <si>
    <t>44786642</t>
  </si>
  <si>
    <t>ocm44786642</t>
  </si>
  <si>
    <t>3102121219W</t>
  </si>
  <si>
    <t>9780195415940</t>
  </si>
  <si>
    <t>793658206</t>
  </si>
  <si>
    <t>3102127191Z</t>
  </si>
  <si>
    <t>793658207</t>
  </si>
  <si>
    <t>U21.5 P36</t>
  </si>
  <si>
    <t>0                      U  0021500P  36</t>
  </si>
  <si>
    <t>The military and politics in modern times : on professionals, praetorians, and revolutionary soldiers / Amos Perlmutter.</t>
  </si>
  <si>
    <t>Perlmutter, Amos.</t>
  </si>
  <si>
    <t>New Haven : Yale University Press, 1977.</t>
  </si>
  <si>
    <t>A Yale paperbound ; Y-332</t>
  </si>
  <si>
    <t>2016-10-13</t>
  </si>
  <si>
    <t>889334080:eng</t>
  </si>
  <si>
    <t>2524717</t>
  </si>
  <si>
    <t>ocm02524717</t>
  </si>
  <si>
    <t>3000456367G</t>
  </si>
  <si>
    <t>9780300020458</t>
  </si>
  <si>
    <t>792139186</t>
  </si>
  <si>
    <t>U21.5 T512 2012</t>
  </si>
  <si>
    <t>0                      U  0021500T  512         2012</t>
  </si>
  <si>
    <t>"Over not through" : the search for a strong, unified culture for America's airmen / Paula G. Thornhill.</t>
  </si>
  <si>
    <t>Thornhill, Paula G.</t>
  </si>
  <si>
    <t>Santa Monica, CA : Rand, 2012.</t>
  </si>
  <si>
    <t>RAND Corporation occasional paper series ; OP-386-AF</t>
  </si>
  <si>
    <t>1175943929:eng</t>
  </si>
  <si>
    <t>816364448</t>
  </si>
  <si>
    <t>ocn816364448</t>
  </si>
  <si>
    <t>3103512184J</t>
  </si>
  <si>
    <t>9780833076977</t>
  </si>
  <si>
    <t>794933092</t>
  </si>
  <si>
    <t>U21.5 T78 1988</t>
  </si>
  <si>
    <t>0                      U  0021500T  78          1988</t>
  </si>
  <si>
    <t>Total war and social change / edited by Arthur Marwick.</t>
  </si>
  <si>
    <t>Basingstoke : Macmillan, 1988.</t>
  </si>
  <si>
    <t>2017-03-22</t>
  </si>
  <si>
    <t>55082774:eng</t>
  </si>
  <si>
    <t>17842592</t>
  </si>
  <si>
    <t>ocm17842592</t>
  </si>
  <si>
    <t>31021989426</t>
  </si>
  <si>
    <t>9780333455906</t>
  </si>
  <si>
    <t>793005038</t>
  </si>
  <si>
    <t>U21.75 B87 2004</t>
  </si>
  <si>
    <t>0                      U  0021750B  87          2004</t>
  </si>
  <si>
    <t>Camp all-American, Hanoi Jane, and the high-and-tight : gender, folklore, and changing military culture / Carol Burke.</t>
  </si>
  <si>
    <t>Burke, Carol.</t>
  </si>
  <si>
    <t>Boston : Beacon Press, ©2004.</t>
  </si>
  <si>
    <t>1st cloth ed.</t>
  </si>
  <si>
    <t>2019-02-14</t>
  </si>
  <si>
    <t>1105203804:eng</t>
  </si>
  <si>
    <t>53223568</t>
  </si>
  <si>
    <t>ocm53223568</t>
  </si>
  <si>
    <t>3102384827N</t>
  </si>
  <si>
    <t>9780807046609</t>
  </si>
  <si>
    <t>793824004</t>
  </si>
  <si>
    <t>U21.75 C66 2012</t>
  </si>
  <si>
    <t>0                      U  0021750C  66          2012</t>
  </si>
  <si>
    <t>A companion to women's military history / edited by Barton C. Hacker, Margaret Vining.</t>
  </si>
  <si>
    <t>Leiden [Netherlands] ; Boston : Brill, 2012.</t>
  </si>
  <si>
    <t>History of warfare ; v. 74</t>
  </si>
  <si>
    <t>2019-02-15</t>
  </si>
  <si>
    <t>1082321891:eng</t>
  </si>
  <si>
    <t>792941530</t>
  </si>
  <si>
    <t>ocn792941530</t>
  </si>
  <si>
    <t>31034139435</t>
  </si>
  <si>
    <t>9789004212176</t>
  </si>
  <si>
    <t>794917397</t>
  </si>
  <si>
    <t>U21.75 C76 2011</t>
  </si>
  <si>
    <t>0                      U  0021750C  76          2011</t>
  </si>
  <si>
    <t>Warrior women : 3000 years of courage and heroism / Robin Cross &amp; Rosalind Miles.</t>
  </si>
  <si>
    <t>Cross, Robin, 1948-</t>
  </si>
  <si>
    <t>London : Quercus Publishing Plc, 2011.</t>
  </si>
  <si>
    <t>2019-03-27</t>
  </si>
  <si>
    <t>836739520:eng</t>
  </si>
  <si>
    <t>727946397</t>
  </si>
  <si>
    <t>ocn727946397</t>
  </si>
  <si>
    <t>3103234883Z</t>
  </si>
  <si>
    <t>9780857380777</t>
  </si>
  <si>
    <t>794878704</t>
  </si>
  <si>
    <t>U21.75 E55 1983</t>
  </si>
  <si>
    <t>0                      U  0021750E  55          1983</t>
  </si>
  <si>
    <t>Does khaki become you? : the militarisation of women's lives / Cynthia Enloe.</t>
  </si>
  <si>
    <t>Enloe, Cynthia H., 1938-</t>
  </si>
  <si>
    <t>London : Pluto Press, 1983.</t>
  </si>
  <si>
    <t>2017-09-01</t>
  </si>
  <si>
    <t>796525689:eng</t>
  </si>
  <si>
    <t>9841483</t>
  </si>
  <si>
    <t>ocm09841483</t>
  </si>
  <si>
    <t>3000192202S</t>
  </si>
  <si>
    <t>9780861047048</t>
  </si>
  <si>
    <t>792696357</t>
  </si>
  <si>
    <t>U21.75 E5524 2000</t>
  </si>
  <si>
    <t>0                      U  0021750E  5524        2000</t>
  </si>
  <si>
    <t>Maneuvers : the international politics of militarizing women's lives / Cynthia Enloe.</t>
  </si>
  <si>
    <t>Berkeley : University of California Press, ©2000.</t>
  </si>
  <si>
    <t>2017-07-17</t>
  </si>
  <si>
    <t>796359194:eng</t>
  </si>
  <si>
    <t>41143048</t>
  </si>
  <si>
    <t>ocm41143048</t>
  </si>
  <si>
    <t>31027857072</t>
  </si>
  <si>
    <t>9780520220706</t>
  </si>
  <si>
    <t>793585363</t>
  </si>
  <si>
    <t>U21.75 G45 2010</t>
  </si>
  <si>
    <t>0                      U  0021750G  45          2010</t>
  </si>
  <si>
    <t>Gender, war and politics : transatlantic perspectives, 1775-1830 / edited by Karen Hagemann, Gisela Mettele, Jane Rendall.</t>
  </si>
  <si>
    <t>Basingstoke ; New York : Palgrave Macmillan, 2010.</t>
  </si>
  <si>
    <t>War, culture and society, 1750-1850</t>
  </si>
  <si>
    <t>796523717:eng</t>
  </si>
  <si>
    <t>308174834</t>
  </si>
  <si>
    <t>ocn308174834</t>
  </si>
  <si>
    <t>3103237103N</t>
  </si>
  <si>
    <t>9780230218000</t>
  </si>
  <si>
    <t>794434512</t>
  </si>
  <si>
    <t>U21.75 H45 2002</t>
  </si>
  <si>
    <t>0                      U  0021750H  45          2002</t>
  </si>
  <si>
    <t>Home/front : the military, war, and gender in twentieth-century Germany / edited by Karen Hagemann and Stefanie Schüler-Springorum.</t>
  </si>
  <si>
    <t>Heimatfront. English.</t>
  </si>
  <si>
    <t>Oxford ; New York : Berg, 2002.</t>
  </si>
  <si>
    <t>2002</t>
  </si>
  <si>
    <t>2019-02-25</t>
  </si>
  <si>
    <t>793899345:eng</t>
  </si>
  <si>
    <t>50643982</t>
  </si>
  <si>
    <t>ocm50643982</t>
  </si>
  <si>
    <t>3102557826E</t>
  </si>
  <si>
    <t>9781859736654</t>
  </si>
  <si>
    <t>793769494</t>
  </si>
  <si>
    <t>U21.75 I48 1988</t>
  </si>
  <si>
    <t>0                      U  0021750I  48          1988</t>
  </si>
  <si>
    <t>Images of women in peace and war : cross-cultural and historical perspectives / edited by Sharon Macdonald, Pat Holden, and Shirley Ardener.</t>
  </si>
  <si>
    <t>Madison, Wis. : University of Wisconsin Press, 1988, ©1987.</t>
  </si>
  <si>
    <t>2015-11-07</t>
  </si>
  <si>
    <t>836638420:eng</t>
  </si>
  <si>
    <t>16978973</t>
  </si>
  <si>
    <t>ocm16978973</t>
  </si>
  <si>
    <t>3100413235P</t>
  </si>
  <si>
    <t>9780299117603</t>
  </si>
  <si>
    <t>792979267</t>
  </si>
  <si>
    <t>U21.75 K76 2012</t>
  </si>
  <si>
    <t>0                      U  0021750K  76          2012</t>
  </si>
  <si>
    <t>Gender, sex, and the postnational defense : militarism and peacekeeping / Annica Kronsell.</t>
  </si>
  <si>
    <t>Kronsell, Annica.</t>
  </si>
  <si>
    <t>New York : Oxford University Press, ©2012.</t>
  </si>
  <si>
    <t>Oxford studies in gender and international relations.</t>
  </si>
  <si>
    <t>2015-11-13</t>
  </si>
  <si>
    <t>1082063420:eng</t>
  </si>
  <si>
    <t>745766000</t>
  </si>
  <si>
    <t>ocn745766000</t>
  </si>
  <si>
    <t>3103410858I</t>
  </si>
  <si>
    <t>9780199846061</t>
  </si>
  <si>
    <t>794886603</t>
  </si>
  <si>
    <t>U21.75 L96 2008</t>
  </si>
  <si>
    <t>0                      U  0021750L  96          2008</t>
  </si>
  <si>
    <t>Women, armies, and warfare in early modern Europe / John A. Lynn II.</t>
  </si>
  <si>
    <t>Lynn, John A. (John Albert), 1943-</t>
  </si>
  <si>
    <t>Cambridge ; New York : Cambridge University Press, 2008.</t>
  </si>
  <si>
    <t>369135072:eng</t>
  </si>
  <si>
    <t>232656888</t>
  </si>
  <si>
    <t>ocn232656888</t>
  </si>
  <si>
    <t>31029750468</t>
  </si>
  <si>
    <t>9780521897655</t>
  </si>
  <si>
    <t>794364211</t>
  </si>
  <si>
    <t>U21.75 W58 1997</t>
  </si>
  <si>
    <t>0                      U  0021750W  58          1997</t>
  </si>
  <si>
    <t>Wives and warriors : women and the military in the United States and Canada / edited by Laurie Weinstein and Christie C. White ; foreword by Cynthia Enloe.</t>
  </si>
  <si>
    <t>Westport, Conn. : Bergin &amp; Garvey, 1997.</t>
  </si>
  <si>
    <t>2016-11-30</t>
  </si>
  <si>
    <t>799330215:eng</t>
  </si>
  <si>
    <t>35145805</t>
  </si>
  <si>
    <t>ocm35145805</t>
  </si>
  <si>
    <t>3101800295T</t>
  </si>
  <si>
    <t>9780897894913</t>
  </si>
  <si>
    <t>793445251</t>
  </si>
  <si>
    <t>U21.75 W66 2010</t>
  </si>
  <si>
    <t>0                      U  0021750W  66          2010</t>
  </si>
  <si>
    <t>Women in the armed and police forces : resolution 1325 and peace operations in Latin America / project management, Marcela Donadio, Cecilia Mazzotta ; with the collaboration of Ivette Castañeda García.</t>
  </si>
  <si>
    <t>Buenos Aires : RESDAL, 2010.</t>
  </si>
  <si>
    <t>1159981606:eng</t>
  </si>
  <si>
    <t>806311079</t>
  </si>
  <si>
    <t>ocn806311079</t>
  </si>
  <si>
    <t>3103337678P</t>
  </si>
  <si>
    <t>9789872516727</t>
  </si>
  <si>
    <t>794926906</t>
  </si>
  <si>
    <t>U21.75 W665 1993</t>
  </si>
  <si>
    <t>0                      U  0021750W  665         1993</t>
  </si>
  <si>
    <t>Women and the use of military force / edited by Ruth H. Howes, Michael R. Stevenson.</t>
  </si>
  <si>
    <t>Boulder : L. Rienner Publishers, ©1993.</t>
  </si>
  <si>
    <t>2016-10-03</t>
  </si>
  <si>
    <t>29860376:eng</t>
  </si>
  <si>
    <t>27226175</t>
  </si>
  <si>
    <t>ocm27226175</t>
  </si>
  <si>
    <t>3101348522F</t>
  </si>
  <si>
    <t>9781555873295</t>
  </si>
  <si>
    <t>793262401</t>
  </si>
  <si>
    <t>U22 C49 2007</t>
  </si>
  <si>
    <t>0                      U  0022000C  49          2007</t>
  </si>
  <si>
    <t>Awakening warrior : revolution in the ethics of warfare / Timothy L. Challans.</t>
  </si>
  <si>
    <t>Challans, Timothy L., 1954-</t>
  </si>
  <si>
    <t>Albany : State University of New York Press, ©2007.</t>
  </si>
  <si>
    <t>SUNY series, ethics and the military profession</t>
  </si>
  <si>
    <t>2015-07-14</t>
  </si>
  <si>
    <t>801240774:eng</t>
  </si>
  <si>
    <t>70778277</t>
  </si>
  <si>
    <t>ocm70778277</t>
  </si>
  <si>
    <t>3102828421J</t>
  </si>
  <si>
    <t>9780791471258</t>
  </si>
  <si>
    <t>794159024</t>
  </si>
  <si>
    <t>U22 C596 2013</t>
  </si>
  <si>
    <t>0                      U  0022000C  596         2013</t>
  </si>
  <si>
    <t>Issues in military ethics : to support and defend the Constitution / Martin L. Cook.</t>
  </si>
  <si>
    <t>Cook, Martin L., 1951-</t>
  </si>
  <si>
    <t>Albany : SUNY Press, ©2013.</t>
  </si>
  <si>
    <t>1124743859:eng</t>
  </si>
  <si>
    <t>799252768</t>
  </si>
  <si>
    <t>ocn799252768</t>
  </si>
  <si>
    <t>3103497122E</t>
  </si>
  <si>
    <t>9781438446912</t>
  </si>
  <si>
    <t>794924305</t>
  </si>
  <si>
    <t>U22 C68 2010</t>
  </si>
  <si>
    <t>0                      U  0022000C  68          2010</t>
  </si>
  <si>
    <t>A tactical ethic : moral conduct in the insurgent battlespace / Dick Couch.</t>
  </si>
  <si>
    <t>Couch, Dick, 1943-</t>
  </si>
  <si>
    <t>Annapolis, Md. : Naval Institute Press, ©2010.</t>
  </si>
  <si>
    <t>317121815:eng</t>
  </si>
  <si>
    <t>430052458</t>
  </si>
  <si>
    <t>ocn430052458</t>
  </si>
  <si>
    <t>3103228856U</t>
  </si>
  <si>
    <t>9781591141372</t>
  </si>
  <si>
    <t>794780546</t>
  </si>
  <si>
    <t>U22 E22 2017</t>
  </si>
  <si>
    <t>0                      U  0022000E  22          2017</t>
  </si>
  <si>
    <t>Ethics as a weapon of war : militarism and morality in Israel / James Eastwood, Queen Mary University of London.</t>
  </si>
  <si>
    <t>Eastwood, James, 1988- author.</t>
  </si>
  <si>
    <t>Cambridge, United Kingdom : Cambridge University Press, 2017.</t>
  </si>
  <si>
    <t>2017</t>
  </si>
  <si>
    <t>4500137246:eng</t>
  </si>
  <si>
    <t>1000150564</t>
  </si>
  <si>
    <t>on1000150564</t>
  </si>
  <si>
    <t>3103669352Y</t>
  </si>
  <si>
    <t>9781108415231</t>
  </si>
  <si>
    <t>795040093</t>
  </si>
  <si>
    <t>U22 E831 2008</t>
  </si>
  <si>
    <t>0                      U  0022000E  831         2008</t>
  </si>
  <si>
    <t>Ethics education in the military / edited by Paul Robinson, Nigel de Lee, Don Carrick.</t>
  </si>
  <si>
    <t>Aldershot, England ; Burlington, VT : Ashgate Pub. Company, ©2008.</t>
  </si>
  <si>
    <t>1044580641:eng</t>
  </si>
  <si>
    <t>170203920</t>
  </si>
  <si>
    <t>ocn170203920</t>
  </si>
  <si>
    <t>3102707457X</t>
  </si>
  <si>
    <t>9780754671145</t>
  </si>
  <si>
    <t>794263428</t>
  </si>
  <si>
    <t>U22 E86 2006</t>
  </si>
  <si>
    <t>0                      U  0022000E  86          2006</t>
  </si>
  <si>
    <t>The ethics of war : classic and contemporary readings / edited by Gregory M. Reichberg, Henrik Syse, and Endre Begby.</t>
  </si>
  <si>
    <t>Malden, MA ; Oxford : Blackwell Pub., 2006.</t>
  </si>
  <si>
    <t>2018-09-19</t>
  </si>
  <si>
    <t>796465033:eng</t>
  </si>
  <si>
    <t>62755591</t>
  </si>
  <si>
    <t>ocm62755591</t>
  </si>
  <si>
    <t>3103393153U</t>
  </si>
  <si>
    <t>9781405123778</t>
  </si>
  <si>
    <t>794112044</t>
  </si>
  <si>
    <t>U22 F33 2012</t>
  </si>
  <si>
    <t>0                      U  0022000F  33          2012</t>
  </si>
  <si>
    <t>Cosmopolitan war / Cécile Fabre.</t>
  </si>
  <si>
    <t>Fabre, Cécile.</t>
  </si>
  <si>
    <t>Oxford : Oxford University Press, 2012.</t>
  </si>
  <si>
    <t>1108243264:eng</t>
  </si>
  <si>
    <t>792885457</t>
  </si>
  <si>
    <t>ocn792885457</t>
  </si>
  <si>
    <t>3103411830I</t>
  </si>
  <si>
    <t>9780199567164</t>
  </si>
  <si>
    <t>794917240</t>
  </si>
  <si>
    <t>U22 F57 2011</t>
  </si>
  <si>
    <t>0                      U  0022000F  57          2011</t>
  </si>
  <si>
    <t>Morality and war : can war be just in the twenty-first century? / David Fisher.</t>
  </si>
  <si>
    <t>Fisher, David 1947-2014</t>
  </si>
  <si>
    <t>2013-10-23</t>
  </si>
  <si>
    <t>902363960:eng</t>
  </si>
  <si>
    <t>705878678</t>
  </si>
  <si>
    <t>ocn705878678</t>
  </si>
  <si>
    <t>3103234484A</t>
  </si>
  <si>
    <t>9780199599240</t>
  </si>
  <si>
    <t>794866341</t>
  </si>
  <si>
    <t>U22 F64 1990</t>
  </si>
  <si>
    <t>0                      U  0022000F  64          1990</t>
  </si>
  <si>
    <t>Military ethics : looking toward the future / Nicholas G. Fotion.</t>
  </si>
  <si>
    <t>Fotion, N.</t>
  </si>
  <si>
    <t>Stanford, Calif. : Hoover Institution Press, Stanford University, ©1990.</t>
  </si>
  <si>
    <t>Hoover Press publication ; 397</t>
  </si>
  <si>
    <t>2017-04-11</t>
  </si>
  <si>
    <t>3943708334:eng</t>
  </si>
  <si>
    <t>22629978</t>
  </si>
  <si>
    <t>ocm22629978</t>
  </si>
  <si>
    <t>3101017186C</t>
  </si>
  <si>
    <t>9780817989712</t>
  </si>
  <si>
    <t>793149779</t>
  </si>
  <si>
    <t>U22 F65 2007</t>
  </si>
  <si>
    <t>0                      U  0022000F  65          2007</t>
  </si>
  <si>
    <t>War and ethics : a new just war theory / Nicholas Fotion.</t>
  </si>
  <si>
    <t>London ; New York : Continuum, 2007.</t>
  </si>
  <si>
    <t>Think now</t>
  </si>
  <si>
    <t>892429048:eng</t>
  </si>
  <si>
    <t>85623254</t>
  </si>
  <si>
    <t>ocm85623254</t>
  </si>
  <si>
    <t>3102881974T</t>
  </si>
  <si>
    <t>9780826492609</t>
  </si>
  <si>
    <t>794214045</t>
  </si>
  <si>
    <t>U22 G76 2010</t>
  </si>
  <si>
    <t>0                      U  0022000G  76          2010</t>
  </si>
  <si>
    <t>Moral dilemmas of modern war : torture, assassination, and blackmail in an age of asymmetric conflict / Michael L. Gross.</t>
  </si>
  <si>
    <t>Gross, Michael L., 1954-</t>
  </si>
  <si>
    <t>Cambridge ; New York : Cambridge University Press, 2010.</t>
  </si>
  <si>
    <t>2014-11-04</t>
  </si>
  <si>
    <t>793226233:eng</t>
  </si>
  <si>
    <t>313078350</t>
  </si>
  <si>
    <t>ocn313078350</t>
  </si>
  <si>
    <t>3103156932U</t>
  </si>
  <si>
    <t>9780521866156</t>
  </si>
  <si>
    <t>794437707</t>
  </si>
  <si>
    <t>U22 H65 1989</t>
  </si>
  <si>
    <t>0                      U  0022000H  65          1989</t>
  </si>
  <si>
    <t>On war and morality / Robert L. Holmes.</t>
  </si>
  <si>
    <t>Holmes, Robert L., author.</t>
  </si>
  <si>
    <t>Princeton, New Jersey : Princeton University Press, [1989]</t>
  </si>
  <si>
    <t>Studies in moral, political, and legal philosophy</t>
  </si>
  <si>
    <t>2017-01-30</t>
  </si>
  <si>
    <t>16400818:eng</t>
  </si>
  <si>
    <t>18106662</t>
  </si>
  <si>
    <t>ocm18106662</t>
  </si>
  <si>
    <t>31004198463</t>
  </si>
  <si>
    <t>9780691077949</t>
  </si>
  <si>
    <t>793014085</t>
  </si>
  <si>
    <t>2008-11-20</t>
  </si>
  <si>
    <t>31006820927</t>
  </si>
  <si>
    <t>793014084</t>
  </si>
  <si>
    <t>U22 K36 2011</t>
  </si>
  <si>
    <t>0                      U  0022000K  36          2011</t>
  </si>
  <si>
    <t>Ethics for enemies : terror, torture, and war / F.M. Kamm.</t>
  </si>
  <si>
    <t>Kamm, F. M. (Frances Myrna)</t>
  </si>
  <si>
    <t>Uehiro series in practical ethics</t>
  </si>
  <si>
    <t>2012-06-13</t>
  </si>
  <si>
    <t>1028629403:eng</t>
  </si>
  <si>
    <t>707267236</t>
  </si>
  <si>
    <t>ocn707267236</t>
  </si>
  <si>
    <t>3103342131Q</t>
  </si>
  <si>
    <t>9780199608782</t>
  </si>
  <si>
    <t>794867642</t>
  </si>
  <si>
    <t>U22 K43 1982</t>
  </si>
  <si>
    <t>0                      U  0022000K  43          1982</t>
  </si>
  <si>
    <t>Combat motivation : the behavior of soldiers in battle / Anthony Kellett.</t>
  </si>
  <si>
    <t>Kellett, Anthony.</t>
  </si>
  <si>
    <t>Boston : Kluwer-Nijhoff Pub. ; Hingham, Mass. : Distributors for North America, Kluwer Boston, ©1982.</t>
  </si>
  <si>
    <t>1982</t>
  </si>
  <si>
    <t>International series in management science/operations research</t>
  </si>
  <si>
    <t>2018-06-06</t>
  </si>
  <si>
    <t>31308994:eng</t>
  </si>
  <si>
    <t>8194780</t>
  </si>
  <si>
    <t>ocm08194780</t>
  </si>
  <si>
    <t>3000335923$</t>
  </si>
  <si>
    <t>9780898381023</t>
  </si>
  <si>
    <t>792604712</t>
  </si>
  <si>
    <t>U22 M388 2012</t>
  </si>
  <si>
    <t>0                      U  0022000M  388         2012</t>
  </si>
  <si>
    <t>After war ends : a philosophical perspective / Larry May.</t>
  </si>
  <si>
    <t>May, Larry.</t>
  </si>
  <si>
    <t>Cambridge : Cambridge University Press, 2012.</t>
  </si>
  <si>
    <t>2016-02-15</t>
  </si>
  <si>
    <t>1067744466:eng</t>
  </si>
  <si>
    <t>769471706</t>
  </si>
  <si>
    <t>ocn769471706</t>
  </si>
  <si>
    <t>3103422404R</t>
  </si>
  <si>
    <t>9781107018518</t>
  </si>
  <si>
    <t>794903452</t>
  </si>
  <si>
    <t>U22 M39 2006</t>
  </si>
  <si>
    <t>0                      U  0022000M  39          2006</t>
  </si>
  <si>
    <t>The morality of war : classical and contemporary readings / Larry May, Eric Rovie, and Steve Viner.</t>
  </si>
  <si>
    <t>Upper Saddle River, N.J. : Pearson Education, ©2006.</t>
  </si>
  <si>
    <t>Prentice Hall</t>
  </si>
  <si>
    <t>2015-01-27</t>
  </si>
  <si>
    <t>24100719:eng</t>
  </si>
  <si>
    <t>56798901</t>
  </si>
  <si>
    <t>ocm56798901</t>
  </si>
  <si>
    <t>3102941430T</t>
  </si>
  <si>
    <t>9780131487703</t>
  </si>
  <si>
    <t>793902019</t>
  </si>
  <si>
    <t>U22 M394 2009</t>
  </si>
  <si>
    <t>0                      U  0022000M  394         2009</t>
  </si>
  <si>
    <t>Killing in war / Jeff McMahan.</t>
  </si>
  <si>
    <t>McMahan, Jeff.</t>
  </si>
  <si>
    <t>Oxford : Clarendon Press ; New York : Oxford University Press, 2009.</t>
  </si>
  <si>
    <t>2015-12-11</t>
  </si>
  <si>
    <t>136199354:eng</t>
  </si>
  <si>
    <t>226360128</t>
  </si>
  <si>
    <t>ocn226360128</t>
  </si>
  <si>
    <t>31028578090</t>
  </si>
  <si>
    <t>9780199548668</t>
  </si>
  <si>
    <t>794345360</t>
  </si>
  <si>
    <t>U22 M565 2016</t>
  </si>
  <si>
    <t>0                      U  0022000M  565         2016</t>
  </si>
  <si>
    <t>Military operations and the mind : war ethics and soldiers' well-being / edited by Stéphanie A.H. Bélanger and Daniel Lagacé-Roy.</t>
  </si>
  <si>
    <t>Montreal ; Kingston ; London ; Chicago : McGill-Queen's University Press, [2016]</t>
  </si>
  <si>
    <t>2016</t>
  </si>
  <si>
    <t>2899939992:eng</t>
  </si>
  <si>
    <t>932386877</t>
  </si>
  <si>
    <t>ocn932386877</t>
  </si>
  <si>
    <t>3103645968R</t>
  </si>
  <si>
    <t>9780773547179</t>
  </si>
  <si>
    <t>795008609</t>
  </si>
  <si>
    <t>U22 N67 1995</t>
  </si>
  <si>
    <t>0                      U  0022000N  67          1995</t>
  </si>
  <si>
    <t>Ethics, killing, and war / Richard Norman.</t>
  </si>
  <si>
    <t>Norman, Richard (Richard J.)</t>
  </si>
  <si>
    <t>Cambridge ; New York, N.Y. : Cambridge University Press, 1995.</t>
  </si>
  <si>
    <t>2019-06-17</t>
  </si>
  <si>
    <t>141716482:eng</t>
  </si>
  <si>
    <t>30029349</t>
  </si>
  <si>
    <t>ocm30029349</t>
  </si>
  <si>
    <t>3101460517T</t>
  </si>
  <si>
    <t>9780521455398</t>
  </si>
  <si>
    <t>793327099</t>
  </si>
  <si>
    <t>U22 O723 2006</t>
  </si>
  <si>
    <t>0                      U  0022000O  723         2006</t>
  </si>
  <si>
    <t>The morality of war / Brian Orend.</t>
  </si>
  <si>
    <t>Orend, Brian, 1971-</t>
  </si>
  <si>
    <t>Peterborough, Ont. : Broadview Press, ©2006.</t>
  </si>
  <si>
    <t>2015-12-13</t>
  </si>
  <si>
    <t>52539522:eng</t>
  </si>
  <si>
    <t>69186522</t>
  </si>
  <si>
    <t>ocm69186522</t>
  </si>
  <si>
    <t>31028736532</t>
  </si>
  <si>
    <t>9781551117270</t>
  </si>
  <si>
    <t>794145540</t>
  </si>
  <si>
    <t>U22 O723 2013</t>
  </si>
  <si>
    <t>0                      U  0022000O  723         2013</t>
  </si>
  <si>
    <t>The Morality of War / Brian Orend.</t>
  </si>
  <si>
    <t>Orend, Brian, 1971- author.</t>
  </si>
  <si>
    <t>Peterborough, Ontario, Canada ; Buffalo, New York, USA : Broadview Press, [2013]</t>
  </si>
  <si>
    <t>Second edition, Second edition expanded and updated, 2/e expanded and updated.</t>
  </si>
  <si>
    <t>2015-01-30</t>
  </si>
  <si>
    <t>854936862</t>
  </si>
  <si>
    <t>ocn854936862</t>
  </si>
  <si>
    <t>3103494070J</t>
  </si>
  <si>
    <t>9781554810956</t>
  </si>
  <si>
    <t>794952897</t>
  </si>
  <si>
    <t>U22 P37</t>
  </si>
  <si>
    <t>0                      U  0022000P  37</t>
  </si>
  <si>
    <t>The ethics of war / Barrie Paskins &amp; Michael Dockrill.</t>
  </si>
  <si>
    <t>Paskins, Barrie.</t>
  </si>
  <si>
    <t>Minneapolis : University of Minnesota Press, 1979.</t>
  </si>
  <si>
    <t>15033151:eng</t>
  </si>
  <si>
    <t>4775082</t>
  </si>
  <si>
    <t>ocm04775082</t>
  </si>
  <si>
    <t>3000155418E</t>
  </si>
  <si>
    <t>9780816608850</t>
  </si>
  <si>
    <t>792382081</t>
  </si>
  <si>
    <t>U22 P75 2007</t>
  </si>
  <si>
    <t>0                      U  0022000P  75          2007</t>
  </si>
  <si>
    <t>The price of peace : just war in the twenty-first century / edited by Charles Reed and David Ryall.</t>
  </si>
  <si>
    <t>Cambridge : Cambridge University Press, 2007.</t>
  </si>
  <si>
    <t>863401075:eng</t>
  </si>
  <si>
    <t>74523261</t>
  </si>
  <si>
    <t>ocm74523261</t>
  </si>
  <si>
    <t>3102568862Y</t>
  </si>
  <si>
    <t>9780521860512</t>
  </si>
  <si>
    <t>794173136</t>
  </si>
  <si>
    <t>U22 S523 2007</t>
  </si>
  <si>
    <t>0                      U  0022000S  523         2007</t>
  </si>
  <si>
    <t>Preemption : military action and moral justification / edited by Henry Shue and David Rodin.</t>
  </si>
  <si>
    <t>Oxford ; New York : Oxford University Press, 2007.</t>
  </si>
  <si>
    <t>2015-06-29</t>
  </si>
  <si>
    <t>891979684:eng</t>
  </si>
  <si>
    <t>123968400</t>
  </si>
  <si>
    <t>ocn123968400</t>
  </si>
  <si>
    <t>3102573523T</t>
  </si>
  <si>
    <t>9780199233137</t>
  </si>
  <si>
    <t>794228931</t>
  </si>
  <si>
    <t>U22 S54 1988</t>
  </si>
  <si>
    <t>0                      U  0022000S  54          1988</t>
  </si>
  <si>
    <t>Vision and spirit : an essay on Plato's warrior class / Joe Simmons.</t>
  </si>
  <si>
    <t>Simmons, Joe.</t>
  </si>
  <si>
    <t>Lanham, MD : University Press of America, ©1988.</t>
  </si>
  <si>
    <t>2015-01-29</t>
  </si>
  <si>
    <t>16049152:eng</t>
  </si>
  <si>
    <t>17440117</t>
  </si>
  <si>
    <t>ocm17440117</t>
  </si>
  <si>
    <t>3000536013J</t>
  </si>
  <si>
    <t>9780819168856</t>
  </si>
  <si>
    <t>792991279</t>
  </si>
  <si>
    <t>U22 T58 2011</t>
  </si>
  <si>
    <t>0                      U  0022000T  58          2011</t>
  </si>
  <si>
    <t>The martial ethic in early modern Germany : civic duty and the right of arms / B. Ann Tlusty.</t>
  </si>
  <si>
    <t>Tlusty, B. Ann, 1954-</t>
  </si>
  <si>
    <t>New York : Palgrave Macmillan, 2011.</t>
  </si>
  <si>
    <t>Early modern history: society and culture</t>
  </si>
  <si>
    <t>2014-04-30</t>
  </si>
  <si>
    <t>796456704:eng</t>
  </si>
  <si>
    <t>692287843</t>
  </si>
  <si>
    <t>ocn692287843</t>
  </si>
  <si>
    <t>31033849723</t>
  </si>
  <si>
    <t>9780230576568</t>
  </si>
  <si>
    <t>794856054</t>
  </si>
  <si>
    <t>U22.3 B85 2013</t>
  </si>
  <si>
    <t>0                      U  0022300B  85          2013</t>
  </si>
  <si>
    <t>Building psychological resilience in military personnel : theory and practice / edited by Robert R. Sinclair and Thomas W. Britt.</t>
  </si>
  <si>
    <t>Washington, D.C. : American Psychological Association, [2013]</t>
  </si>
  <si>
    <t>2014-04-08</t>
  </si>
  <si>
    <t>1403238405:eng</t>
  </si>
  <si>
    <t>825106779</t>
  </si>
  <si>
    <t>ocn825106779</t>
  </si>
  <si>
    <t>31034993094</t>
  </si>
  <si>
    <t>9781433813313</t>
  </si>
  <si>
    <t>794938488</t>
  </si>
  <si>
    <t>U22.3 C375 2011</t>
  </si>
  <si>
    <t>0                      U  0022300C  375         2011</t>
  </si>
  <si>
    <t>Caring for Veterans with Deployment-Related Stress Disorders : Iraq, Afghanistan, and Beyond / edited by Josef I. Ruzek [and others].</t>
  </si>
  <si>
    <t>Washington, DC : American Psychological Association, ©2011.</t>
  </si>
  <si>
    <t>2015-04-13</t>
  </si>
  <si>
    <t>812351852:eng</t>
  </si>
  <si>
    <t>656158759</t>
  </si>
  <si>
    <t>ocn656158759</t>
  </si>
  <si>
    <t>3103321870B</t>
  </si>
  <si>
    <t>9781433809255</t>
  </si>
  <si>
    <t>794834514</t>
  </si>
  <si>
    <t>U22.3 D47 2011</t>
  </si>
  <si>
    <t>0                      U  0022300D  47          2011</t>
  </si>
  <si>
    <t>Deployment psychology : evidence-based strategies to promote mental health in the military / edited by Amy B. Adler, Paul D. Bliese, and Carl Andrew Castro.</t>
  </si>
  <si>
    <t>864937783:eng</t>
  </si>
  <si>
    <t>605014133</t>
  </si>
  <si>
    <t>ocn605014133</t>
  </si>
  <si>
    <t>3103237759W</t>
  </si>
  <si>
    <t>9781433808814</t>
  </si>
  <si>
    <t>794816201</t>
  </si>
  <si>
    <t>U22.3 E37 1998</t>
  </si>
  <si>
    <t>0                      U  0022300E  37          1998</t>
  </si>
  <si>
    <t>Blood rites : origins and history of the passions of war / Barbara Ehrenreich.</t>
  </si>
  <si>
    <t>Ehrenreich, Barbara.</t>
  </si>
  <si>
    <t>New York : Henry Holt, 1998.</t>
  </si>
  <si>
    <t>1st Owl books ed.</t>
  </si>
  <si>
    <t>499653246:eng</t>
  </si>
  <si>
    <t>41979504</t>
  </si>
  <si>
    <t>ocm41979504</t>
  </si>
  <si>
    <t>31023624962</t>
  </si>
  <si>
    <t>9780805057874</t>
  </si>
  <si>
    <t>793600446</t>
  </si>
  <si>
    <t>U22.3 G55 2010</t>
  </si>
  <si>
    <t>0                      U  0022300G  55          2010</t>
  </si>
  <si>
    <t>How we are changed by war : a study of letters and diaries from colonial conflicts to Operation Iraqi Freedom / D.C. Gill.</t>
  </si>
  <si>
    <t>Gill, Diana C.</t>
  </si>
  <si>
    <t>New York : Routledge, 2010.</t>
  </si>
  <si>
    <t>793233860:eng</t>
  </si>
  <si>
    <t>377831644</t>
  </si>
  <si>
    <t>ocn377831644</t>
  </si>
  <si>
    <t>31032282787</t>
  </si>
  <si>
    <t>9780415873109</t>
  </si>
  <si>
    <t>794495085</t>
  </si>
  <si>
    <t>U22.3 G56 2017</t>
  </si>
  <si>
    <t>0                      U  0022300G  56          2017</t>
  </si>
  <si>
    <t>Global views on military stress and resilience / edited by Allister MacIntyre, PhD, Daniel Lagacé-Roy, PhD and Douglas R. Lindsay, PhD.</t>
  </si>
  <si>
    <t>Kingston, Ontario : Canadian Defence Academy Press, [2017]</t>
  </si>
  <si>
    <t>2019-02-20</t>
  </si>
  <si>
    <t>4557712450:eng</t>
  </si>
  <si>
    <t>1007479578</t>
  </si>
  <si>
    <t>on1007479578</t>
  </si>
  <si>
    <t>31038672998</t>
  </si>
  <si>
    <t>9780660089850</t>
  </si>
  <si>
    <t>795043959</t>
  </si>
  <si>
    <t>U22.3 G76 1996</t>
  </si>
  <si>
    <t>0                      U  0022300G  76          1996</t>
  </si>
  <si>
    <t>On killing : the psychological cost of learning to kill in war and society / Dave Grossman.</t>
  </si>
  <si>
    <t>Grossman, Dave.</t>
  </si>
  <si>
    <t>Boston : Little, Brown, ©1996.</t>
  </si>
  <si>
    <t>1st pbk. ed.</t>
  </si>
  <si>
    <t>2018-09-11</t>
  </si>
  <si>
    <t>1065583:eng</t>
  </si>
  <si>
    <t>36544198</t>
  </si>
  <si>
    <t>ocm36544198</t>
  </si>
  <si>
    <t>3102081633U</t>
  </si>
  <si>
    <t>9780316330114</t>
  </si>
  <si>
    <t>793478096</t>
  </si>
  <si>
    <t>U22.3 H248 2011</t>
  </si>
  <si>
    <t>0                      U  0022300H  248         2011</t>
  </si>
  <si>
    <t>Enduring battle : American soldiers in three wars, 1776-1945 / Christopher H. Hamner.</t>
  </si>
  <si>
    <t>Hamner, Christopher H.</t>
  </si>
  <si>
    <t>Lawrence, Kan. : University Press of Kansas, ©2011.</t>
  </si>
  <si>
    <t>Modern war studies</t>
  </si>
  <si>
    <t>2013-09-21</t>
  </si>
  <si>
    <t>755817821:eng</t>
  </si>
  <si>
    <t>681500342</t>
  </si>
  <si>
    <t>ocn681500342</t>
  </si>
  <si>
    <t>3103341238R</t>
  </si>
  <si>
    <t>9780700617753</t>
  </si>
  <si>
    <t>794852155</t>
  </si>
  <si>
    <t>U22.3 H67 2011</t>
  </si>
  <si>
    <t>0                      U  0022300H  67          2011</t>
  </si>
  <si>
    <t>How is deployment to Iraq and Afghanistan affecting U.S. service members and their families? : an overview of early RAND research on the topic / James Hosek, editor.</t>
  </si>
  <si>
    <t>Santa Monica, CA : RAND Corporation, 2011.</t>
  </si>
  <si>
    <t>Occasional paper ; OP-316-OSD</t>
  </si>
  <si>
    <t>786630408:eng</t>
  </si>
  <si>
    <t>701622850</t>
  </si>
  <si>
    <t>ocn701622850</t>
  </si>
  <si>
    <t>3103368896X</t>
  </si>
  <si>
    <t>9780833052018</t>
  </si>
  <si>
    <t>794863286</t>
  </si>
  <si>
    <t>U22.3 J64 2004</t>
  </si>
  <si>
    <t>0                      U  0022300J  64          2004</t>
  </si>
  <si>
    <t>Overconfidence and war : the havoc and glory of positive illusions / Dominic D.P. Johnson.</t>
  </si>
  <si>
    <t>Cambridge, Mass. : Harvard University Press, 2004.</t>
  </si>
  <si>
    <t>2015-11-20</t>
  </si>
  <si>
    <t>796419481:eng</t>
  </si>
  <si>
    <t>55085723</t>
  </si>
  <si>
    <t>ocm55085723</t>
  </si>
  <si>
    <t>31024101687</t>
  </si>
  <si>
    <t>9780674015760</t>
  </si>
  <si>
    <t>793874069</t>
  </si>
  <si>
    <t>U22.3 M38 2013</t>
  </si>
  <si>
    <t>0                      U  0022300M  38          2013</t>
  </si>
  <si>
    <t>Social fitness and resilience : a review of relevant constructs, measures, and links to well-being / Juliana McGene.</t>
  </si>
  <si>
    <t>McGene, Juliana.</t>
  </si>
  <si>
    <t>Santa Monica, CA : RAND, [2013]</t>
  </si>
  <si>
    <t>RAND Project AIR FORCE series on resiliency</t>
  </si>
  <si>
    <t>1783163249:eng</t>
  </si>
  <si>
    <t>835951521</t>
  </si>
  <si>
    <t>ocn835951521</t>
  </si>
  <si>
    <t>31035180642</t>
  </si>
  <si>
    <t>9780833078469</t>
  </si>
  <si>
    <t>794944747</t>
  </si>
  <si>
    <t>U22.3 M63 1990</t>
  </si>
  <si>
    <t>0                      U  0022300M  63          1990</t>
  </si>
  <si>
    <t>Fallen soldiers : reshaping the memory of the world wars / George L. Mosse.</t>
  </si>
  <si>
    <t>Mosse, George L. (George Lachmann), 1918-1999.</t>
  </si>
  <si>
    <t>New York : Oxford University Press, 1990.</t>
  </si>
  <si>
    <t>2018-04-16</t>
  </si>
  <si>
    <t>2019-11-11</t>
  </si>
  <si>
    <t>36064497:eng</t>
  </si>
  <si>
    <t>20012821</t>
  </si>
  <si>
    <t>ocm20012821</t>
  </si>
  <si>
    <t>3102682163Q</t>
  </si>
  <si>
    <t>9780195062472</t>
  </si>
  <si>
    <t>793074829</t>
  </si>
  <si>
    <t>31026791633</t>
  </si>
  <si>
    <t>793074828</t>
  </si>
  <si>
    <t>U22.3 O85 2012</t>
  </si>
  <si>
    <t>0                      U  0022300O  85          2012</t>
  </si>
  <si>
    <t>The Oxford handbook of military psychology / edited by Janice H. Laurence, Michael D. Matthews.</t>
  </si>
  <si>
    <t>New York : Oxford University Press, 2012.</t>
  </si>
  <si>
    <t>Oxford library of psychology</t>
  </si>
  <si>
    <t>2015-03-23</t>
  </si>
  <si>
    <t>869440704:eng</t>
  </si>
  <si>
    <t>713834813</t>
  </si>
  <si>
    <t>ocn713834813</t>
  </si>
  <si>
    <t>3103405870$</t>
  </si>
  <si>
    <t>9780195399325</t>
  </si>
  <si>
    <t>794873128</t>
  </si>
  <si>
    <t>U22.3 P76 2011</t>
  </si>
  <si>
    <t>0                      U  0022300P  76          2011</t>
  </si>
  <si>
    <t>Promoting psychological resilience in the U.S. military / Lisa S. Meredith [and others].</t>
  </si>
  <si>
    <t>Santa Monica, CA : Rand, Center for Military Health Policy Research, 2011.</t>
  </si>
  <si>
    <t>2013-12-03</t>
  </si>
  <si>
    <t>918509600:eng</t>
  </si>
  <si>
    <t>733731512</t>
  </si>
  <si>
    <t>ocn733731512</t>
  </si>
  <si>
    <t>3103379010R</t>
  </si>
  <si>
    <t>9780833050632</t>
  </si>
  <si>
    <t>794882197</t>
  </si>
  <si>
    <t>U22.3 P775 1993</t>
  </si>
  <si>
    <t>0                      U  0022300P  775         1993</t>
  </si>
  <si>
    <t>The psychological effects of war and violence on children / edited by Lewis A. Leavitt, Nathan A. Fox.</t>
  </si>
  <si>
    <t>Hillsdale, N.J. : L. Erlbaum Associates, 1993.</t>
  </si>
  <si>
    <t>2018-09-12</t>
  </si>
  <si>
    <t>350034315:eng</t>
  </si>
  <si>
    <t>27107516</t>
  </si>
  <si>
    <t>ocm27107516</t>
  </si>
  <si>
    <t>31013092512</t>
  </si>
  <si>
    <t>9780805811711</t>
  </si>
  <si>
    <t>793259180</t>
  </si>
  <si>
    <t>U22.3 P795 1991</t>
  </si>
  <si>
    <t>0                      U  0022300P  795         1991</t>
  </si>
  <si>
    <t>The Psychology of war and peace : the image of the enemy / edited by Robert W. Rieber.</t>
  </si>
  <si>
    <t>New York : Plenum Press, ©1991.</t>
  </si>
  <si>
    <t>2016-10-20</t>
  </si>
  <si>
    <t>836843554:eng</t>
  </si>
  <si>
    <t>23382396</t>
  </si>
  <si>
    <t>ocm23382396</t>
  </si>
  <si>
    <t>3101021777D</t>
  </si>
  <si>
    <t>9780306435430</t>
  </si>
  <si>
    <t>793168832</t>
  </si>
  <si>
    <t>U24 B69 2004</t>
  </si>
  <si>
    <t>0                      U  0024000B  69          2004</t>
  </si>
  <si>
    <t>Dictionary of military terms / Richard Bowyer.</t>
  </si>
  <si>
    <t>Bowyer, Richard.</t>
  </si>
  <si>
    <t>London : Bloomsbury, 2004.</t>
  </si>
  <si>
    <t>Bloomsbury reference</t>
  </si>
  <si>
    <t>2018-03-02</t>
  </si>
  <si>
    <t>1070335:eng</t>
  </si>
  <si>
    <t>56845225</t>
  </si>
  <si>
    <t>ocm56845225</t>
  </si>
  <si>
    <t>3102532066N</t>
  </si>
  <si>
    <t>9780747574774</t>
  </si>
  <si>
    <t>793902988</t>
  </si>
  <si>
    <t>U24 S72</t>
  </si>
  <si>
    <t>0                      U  0024000S  72</t>
  </si>
  <si>
    <t>Sovetskai︠a︡ voennai︠a︡ ėnt︠s︡iklopedii︠a︡ / [In-t voen. istorii] ; Gl. red. komis., Marshal Sov. Soi︠u︡za A.A. Grechko (pred.) [and others].</t>
  </si>
  <si>
    <t>T. 6</t>
  </si>
  <si>
    <t>Moskva : Voenizdat, 1976-1980.</t>
  </si>
  <si>
    <t>1976</t>
  </si>
  <si>
    <t>2015-12-23</t>
  </si>
  <si>
    <t>427286916:rus</t>
  </si>
  <si>
    <t>8109684</t>
  </si>
  <si>
    <t>ocm08109684</t>
  </si>
  <si>
    <t>3100430604N</t>
  </si>
  <si>
    <t>792598778</t>
  </si>
  <si>
    <t>T. 8</t>
  </si>
  <si>
    <t>3100430606J</t>
  </si>
  <si>
    <t>792598776</t>
  </si>
  <si>
    <t>T. 7</t>
  </si>
  <si>
    <t>3100430605L</t>
  </si>
  <si>
    <t>792598777</t>
  </si>
  <si>
    <t>T. 3</t>
  </si>
  <si>
    <t>3000305719G</t>
  </si>
  <si>
    <t>792598781</t>
  </si>
  <si>
    <t>T.5</t>
  </si>
  <si>
    <t>3100430603P</t>
  </si>
  <si>
    <t>792598779</t>
  </si>
  <si>
    <t>T. 4</t>
  </si>
  <si>
    <t>3100430602R</t>
  </si>
  <si>
    <t>792598780</t>
  </si>
  <si>
    <t>U27 A6713 1994</t>
  </si>
  <si>
    <t>0                      U  0027000A  6713        1994</t>
  </si>
  <si>
    <t>The art of war in world history : from antiquity to the nuclear age / [compiled by] Gérard Chaliand.</t>
  </si>
  <si>
    <t>Anthologie mondiale de la stratégie. English.</t>
  </si>
  <si>
    <t>Berkeley : University of California Press, [©1994]</t>
  </si>
  <si>
    <t>2016-01-21</t>
  </si>
  <si>
    <t>3901480941:eng</t>
  </si>
  <si>
    <t>26012586</t>
  </si>
  <si>
    <t>ocm26012586</t>
  </si>
  <si>
    <t>3101468629F</t>
  </si>
  <si>
    <t>9780520079632</t>
  </si>
  <si>
    <t>793235153</t>
  </si>
  <si>
    <t>U27 C26 2005</t>
  </si>
  <si>
    <t>0                      U  0027000C  26          2005</t>
  </si>
  <si>
    <t>The Cambridge history of warfare / edited by Geoffrey Parker.</t>
  </si>
  <si>
    <t>New York : Cambridge University Press, 2005.</t>
  </si>
  <si>
    <t>2015-03-27</t>
  </si>
  <si>
    <t>3857080348:eng</t>
  </si>
  <si>
    <t>58423142</t>
  </si>
  <si>
    <t>ocm58423142</t>
  </si>
  <si>
    <t>3102559952Y</t>
  </si>
  <si>
    <t>9780521853590</t>
  </si>
  <si>
    <t>793920691</t>
  </si>
  <si>
    <t>U27 C44 2007</t>
  </si>
  <si>
    <t>0                      U  0027000C  44          2007</t>
  </si>
  <si>
    <t>Modern military technology in counterinsurgency warfare : the experience of the Nationalist Army during the Chinese Civil War / Victor Shiu Chiang Cheng.</t>
  </si>
  <si>
    <t>Cheng, Victor Shiu Chiang.</t>
  </si>
  <si>
    <t>[Lund], Sweden : Centre for East and South-East Asian Studies, Lund University, 2007.</t>
  </si>
  <si>
    <t>Working papers in contemporary Asian studies, 1652-4128 ; 20</t>
  </si>
  <si>
    <t>2019-02-04</t>
  </si>
  <si>
    <t>354649314:eng</t>
  </si>
  <si>
    <t>124072651</t>
  </si>
  <si>
    <t>ocn124072651</t>
  </si>
  <si>
    <t>3102669945P</t>
  </si>
  <si>
    <t>9789197572699</t>
  </si>
  <si>
    <t>794230405</t>
  </si>
  <si>
    <t>U27 C56 2002</t>
  </si>
  <si>
    <t>0                      U  0027000C  56          2002</t>
  </si>
  <si>
    <t>Civilians in the path of war / edited by Mark Grimsley and Clifford J. Rogers.</t>
  </si>
  <si>
    <t>Lincoln : University of Nebraska Press, ©2002.</t>
  </si>
  <si>
    <t>Studies in war, society, and the military</t>
  </si>
  <si>
    <t>5613905481:eng</t>
  </si>
  <si>
    <t>47650415</t>
  </si>
  <si>
    <t>ocm47650415</t>
  </si>
  <si>
    <t>3102184182F</t>
  </si>
  <si>
    <t>9780803221826</t>
  </si>
  <si>
    <t>793704478</t>
  </si>
  <si>
    <t>U27 D34 2000</t>
  </si>
  <si>
    <t>0                      U  0027000D  34          2000</t>
  </si>
  <si>
    <t>Geschichte der Kriegskunst im Rahmen der politischen Geschichte / Hans Delbrüch.</t>
  </si>
  <si>
    <t>Bd.1</t>
  </si>
  <si>
    <t>Delbrück, Hans, 1848-1929.</t>
  </si>
  <si>
    <t>Berlin : De Gruyter, ©2000.</t>
  </si>
  <si>
    <t>Neuausg. des Nachdr. von 1962-1966.</t>
  </si>
  <si>
    <t>ger</t>
  </si>
  <si>
    <t>2016-10-12</t>
  </si>
  <si>
    <t>500517:ger</t>
  </si>
  <si>
    <t>45681054</t>
  </si>
  <si>
    <t>ocm45681054</t>
  </si>
  <si>
    <t>31020927199</t>
  </si>
  <si>
    <t>9783110168860</t>
  </si>
  <si>
    <t>793676154</t>
  </si>
  <si>
    <t>Bd.2</t>
  </si>
  <si>
    <t>3102092715H</t>
  </si>
  <si>
    <t>793676153</t>
  </si>
  <si>
    <t>Bd.4</t>
  </si>
  <si>
    <t>3102092707G</t>
  </si>
  <si>
    <t>793676151</t>
  </si>
  <si>
    <t>Bd.3</t>
  </si>
  <si>
    <t>3102092711P</t>
  </si>
  <si>
    <t>793676152</t>
  </si>
  <si>
    <t>U27 D34213 1975</t>
  </si>
  <si>
    <t>0                      U  0027000D  34213       1975</t>
  </si>
  <si>
    <t>History of the art of war within the framework of political history / by Hans Delbrück ; translated from the German by Walter J. Renfroe, Jr.</t>
  </si>
  <si>
    <t>V. 2</t>
  </si>
  <si>
    <t>Westport, Conn. : Greenwood Press, 1975-1985.</t>
  </si>
  <si>
    <t>1975</t>
  </si>
  <si>
    <t>Contributions in military history ; no. 9, 20, 26, 39, 0084-9251</t>
  </si>
  <si>
    <t>2008-03-17</t>
  </si>
  <si>
    <t>2018-10-15</t>
  </si>
  <si>
    <t>500517:eng</t>
  </si>
  <si>
    <t>1217224</t>
  </si>
  <si>
    <t>ocm01217224</t>
  </si>
  <si>
    <t>31004306734</t>
  </si>
  <si>
    <t>9780837163659</t>
  </si>
  <si>
    <t>791575504</t>
  </si>
  <si>
    <t>V. 4</t>
  </si>
  <si>
    <t>2011-10-26</t>
  </si>
  <si>
    <t>31004306750</t>
  </si>
  <si>
    <t>791575502</t>
  </si>
  <si>
    <t>V. 1</t>
  </si>
  <si>
    <t>30004544316</t>
  </si>
  <si>
    <t>791575505</t>
  </si>
  <si>
    <t>V. 3</t>
  </si>
  <si>
    <t>2014-12-02</t>
  </si>
  <si>
    <t>31004306742</t>
  </si>
  <si>
    <t>791575503</t>
  </si>
  <si>
    <t>U27 G38 2001</t>
  </si>
  <si>
    <t>0                      U  0027000G  38          2001</t>
  </si>
  <si>
    <t>A history of military thought : from the Enlightenment to the Cold War / Azar Gat.</t>
  </si>
  <si>
    <t>Gat, Azar.</t>
  </si>
  <si>
    <t>Oxford : Oxford University Press, 2001.</t>
  </si>
  <si>
    <t>2019-09-15</t>
  </si>
  <si>
    <t>839003172:eng</t>
  </si>
  <si>
    <t>59488772</t>
  </si>
  <si>
    <t>ocm59488772</t>
  </si>
  <si>
    <t>3102167765P</t>
  </si>
  <si>
    <t>9780199247622</t>
  </si>
  <si>
    <t>793930234</t>
  </si>
  <si>
    <t>U27 H36 2001</t>
  </si>
  <si>
    <t>0                      U  0027000H  36          2001</t>
  </si>
  <si>
    <t>Masters of war : classical strategic thought / Michael I. Handel.</t>
  </si>
  <si>
    <t>Handel, Michael I., author.</t>
  </si>
  <si>
    <t>London : Frank Cass Publishers, 2001.</t>
  </si>
  <si>
    <t>Third revised and expanded edition.</t>
  </si>
  <si>
    <t>2015-03-13</t>
  </si>
  <si>
    <t>4917753028:eng</t>
  </si>
  <si>
    <t>43864269</t>
  </si>
  <si>
    <t>ocm43864269</t>
  </si>
  <si>
    <t>31021841980</t>
  </si>
  <si>
    <t>9780714650913</t>
  </si>
  <si>
    <t>793637256</t>
  </si>
  <si>
    <t>U27 H5713</t>
  </si>
  <si>
    <t>0                      U  0027000H  5713</t>
  </si>
  <si>
    <t>The Ancient art of warfare. [Produced under the direction of Jacques Bourdet].</t>
  </si>
  <si>
    <t>Histoire universelle des armées. English.</t>
  </si>
  <si>
    <t>London, Barrie &amp; Rockliff [1969]</t>
  </si>
  <si>
    <t>1969</t>
  </si>
  <si>
    <t>2017-01-04</t>
  </si>
  <si>
    <t>3132401755:eng</t>
  </si>
  <si>
    <t>19006</t>
  </si>
  <si>
    <t>ocm00019006</t>
  </si>
  <si>
    <t>31035928246</t>
  </si>
  <si>
    <t>9780214667305</t>
  </si>
  <si>
    <t>791230014</t>
  </si>
  <si>
    <t>3100415029I</t>
  </si>
  <si>
    <t>791230012</t>
  </si>
  <si>
    <t>2001-11-07</t>
  </si>
  <si>
    <t>3100430678V</t>
  </si>
  <si>
    <t>791230013</t>
  </si>
  <si>
    <t>U27 J65 1987</t>
  </si>
  <si>
    <t>0                      U  0027000J  65          1987</t>
  </si>
  <si>
    <t>The art of war in the Western world / Archer Jones.</t>
  </si>
  <si>
    <t>Jones, Archer, 1926-2006.</t>
  </si>
  <si>
    <t>Urbana : University of Illinois Press, ©1987.</t>
  </si>
  <si>
    <t>8726789:eng</t>
  </si>
  <si>
    <t>14376658</t>
  </si>
  <si>
    <t>ocm14376658</t>
  </si>
  <si>
    <t>3102629349Q</t>
  </si>
  <si>
    <t>9780252013805</t>
  </si>
  <si>
    <t>792887796</t>
  </si>
  <si>
    <t>U27 K38 1993</t>
  </si>
  <si>
    <t>0                      U  0027000K  38          1993</t>
  </si>
  <si>
    <t>A history of warfare / John Keegan.</t>
  </si>
  <si>
    <t>1</t>
  </si>
  <si>
    <t>Keegan, John, 1934-2012.</t>
  </si>
  <si>
    <t>New York : Vintage Books, 1994.</t>
  </si>
  <si>
    <t>1st Vintage books ed.</t>
  </si>
  <si>
    <t>2017-07-07</t>
  </si>
  <si>
    <t>2020-01-15</t>
  </si>
  <si>
    <t>335913:eng</t>
  </si>
  <si>
    <t>32173170</t>
  </si>
  <si>
    <t>ocm32173170</t>
  </si>
  <si>
    <t>3102888412S</t>
  </si>
  <si>
    <t>9780679730828</t>
  </si>
  <si>
    <t>793377472</t>
  </si>
  <si>
    <t>U27 K38 1994</t>
  </si>
  <si>
    <t>0                      U  0027000K  38          1994</t>
  </si>
  <si>
    <t>3103528590D</t>
  </si>
  <si>
    <t>RECALLED</t>
  </si>
  <si>
    <t>793377473</t>
  </si>
  <si>
    <t>U27 M875 2011</t>
  </si>
  <si>
    <t>0                      U  0027000M  875         2011</t>
  </si>
  <si>
    <t>War, strategy, and military effectiveness / Williamson Murray.</t>
  </si>
  <si>
    <t>2018-12-03</t>
  </si>
  <si>
    <t>774981369:eng</t>
  </si>
  <si>
    <t>700205692</t>
  </si>
  <si>
    <t>ocn700205692</t>
  </si>
  <si>
    <t>3103385448K</t>
  </si>
  <si>
    <t>9781107002425</t>
  </si>
  <si>
    <t>794861924</t>
  </si>
  <si>
    <t>U27 P28 2006</t>
  </si>
  <si>
    <t>0                      U  0027000P  28          2006</t>
  </si>
  <si>
    <t>The past as prologue : the importance of history to the military profession / edited by Williamson Murray, Richard Hart Sinnreich.</t>
  </si>
  <si>
    <t>Cambridge ; New York : Cambridge University Press, 2006.</t>
  </si>
  <si>
    <t>2018-05-17</t>
  </si>
  <si>
    <t>793978496:eng</t>
  </si>
  <si>
    <t>61757977</t>
  </si>
  <si>
    <t>ocm61757977</t>
  </si>
  <si>
    <t>3102579043G</t>
  </si>
  <si>
    <t>9780521853774</t>
  </si>
  <si>
    <t>794098045</t>
  </si>
  <si>
    <t>U27 S63 1994</t>
  </si>
  <si>
    <t>0                      U  0027000S  63          1994</t>
  </si>
  <si>
    <t>Ancient and medieval warfare / Oliver Lyman Spaulding and Hoffman Nickerson.</t>
  </si>
  <si>
    <t>Spaulding, Oliver Lyman, 1875-1947.</t>
  </si>
  <si>
    <t>London : Constable, 1994.</t>
  </si>
  <si>
    <t>2016-11-27</t>
  </si>
  <si>
    <t>31901973:eng</t>
  </si>
  <si>
    <t>30032267</t>
  </si>
  <si>
    <t>ocm30032267</t>
  </si>
  <si>
    <t>31014892587</t>
  </si>
  <si>
    <t>9780094731905</t>
  </si>
  <si>
    <t>793327366</t>
  </si>
  <si>
    <t>U27 S74</t>
  </si>
  <si>
    <t>0                      U  0027000S  74</t>
  </si>
  <si>
    <t>Istoriia voennogo iskusstva.</t>
  </si>
  <si>
    <t>Strokov, Aleksandr Aleksandrovich, editor.</t>
  </si>
  <si>
    <t>Moskva : [publisher not identified], 1955-</t>
  </si>
  <si>
    <t>1955</t>
  </si>
  <si>
    <t>2009-06-04</t>
  </si>
  <si>
    <t>2019-03-26</t>
  </si>
  <si>
    <t>3638831:rus</t>
  </si>
  <si>
    <t>427541051</t>
  </si>
  <si>
    <t>ocn427541051</t>
  </si>
  <si>
    <t>3000729981H</t>
  </si>
  <si>
    <t>794680592</t>
  </si>
  <si>
    <t>31004306637</t>
  </si>
  <si>
    <t>794680591</t>
  </si>
  <si>
    <t>U27 S75</t>
  </si>
  <si>
    <t>0                      U  0027000S  75</t>
  </si>
  <si>
    <t>Istoriia voennogo iskusstva. Kapitalisticheskoe obshchestvo perioda imperializma.</t>
  </si>
  <si>
    <t>Strokov, Aleksandr Aleksandrovich.</t>
  </si>
  <si>
    <t>Moskva Voen. izd-vo 1967.</t>
  </si>
  <si>
    <t>1967</t>
  </si>
  <si>
    <t>10033177573:rus</t>
  </si>
  <si>
    <t>427868787</t>
  </si>
  <si>
    <t>ocn427868787</t>
  </si>
  <si>
    <t>3000561304F</t>
  </si>
  <si>
    <t>794704538</t>
  </si>
  <si>
    <t>U27 V27 1989</t>
  </si>
  <si>
    <t>0                      U  0027000V  27          1989</t>
  </si>
  <si>
    <t>Technology and war : from 2000 B.C. to the present / Martin van Creveld.</t>
  </si>
  <si>
    <t>New York : Free Press ; London : Collier Macmillan, ©1989.</t>
  </si>
  <si>
    <t>2018-05-08</t>
  </si>
  <si>
    <t>836875789:eng</t>
  </si>
  <si>
    <t>18106933</t>
  </si>
  <si>
    <t>ocm18106933</t>
  </si>
  <si>
    <t>31014661654</t>
  </si>
  <si>
    <t>9780029331514</t>
  </si>
  <si>
    <t>793014126</t>
  </si>
  <si>
    <t>U27 W345 2011</t>
  </si>
  <si>
    <t>0                      U  0027000W  345         2011</t>
  </si>
  <si>
    <t>Warfare and culture in world history / [edited by] Wayne Lee.</t>
  </si>
  <si>
    <t>New York : NYU Press, 2011.</t>
  </si>
  <si>
    <t>Warfare and culture series</t>
  </si>
  <si>
    <t>2013-11-12</t>
  </si>
  <si>
    <t>3771020022:eng</t>
  </si>
  <si>
    <t>724667367</t>
  </si>
  <si>
    <t>ocn724667367</t>
  </si>
  <si>
    <t>31034082599</t>
  </si>
  <si>
    <t>9780814752777</t>
  </si>
  <si>
    <t>794876635</t>
  </si>
  <si>
    <t>U27 W35 1989</t>
  </si>
  <si>
    <t>0                      U  0027000W  35          1989</t>
  </si>
  <si>
    <t>Warfare in the ancient world / edited and introduced by Sir John Hackett.</t>
  </si>
  <si>
    <t>New York : Facts on File, 1989.</t>
  </si>
  <si>
    <t>2017-11-25</t>
  </si>
  <si>
    <t>353884387:eng</t>
  </si>
  <si>
    <t>21080347</t>
  </si>
  <si>
    <t>ocm21080347</t>
  </si>
  <si>
    <t>31023023418</t>
  </si>
  <si>
    <t>9780816024599</t>
  </si>
  <si>
    <t>793108736</t>
  </si>
  <si>
    <t>U29 B73 2001</t>
  </si>
  <si>
    <t>0                      U  0029000B  73          2001</t>
  </si>
  <si>
    <t>With arrow, sword, and spear : a history of warfare in the ancient world / Alfred S. Bradford ; illustrated by Pamela M. Bradford.</t>
  </si>
  <si>
    <t>Bradford, Alfred S., author.</t>
  </si>
  <si>
    <t>Westport, Connecticut : Praeger, 2001.</t>
  </si>
  <si>
    <t>797245342:eng</t>
  </si>
  <si>
    <t>42682582</t>
  </si>
  <si>
    <t>ocm42682582</t>
  </si>
  <si>
    <t>3102088627R</t>
  </si>
  <si>
    <t>9780275952594</t>
  </si>
  <si>
    <t>793611615</t>
  </si>
  <si>
    <t>U29 C37 2005</t>
  </si>
  <si>
    <t>0                      U  0029000C  37          2005</t>
  </si>
  <si>
    <t>Warfare in the ancient world / Brian Todd Carey ; Joshua B. Allfree, tactical map illustrator ; John Cairns, regional map illustrator.</t>
  </si>
  <si>
    <t>Carey, Brian Todd.</t>
  </si>
  <si>
    <t>Barnsley, South Yorkshire : Pen &amp; Sword Military, 2005.</t>
  </si>
  <si>
    <t>2017-12-08</t>
  </si>
  <si>
    <t>3901225057:eng</t>
  </si>
  <si>
    <t>60668371</t>
  </si>
  <si>
    <t>ocm60668371</t>
  </si>
  <si>
    <t>3102578990K</t>
  </si>
  <si>
    <t>9781844151738</t>
  </si>
  <si>
    <t>793941762</t>
  </si>
  <si>
    <t>U29 D39 1996</t>
  </si>
  <si>
    <t>0                      U  0029000D  39          1996</t>
  </si>
  <si>
    <t>The origins of Western warfare : militarism and morality in the ancient world / Doyne Dawson.</t>
  </si>
  <si>
    <t>Dawson, Doyne.</t>
  </si>
  <si>
    <t>Boulder, Colo. : Westview Press, ©1996.</t>
  </si>
  <si>
    <t>History and warfare</t>
  </si>
  <si>
    <t>2019-03-13</t>
  </si>
  <si>
    <t>801234566:eng</t>
  </si>
  <si>
    <t>35679047</t>
  </si>
  <si>
    <t>ocm35679047</t>
  </si>
  <si>
    <t>31017015180</t>
  </si>
  <si>
    <t>9780813329406</t>
  </si>
  <si>
    <t>793454833</t>
  </si>
  <si>
    <t>U29 F54 2005</t>
  </si>
  <si>
    <t>0                      U  0029000F  54          2005</t>
  </si>
  <si>
    <t>Fighting techniques of the ancient world 3000 BC - AD 500 : equipment, combat skills and tactics / Simon Anglim [and others].</t>
  </si>
  <si>
    <t>Staplehurst : Spellmount, 2005.</t>
  </si>
  <si>
    <t>Rev. ed.</t>
  </si>
  <si>
    <t>2019-01-11</t>
  </si>
  <si>
    <t>796350379:eng</t>
  </si>
  <si>
    <t>60838421</t>
  </si>
  <si>
    <t>ocm60838421</t>
  </si>
  <si>
    <t>3102555763H</t>
  </si>
  <si>
    <t>9781862272989</t>
  </si>
  <si>
    <t>793944991</t>
  </si>
  <si>
    <t>U29 M26 2010</t>
  </si>
  <si>
    <t>0                      U  0029000M  26          2010</t>
  </si>
  <si>
    <t>Makers of ancient strategy : from the Persian wars to the fall of Rome / edited and Introduced by Victor Davis Hanson.</t>
  </si>
  <si>
    <t>Princeton : Princeton University Press, [2010]</t>
  </si>
  <si>
    <t>2017-02-10</t>
  </si>
  <si>
    <t>864033954:eng</t>
  </si>
  <si>
    <t>435711006</t>
  </si>
  <si>
    <t>ocn435711006</t>
  </si>
  <si>
    <t>3103128619D</t>
  </si>
  <si>
    <t>9780691137902</t>
  </si>
  <si>
    <t>794783646</t>
  </si>
  <si>
    <t>U29 M3 1963</t>
  </si>
  <si>
    <t>0                      U  0029000M  3           1963</t>
  </si>
  <si>
    <t>Warfare by land and sea.</t>
  </si>
  <si>
    <t>McCartney, Eugene S. (Eugene Stock), 1883-1959.</t>
  </si>
  <si>
    <t>New York, Cooper Square Publishers, 1963.</t>
  </si>
  <si>
    <t>1963</t>
  </si>
  <si>
    <t>Our debt to Greece and Rome</t>
  </si>
  <si>
    <t>1714683:eng</t>
  </si>
  <si>
    <t>784011</t>
  </si>
  <si>
    <t>ocm00784011</t>
  </si>
  <si>
    <t>3000451675U</t>
  </si>
  <si>
    <t>791469158</t>
  </si>
  <si>
    <t>U29 N48 2010</t>
  </si>
  <si>
    <t>0                      U  0029000N  48          2010</t>
  </si>
  <si>
    <t>New perspectives on ancient warfare / edited by Garrett G. Fagan, Matthew Trundle.</t>
  </si>
  <si>
    <t>Leiden ; Boston : Brill, 2010.</t>
  </si>
  <si>
    <t>History of warfare, 1385-7827 ; v. 59</t>
  </si>
  <si>
    <t>2013-11-11</t>
  </si>
  <si>
    <t>687498692:eng</t>
  </si>
  <si>
    <t>607656475</t>
  </si>
  <si>
    <t>ocn607656475</t>
  </si>
  <si>
    <t>31032292851</t>
  </si>
  <si>
    <t>9789004185982</t>
  </si>
  <si>
    <t>794818387</t>
  </si>
  <si>
    <t>U29 O93 2013</t>
  </si>
  <si>
    <t>0                      U  0029000O  93          2013</t>
  </si>
  <si>
    <t>The Oxford handbook of warfare in the classical world / edited by Brian Campbell and Lawrence A. Tritle.</t>
  </si>
  <si>
    <t>Oxford ; New York : Oxford University Press, ©2013.</t>
  </si>
  <si>
    <t>9381852317:eng</t>
  </si>
  <si>
    <t>779472263</t>
  </si>
  <si>
    <t>ocn779472263</t>
  </si>
  <si>
    <t>3103497374Z</t>
  </si>
  <si>
    <t>9780195304657</t>
  </si>
  <si>
    <t>794910941</t>
  </si>
  <si>
    <t>U29 S25 1997</t>
  </si>
  <si>
    <t>0                      U  0029000S  25          1997</t>
  </si>
  <si>
    <t>Soldiers, citizens, and the symbols of war : from classical Greece to republican Rome, 500-167 B.C. / Antonio Santosuosso.</t>
  </si>
  <si>
    <t>Santosuosso, Antonio.</t>
  </si>
  <si>
    <t>Boulder, Colo. : Westview Press, 1997.</t>
  </si>
  <si>
    <t>2015-12-05</t>
  </si>
  <si>
    <t>801234466:eng</t>
  </si>
  <si>
    <t>36461686</t>
  </si>
  <si>
    <t>ocm36461686</t>
  </si>
  <si>
    <t>31019084019</t>
  </si>
  <si>
    <t>9780813332765</t>
  </si>
  <si>
    <t>793475886</t>
  </si>
  <si>
    <t>U29 S77 1990</t>
  </si>
  <si>
    <t>0                      U  0029000S  77          1990</t>
  </si>
  <si>
    <t>The anatomy of error : ancient military disasters and their lessons for modern strategists / Barry S. Strauss and Josiah Ober.</t>
  </si>
  <si>
    <t>Strauss, Barry S.</t>
  </si>
  <si>
    <t>New York : St. Martin's Press, ©1990.</t>
  </si>
  <si>
    <t>20890579:eng</t>
  </si>
  <si>
    <t>21559134</t>
  </si>
  <si>
    <t>ocm21559134</t>
  </si>
  <si>
    <t>3100967008P</t>
  </si>
  <si>
    <t>9780312050511</t>
  </si>
  <si>
    <t>793122511</t>
  </si>
  <si>
    <t>U29 W3475 2007</t>
  </si>
  <si>
    <t>0                      U  0029000W  3475        2007</t>
  </si>
  <si>
    <t>War and peace in the ancient world / edited by Kurt A. Raaflaub.</t>
  </si>
  <si>
    <t>Malden, MA ; Oxford : Blackwell Pub., ©2007.</t>
  </si>
  <si>
    <t>The ancient world--comparative histories</t>
  </si>
  <si>
    <t>2017-09-05</t>
  </si>
  <si>
    <t>766058173:eng</t>
  </si>
  <si>
    <t>65197915</t>
  </si>
  <si>
    <t>ocm65197915</t>
  </si>
  <si>
    <t>3102568957X</t>
  </si>
  <si>
    <t>9781405145251</t>
  </si>
  <si>
    <t>794132964</t>
  </si>
  <si>
    <t>U31 C49 2005</t>
  </si>
  <si>
    <t>0                      U  0031000C  49          2005</t>
  </si>
  <si>
    <t>War in the Hellenistic world : a social and cultural history / Angelos Chaniotis.</t>
  </si>
  <si>
    <t>Chaniotis, Angelos.</t>
  </si>
  <si>
    <t>Malden, MA : Oxford (Eng.) : Blackwell Publishing, ©2005.</t>
  </si>
  <si>
    <t>Ancient world at war</t>
  </si>
  <si>
    <t>2018-03-23</t>
  </si>
  <si>
    <t>802421013:eng</t>
  </si>
  <si>
    <t>55015708</t>
  </si>
  <si>
    <t>ocm55015708</t>
  </si>
  <si>
    <t>3102501821Q</t>
  </si>
  <si>
    <t>9780631226079</t>
  </si>
  <si>
    <t>793872580</t>
  </si>
  <si>
    <t>U31 O84 2014</t>
  </si>
  <si>
    <t>0                      U  0031000O  84          2014</t>
  </si>
  <si>
    <t>The other face of the battle : the impact of war on civilians in the ancient Near East / edited by Davide Nadali and Jordi Vidal.</t>
  </si>
  <si>
    <t>Münster : Ugarit-Verlag, 2014.</t>
  </si>
  <si>
    <t>Alter Orient und Altes Testament ; Bd. 413</t>
  </si>
  <si>
    <t>2031605028:eng</t>
  </si>
  <si>
    <t>884233271</t>
  </si>
  <si>
    <t>ocn884233271</t>
  </si>
  <si>
    <t>3103711641G</t>
  </si>
  <si>
    <t>9783868351026</t>
  </si>
  <si>
    <t>794976160</t>
  </si>
  <si>
    <t>U31 S375 2004</t>
  </si>
  <si>
    <t>0                      U  0031000S  375         2004</t>
  </si>
  <si>
    <t>Fire and water = Huo zhan yu shui gong : the art of incendiary and aquatic warfare in China / Ralph D. Sawyer ; with the collaboration of Mei-Chun Lee Sawyer.</t>
  </si>
  <si>
    <t>Sawyer, Ralph D.</t>
  </si>
  <si>
    <t>Boulder, Colo. : Westview Press, ©2004.</t>
  </si>
  <si>
    <t>2017-04-10</t>
  </si>
  <si>
    <t>2019-03-20</t>
  </si>
  <si>
    <t>3902133895:eng</t>
  </si>
  <si>
    <t>52887360</t>
  </si>
  <si>
    <t>ocm52887360</t>
  </si>
  <si>
    <t>3103025377S</t>
  </si>
  <si>
    <t>9780813340654</t>
  </si>
  <si>
    <t>793816593</t>
  </si>
  <si>
    <t>3102503298M</t>
  </si>
  <si>
    <t>793816594</t>
  </si>
  <si>
    <t>U31 S5</t>
  </si>
  <si>
    <t>0                      U  0031000S  5</t>
  </si>
  <si>
    <t>Ancient Indian warfare with special reference to the Vedic period. : With a foreword by Sir Mortimer Wheeler.</t>
  </si>
  <si>
    <t>Singh, Sarva Daman.</t>
  </si>
  <si>
    <t>Leiden : E.J. Brill, [1965]</t>
  </si>
  <si>
    <t>1965</t>
  </si>
  <si>
    <t>46153483:eng</t>
  </si>
  <si>
    <t>61587380</t>
  </si>
  <si>
    <t>ocm61587380</t>
  </si>
  <si>
    <t>3000557610L</t>
  </si>
  <si>
    <t>794025137</t>
  </si>
  <si>
    <t>U31 S66 2005</t>
  </si>
  <si>
    <t>0                      U  0031000S  66          2005</t>
  </si>
  <si>
    <t>War in ancient Egypt : the New Kingdom / Anthony J. Spalinger.</t>
  </si>
  <si>
    <t>Spalinger, Anthony John.</t>
  </si>
  <si>
    <t>Malden, MA : Blackwell Pub., 2005.</t>
  </si>
  <si>
    <t>2016-11-22</t>
  </si>
  <si>
    <t>991895:eng</t>
  </si>
  <si>
    <t>54817216</t>
  </si>
  <si>
    <t>ocm54817216</t>
  </si>
  <si>
    <t>3102519121A</t>
  </si>
  <si>
    <t>9781405113717</t>
  </si>
  <si>
    <t>793868449</t>
  </si>
  <si>
    <t>U31 T43 2010</t>
  </si>
  <si>
    <t>0                      U  0031000T  43          2010</t>
  </si>
  <si>
    <t>Warfare in ancient India : organizational and operational dimensions / Uma Prasad Thapliyal.</t>
  </si>
  <si>
    <t>Thapliyal, Uma Prasad, 1938-</t>
  </si>
  <si>
    <t>New Delhi : Manohar Publishers &amp; Distributors, 2010.</t>
  </si>
  <si>
    <t>2011-10-21</t>
  </si>
  <si>
    <t>796252544:eng</t>
  </si>
  <si>
    <t>502268529</t>
  </si>
  <si>
    <t>ocn502268529</t>
  </si>
  <si>
    <t>3103300162B</t>
  </si>
  <si>
    <t>9788173048425</t>
  </si>
  <si>
    <t>794805565</t>
  </si>
  <si>
    <t>U33 A3</t>
  </si>
  <si>
    <t>0                      U  0033000A  3</t>
  </si>
  <si>
    <t>The Greek and Macedonian art of war.</t>
  </si>
  <si>
    <t>Adcock, F. E. (Frank E.), 1886-1968.</t>
  </si>
  <si>
    <t>Berkeley, University of California Press, 1957.</t>
  </si>
  <si>
    <t>1957</t>
  </si>
  <si>
    <t>Sather classical lectures, v. 30</t>
  </si>
  <si>
    <t>2016-01-20</t>
  </si>
  <si>
    <t>500248:eng</t>
  </si>
  <si>
    <t>570345</t>
  </si>
  <si>
    <t>ocm00570345</t>
  </si>
  <si>
    <t>3000725180Y</t>
  </si>
  <si>
    <t>9780520000056</t>
  </si>
  <si>
    <t>791417483</t>
  </si>
  <si>
    <t>U33 A5</t>
  </si>
  <si>
    <t>0                      U  0033000A  5</t>
  </si>
  <si>
    <t>Military theory and practice in the age of Xenophon [by] J.K. Anderson.</t>
  </si>
  <si>
    <t>Anderson, J. K. (John Kinloch)</t>
  </si>
  <si>
    <t>Berkeley, University of California Press, 1970.</t>
  </si>
  <si>
    <t>1227567:eng</t>
  </si>
  <si>
    <t>63909</t>
  </si>
  <si>
    <t>ocm00063909</t>
  </si>
  <si>
    <t>3100010314Z</t>
  </si>
  <si>
    <t>9780520015647</t>
  </si>
  <si>
    <t>791243811</t>
  </si>
  <si>
    <t>2016-09-27</t>
  </si>
  <si>
    <t>3103602744E</t>
  </si>
  <si>
    <t>791243810</t>
  </si>
  <si>
    <t>U33 C76 2012</t>
  </si>
  <si>
    <t>0                      U  0033000C  76          2012</t>
  </si>
  <si>
    <t>The psychology of the Athenian hoplite : the culture of combat in classical Athens / Jason Crowley.</t>
  </si>
  <si>
    <t>Crowley, Jason, 1969-</t>
  </si>
  <si>
    <t>Cambridge, UK ; New York : Cambridge University Press, ©2012.</t>
  </si>
  <si>
    <t>2016-02-23</t>
  </si>
  <si>
    <t>1124614859:eng</t>
  </si>
  <si>
    <t>785872079</t>
  </si>
  <si>
    <t>ocn785872079</t>
  </si>
  <si>
    <t>3103431086M</t>
  </si>
  <si>
    <t>9781107020610</t>
  </si>
  <si>
    <t>794915587</t>
  </si>
  <si>
    <t>U33 G3513x</t>
  </si>
  <si>
    <t>0                      U  0033000G  3513x</t>
  </si>
  <si>
    <t>War in the ancient world : a social history / Yvon Garlan ; translated from the French by Janet Lloyd.</t>
  </si>
  <si>
    <t>Garlan, Yvon.</t>
  </si>
  <si>
    <t>London : Chatto &amp; Windus, 1975.</t>
  </si>
  <si>
    <t>Ancient culture and society</t>
  </si>
  <si>
    <t>2015-12-06</t>
  </si>
  <si>
    <t>918408453:eng</t>
  </si>
  <si>
    <t>1592962</t>
  </si>
  <si>
    <t>ocm01592962</t>
  </si>
  <si>
    <t>3103872058C</t>
  </si>
  <si>
    <t>9780701118884</t>
  </si>
  <si>
    <t>791773857</t>
  </si>
  <si>
    <t>2014-03-19</t>
  </si>
  <si>
    <t>30004674299</t>
  </si>
  <si>
    <t>791773856</t>
  </si>
  <si>
    <t>U33 G696 2004</t>
  </si>
  <si>
    <t>0                      U  0033000G  696         2004</t>
  </si>
  <si>
    <t>Greek and Roman military writers : selected readings / Brian Campbell.</t>
  </si>
  <si>
    <t>London and New York : Routledge, 2004.</t>
  </si>
  <si>
    <t>Routledge classical translations</t>
  </si>
  <si>
    <t>792920521:eng</t>
  </si>
  <si>
    <t>54356411</t>
  </si>
  <si>
    <t>ocm54356411</t>
  </si>
  <si>
    <t>31030887967</t>
  </si>
  <si>
    <t>9780415285476</t>
  </si>
  <si>
    <t>793859911</t>
  </si>
  <si>
    <t>U33 H36 1989</t>
  </si>
  <si>
    <t>0                      U  0033000H  36          1989</t>
  </si>
  <si>
    <t>The Western way of war : infantry battle in classical Greece / Victor Davis Hanson ; with an introduction by John Keegan.</t>
  </si>
  <si>
    <t>Hanson, Victor Davis, author.</t>
  </si>
  <si>
    <t>New York : Alfred A. Knopf, 1989.</t>
  </si>
  <si>
    <t>2017-09-22</t>
  </si>
  <si>
    <t>349793851:eng</t>
  </si>
  <si>
    <t>18961316</t>
  </si>
  <si>
    <t>ocm18961316</t>
  </si>
  <si>
    <t>3100652174N</t>
  </si>
  <si>
    <t>9780394571881</t>
  </si>
  <si>
    <t>793042682</t>
  </si>
  <si>
    <t>U33 H66 1991</t>
  </si>
  <si>
    <t>0                      U  0033000H  66          1991</t>
  </si>
  <si>
    <t>Hoplites : the classical Greek battle experience / edited by Victor Davis Hanson.</t>
  </si>
  <si>
    <t>London ; New York : Routledge, 1991.</t>
  </si>
  <si>
    <t>2017-11-29</t>
  </si>
  <si>
    <t>848882988:eng</t>
  </si>
  <si>
    <t>24318069</t>
  </si>
  <si>
    <t>ocm24318069</t>
  </si>
  <si>
    <t>31028008742</t>
  </si>
  <si>
    <t>9780415041485</t>
  </si>
  <si>
    <t>793195167</t>
  </si>
  <si>
    <t>U33 L29 1985</t>
  </si>
  <si>
    <t>0                      U  0033000L  29          1985</t>
  </si>
  <si>
    <t>The Spartan army / J.F. Lazenby.</t>
  </si>
  <si>
    <t>Lazenby, J. F. (John Francis)</t>
  </si>
  <si>
    <t>Warminster, England : Aris &amp; Phillips, ©1985.</t>
  </si>
  <si>
    <t>2017-01-13</t>
  </si>
  <si>
    <t>3372235524:eng</t>
  </si>
  <si>
    <t>13007415</t>
  </si>
  <si>
    <t>ocm13007415</t>
  </si>
  <si>
    <t>3102788641M</t>
  </si>
  <si>
    <t>9780856681424</t>
  </si>
  <si>
    <t>792837025</t>
  </si>
  <si>
    <t>U33 P65</t>
  </si>
  <si>
    <t>0                      U  0033000P  65</t>
  </si>
  <si>
    <t>The Greek state at war / by W. Kendrick Pritchett.</t>
  </si>
  <si>
    <t>Pt. 2</t>
  </si>
  <si>
    <t>Pritchett, W. Kendrick (William Kendrick), 1909-2007.</t>
  </si>
  <si>
    <t>Berkeley : University of California Press, 1974, ©1971-&lt;c1991&gt;</t>
  </si>
  <si>
    <t>2012-06-20</t>
  </si>
  <si>
    <t>2017-06-14</t>
  </si>
  <si>
    <t>9349843981:eng</t>
  </si>
  <si>
    <t>1327593</t>
  </si>
  <si>
    <t>ocm01327593</t>
  </si>
  <si>
    <t>3102788642M</t>
  </si>
  <si>
    <t>9780520027589</t>
  </si>
  <si>
    <t>791601099</t>
  </si>
  <si>
    <t>Pt. 3</t>
  </si>
  <si>
    <t>31035931956</t>
  </si>
  <si>
    <t>791601098</t>
  </si>
  <si>
    <t>2015-11-01</t>
  </si>
  <si>
    <t>3100413620M</t>
  </si>
  <si>
    <t>791601100</t>
  </si>
  <si>
    <t>pt. 5</t>
  </si>
  <si>
    <t>2014-01-20</t>
  </si>
  <si>
    <t>31033858782</t>
  </si>
  <si>
    <t>791601097</t>
  </si>
  <si>
    <t>U33 S24 1996</t>
  </si>
  <si>
    <t>0                      U  0033000S  24          1996</t>
  </si>
  <si>
    <t>Warfare in ancient Greece : a sourcebook / Michael M. Sage.</t>
  </si>
  <si>
    <t>Sage, Michael M.</t>
  </si>
  <si>
    <t>London ; New York : Routledge, 1996.</t>
  </si>
  <si>
    <t>793920903:eng</t>
  </si>
  <si>
    <t>33207549</t>
  </si>
  <si>
    <t>ocm33207549</t>
  </si>
  <si>
    <t>3103524039J</t>
  </si>
  <si>
    <t>9780415143547</t>
  </si>
  <si>
    <t>793404265</t>
  </si>
  <si>
    <t>U33 S349 2009</t>
  </si>
  <si>
    <t>0                      U  0033000S  349         2009</t>
  </si>
  <si>
    <t>Reinstating the hoplite : arms, armour and phalanx fighting in archaic and classical Greece / Adam Schwartz.</t>
  </si>
  <si>
    <t>Schwartz, Adam, 1973-</t>
  </si>
  <si>
    <t>Stuttgart : Franz Steiner Verlag, 2009.</t>
  </si>
  <si>
    <t>Historia. Einzelschriften ; Heft 207</t>
  </si>
  <si>
    <t>2017-07-21</t>
  </si>
  <si>
    <t>366999116:eng</t>
  </si>
  <si>
    <t>464588835</t>
  </si>
  <si>
    <t>ocn464588835</t>
  </si>
  <si>
    <t>3103217977W</t>
  </si>
  <si>
    <t>9783515093309</t>
  </si>
  <si>
    <t>794793316</t>
  </si>
  <si>
    <t>U33 S45 2006</t>
  </si>
  <si>
    <t>0                      U  0033000S  45          2006</t>
  </si>
  <si>
    <t>Hellenistic infantry reform in the 160's BC / Nicholas Sekunda.</t>
  </si>
  <si>
    <t>Sekunda, Nick, 1953-</t>
  </si>
  <si>
    <t>Gdańsk : Fundation for the Development of Gdańsk University, 2006.</t>
  </si>
  <si>
    <t>Studies on the history of ancient and medieval art of warfare ; v. 5</t>
  </si>
  <si>
    <t>2018-07-26</t>
  </si>
  <si>
    <t>36593565:eng</t>
  </si>
  <si>
    <t>166322314</t>
  </si>
  <si>
    <t>ocn166322314</t>
  </si>
  <si>
    <t>3102646414V</t>
  </si>
  <si>
    <t>9788389786838</t>
  </si>
  <si>
    <t>794260197</t>
  </si>
  <si>
    <t>U33 W37 2009</t>
  </si>
  <si>
    <t>0                      U  0033000W  37          2009</t>
  </si>
  <si>
    <t>War and violence in ancient Greece / edited by Hans van Wees ; contributors Paul Beston [and others].</t>
  </si>
  <si>
    <t>Swansea : Classical Press of Wales, 2009.</t>
  </si>
  <si>
    <t>Pbk. ed.</t>
  </si>
  <si>
    <t>2018-09-13</t>
  </si>
  <si>
    <t>721401:eng</t>
  </si>
  <si>
    <t>276334676</t>
  </si>
  <si>
    <t>ocn276334676</t>
  </si>
  <si>
    <t>3103373559S</t>
  </si>
  <si>
    <t>9781905125340</t>
  </si>
  <si>
    <t>794416374</t>
  </si>
  <si>
    <t>U33 W43 2004</t>
  </si>
  <si>
    <t>0                      U  0033000W  43          2004</t>
  </si>
  <si>
    <t>Greek warfare : myths and realities / Hans van Wees.</t>
  </si>
  <si>
    <t>Wees, Hans van.</t>
  </si>
  <si>
    <t>London : Duckworth, 2004</t>
  </si>
  <si>
    <t>837031867:eng</t>
  </si>
  <si>
    <t>44532689</t>
  </si>
  <si>
    <t>ocm44532689</t>
  </si>
  <si>
    <t>3102561021K</t>
  </si>
  <si>
    <t>9780715629673</t>
  </si>
  <si>
    <t>793652581</t>
  </si>
  <si>
    <t>U35 A47 1995</t>
  </si>
  <si>
    <t>0                      U  0035000A  47          1995</t>
  </si>
  <si>
    <t>Soldier and society in Roman Egypt : a social history / Richard Alston.</t>
  </si>
  <si>
    <t>Alston, Richard, 1956-</t>
  </si>
  <si>
    <t>London ; New York : Routledge, 1998, ©1995.</t>
  </si>
  <si>
    <t>2017-11-07</t>
  </si>
  <si>
    <t>4925686267:eng</t>
  </si>
  <si>
    <t>39699066</t>
  </si>
  <si>
    <t>ocm39699066</t>
  </si>
  <si>
    <t>3102556504V</t>
  </si>
  <si>
    <t>9780415186063</t>
  </si>
  <si>
    <t>793551265</t>
  </si>
  <si>
    <t>U35 B56 2013</t>
  </si>
  <si>
    <t>0                      U  0035000B  56          2013</t>
  </si>
  <si>
    <t>The Praetorian Guard : a history of Rome's elite special forces / Sandra Bingham.</t>
  </si>
  <si>
    <t>Bingham, Sandra.</t>
  </si>
  <si>
    <t>[Waco, Texas] : Baylor University Press, [2013]</t>
  </si>
  <si>
    <t>2017-04-15</t>
  </si>
  <si>
    <t>1127769549:eng</t>
  </si>
  <si>
    <t>804049499</t>
  </si>
  <si>
    <t>ocn804049499</t>
  </si>
  <si>
    <t>3103455504Y</t>
  </si>
  <si>
    <t>9781602586499</t>
  </si>
  <si>
    <t>794925990</t>
  </si>
  <si>
    <t>U35 B79 1994</t>
  </si>
  <si>
    <t>0                      U  0035000B  79          1994</t>
  </si>
  <si>
    <t>Barbarians within the gates of Rome : a study of Roman military policy and the barbarians, ca. 375-425 A.D. / Thomas S. Burns.</t>
  </si>
  <si>
    <t>Burns, Thomas S. (Thomas Samuel), 1945-</t>
  </si>
  <si>
    <t>Bloomington : Indiana University Press, ©1994.</t>
  </si>
  <si>
    <t>2018-06-04</t>
  </si>
  <si>
    <t>908381176:eng</t>
  </si>
  <si>
    <t>30624590</t>
  </si>
  <si>
    <t>ocm30624590</t>
  </si>
  <si>
    <t>3101420100C</t>
  </si>
  <si>
    <t>9780253312884</t>
  </si>
  <si>
    <t>793340520</t>
  </si>
  <si>
    <t>U35 C34 2007</t>
  </si>
  <si>
    <t>0                      U  0035000C  34          2007</t>
  </si>
  <si>
    <t>The Cambridge history of Greek and Roman warfare / edited by Philip Sabin, Hans van Wees, Michael Whitby.</t>
  </si>
  <si>
    <t>2017-01-21</t>
  </si>
  <si>
    <t>2908648658:eng</t>
  </si>
  <si>
    <t>190966775</t>
  </si>
  <si>
    <t>ocn190966775</t>
  </si>
  <si>
    <t>3102871390B</t>
  </si>
  <si>
    <t>9780521857796</t>
  </si>
  <si>
    <t>794296566</t>
  </si>
  <si>
    <t>3102871389D</t>
  </si>
  <si>
    <t>794296567</t>
  </si>
  <si>
    <t>U35 C35 1994</t>
  </si>
  <si>
    <t>0                      U  0035000C  35          1994</t>
  </si>
  <si>
    <t>The Roman army, 31 BC-AD 337 : a sourcebook / Brian Campbell.</t>
  </si>
  <si>
    <t>Campbell, J. B.</t>
  </si>
  <si>
    <t>London ; New York : Routledge, 1994.</t>
  </si>
  <si>
    <t>2019-01-29</t>
  </si>
  <si>
    <t>801817379:eng</t>
  </si>
  <si>
    <t>28376827</t>
  </si>
  <si>
    <t>ocm28376827</t>
  </si>
  <si>
    <t>3101558155X</t>
  </si>
  <si>
    <t>9780415071727</t>
  </si>
  <si>
    <t>793286609</t>
  </si>
  <si>
    <t>U35 D4 2017</t>
  </si>
  <si>
    <t>0                      U  0035000D  4           2017</t>
  </si>
  <si>
    <t>Praetorian : the rise and fall of Rome's imperial bodyguard / Guy de la Bédoyère.</t>
  </si>
  <si>
    <t>De la Bédoyère, Guy, author.</t>
  </si>
  <si>
    <t>New Haven ; London : Yale University Press, [2017]</t>
  </si>
  <si>
    <t>3893647792:eng</t>
  </si>
  <si>
    <t>988900570</t>
  </si>
  <si>
    <t>ocn988900570</t>
  </si>
  <si>
    <t>31037143528</t>
  </si>
  <si>
    <t>9780300218954</t>
  </si>
  <si>
    <t>795036971</t>
  </si>
  <si>
    <t>U35 D63 2003</t>
  </si>
  <si>
    <t>0                      U  0035000D  63          2003</t>
  </si>
  <si>
    <t>Documenting the Roman army : essays in honour of Margaret Roxan / edited by J.J. Wilkes.</t>
  </si>
  <si>
    <t>London : Institute of Classical Studies, School of Advanced Study, University of London, 2003.</t>
  </si>
  <si>
    <t>Bulletin of the Institute of Classical Studies. Supplement ; 81</t>
  </si>
  <si>
    <t>864649166:eng</t>
  </si>
  <si>
    <t>54519160</t>
  </si>
  <si>
    <t>ocm54519160</t>
  </si>
  <si>
    <t>3102347640X</t>
  </si>
  <si>
    <t>9780900587924</t>
  </si>
  <si>
    <t>793863651</t>
  </si>
  <si>
    <t>U35 G55 2005</t>
  </si>
  <si>
    <t>0                      U  0035000G  55          2005</t>
  </si>
  <si>
    <t>The Roman art of war / C.M. Gilliver.</t>
  </si>
  <si>
    <t>Gilliver, Catherine.</t>
  </si>
  <si>
    <t>Stroud : Tempus, 2001.</t>
  </si>
  <si>
    <t>20930445:eng</t>
  </si>
  <si>
    <t>59544796</t>
  </si>
  <si>
    <t>ocm59544796</t>
  </si>
  <si>
    <t>31028374984</t>
  </si>
  <si>
    <t>9780752419398</t>
  </si>
  <si>
    <t>793930472</t>
  </si>
  <si>
    <t>U35 G65 2002</t>
  </si>
  <si>
    <t>0                      U  0035000G  65          2002</t>
  </si>
  <si>
    <t>Roman warfare / Adrian Goldsworthy ; general editor, John Keegan.</t>
  </si>
  <si>
    <t>Goldsworthy, Adrian Keith.</t>
  </si>
  <si>
    <t>London : Cassell, 2000</t>
  </si>
  <si>
    <t>Cassell history of warfare</t>
  </si>
  <si>
    <t>2018-08-24</t>
  </si>
  <si>
    <t>138833709:eng</t>
  </si>
  <si>
    <t>48486305</t>
  </si>
  <si>
    <t>ocm48486305</t>
  </si>
  <si>
    <t>3102256679W</t>
  </si>
  <si>
    <t>9780304362653</t>
  </si>
  <si>
    <t>793722223</t>
  </si>
  <si>
    <t>U35 H3 1967</t>
  </si>
  <si>
    <t>0                      U  0035000H  3           1967</t>
  </si>
  <si>
    <t>L'Armée et le soldat à Rome, de 107 à 50 avant notre ère ...</t>
  </si>
  <si>
    <t>Harmand, Jacques.</t>
  </si>
  <si>
    <t>Paris, A.J. Picard et Cie, 1967.</t>
  </si>
  <si>
    <t>392085134:fre</t>
  </si>
  <si>
    <t>1315271</t>
  </si>
  <si>
    <t>ocm01315271</t>
  </si>
  <si>
    <t>3102111952C</t>
  </si>
  <si>
    <t>791597965</t>
  </si>
  <si>
    <t>U35 H64 1982</t>
  </si>
  <si>
    <t>0                      U  0035000H  64          1982</t>
  </si>
  <si>
    <t>The Roman Army in Britain / P.A. Holder.</t>
  </si>
  <si>
    <t>Holder, P. A.</t>
  </si>
  <si>
    <t>New York : St. Martin's Press, 1982.</t>
  </si>
  <si>
    <t>443889:eng</t>
  </si>
  <si>
    <t>8345739</t>
  </si>
  <si>
    <t>ocm08345739</t>
  </si>
  <si>
    <t>3102821142F</t>
  </si>
  <si>
    <t>9780312689612</t>
  </si>
  <si>
    <t>792614221</t>
  </si>
  <si>
    <t>U35 H643</t>
  </si>
  <si>
    <t>0                      U  0035000H  643</t>
  </si>
  <si>
    <t>Studies in the Auxilia of the Roman Army from Augustus to Trajan / Paul A. Holder.</t>
  </si>
  <si>
    <t>Oxford, England : B.A.R., 1980.</t>
  </si>
  <si>
    <t>BAR international series, 0143-3067 ; 70</t>
  </si>
  <si>
    <t>2016-06-30</t>
  </si>
  <si>
    <t>22715601:eng</t>
  </si>
  <si>
    <t>6506935</t>
  </si>
  <si>
    <t>ocm06506935</t>
  </si>
  <si>
    <t>30003144896</t>
  </si>
  <si>
    <t>9780860540755</t>
  </si>
  <si>
    <t>792504349</t>
  </si>
  <si>
    <t>U35 K46 1984</t>
  </si>
  <si>
    <t>0                      U  0035000K  46          1984</t>
  </si>
  <si>
    <t>The making of the Roman army : from Republic to Empire / Lawrence Keppie.</t>
  </si>
  <si>
    <t>Keppie, L. J. F. (Lawrence J. F)</t>
  </si>
  <si>
    <t>London : Batsford, 1984.</t>
  </si>
  <si>
    <t>2018-08-10</t>
  </si>
  <si>
    <t>615621:eng</t>
  </si>
  <si>
    <t>12457239</t>
  </si>
  <si>
    <t>ocm12457239</t>
  </si>
  <si>
    <t>3103293677H</t>
  </si>
  <si>
    <t>9780713436518</t>
  </si>
  <si>
    <t>792816148</t>
  </si>
  <si>
    <t>U35 K7x 1951</t>
  </si>
  <si>
    <t>0                      U  0035000K  7x          1951</t>
  </si>
  <si>
    <t>Zur Rekrutierung der Alen und Kohorten an Rhein und Donau.</t>
  </si>
  <si>
    <t>Kraft, Konrad.</t>
  </si>
  <si>
    <t>Bernae, Aedibus A. Francke, 1951.</t>
  </si>
  <si>
    <t>1951</t>
  </si>
  <si>
    <t>Dissertationes Bernenses historiam orbis antiqui nascentisque medii aevi elucubrantes. Ser. 1 fasc. 3</t>
  </si>
  <si>
    <t>5342733280:ger</t>
  </si>
  <si>
    <t>7489464</t>
  </si>
  <si>
    <t>ocm07489464</t>
  </si>
  <si>
    <t>3000409259Y</t>
  </si>
  <si>
    <t>792561600</t>
  </si>
  <si>
    <t>U35 L385 2002</t>
  </si>
  <si>
    <t>0                      U  0035000L  385         2002</t>
  </si>
  <si>
    <t>L'armée romaine sous le Haut-Empire / Yann Le Bohec.</t>
  </si>
  <si>
    <t>Le Bohec, Yann.</t>
  </si>
  <si>
    <t>Paris : Picard, 2002.</t>
  </si>
  <si>
    <t>3. éd. rev. et augm.</t>
  </si>
  <si>
    <t>Antiquité/Synthèses</t>
  </si>
  <si>
    <t>2015-06-18</t>
  </si>
  <si>
    <t>32577573:fre</t>
  </si>
  <si>
    <t>57680828</t>
  </si>
  <si>
    <t>ocm57680828</t>
  </si>
  <si>
    <t>31026861718</t>
  </si>
  <si>
    <t>9782708406339</t>
  </si>
  <si>
    <t>793917537</t>
  </si>
  <si>
    <t>U35 L38513 2000</t>
  </si>
  <si>
    <t>0                      U  0035000L  38513       2000</t>
  </si>
  <si>
    <t>The imperial Roman army / Yann Le Bohec ; translated by Raphael Bate.</t>
  </si>
  <si>
    <t>London : Routledge, 2000.</t>
  </si>
  <si>
    <t>4757639735:eng</t>
  </si>
  <si>
    <t>43851873</t>
  </si>
  <si>
    <t>ocm43851873</t>
  </si>
  <si>
    <t>3102580815T</t>
  </si>
  <si>
    <t>9780415222952</t>
  </si>
  <si>
    <t>793636870</t>
  </si>
  <si>
    <t>U35 L44 2007</t>
  </si>
  <si>
    <t>0                      U  0035000L  44          2007</t>
  </si>
  <si>
    <t>War in late antiquity : a social history / A.D. Lee.</t>
  </si>
  <si>
    <t>Lee, A. D.</t>
  </si>
  <si>
    <t>Malden, MA ; Oxford : Blackwell Pub., 2007.</t>
  </si>
  <si>
    <t>2015-03-29</t>
  </si>
  <si>
    <t>784443611:eng</t>
  </si>
  <si>
    <t>74964970</t>
  </si>
  <si>
    <t>ocm74964970</t>
  </si>
  <si>
    <t>3102643932O</t>
  </si>
  <si>
    <t>9780631229254</t>
  </si>
  <si>
    <t>794174025</t>
  </si>
  <si>
    <t>U35 L8</t>
  </si>
  <si>
    <t>0                      U  0035000L  8</t>
  </si>
  <si>
    <t>The grand strategy of the Roman Empire from the first century A.D. to the third / Edward N. Luttwak.</t>
  </si>
  <si>
    <t>Luttwak, Edward.</t>
  </si>
  <si>
    <t>Baltimore : Johns Hopkins University Press, ©1976.</t>
  </si>
  <si>
    <t>2015-12-17</t>
  </si>
  <si>
    <t>2017-12-04</t>
  </si>
  <si>
    <t>5627415:eng</t>
  </si>
  <si>
    <t>2542308</t>
  </si>
  <si>
    <t>ocm02542308</t>
  </si>
  <si>
    <t>3103400376Y</t>
  </si>
  <si>
    <t>9780801818639</t>
  </si>
  <si>
    <t>792141313</t>
  </si>
  <si>
    <t>2017-03-21</t>
  </si>
  <si>
    <t>31030082262</t>
  </si>
  <si>
    <t>792141311</t>
  </si>
  <si>
    <t>3000179767V</t>
  </si>
  <si>
    <t>792141310</t>
  </si>
  <si>
    <t>U35 M28 1983</t>
  </si>
  <si>
    <t>0                      U  0035000M  28          1983</t>
  </si>
  <si>
    <t>Legionary recruitment and veteran settlement during the Principate / J.C. Mann ; edited for publication by M.M. Roxan.</t>
  </si>
  <si>
    <t>Mann, J. C. (John Cecil)</t>
  </si>
  <si>
    <t>London : Institute of Archaeology, 1983.</t>
  </si>
  <si>
    <t>Occasional publication, 0141-8505 ; no. 7</t>
  </si>
  <si>
    <t>2015-11-30</t>
  </si>
  <si>
    <t>22223216:eng</t>
  </si>
  <si>
    <t>20416716</t>
  </si>
  <si>
    <t>ocm20416716</t>
  </si>
  <si>
    <t>3102357639U</t>
  </si>
  <si>
    <t>9780905853116</t>
  </si>
  <si>
    <t>793087184</t>
  </si>
  <si>
    <t>U35 N53 1998</t>
  </si>
  <si>
    <t>0                      U  0035000N  53          1998</t>
  </si>
  <si>
    <t>Twilight of empire : the Roman army from the reign of Diocletian until the Battle of Adrianople / M.J. Nicasie.</t>
  </si>
  <si>
    <t>Nicasie, Martinus Johannes, 1967-</t>
  </si>
  <si>
    <t>Amsterdam : J.C. Gieben, 1998.</t>
  </si>
  <si>
    <t>Dutch monographs on ancient history and archaeology ; v. 19</t>
  </si>
  <si>
    <t>2016-09-05</t>
  </si>
  <si>
    <t>41362844:eng</t>
  </si>
  <si>
    <t>39858151</t>
  </si>
  <si>
    <t>ocm39858151</t>
  </si>
  <si>
    <t>31026313986</t>
  </si>
  <si>
    <t>9789050634489</t>
  </si>
  <si>
    <t>793555368</t>
  </si>
  <si>
    <t>U35 P53 2008</t>
  </si>
  <si>
    <t>0                      U  0035000P  53          2008</t>
  </si>
  <si>
    <t>Roman military service : ideologies of discipline in the late Republic and early Principate / Sara Elise Phang.</t>
  </si>
  <si>
    <t>Phang, Sara Elise.</t>
  </si>
  <si>
    <t>2018-03-26</t>
  </si>
  <si>
    <t>769221408:eng</t>
  </si>
  <si>
    <t>147987121</t>
  </si>
  <si>
    <t>ocn147987121</t>
  </si>
  <si>
    <t>31028823804</t>
  </si>
  <si>
    <t>9780521882699</t>
  </si>
  <si>
    <t>794240499</t>
  </si>
  <si>
    <t>U35 R68 2009</t>
  </si>
  <si>
    <t>0                      U  0035000R  68          2009</t>
  </si>
  <si>
    <t>Roman warfare / Jonathan P. Roth.</t>
  </si>
  <si>
    <t>Roth, Jonathan P., 1955-</t>
  </si>
  <si>
    <t>Cambridge introduction to Roman civilization</t>
  </si>
  <si>
    <t>2018-11-12</t>
  </si>
  <si>
    <t>3901350839:eng</t>
  </si>
  <si>
    <t>231745643</t>
  </si>
  <si>
    <t>ocn231745643</t>
  </si>
  <si>
    <t>31031565521</t>
  </si>
  <si>
    <t>9780521830287</t>
  </si>
  <si>
    <t>794358081</t>
  </si>
  <si>
    <t>U35 S23 1982</t>
  </si>
  <si>
    <t>0                      U  0035000S  23          1982</t>
  </si>
  <si>
    <t>The development of the Roman auxiliary forces from Caesar to Vespasian : 49 B.C.-A.D. 79 / by D.B. Saddington.</t>
  </si>
  <si>
    <t>Saddington, D. B. (Dennis Bain)</t>
  </si>
  <si>
    <t>[Harare] : University of Zimbabwe, 1982.</t>
  </si>
  <si>
    <t>2016-07-05</t>
  </si>
  <si>
    <t>3788411:eng</t>
  </si>
  <si>
    <t>11312170</t>
  </si>
  <si>
    <t>ocm11312170</t>
  </si>
  <si>
    <t>3000471462Z</t>
  </si>
  <si>
    <t>9780869240786</t>
  </si>
  <si>
    <t>792768103</t>
  </si>
  <si>
    <t>U35 S24 2008</t>
  </si>
  <si>
    <t>0                      U  0035000S  24          2008</t>
  </si>
  <si>
    <t>The Republican Roman army : a sourcebook / Michael M. Sage.</t>
  </si>
  <si>
    <t>New York ; London : Routledge, 2008.</t>
  </si>
  <si>
    <t>Routledge sourcebooks for the ancient world</t>
  </si>
  <si>
    <t>2018-08-07</t>
  </si>
  <si>
    <t>196478359:eng</t>
  </si>
  <si>
    <t>182621502</t>
  </si>
  <si>
    <t>ocn182621502</t>
  </si>
  <si>
    <t>3102974385W</t>
  </si>
  <si>
    <t>9780415178792</t>
  </si>
  <si>
    <t>794284873</t>
  </si>
  <si>
    <t>U35 S6</t>
  </si>
  <si>
    <t>0                      U  0035000S  6</t>
  </si>
  <si>
    <t>Service in the post-Marian Roman army.</t>
  </si>
  <si>
    <t>Smith, Richard Edwin.</t>
  </si>
  <si>
    <t>[Manchester, Eng.] Manchester University Press, 1958.</t>
  </si>
  <si>
    <t>1958</t>
  </si>
  <si>
    <t>Publications of the Faculty of Arts of the University of Manchester, no. 9</t>
  </si>
  <si>
    <t>2678214:eng</t>
  </si>
  <si>
    <t>1825038</t>
  </si>
  <si>
    <t>ocm01825038</t>
  </si>
  <si>
    <t>3102721071I</t>
  </si>
  <si>
    <t>791994774</t>
  </si>
  <si>
    <t>U35 S625 2006</t>
  </si>
  <si>
    <t>0                      U  0035000S  625         2006</t>
  </si>
  <si>
    <t>The Roman army : a social and institutional history / Pat Southern.</t>
  </si>
  <si>
    <t>Southern, Pat, 1948-</t>
  </si>
  <si>
    <t>Santa Barbara, Calif. : ABC-CLIO, ©2006.</t>
  </si>
  <si>
    <t>3768852680:eng</t>
  </si>
  <si>
    <t>62133734</t>
  </si>
  <si>
    <t>ocm62133734</t>
  </si>
  <si>
    <t>31025630654</t>
  </si>
  <si>
    <t>9781851097302</t>
  </si>
  <si>
    <t>794100921</t>
  </si>
  <si>
    <t>U35 S637 1996</t>
  </si>
  <si>
    <t>0                      U  0035000S  637         1996</t>
  </si>
  <si>
    <t>The late Roman army / Pat Southern &amp; Karen Ramsey Dixon.</t>
  </si>
  <si>
    <t>New Haven : Yale University Press, ©1996.</t>
  </si>
  <si>
    <t>101903565:eng</t>
  </si>
  <si>
    <t>35247589</t>
  </si>
  <si>
    <t>ocm35247589</t>
  </si>
  <si>
    <t>3101705693$</t>
  </si>
  <si>
    <t>9780300068436</t>
  </si>
  <si>
    <t>793447786</t>
  </si>
  <si>
    <t>3102361171J</t>
  </si>
  <si>
    <t>793447785</t>
  </si>
  <si>
    <t>U35 S648 1994</t>
  </si>
  <si>
    <t>0                      U  0035000S  648         1994</t>
  </si>
  <si>
    <t>Riding for Caesar : the Roman emperors' horse guards / Michael P. Speidel.</t>
  </si>
  <si>
    <t>Speidel, Michael, author.</t>
  </si>
  <si>
    <t>Cambridge, Massachusetts : Harvard University Press, [1994]</t>
  </si>
  <si>
    <t>799703475:eng</t>
  </si>
  <si>
    <t>28852169</t>
  </si>
  <si>
    <t>ocm28852169</t>
  </si>
  <si>
    <t>3101419721F</t>
  </si>
  <si>
    <t>9780674768970</t>
  </si>
  <si>
    <t>793297866</t>
  </si>
  <si>
    <t>U35 V47 2010</t>
  </si>
  <si>
    <t>0                      U  0035000V  47          2010</t>
  </si>
  <si>
    <t>Die Verwaltung der kaiserzeitlichen römischen Armee : Studien für Hartmut Wolff / Armin Eich (Hg.).</t>
  </si>
  <si>
    <t>Stuttgart : Steiner, 2010.</t>
  </si>
  <si>
    <t>Geschichte (Franz Steiner Verlag)</t>
  </si>
  <si>
    <t>793303124:ger</t>
  </si>
  <si>
    <t>505428384</t>
  </si>
  <si>
    <t>ocn505428384</t>
  </si>
  <si>
    <t>3103223348U</t>
  </si>
  <si>
    <t>9783515094207</t>
  </si>
  <si>
    <t>794807210</t>
  </si>
  <si>
    <t>U35 W34 1993</t>
  </si>
  <si>
    <t>0                      U  0035000W  34          1993</t>
  </si>
  <si>
    <t>War and society in the Roman world / edited by John Rich and Graham Shipley.</t>
  </si>
  <si>
    <t>London ; New York : Routledge, 1993.</t>
  </si>
  <si>
    <t>Leicester-Nottingham studies in ancient society ; v. 5</t>
  </si>
  <si>
    <t>1073204536:eng</t>
  </si>
  <si>
    <t>26764453</t>
  </si>
  <si>
    <t>ocm26764453</t>
  </si>
  <si>
    <t>3103433697V</t>
  </si>
  <si>
    <t>9780415066440</t>
  </si>
  <si>
    <t>793251148</t>
  </si>
  <si>
    <t>2014-04-07</t>
  </si>
  <si>
    <t>31014065209</t>
  </si>
  <si>
    <t>793251149</t>
  </si>
  <si>
    <t>U35 W35 1969</t>
  </si>
  <si>
    <t>0                      U  0035000W  35          1969</t>
  </si>
  <si>
    <t>The Roman soldier / G.R. Watson.</t>
  </si>
  <si>
    <t>Watson, G. R. (George Ronald)</t>
  </si>
  <si>
    <t>London : Thames &amp; Hudson, 1969.</t>
  </si>
  <si>
    <t>Aspects of Greek and Roman life</t>
  </si>
  <si>
    <t>2015-06-17</t>
  </si>
  <si>
    <t>140288785:eng</t>
  </si>
  <si>
    <t>29864</t>
  </si>
  <si>
    <t>ocm00029864</t>
  </si>
  <si>
    <t>3103000332T</t>
  </si>
  <si>
    <t>9780500400081</t>
  </si>
  <si>
    <t>791233800</t>
  </si>
  <si>
    <t>U37 A45 2011</t>
  </si>
  <si>
    <t>0                      U  0037000A  45          2011</t>
  </si>
  <si>
    <t>The De re militari of Vegetius : the reception, transmission and legacy of a Roman text in the Middle Ages / Christopher Allmand.</t>
  </si>
  <si>
    <t>Allmand, C. T.</t>
  </si>
  <si>
    <t>Cambridge, UK ; New York : Cambridge University Press, 2011.</t>
  </si>
  <si>
    <t>2013-03-25</t>
  </si>
  <si>
    <t>1059872037:eng</t>
  </si>
  <si>
    <t>727702083</t>
  </si>
  <si>
    <t>ocn727702083</t>
  </si>
  <si>
    <t>3103381778L</t>
  </si>
  <si>
    <t>9781107000278</t>
  </si>
  <si>
    <t>794878362</t>
  </si>
  <si>
    <t>U37 B44</t>
  </si>
  <si>
    <t>0                      U  0037000B  44</t>
  </si>
  <si>
    <t>Warfare in feudal Europe, 730-1200.</t>
  </si>
  <si>
    <t>Beeler, John.</t>
  </si>
  <si>
    <t>Ithaca, Cornell University Press [1971]</t>
  </si>
  <si>
    <t>1971</t>
  </si>
  <si>
    <t>2007-12-21</t>
  </si>
  <si>
    <t>2019-11-09</t>
  </si>
  <si>
    <t>578129:eng</t>
  </si>
  <si>
    <t>162198</t>
  </si>
  <si>
    <t>ocm00162198</t>
  </si>
  <si>
    <t>3000251114A</t>
  </si>
  <si>
    <t>9780801406386</t>
  </si>
  <si>
    <t>791276776</t>
  </si>
  <si>
    <t>3102324186P</t>
  </si>
  <si>
    <t>791276773</t>
  </si>
  <si>
    <t>2004-11-17</t>
  </si>
  <si>
    <t>3000251113C</t>
  </si>
  <si>
    <t>791276775</t>
  </si>
  <si>
    <t>2004-11-15</t>
  </si>
  <si>
    <t>3000523994F</t>
  </si>
  <si>
    <t>791276774</t>
  </si>
  <si>
    <t>U37 E94 2010</t>
  </si>
  <si>
    <t>0                      U  0037000E  94          2010</t>
  </si>
  <si>
    <t>European warfare, 1350-1750 / edited by Frank Tallett and D.J.B. Trim.</t>
  </si>
  <si>
    <t>2017-08-09</t>
  </si>
  <si>
    <t>766928933:eng</t>
  </si>
  <si>
    <t>435418136</t>
  </si>
  <si>
    <t>ocn435418136</t>
  </si>
  <si>
    <t>3103131628Y</t>
  </si>
  <si>
    <t>9780521886284</t>
  </si>
  <si>
    <t>794783200</t>
  </si>
  <si>
    <t>U37 G35 2004</t>
  </si>
  <si>
    <t>0                      U  0037000G  35          2004</t>
  </si>
  <si>
    <t>Armes et combats dans l'univers médiéval. II / Claude Gaier ; préface d'André Joris.</t>
  </si>
  <si>
    <t>Gaier, Claude.</t>
  </si>
  <si>
    <t>Bruxelles : De Boeck, 2004.</t>
  </si>
  <si>
    <t>Bibliothèque du moyen âge, 0779-4649 ; 22</t>
  </si>
  <si>
    <t>2017-06-16</t>
  </si>
  <si>
    <t>3372877741:fre</t>
  </si>
  <si>
    <t>55144150</t>
  </si>
  <si>
    <t>ocm55144150</t>
  </si>
  <si>
    <t>3102511622R</t>
  </si>
  <si>
    <t>9782804145439</t>
  </si>
  <si>
    <t>793875245</t>
  </si>
  <si>
    <t>U37 H357 2003</t>
  </si>
  <si>
    <t>0                      U  0037000H  357         2003</t>
  </si>
  <si>
    <t>Warfare and society in the barbarian West, 450-900 / Guy Halsall.</t>
  </si>
  <si>
    <t>Halsall, Guy.</t>
  </si>
  <si>
    <t>London ; New York : Routledge, 2003.</t>
  </si>
  <si>
    <t>Warfare and history</t>
  </si>
  <si>
    <t>1013707:eng</t>
  </si>
  <si>
    <t>50520509</t>
  </si>
  <si>
    <t>ocm50520509</t>
  </si>
  <si>
    <t>3103872073G</t>
  </si>
  <si>
    <t>9780415239394</t>
  </si>
  <si>
    <t>793766865</t>
  </si>
  <si>
    <t>U37 H67 2013</t>
  </si>
  <si>
    <t>0                      U  0037000H  67          2013</t>
  </si>
  <si>
    <t>John of Salisbury : military authority of the twelfth-century Renaissance / by John D. Hosler.</t>
  </si>
  <si>
    <t>Hosler, John D.</t>
  </si>
  <si>
    <t>Leiden ; Boston : Brill, 2013.</t>
  </si>
  <si>
    <t>History of Warfare ; volume 89</t>
  </si>
  <si>
    <t>1367198917:eng</t>
  </si>
  <si>
    <t>833403318</t>
  </si>
  <si>
    <t>ocn833403318</t>
  </si>
  <si>
    <t>3103499171X</t>
  </si>
  <si>
    <t>9789004226630</t>
  </si>
  <si>
    <t>794944178</t>
  </si>
  <si>
    <t>U37 L46 2005</t>
  </si>
  <si>
    <t>0                      U  0037000L  46          2005</t>
  </si>
  <si>
    <t>Medieval armies and weapons in Western Europe : an illustrated history / Jean-Denis G.G. Lepage.</t>
  </si>
  <si>
    <t>Lepage, Jean-Denis.</t>
  </si>
  <si>
    <t>Jefferson, N.C. : McFarland &amp; Co., ©2005.</t>
  </si>
  <si>
    <t>2018-09-07</t>
  </si>
  <si>
    <t>198326454:eng</t>
  </si>
  <si>
    <t>55645079</t>
  </si>
  <si>
    <t>ocm55645079</t>
  </si>
  <si>
    <t>31024238990</t>
  </si>
  <si>
    <t>9780786417728</t>
  </si>
  <si>
    <t>793880118</t>
  </si>
  <si>
    <t>U37 M38 1982</t>
  </si>
  <si>
    <t>0                      U  0037000M  38          1982</t>
  </si>
  <si>
    <t>The pursuit of power : technology, armed force, and society since A.D. 1000 / William H. McNeill.</t>
  </si>
  <si>
    <t>McNeill, William Hardy, 1917-2016.</t>
  </si>
  <si>
    <t>Chicago : University of Chicago Press, 1982.</t>
  </si>
  <si>
    <t>2019-12-06</t>
  </si>
  <si>
    <t>29077300:eng</t>
  </si>
  <si>
    <t>8132100</t>
  </si>
  <si>
    <t>ocm08132100</t>
  </si>
  <si>
    <t>31026407443</t>
  </si>
  <si>
    <t>9780226561578</t>
  </si>
  <si>
    <t>792601147</t>
  </si>
  <si>
    <t>2019-04-22</t>
  </si>
  <si>
    <t>31026407493</t>
  </si>
  <si>
    <t>792601148</t>
  </si>
  <si>
    <t>U37 M44 1999</t>
  </si>
  <si>
    <t>0                      U  0037000M  44          1999</t>
  </si>
  <si>
    <t>Medieval warfare : a history / edited by Maurice Keen.</t>
  </si>
  <si>
    <t>Oxford ; New York : Oxford University Press, 1999.</t>
  </si>
  <si>
    <t>2018-12-17</t>
  </si>
  <si>
    <t>809920298:eng</t>
  </si>
  <si>
    <t>41581804</t>
  </si>
  <si>
    <t>ocm41581804</t>
  </si>
  <si>
    <t>3102028870H</t>
  </si>
  <si>
    <t>9780198206392</t>
  </si>
  <si>
    <t>793594642</t>
  </si>
  <si>
    <t>U37 N52 2004</t>
  </si>
  <si>
    <t>0                      U  0037000N  52          2004</t>
  </si>
  <si>
    <t>Medieval warfare : theory and practice of war in Europe, 300-1500 / Helen Nicholson.</t>
  </si>
  <si>
    <t>Nicholson, Helen J., 1960-</t>
  </si>
  <si>
    <t>Houndmills, Basingstoke, Hampshire ; New York : Palgrave Macmillan, 2004.</t>
  </si>
  <si>
    <t>2018-08-11</t>
  </si>
  <si>
    <t>793939569:eng</t>
  </si>
  <si>
    <t>52268736</t>
  </si>
  <si>
    <t>ocm52268736</t>
  </si>
  <si>
    <t>3102332746I</t>
  </si>
  <si>
    <t>9780333763308</t>
  </si>
  <si>
    <t>793802285</t>
  </si>
  <si>
    <t>U37 N63 2006</t>
  </si>
  <si>
    <t>0                      U  0037000N  63          2006</t>
  </si>
  <si>
    <t>Noble ideals and bloody realities : warfare in the middle ages / edited by Niall Christie and Maya Yazigi.</t>
  </si>
  <si>
    <t>Leiden ; Boston : Brill, 2006.</t>
  </si>
  <si>
    <t>History of warfare, 1385-7827 ; v. 37</t>
  </si>
  <si>
    <t>2016-03-23</t>
  </si>
  <si>
    <t>794220422:eng</t>
  </si>
  <si>
    <t>62897322</t>
  </si>
  <si>
    <t>ocm62897322</t>
  </si>
  <si>
    <t>3102658685Z</t>
  </si>
  <si>
    <t>9789004150249</t>
  </si>
  <si>
    <t>794113987</t>
  </si>
  <si>
    <t>U37 O5 1968</t>
  </si>
  <si>
    <t>0                      U  0037000O  5           1968</t>
  </si>
  <si>
    <t>The art of war in the Middle Ages, A.D. 378-1515 / revised and edited by John H. Beeler.</t>
  </si>
  <si>
    <t>Oman, Charles, 1860-1946.</t>
  </si>
  <si>
    <t>Ithaca : Cornell University Press, 1953.</t>
  </si>
  <si>
    <t>1953</t>
  </si>
  <si>
    <t>Great seal books.</t>
  </si>
  <si>
    <t>8908190302:eng</t>
  </si>
  <si>
    <t>271704</t>
  </si>
  <si>
    <t>ocm00271704</t>
  </si>
  <si>
    <t>30002511085</t>
  </si>
  <si>
    <t>791318800</t>
  </si>
  <si>
    <t>2008-02-14</t>
  </si>
  <si>
    <t>3000251110I</t>
  </si>
  <si>
    <t>791318799</t>
  </si>
  <si>
    <t>U37 O6 1924</t>
  </si>
  <si>
    <t>0                      U  0037000O  6           1924</t>
  </si>
  <si>
    <t>A history of the art of war in the middle ages, by Charles Oman.</t>
  </si>
  <si>
    <t>London, Methuen &amp; Co. [1924]</t>
  </si>
  <si>
    <t>1924</t>
  </si>
  <si>
    <t>2d ed., rev. and enl.</t>
  </si>
  <si>
    <t>9565662839:eng</t>
  </si>
  <si>
    <t>2273817</t>
  </si>
  <si>
    <t>ocm02273817</t>
  </si>
  <si>
    <t>31003854715</t>
  </si>
  <si>
    <t>792096137</t>
  </si>
  <si>
    <t>2019-09-11</t>
  </si>
  <si>
    <t>3103639038L</t>
  </si>
  <si>
    <t>792096138</t>
  </si>
  <si>
    <t>U37 P79 2006</t>
  </si>
  <si>
    <t>0                      U  0037000P  79          2006</t>
  </si>
  <si>
    <t>Logistics of warfare in the Age of the Crusades : proceedings of a workshop held at the Centre for Medieval Studies, University of Sydney, 30 September to 4 October 2002 / edited by John H. Pryor.</t>
  </si>
  <si>
    <t>Aldershot, England ; Burlington, VT : Ashgate Pub. Co., ©2006.</t>
  </si>
  <si>
    <t>2015-03-24</t>
  </si>
  <si>
    <t>905863779:eng</t>
  </si>
  <si>
    <t>62341461</t>
  </si>
  <si>
    <t>ocm62341461</t>
  </si>
  <si>
    <t>3102564518W</t>
  </si>
  <si>
    <t>9780754651970</t>
  </si>
  <si>
    <t>794105375</t>
  </si>
  <si>
    <t>U37 W57</t>
  </si>
  <si>
    <t>0                      U  0037000W  57</t>
  </si>
  <si>
    <t>Medieval warfare / Terence Wise.</t>
  </si>
  <si>
    <t>Wise, Terence.</t>
  </si>
  <si>
    <t>New York : Hastings House, 1976.</t>
  </si>
  <si>
    <t>3768860781:eng</t>
  </si>
  <si>
    <t>1976071</t>
  </si>
  <si>
    <t>ocm01976071</t>
  </si>
  <si>
    <t>3000173228H</t>
  </si>
  <si>
    <t>9780803853799</t>
  </si>
  <si>
    <t>792021634</t>
  </si>
  <si>
    <t>U39 B54 1999</t>
  </si>
  <si>
    <t>0                      U  0039000B  54          1999</t>
  </si>
  <si>
    <t>Warfare in the eighteenth century / Jeremy Black ; general editor, John Keegan.</t>
  </si>
  <si>
    <t>Black, Jeremy, 1955-</t>
  </si>
  <si>
    <t>London : Cassell, 1999.</t>
  </si>
  <si>
    <t>[The Cassell history of warfare]</t>
  </si>
  <si>
    <t>2017-05-19</t>
  </si>
  <si>
    <t>9579248:eng</t>
  </si>
  <si>
    <t>41504394</t>
  </si>
  <si>
    <t>ocm41504394</t>
  </si>
  <si>
    <t>31021363341</t>
  </si>
  <si>
    <t>9780304352456</t>
  </si>
  <si>
    <t>793593079</t>
  </si>
  <si>
    <t>U39 B68 2009</t>
  </si>
  <si>
    <t>0                      U  0039000B  68          2009</t>
  </si>
  <si>
    <t>The scientific way of warfare : order and chaos on the battlefields of modernity / Antoine Bousquet.</t>
  </si>
  <si>
    <t>Bousquet, Antoine J.</t>
  </si>
  <si>
    <t>New York : Columbia University Press, ©2009.</t>
  </si>
  <si>
    <t>Critical war studies ; [v. 1]</t>
  </si>
  <si>
    <t>2016-04-13</t>
  </si>
  <si>
    <t>659531613:eng</t>
  </si>
  <si>
    <t>232131407</t>
  </si>
  <si>
    <t>ocn232131407</t>
  </si>
  <si>
    <t>3103052493I</t>
  </si>
  <si>
    <t>9780231700788</t>
  </si>
  <si>
    <t>794359590</t>
  </si>
  <si>
    <t>U39 D54 2003</t>
  </si>
  <si>
    <t>0                      U  0039000D  54          2003</t>
  </si>
  <si>
    <t>The diffusion of military technology and ideas / edited by Emily O. Goldman and Leslie C. Eliason.</t>
  </si>
  <si>
    <t>Stanford, Calif. : Stanford University Press, 2003.</t>
  </si>
  <si>
    <t>351084701:eng</t>
  </si>
  <si>
    <t>51810830</t>
  </si>
  <si>
    <t>ocm51810830</t>
  </si>
  <si>
    <t>3102497344B</t>
  </si>
  <si>
    <t>9780804745352</t>
  </si>
  <si>
    <t>793791604</t>
  </si>
  <si>
    <t>U39 D74 1987</t>
  </si>
  <si>
    <t>0                      U  0039000D  74          1987</t>
  </si>
  <si>
    <t>The military experience in the age of reason / Christopher Duffy.</t>
  </si>
  <si>
    <t>Duffy, Christopher, 1936-</t>
  </si>
  <si>
    <t>London ; New York : Routledge &amp; Kegan Paul, 1987.</t>
  </si>
  <si>
    <t>2019-12-09</t>
  </si>
  <si>
    <t>13182820:eng</t>
  </si>
  <si>
    <t>16805615</t>
  </si>
  <si>
    <t>ocm16805615</t>
  </si>
  <si>
    <t>3000536106C</t>
  </si>
  <si>
    <t>9780710210241</t>
  </si>
  <si>
    <t>792973172</t>
  </si>
  <si>
    <t>U39 E2 1966</t>
  </si>
  <si>
    <t>0                      U  0039000E  2           1966</t>
  </si>
  <si>
    <t>Makers of modern strategy : military thought from Machiavelli to Hitler / edited by Edward Mead Earle with the collaboration of Gordon A. Craig and Felix Gilbert.</t>
  </si>
  <si>
    <t>Earle, Edward Mead, 1894-1954, editor.</t>
  </si>
  <si>
    <t>New York : Athenuem, 1966.</t>
  </si>
  <si>
    <t>1966</t>
  </si>
  <si>
    <t>Atheneum ; 89</t>
  </si>
  <si>
    <t>2017-05-03</t>
  </si>
  <si>
    <t>939321279:eng</t>
  </si>
  <si>
    <t>83660285</t>
  </si>
  <si>
    <t>ocm83660285</t>
  </si>
  <si>
    <t>3100021395Z</t>
  </si>
  <si>
    <t>794209110</t>
  </si>
  <si>
    <t>U39 E48 1995</t>
  </si>
  <si>
    <t>0                      U  0039000E  48          1995</t>
  </si>
  <si>
    <t>The military revolution in sixteenth-century Europe / David Eltis.</t>
  </si>
  <si>
    <t>Eltis, David, 1963-</t>
  </si>
  <si>
    <t>London ; New York : Tauris Academic Studies ; New York, NY : St. Martin's Press [distributor], 1995.</t>
  </si>
  <si>
    <t>International library of historical studies ; 3</t>
  </si>
  <si>
    <t>2019-07-19</t>
  </si>
  <si>
    <t>197394274:eng</t>
  </si>
  <si>
    <t>33387439</t>
  </si>
  <si>
    <t>ocm33387439</t>
  </si>
  <si>
    <t>3101420061X</t>
  </si>
  <si>
    <t>9781850439608</t>
  </si>
  <si>
    <t>793408307</t>
  </si>
  <si>
    <t>U39 F8</t>
  </si>
  <si>
    <t>0                      U  0039000F  8</t>
  </si>
  <si>
    <t>The conduct of war, 1789-1961; a study of the impact of the French, industrial, and Russian revolutions on war and its conduct.</t>
  </si>
  <si>
    <t>Fuller, J. F. C. (John Frederick Charles), 1878-1966.</t>
  </si>
  <si>
    <t>London, Eyre &amp; Spottiswoode, 1961.</t>
  </si>
  <si>
    <t>1961</t>
  </si>
  <si>
    <t>2015-04-05</t>
  </si>
  <si>
    <t>1064959:eng</t>
  </si>
  <si>
    <t>2795165</t>
  </si>
  <si>
    <t>ocm02795165</t>
  </si>
  <si>
    <t>3000723764I</t>
  </si>
  <si>
    <t>792177138</t>
  </si>
  <si>
    <t>U39 N6723 1995</t>
  </si>
  <si>
    <t>0                      U  0039000N  6723        1995</t>
  </si>
  <si>
    <t>Battle tactics of Napoleon and his enemies / Brent Nosworthy.</t>
  </si>
  <si>
    <t>Nosworthy, Brent.</t>
  </si>
  <si>
    <t>London : Constable, 1995.</t>
  </si>
  <si>
    <t>2015-11-05</t>
  </si>
  <si>
    <t>39579431:eng</t>
  </si>
  <si>
    <t>34181126</t>
  </si>
  <si>
    <t>ocm34181126</t>
  </si>
  <si>
    <t>31017409158</t>
  </si>
  <si>
    <t>9780094745100</t>
  </si>
  <si>
    <t>793420956</t>
  </si>
  <si>
    <t>U39 O5</t>
  </si>
  <si>
    <t>0                      U  0039000O  5</t>
  </si>
  <si>
    <t>A history of the art of war in the sixteenth century, by Sir Charles Oman ... with 33 maps and 12 plates.</t>
  </si>
  <si>
    <t>New York, E.P. Dutton [1937]</t>
  </si>
  <si>
    <t>1937</t>
  </si>
  <si>
    <t>2018-03-28</t>
  </si>
  <si>
    <t>144760862:eng</t>
  </si>
  <si>
    <t>1745399</t>
  </si>
  <si>
    <t>ocm01745399</t>
  </si>
  <si>
    <t>31037356568</t>
  </si>
  <si>
    <t>791858337</t>
  </si>
  <si>
    <t>U39 O94 2005</t>
  </si>
  <si>
    <t>0                      U  0039000O  94          2005</t>
  </si>
  <si>
    <t>The Oxford history of modern war / edited by Charles Townshend.</t>
  </si>
  <si>
    <t>Oxford ; New York : Oxford University Press, ©2005.</t>
  </si>
  <si>
    <t>New updated ed.</t>
  </si>
  <si>
    <t>2019-12-07</t>
  </si>
  <si>
    <t>891445:eng</t>
  </si>
  <si>
    <t>60514140</t>
  </si>
  <si>
    <t>ocm60514140</t>
  </si>
  <si>
    <t>3102563287V</t>
  </si>
  <si>
    <t>9780192806451</t>
  </si>
  <si>
    <t>793938733</t>
  </si>
  <si>
    <t>U39 P37 1988</t>
  </si>
  <si>
    <t>0                      U  0039000P  37          1988</t>
  </si>
  <si>
    <t>The military revolution : military innovation and the rise of the west, 1500-1800 / Geoffrey Parker.</t>
  </si>
  <si>
    <t>Parker, Geoffrey, 1943-</t>
  </si>
  <si>
    <t>Cambridge [England] ; New York : Cambridge University Press, 1988.</t>
  </si>
  <si>
    <t>Lees Knowles lectures ; 1984</t>
  </si>
  <si>
    <t>2016-07-20</t>
  </si>
  <si>
    <t>30710815:eng</t>
  </si>
  <si>
    <t>16276059</t>
  </si>
  <si>
    <t>ocm16276059</t>
  </si>
  <si>
    <t>31027573835</t>
  </si>
  <si>
    <t>9780521326070</t>
  </si>
  <si>
    <t>792959600</t>
  </si>
  <si>
    <t>U39 P37 1996</t>
  </si>
  <si>
    <t>0                      U  0039000P  37          1996</t>
  </si>
  <si>
    <t>The military revolution : military innovation and the rise of the West, 1500-1800 / Geoffrey Parker.</t>
  </si>
  <si>
    <t>Cambridge ; New York : Cambridge University Press, 1996.</t>
  </si>
  <si>
    <t>2019-12-10</t>
  </si>
  <si>
    <t>32968694</t>
  </si>
  <si>
    <t>ocm32968694</t>
  </si>
  <si>
    <t>31029439680</t>
  </si>
  <si>
    <t>9780521474269</t>
  </si>
  <si>
    <t>793398450</t>
  </si>
  <si>
    <t>U39 R6 1959</t>
  </si>
  <si>
    <t>0                      U  0039000R  6           1959</t>
  </si>
  <si>
    <t>War in the modern world.</t>
  </si>
  <si>
    <t>Ropp, Theodore, 1911-2000.</t>
  </si>
  <si>
    <t>Durham, N.C., Duke University Press, 1959.</t>
  </si>
  <si>
    <t>1353961:eng</t>
  </si>
  <si>
    <t>567936</t>
  </si>
  <si>
    <t>ocm00567936</t>
  </si>
  <si>
    <t>31000213940</t>
  </si>
  <si>
    <t>791416871</t>
  </si>
  <si>
    <t>2003-07-18</t>
  </si>
  <si>
    <t>31000143098</t>
  </si>
  <si>
    <t>791416870</t>
  </si>
  <si>
    <t>U39 R65</t>
  </si>
  <si>
    <t>0                      U  0039000R  65</t>
  </si>
  <si>
    <t>The art of warfare in the age of Napoleon / Gunther E. Rothenberg.</t>
  </si>
  <si>
    <t>Rothenberg, Gunther E., 1923-2004.</t>
  </si>
  <si>
    <t>Bloomington : Indiana University Press, ©1978.</t>
  </si>
  <si>
    <t>421609:eng</t>
  </si>
  <si>
    <t>3272721</t>
  </si>
  <si>
    <t>ocm03272721</t>
  </si>
  <si>
    <t>3103545857E</t>
  </si>
  <si>
    <t>9780253310767</t>
  </si>
  <si>
    <t>792237550</t>
  </si>
  <si>
    <t>U39 W45 1991</t>
  </si>
  <si>
    <t>0                      U  0039000W  45          1991</t>
  </si>
  <si>
    <t>The age of battles : the quest for decisive warfare from Breitenfeld to Waterloo / Russell F. Weigley.</t>
  </si>
  <si>
    <t>Weigley, Russell Frank.</t>
  </si>
  <si>
    <t>Bloomington : Indiana University Press, ©1991.</t>
  </si>
  <si>
    <t>992873:eng</t>
  </si>
  <si>
    <t>21599314</t>
  </si>
  <si>
    <t>ocm21599314</t>
  </si>
  <si>
    <t>3102721931$</t>
  </si>
  <si>
    <t>9780253363800</t>
  </si>
  <si>
    <t>793123918</t>
  </si>
  <si>
    <t>U41 B45 1990</t>
  </si>
  <si>
    <t>0                      U  0041000B  45          1990</t>
  </si>
  <si>
    <t>The evolution of modern land warfare : theory and practice / Christopher Bellamy.</t>
  </si>
  <si>
    <t>Bellamy, Chris.</t>
  </si>
  <si>
    <t>London ; New York : Routledge, 1990.</t>
  </si>
  <si>
    <t>2017-03-25</t>
  </si>
  <si>
    <t>368100102:eng</t>
  </si>
  <si>
    <t>20824542</t>
  </si>
  <si>
    <t>ocm20824542</t>
  </si>
  <si>
    <t>3101010272H</t>
  </si>
  <si>
    <t>9780415020732</t>
  </si>
  <si>
    <t>793100187</t>
  </si>
  <si>
    <t>U41 B58 2001</t>
  </si>
  <si>
    <t>0                      U  0041000B  58          2001</t>
  </si>
  <si>
    <t>Western warfare, 1775-1882 / Jeremy Black.</t>
  </si>
  <si>
    <t>Bloomington : Indiana University Press, ©2001.</t>
  </si>
  <si>
    <t>35404914:eng</t>
  </si>
  <si>
    <t>45917030</t>
  </si>
  <si>
    <t>ocm45917030</t>
  </si>
  <si>
    <t>3102124886F</t>
  </si>
  <si>
    <t>9780253339621</t>
  </si>
  <si>
    <t>793681143</t>
  </si>
  <si>
    <t>U41 G38 1992</t>
  </si>
  <si>
    <t>0                      U  0041000G  38          1992</t>
  </si>
  <si>
    <t>The development of military thought : the nineteenth century / Azar Gat.</t>
  </si>
  <si>
    <t>Oxford : Clarendon Press ; New York : Oxford University Press, 1992.</t>
  </si>
  <si>
    <t>1992</t>
  </si>
  <si>
    <t>2015-03-16</t>
  </si>
  <si>
    <t>836889847:eng</t>
  </si>
  <si>
    <t>25630695</t>
  </si>
  <si>
    <t>ocm25630695</t>
  </si>
  <si>
    <t>3101160318J</t>
  </si>
  <si>
    <t>9780198202462</t>
  </si>
  <si>
    <t>793226392</t>
  </si>
  <si>
    <t>U41 M3</t>
  </si>
  <si>
    <t>0                      U  0041000M  3</t>
  </si>
  <si>
    <t>The art of war : Waterloo to Mons / William McElwee.</t>
  </si>
  <si>
    <t>McElwee, William, 1907-1978.</t>
  </si>
  <si>
    <t>Bloomington : Indiana University Press, [1974]</t>
  </si>
  <si>
    <t>2388373:eng</t>
  </si>
  <si>
    <t>9703296</t>
  </si>
  <si>
    <t>ocm09703296</t>
  </si>
  <si>
    <t>3000179621M</t>
  </si>
  <si>
    <t>9780297768654</t>
  </si>
  <si>
    <t>792689725</t>
  </si>
  <si>
    <t>U41 S35 2003</t>
  </si>
  <si>
    <t>0                      U  0041000S  35          2003</t>
  </si>
  <si>
    <t>Alfred von Schlieffen's military writings / translated and edited by Robert T. Foley.</t>
  </si>
  <si>
    <t>Schlieffen, Alfred, Graf von, 1833-1913.</t>
  </si>
  <si>
    <t>Portland, OR : Frank Cass, 2003.</t>
  </si>
  <si>
    <t>Cass series--military history and policy, 1465-8488 ; no. 2</t>
  </si>
  <si>
    <t>2015-10-21</t>
  </si>
  <si>
    <t>1036249:eng</t>
  </si>
  <si>
    <t>49727823</t>
  </si>
  <si>
    <t>ocm49727823</t>
  </si>
  <si>
    <t>31036291043</t>
  </si>
  <si>
    <t>9780415408622</t>
  </si>
  <si>
    <t>793746663</t>
  </si>
  <si>
    <t>U42 B53 2002</t>
  </si>
  <si>
    <t>0                      U  0042000B  53          2002</t>
  </si>
  <si>
    <t>Warfare in the Western world, 1882-1975 / Jeremy Black.</t>
  </si>
  <si>
    <t>Bloomington : Indiana University Press, ©2002.</t>
  </si>
  <si>
    <t>2018-11-08</t>
  </si>
  <si>
    <t>37289785:eng</t>
  </si>
  <si>
    <t>47790934</t>
  </si>
  <si>
    <t>ocm47790934</t>
  </si>
  <si>
    <t>3102169099Q</t>
  </si>
  <si>
    <t>9780253340504</t>
  </si>
  <si>
    <t>793708074</t>
  </si>
  <si>
    <t>U42 C55 1997</t>
  </si>
  <si>
    <t>0                      U  0042000C  55          1997</t>
  </si>
  <si>
    <t>The politics of warfare : the great powers in the twentieth century / Stephen J. Cimbala.</t>
  </si>
  <si>
    <t>Cimbala, Stephen J.</t>
  </si>
  <si>
    <t>University Park, Pa. : Pennsylvania State University Press, ©1997.</t>
  </si>
  <si>
    <t>2016-08-05</t>
  </si>
  <si>
    <t>20692415:eng</t>
  </si>
  <si>
    <t>34281412</t>
  </si>
  <si>
    <t>ocm34281412</t>
  </si>
  <si>
    <t>3101707589L</t>
  </si>
  <si>
    <t>9780271015972</t>
  </si>
  <si>
    <t>793423003</t>
  </si>
  <si>
    <t>U42 C56 1990</t>
  </si>
  <si>
    <t>0                      U  0042000C  56          1990</t>
  </si>
  <si>
    <t>Military misfortunes : the anatomy of failure in war / Eliot A. Cohen, John Gooch.</t>
  </si>
  <si>
    <t>Cohen, Eliot A.</t>
  </si>
  <si>
    <t>New York : Free Press ; London : Collier Macmillan, ©1990.</t>
  </si>
  <si>
    <t>2017-02-26</t>
  </si>
  <si>
    <t>11822417:eng</t>
  </si>
  <si>
    <t>20356932</t>
  </si>
  <si>
    <t>ocm20356932</t>
  </si>
  <si>
    <t>31008796121</t>
  </si>
  <si>
    <t>9780029060605</t>
  </si>
  <si>
    <t>793085594</t>
  </si>
  <si>
    <t>U42 C57 2011</t>
  </si>
  <si>
    <t>0                      U  0042000C  57          2011</t>
  </si>
  <si>
    <t>Conceptualising modern war / Karl Erik Haug and Ole Jürgen Maaø, eds.</t>
  </si>
  <si>
    <t>New York : Columbia University Press, 2011.</t>
  </si>
  <si>
    <t>898990117:eng</t>
  </si>
  <si>
    <t>723142940</t>
  </si>
  <si>
    <t>ocn723142940</t>
  </si>
  <si>
    <t>3103383823K</t>
  </si>
  <si>
    <t>9780231702942</t>
  </si>
  <si>
    <t>794875921</t>
  </si>
  <si>
    <t>U42 C59 1990</t>
  </si>
  <si>
    <t>0                      U  0042000C  59          1990</t>
  </si>
  <si>
    <t>The lessons of modern war / Anthony H. Cordesman and Abraham R. Wagner.</t>
  </si>
  <si>
    <t>Cordesman, Anthony H.</t>
  </si>
  <si>
    <t>Boulder, Colo. : Westview Press ; London : Mansell Pub., 1990-&lt;1996&gt;</t>
  </si>
  <si>
    <t>2005-10-26</t>
  </si>
  <si>
    <t>2015-10-17</t>
  </si>
  <si>
    <t>5145554481:eng</t>
  </si>
  <si>
    <t>20098796</t>
  </si>
  <si>
    <t>ocm20098796</t>
  </si>
  <si>
    <t>3100748264S</t>
  </si>
  <si>
    <t>9780813309545</t>
  </si>
  <si>
    <t>793077572</t>
  </si>
  <si>
    <t>v.4</t>
  </si>
  <si>
    <t>2008-03-05</t>
  </si>
  <si>
    <t>3101702583L</t>
  </si>
  <si>
    <t>793077569</t>
  </si>
  <si>
    <t>2010-03-22</t>
  </si>
  <si>
    <t>3100748265Q</t>
  </si>
  <si>
    <t>793077571</t>
  </si>
  <si>
    <t>v.3</t>
  </si>
  <si>
    <t>3100748266O</t>
  </si>
  <si>
    <t>793077570</t>
  </si>
  <si>
    <t>U42 H67 2010</t>
  </si>
  <si>
    <t>0                      U  0042000H  67          2010</t>
  </si>
  <si>
    <t>The diffusion of military power : causes and consequences for international politics / Michael C. Horowitz.</t>
  </si>
  <si>
    <t>Horowitz, Michael, 1978-</t>
  </si>
  <si>
    <t>Princeton, NJ : Princeton University Press, ©2010.</t>
  </si>
  <si>
    <t>774330654:eng</t>
  </si>
  <si>
    <t>459210324</t>
  </si>
  <si>
    <t>ocn459210324</t>
  </si>
  <si>
    <t>3103238845R</t>
  </si>
  <si>
    <t>9780691143958</t>
  </si>
  <si>
    <t>794790715</t>
  </si>
  <si>
    <t>U42 H96 1997</t>
  </si>
  <si>
    <t>0                      U  0042000H  96          1997</t>
  </si>
  <si>
    <t>The soldiers' tale : bearing witness to modern war / Samuel Hynes.</t>
  </si>
  <si>
    <t>Hynes, Samuel, 1924-2019.</t>
  </si>
  <si>
    <t>New York, N.Y., U.S.A. : A. Lane, 1997.</t>
  </si>
  <si>
    <t>594605:eng</t>
  </si>
  <si>
    <t>34906174</t>
  </si>
  <si>
    <t>ocm34906174</t>
  </si>
  <si>
    <t>3101847401Y</t>
  </si>
  <si>
    <t>9780670865857</t>
  </si>
  <si>
    <t>793438511</t>
  </si>
  <si>
    <t>U42 M55 1987</t>
  </si>
  <si>
    <t>0                      U  0042000M  55          1987</t>
  </si>
  <si>
    <t>Military effectiveness / edited by Allan R. Millett and Williamson Murray.</t>
  </si>
  <si>
    <t>Boston : Allen &amp; Unwin, 1987-1988.</t>
  </si>
  <si>
    <t>Mershon Center series on defense and foreign policy</t>
  </si>
  <si>
    <t>2017-12-10</t>
  </si>
  <si>
    <t>356011047:eng</t>
  </si>
  <si>
    <t>220072268</t>
  </si>
  <si>
    <t>ocn220072268</t>
  </si>
  <si>
    <t>3102788670G</t>
  </si>
  <si>
    <t>9780044450535</t>
  </si>
  <si>
    <t>794319843</t>
  </si>
  <si>
    <t>2015-09-29</t>
  </si>
  <si>
    <t>3102788671G</t>
  </si>
  <si>
    <t>794319844</t>
  </si>
  <si>
    <t>2016-09-24</t>
  </si>
  <si>
    <t>3102788667I</t>
  </si>
  <si>
    <t>794319842</t>
  </si>
  <si>
    <t>U42 M556 1996</t>
  </si>
  <si>
    <t>0                      U  0042000M  556         1996</t>
  </si>
  <si>
    <t>Military innovation in the interwar period / edited by Williamson Murray, Allan R. Millett.</t>
  </si>
  <si>
    <t>350360468:eng</t>
  </si>
  <si>
    <t>33334760</t>
  </si>
  <si>
    <t>ocm33334760</t>
  </si>
  <si>
    <t>3101701549Q</t>
  </si>
  <si>
    <t>9780521552417</t>
  </si>
  <si>
    <t>793407189</t>
  </si>
  <si>
    <t>U42 S35 1989</t>
  </si>
  <si>
    <t>0                      U  0042000S  35          1989</t>
  </si>
  <si>
    <t>Science, technology, and the military. [Parts] 1-2 / edited by Everett Mendelsohn, Merritt Roe Smith, Peter Weingart.</t>
  </si>
  <si>
    <t>Dordrecht ; Boston : Kluwer Academic, 1989.</t>
  </si>
  <si>
    <t>Sociology of the sciences ; vol. 12 [parts] 1-2</t>
  </si>
  <si>
    <t>3768841164:eng</t>
  </si>
  <si>
    <t>60076018</t>
  </si>
  <si>
    <t>ocm60076018</t>
  </si>
  <si>
    <t>3100176902J</t>
  </si>
  <si>
    <t>9789027727800</t>
  </si>
  <si>
    <t>793933588</t>
  </si>
  <si>
    <t>2012-08-17</t>
  </si>
  <si>
    <t>3100176901L</t>
  </si>
  <si>
    <t>793933587</t>
  </si>
  <si>
    <t>U42 V36 1991</t>
  </si>
  <si>
    <t>0                      U  0042000V  36          1991</t>
  </si>
  <si>
    <t>The transformation of war / Martin van Creveld.</t>
  </si>
  <si>
    <t>Van Creveld, Martin, 1946- author.</t>
  </si>
  <si>
    <t>New York : Free Press ; Toronto : Collier Macmillan Canada ; New York : Maxwell Macmillan International, ©1991.</t>
  </si>
  <si>
    <t>2017-07-28</t>
  </si>
  <si>
    <t>350388412:eng</t>
  </si>
  <si>
    <t>22388208</t>
  </si>
  <si>
    <t>ocm22388208</t>
  </si>
  <si>
    <t>3102639703H</t>
  </si>
  <si>
    <t>9780029331552</t>
  </si>
  <si>
    <t>793142851</t>
  </si>
  <si>
    <t>U43 B9 B37 1992</t>
  </si>
  <si>
    <t>0                      U  0043000B  9                  B  37          1992</t>
  </si>
  <si>
    <t>The late Byzantine army : arms and society, 1204-1453 / Mark C. Bartusis.</t>
  </si>
  <si>
    <t>Bartusis, Mark C.</t>
  </si>
  <si>
    <t>Philadelphia : University of Pennsylvania Press, ©1992.</t>
  </si>
  <si>
    <t>Middle Ages series</t>
  </si>
  <si>
    <t>2017-08-24</t>
  </si>
  <si>
    <t>23547827:eng</t>
  </si>
  <si>
    <t>25872397</t>
  </si>
  <si>
    <t>ocm25872397</t>
  </si>
  <si>
    <t>3101162140O</t>
  </si>
  <si>
    <t>9780812231793</t>
  </si>
  <si>
    <t>793232049</t>
  </si>
  <si>
    <t>U43 B9 T74 1995</t>
  </si>
  <si>
    <t>0                      U  0043000B  9                  T  74          1995</t>
  </si>
  <si>
    <t>Byzantium and its army, 284-1081 / Warren Treadgold.</t>
  </si>
  <si>
    <t>Treadgold, Warren T.</t>
  </si>
  <si>
    <t>Stanford, Calif. : Stanford University Press, 1995.</t>
  </si>
  <si>
    <t>613436:eng</t>
  </si>
  <si>
    <t>31519719</t>
  </si>
  <si>
    <t>ocm31519719</t>
  </si>
  <si>
    <t>3101573945H</t>
  </si>
  <si>
    <t>9780804724203</t>
  </si>
  <si>
    <t>793363266</t>
  </si>
  <si>
    <t>U43 C6 C47</t>
  </si>
  <si>
    <t>0                      U  0043000C  6                  C  47</t>
  </si>
  <si>
    <t>Chinese ways in warfare / with contributions by Edward L. Dreyer [and others] ; edited by Frank A. Kierman, Jr., and John K. Fairbank.</t>
  </si>
  <si>
    <t>Cambridge, Mass. : Harvard University Press, 1974.</t>
  </si>
  <si>
    <t>Harvard East Asian series ; 74</t>
  </si>
  <si>
    <t>2019-10-09</t>
  </si>
  <si>
    <t>5608687893:eng</t>
  </si>
  <si>
    <t>1009099</t>
  </si>
  <si>
    <t>ocm01009099</t>
  </si>
  <si>
    <t>3103025252Z</t>
  </si>
  <si>
    <t>9780674125759</t>
  </si>
  <si>
    <t>791523995</t>
  </si>
  <si>
    <t>2016-11-28</t>
  </si>
  <si>
    <t>3102504927B</t>
  </si>
  <si>
    <t>MISSING</t>
  </si>
  <si>
    <t>791523996</t>
  </si>
  <si>
    <t>- Redpath Basement - Chinese Japanese Korean Collection - Regular Loan</t>
  </si>
  <si>
    <t>U43 C6 C479 1997</t>
  </si>
  <si>
    <t>0                      U  0043000C  6                  C  479         1997</t>
  </si>
  <si>
    <t>Zhongguo jun shi zhi du shi. Zhun shi fa zhi juan / Chen Gaohua, Qian Haihao zong zhu bian ; ben juan zhu bian Ji Deyuan.</t>
  </si>
  <si>
    <t>Zhengzhou Shi : Da xiang chu ban she, 1997.</t>
  </si>
  <si>
    <t>Di 1 ban.</t>
  </si>
  <si>
    <t>chi</t>
  </si>
  <si>
    <t>2018-02-08</t>
  </si>
  <si>
    <t>1065241660:chi</t>
  </si>
  <si>
    <t>39161448</t>
  </si>
  <si>
    <t>ocm39161448</t>
  </si>
  <si>
    <t>3102001251I</t>
  </si>
  <si>
    <t>9787534720406</t>
  </si>
  <si>
    <t>793539353</t>
  </si>
  <si>
    <t>U43 C6 C487 1988 v. 3-5</t>
  </si>
  <si>
    <t>0                      U  0043000C  6                  C  487         1988                  v. 3-5</t>
  </si>
  <si>
    <t>Wu jing zong yao / [Zhongguo bing shu ji cheng bian wei hui].</t>
  </si>
  <si>
    <t>Beijing Shi : Jie fang jun chu ban she ; Shenyang Shi : Liao Shen shu she, 1988.</t>
  </si>
  <si>
    <t>Zhongguo bing shu ji cheng ; di 3-5 ce</t>
  </si>
  <si>
    <t>2015-10-19</t>
  </si>
  <si>
    <t>3372920376:chi</t>
  </si>
  <si>
    <t>23974504</t>
  </si>
  <si>
    <t>ocm23974504</t>
  </si>
  <si>
    <t>3101804077J</t>
  </si>
  <si>
    <t>9787805070056</t>
  </si>
  <si>
    <t>793186458</t>
  </si>
  <si>
    <t>3101804069I</t>
  </si>
  <si>
    <t>793186460</t>
  </si>
  <si>
    <t>3101804073R</t>
  </si>
  <si>
    <t>793186459</t>
  </si>
  <si>
    <t>U43 C6 C49 1998</t>
  </si>
  <si>
    <t>0                      U  0043000C  6                  C  49          1998</t>
  </si>
  <si>
    <t>Zhongguo jun shi tong shi / Jun shi ke xue yuan zhu bian.</t>
  </si>
  <si>
    <t>v.16</t>
  </si>
  <si>
    <t>Beijing Shi : Jun shi ke xue chu ban she : Jing xiao zhe Xin hua shu dian, 1998.</t>
  </si>
  <si>
    <t>Shou ban.</t>
  </si>
  <si>
    <t>2004-03-10</t>
  </si>
  <si>
    <t>2015-06-05</t>
  </si>
  <si>
    <t>3373707545:chi</t>
  </si>
  <si>
    <t>44702943</t>
  </si>
  <si>
    <t>ocm44702943</t>
  </si>
  <si>
    <t>3102017539Y</t>
  </si>
  <si>
    <t>9787801371034</t>
  </si>
  <si>
    <t>793656162</t>
  </si>
  <si>
    <t>v.8</t>
  </si>
  <si>
    <t>2002-12-14</t>
  </si>
  <si>
    <t>31020175339</t>
  </si>
  <si>
    <t>793656172</t>
  </si>
  <si>
    <t>31020175282</t>
  </si>
  <si>
    <t>793656177</t>
  </si>
  <si>
    <t>v.10:pt.2</t>
  </si>
  <si>
    <t>B000000847</t>
  </si>
  <si>
    <t>793656169</t>
  </si>
  <si>
    <t>v.13</t>
  </si>
  <si>
    <t>2003-02-06</t>
  </si>
  <si>
    <t>3102017549V</t>
  </si>
  <si>
    <t>793656166</t>
  </si>
  <si>
    <t>v.11</t>
  </si>
  <si>
    <t>3102017540C</t>
  </si>
  <si>
    <t>793656168</t>
  </si>
  <si>
    <t>v.17:pt.1</t>
  </si>
  <si>
    <t>2003-10-14</t>
  </si>
  <si>
    <t>31020175533</t>
  </si>
  <si>
    <t>793656161</t>
  </si>
  <si>
    <t>v.10:pt.1</t>
  </si>
  <si>
    <t>2003-06-10</t>
  </si>
  <si>
    <t>31020175355</t>
  </si>
  <si>
    <t>793656170</t>
  </si>
  <si>
    <t>v.15:pt.2</t>
  </si>
  <si>
    <t>2003-10-03</t>
  </si>
  <si>
    <t>3102017548X</t>
  </si>
  <si>
    <t>793656163</t>
  </si>
  <si>
    <t>3102017531D</t>
  </si>
  <si>
    <t>793656176</t>
  </si>
  <si>
    <t>v.14</t>
  </si>
  <si>
    <t>3102017538$</t>
  </si>
  <si>
    <t>793656165</t>
  </si>
  <si>
    <t>v.15:pt.1</t>
  </si>
  <si>
    <t>31020175444</t>
  </si>
  <si>
    <t>793656164</t>
  </si>
  <si>
    <t>v.5</t>
  </si>
  <si>
    <t>3102017524A</t>
  </si>
  <si>
    <t>793656175</t>
  </si>
  <si>
    <t>v.6</t>
  </si>
  <si>
    <t>3102017532B</t>
  </si>
  <si>
    <t>793656174</t>
  </si>
  <si>
    <t>v.12</t>
  </si>
  <si>
    <t>2008-06-03</t>
  </si>
  <si>
    <t>3102937047K</t>
  </si>
  <si>
    <t>793656167</t>
  </si>
  <si>
    <t>v.7</t>
  </si>
  <si>
    <t>31020175290</t>
  </si>
  <si>
    <t>793656173</t>
  </si>
  <si>
    <t>31020175363</t>
  </si>
  <si>
    <t>793656180</t>
  </si>
  <si>
    <t>3102017523C</t>
  </si>
  <si>
    <t>793656179</t>
  </si>
  <si>
    <t>31020175274</t>
  </si>
  <si>
    <t>793656178</t>
  </si>
  <si>
    <t>v.17:pt.2</t>
  </si>
  <si>
    <t>31020175436</t>
  </si>
  <si>
    <t>793656160</t>
  </si>
  <si>
    <t>v.9</t>
  </si>
  <si>
    <t>31020175371</t>
  </si>
  <si>
    <t>793656171</t>
  </si>
  <si>
    <t>U43 C6 M68 2006</t>
  </si>
  <si>
    <t>0                      U  0043000C  6                  M  68          2006</t>
  </si>
  <si>
    <t>The philosophy of Chinese military culture : Shih vs. Li / William H. Mott IV and Jae Chang Kim.</t>
  </si>
  <si>
    <t>Mott, William H., IV, 1939-</t>
  </si>
  <si>
    <t>New York, N.Y. : Palgrave Macmillan, 2006.</t>
  </si>
  <si>
    <t>2018-11-21</t>
  </si>
  <si>
    <t>46229584:eng</t>
  </si>
  <si>
    <t>61684278</t>
  </si>
  <si>
    <t>ocm61684278</t>
  </si>
  <si>
    <t>31025839458</t>
  </si>
  <si>
    <t>9781403971876</t>
  </si>
  <si>
    <t>794090851</t>
  </si>
  <si>
    <t>U43 C6 N44 2002</t>
  </si>
  <si>
    <t>0                      U  0043000C  6                  N  44          2002</t>
  </si>
  <si>
    <t>Zhongguo ke xue ji shu shi. Di 5 juan, Hua xue ji xiang guan ji shu. Di 6 fen ce, Jun shi ji shu : pao she wu qi he gong shou cheng ji shu / Li Yuese, Ye Shan zhu ; Shi Shidao, Maike You'en, Wang Ling xie zhu.</t>
  </si>
  <si>
    <t>Needham, Joseph, 1900-1995.</t>
  </si>
  <si>
    <t>Beijing : Ke xue chu ban she ; [Shanghai] : Shanghai gu ji chu ban she, 2002.</t>
  </si>
  <si>
    <t>2016-02-16</t>
  </si>
  <si>
    <t>3855593322:chi</t>
  </si>
  <si>
    <t>155872512</t>
  </si>
  <si>
    <t>ocn155872512</t>
  </si>
  <si>
    <t>3103017279S</t>
  </si>
  <si>
    <t>9787030095466</t>
  </si>
  <si>
    <t>794253906</t>
  </si>
  <si>
    <t>U43 C6 R44 2017</t>
  </si>
  <si>
    <t>0                      U  0043000C  6                  R  44          2017</t>
  </si>
  <si>
    <t>Military thought in early China / Christopher C. Rand.</t>
  </si>
  <si>
    <t>Rand, Christopher C. (Christopher Clark), 1950- author.</t>
  </si>
  <si>
    <t>Albany, NY : State University of New York Press, [2017]</t>
  </si>
  <si>
    <t>2018-11-30</t>
  </si>
  <si>
    <t>3890173801:eng</t>
  </si>
  <si>
    <t>959552277</t>
  </si>
  <si>
    <t>ocn959552277</t>
  </si>
  <si>
    <t>31037026823</t>
  </si>
  <si>
    <t>9781438465173</t>
  </si>
  <si>
    <t>795022449</t>
  </si>
  <si>
    <t>U43 C6 T49 1992</t>
  </si>
  <si>
    <t>0                      U  0043000C  6                  T  49          1992</t>
  </si>
  <si>
    <t>Chinese military theory : ancient and modern / Chen-Ya Tien.</t>
  </si>
  <si>
    <t>Tien, Chen-Ya.</t>
  </si>
  <si>
    <t>Oakville ; New York : Mosaic Press ; Landham [i.e. Lanham] MD, USA : Distributed by National Book Network, ©1992.</t>
  </si>
  <si>
    <t>30330777:eng</t>
  </si>
  <si>
    <t>27768080</t>
  </si>
  <si>
    <t>ocm27768080</t>
  </si>
  <si>
    <t>3103009448P</t>
  </si>
  <si>
    <t>9780889624238</t>
  </si>
  <si>
    <t>793271506</t>
  </si>
  <si>
    <t>U43 C6 T53 2010</t>
  </si>
  <si>
    <t>0                      U  0043000C  6                  T  53          2010</t>
  </si>
  <si>
    <t>Gu dai bing xue wen hua tan lun / Tian Xudong zhu.</t>
  </si>
  <si>
    <t>Tian, Xudong.</t>
  </si>
  <si>
    <t>Beijing : Zhongguo she hui ke xue chu ban she, 2010.</t>
  </si>
  <si>
    <t>Xi bei da xue shi xue cong kan</t>
  </si>
  <si>
    <t>1415424117:chi</t>
  </si>
  <si>
    <t>701470678</t>
  </si>
  <si>
    <t>ocn701470678</t>
  </si>
  <si>
    <t>31033336578</t>
  </si>
  <si>
    <t>9787500490487</t>
  </si>
  <si>
    <t>794863067</t>
  </si>
  <si>
    <t>U43 C6 W29 1999</t>
  </si>
  <si>
    <t>0                      U  0043000C  6                  W  29          1999</t>
  </si>
  <si>
    <t>Zhongguo jun shi ke xue de xi chuan ji ji ying xiang / Wang Zhaochun, Pan Jiafen, Tuo Ping.</t>
  </si>
  <si>
    <t>Wang, Zhaochun.</t>
  </si>
  <si>
    <t>Shijiazhuang Shi : Hebei ren min chu ban she, 1999.</t>
  </si>
  <si>
    <t>Dong xue xi jian cong shu</t>
  </si>
  <si>
    <t>2018-06-24</t>
  </si>
  <si>
    <t>37811554:chi</t>
  </si>
  <si>
    <t>48535010</t>
  </si>
  <si>
    <t>ocm48535010</t>
  </si>
  <si>
    <t>3102225378N</t>
  </si>
  <si>
    <t>9787202025253</t>
  </si>
  <si>
    <t>793723380</t>
  </si>
  <si>
    <t>U43 C6 W3 1981</t>
  </si>
  <si>
    <t>0                      U  0043000C  6                  W  3           1981</t>
  </si>
  <si>
    <t>Zhongguo jun shi si xiang shi / Wei Rulin, Liu Zhongping he zhu.</t>
  </si>
  <si>
    <t>Wei, Rulin.</t>
  </si>
  <si>
    <t>Taibei Shi : Li ming wen hua, Minguo 70 [1981]</t>
  </si>
  <si>
    <t>3 ban.</t>
  </si>
  <si>
    <t>2019-04-08</t>
  </si>
  <si>
    <t>23320131:chi</t>
  </si>
  <si>
    <t>45801742</t>
  </si>
  <si>
    <t>ocm45801742</t>
  </si>
  <si>
    <t>31022112976</t>
  </si>
  <si>
    <t>793678480</t>
  </si>
  <si>
    <t>U43 C6 W37 2005</t>
  </si>
  <si>
    <t>0                      U  0043000C  6                  W  37          2005</t>
  </si>
  <si>
    <t>Warfare in China to 1600 / edited by Peter Lorge.</t>
  </si>
  <si>
    <t>Aldershot, Hants, England ; Burlington, VT : Ashgate, ©2005.</t>
  </si>
  <si>
    <t>International library of essays on military history</t>
  </si>
  <si>
    <t>2016-11-15</t>
  </si>
  <si>
    <t>1042969:eng</t>
  </si>
  <si>
    <t>60794551</t>
  </si>
  <si>
    <t>ocm60794551</t>
  </si>
  <si>
    <t>3102530347Q</t>
  </si>
  <si>
    <t>9780754625315</t>
  </si>
  <si>
    <t>793943839</t>
  </si>
  <si>
    <t>2015-06-25</t>
  </si>
  <si>
    <t>3103032822U</t>
  </si>
  <si>
    <t>793943838</t>
  </si>
  <si>
    <t>U43 E95 C49 2004</t>
  </si>
  <si>
    <t>0                      U  0043000E  95                 C  49          2004</t>
  </si>
  <si>
    <t>Warfare in the seventeenth century / John Childs.</t>
  </si>
  <si>
    <t>Childs, John.</t>
  </si>
  <si>
    <t>Washington [D.C.] : Smithsonian Books, 2004.</t>
  </si>
  <si>
    <t>Smithsonian history of warfare</t>
  </si>
  <si>
    <t>2017-01-18</t>
  </si>
  <si>
    <t>1058863:eng</t>
  </si>
  <si>
    <t>55616213</t>
  </si>
  <si>
    <t>ocm55616213</t>
  </si>
  <si>
    <t>3103023663T</t>
  </si>
  <si>
    <t>9781588341914</t>
  </si>
  <si>
    <t>793879476</t>
  </si>
  <si>
    <t>U43 E95 E48 1996</t>
  </si>
  <si>
    <t>0                      U  0043000E  95                 E  48          1996</t>
  </si>
  <si>
    <t>Warfare in Roman Europe, AD 350-425 / Hugh Elton.</t>
  </si>
  <si>
    <t>Elton, Hugh.</t>
  </si>
  <si>
    <t>Oxford : Clarendon Press ; New York : Oxford University Press, 1996.</t>
  </si>
  <si>
    <t>Oxford classical monographs</t>
  </si>
  <si>
    <t>2017-09-25</t>
  </si>
  <si>
    <t>598287:eng</t>
  </si>
  <si>
    <t>32509473</t>
  </si>
  <si>
    <t>ocm32509473</t>
  </si>
  <si>
    <t>3101558068S</t>
  </si>
  <si>
    <t>9780198150077</t>
  </si>
  <si>
    <t>793386013</t>
  </si>
  <si>
    <t>U43 E95 H24 1985</t>
  </si>
  <si>
    <t>0                      U  0043000E  95                 H  24          1985</t>
  </si>
  <si>
    <t>War and society in Renaissance Europe, 1450-1620 / J.R. Hale.</t>
  </si>
  <si>
    <t>Hale, J. R. (John Rigby), 1923-1999.</t>
  </si>
  <si>
    <t>Leicester [Leicestershire] : Leicester University Press, in association with Fontana Paperbacks, 1985.</t>
  </si>
  <si>
    <t>Fontana history of European war and society</t>
  </si>
  <si>
    <t>2018-04-17</t>
  </si>
  <si>
    <t>57739311:eng</t>
  </si>
  <si>
    <t>12246098</t>
  </si>
  <si>
    <t>ocm12246098</t>
  </si>
  <si>
    <t>3100021811A</t>
  </si>
  <si>
    <t>9780718512248</t>
  </si>
  <si>
    <t>792807614</t>
  </si>
  <si>
    <t>U43 E95 H34 1983</t>
  </si>
  <si>
    <t>0                      U  0043000E  95                 H  34          1983</t>
  </si>
  <si>
    <t>Renaissance war studies / J.R. Hale.</t>
  </si>
  <si>
    <t>London : Hambledon Press, ©1983.</t>
  </si>
  <si>
    <t>History series ; v. 11</t>
  </si>
  <si>
    <t>2018-01-29</t>
  </si>
  <si>
    <t>230797279:eng</t>
  </si>
  <si>
    <t>9670441</t>
  </si>
  <si>
    <t>ocm09670441</t>
  </si>
  <si>
    <t>3102690264Q</t>
  </si>
  <si>
    <t>9780907628026</t>
  </si>
  <si>
    <t>792687753</t>
  </si>
  <si>
    <t>U43 E95 H36 1997</t>
  </si>
  <si>
    <t>0                      U  0043000E  95                 H  36          1997</t>
  </si>
  <si>
    <t>Weapons and warfare in renaissance Europe : gunpowder, technology, and tactics / Bert S. Hall.</t>
  </si>
  <si>
    <t>Hall, Bert S.</t>
  </si>
  <si>
    <t>Baltimore, Md. : Johns Hopkins University Press, 1997.</t>
  </si>
  <si>
    <t>Johns Hopkins studies in the history of technology ; [new ser., no. 22]</t>
  </si>
  <si>
    <t>319005672:eng</t>
  </si>
  <si>
    <t>35521720</t>
  </si>
  <si>
    <t>ocm35521720</t>
  </si>
  <si>
    <t>3101850775M</t>
  </si>
  <si>
    <t>9780801869945</t>
  </si>
  <si>
    <t>793451578</t>
  </si>
  <si>
    <t>U43 E95 H45 2005</t>
  </si>
  <si>
    <t>0                      U  0043000E  95                 H  45          2005</t>
  </si>
  <si>
    <t>The heirs of Archimedes : science and the art of war through the Age of Enlightenment / Brett D. Steele and Tamera Dorland, editors.</t>
  </si>
  <si>
    <t>Cambridge, Mass. : MIT Press, ©2005.</t>
  </si>
  <si>
    <t>Dibner Institute studies in the history of science and technology</t>
  </si>
  <si>
    <t>2017-08-30</t>
  </si>
  <si>
    <t>797215336:eng</t>
  </si>
  <si>
    <t>55797897</t>
  </si>
  <si>
    <t>ocm55797897</t>
  </si>
  <si>
    <t>3102465358W</t>
  </si>
  <si>
    <t>9780262195164</t>
  </si>
  <si>
    <t>793882659</t>
  </si>
  <si>
    <t>U43 E95 H68</t>
  </si>
  <si>
    <t>0                      U  0043000E  95                 H  68</t>
  </si>
  <si>
    <t>War in European history / Michael Howard.</t>
  </si>
  <si>
    <t>London ; New York : Oxford University Press, 1976.</t>
  </si>
  <si>
    <t>2012-02-23</t>
  </si>
  <si>
    <t>314029033:eng</t>
  </si>
  <si>
    <t>2361621</t>
  </si>
  <si>
    <t>ocm02361621</t>
  </si>
  <si>
    <t>3100021808$</t>
  </si>
  <si>
    <t>9780192115645</t>
  </si>
  <si>
    <t>792109483</t>
  </si>
  <si>
    <t>3100021809Y</t>
  </si>
  <si>
    <t>792109484</t>
  </si>
  <si>
    <t>U43 E95 H68 2009</t>
  </si>
  <si>
    <t>0                      U  0043000E  95                 H  68          2009</t>
  </si>
  <si>
    <t>New York, NY : Oxford University Press, 2009.</t>
  </si>
  <si>
    <t>Updated ed.</t>
  </si>
  <si>
    <t>2019-06-01</t>
  </si>
  <si>
    <t>244417432</t>
  </si>
  <si>
    <t>ocn244417432</t>
  </si>
  <si>
    <t>3103079147$</t>
  </si>
  <si>
    <t>9780199546190</t>
  </si>
  <si>
    <t>794381501</t>
  </si>
  <si>
    <t>U43 E95 S73 2003</t>
  </si>
  <si>
    <t>0                      U  0043000E  95                 S  73          2003</t>
  </si>
  <si>
    <t>War in the age of Enlightenment, 1700-1789 / Armstrong Starkey.</t>
  </si>
  <si>
    <t>Starkey, Armstrong.</t>
  </si>
  <si>
    <t>Westport, Conn. : Praeger, ©2003.</t>
  </si>
  <si>
    <t>Studies in military history and international affairs, 1537-4432</t>
  </si>
  <si>
    <t>669824:eng</t>
  </si>
  <si>
    <t>51653332</t>
  </si>
  <si>
    <t>ocm51653332</t>
  </si>
  <si>
    <t>3102326433I</t>
  </si>
  <si>
    <t>9780275972400</t>
  </si>
  <si>
    <t>793788771</t>
  </si>
  <si>
    <t>U43 E953 S65 2004</t>
  </si>
  <si>
    <t>0                      U  0043000E  953                S  65          2004</t>
  </si>
  <si>
    <t>Ancient Germanic warriors : warrior styles from Trajan's column to Icelandic sagas / Michael P. Speidel.</t>
  </si>
  <si>
    <t>Speidel, Michael.</t>
  </si>
  <si>
    <t>London ; New York : Routledge, 2004.</t>
  </si>
  <si>
    <t>802055493:eng</t>
  </si>
  <si>
    <t>53932705</t>
  </si>
  <si>
    <t>ocm53932705</t>
  </si>
  <si>
    <t>31028145240</t>
  </si>
  <si>
    <t>9780415311991</t>
  </si>
  <si>
    <t>793853395</t>
  </si>
  <si>
    <t>U43 G3 E28 2000</t>
  </si>
  <si>
    <t>0                      U  0043000G  3                  E  28          2000</t>
  </si>
  <si>
    <t>After Clausewitz : German military thinkers before the Great War / Antulio J. Echevarria II.</t>
  </si>
  <si>
    <t>Echevarria, Antulio Joseph, 1959-</t>
  </si>
  <si>
    <t>Lawrence : University Press of Kansas, ©2000.</t>
  </si>
  <si>
    <t>2018-09-24</t>
  </si>
  <si>
    <t>341006403:eng</t>
  </si>
  <si>
    <t>44516530</t>
  </si>
  <si>
    <t>ocm44516530</t>
  </si>
  <si>
    <t>3102125422F</t>
  </si>
  <si>
    <t>9780700610716</t>
  </si>
  <si>
    <t>793652056</t>
  </si>
  <si>
    <t>U43 G3 W35 1986</t>
  </si>
  <si>
    <t>0                      U  0043000G  3                  W  35          1986</t>
  </si>
  <si>
    <t>The dogma of the battle of annihilation : the theories of Clausewitz and Schlieffen and their impact on the German conduct of two world wars / Jehuda L. Wallach.</t>
  </si>
  <si>
    <t>Wallach, Jehuda Lothar, 1921-</t>
  </si>
  <si>
    <t>Westport, Conn. : Greenwood Press, 1986.</t>
  </si>
  <si>
    <t>Contributions in military studies, 0883-6884 ; no. 45</t>
  </si>
  <si>
    <t>2017-04-04</t>
  </si>
  <si>
    <t>891502987:eng</t>
  </si>
  <si>
    <t>11533555</t>
  </si>
  <si>
    <t>ocm11533555</t>
  </si>
  <si>
    <t>3000477021Z</t>
  </si>
  <si>
    <t>9780313244384</t>
  </si>
  <si>
    <t>792777281</t>
  </si>
  <si>
    <t>U43 I4 B78 2015</t>
  </si>
  <si>
    <t>0                      U  0043000I  4                  B  78          2015</t>
  </si>
  <si>
    <t>Vijayanagara : warfare and the archaeology of defence / Robert P. Brubaker.</t>
  </si>
  <si>
    <t>Brubaker, Robert P., author.</t>
  </si>
  <si>
    <t>New Delhi : Manohar and American Institute of Indian Studies, 2015.</t>
  </si>
  <si>
    <t>Vijayanagara research project monograph series ; vol. 13</t>
  </si>
  <si>
    <t>2599217466:eng</t>
  </si>
  <si>
    <t>918888148</t>
  </si>
  <si>
    <t>ocn918888148</t>
  </si>
  <si>
    <t>3103759291R</t>
  </si>
  <si>
    <t>9789350981030</t>
  </si>
  <si>
    <t>795001224</t>
  </si>
  <si>
    <t>U43 I4 K43 2004</t>
  </si>
  <si>
    <t>0                      U  0043000I  4                  K  43          2004</t>
  </si>
  <si>
    <t>Gunpowder and firearms : warfare in medieval India / Iqtidar Alam Khan.</t>
  </si>
  <si>
    <t>Khan, Iqtidar Alam.</t>
  </si>
  <si>
    <t>New Delhi : Oxford University Press, ©2004.</t>
  </si>
  <si>
    <t>Aligarh historians society series</t>
  </si>
  <si>
    <t>2019-11-20</t>
  </si>
  <si>
    <t>891947:eng</t>
  </si>
  <si>
    <t>56367567</t>
  </si>
  <si>
    <t>ocm56367567</t>
  </si>
  <si>
    <t>3102531209X</t>
  </si>
  <si>
    <t>9780195665260</t>
  </si>
  <si>
    <t>793891729</t>
  </si>
  <si>
    <t>U43 I4 R69 2009</t>
  </si>
  <si>
    <t>0                      U  0043000I  4                  R  69          2009</t>
  </si>
  <si>
    <t>The Oxford companion to modern warfare in India : from the eighteenth century to present times / by Kaushik Roy.</t>
  </si>
  <si>
    <t>Roy, Kaushik, 1971-</t>
  </si>
  <si>
    <t>New Delhi ; Oxford ; New York : Oxford University Press, 2009.</t>
  </si>
  <si>
    <t>763041903:eng</t>
  </si>
  <si>
    <t>267169792</t>
  </si>
  <si>
    <t>ocn267169792</t>
  </si>
  <si>
    <t>3103249461Q</t>
  </si>
  <si>
    <t>9780195698886</t>
  </si>
  <si>
    <t>794408103</t>
  </si>
  <si>
    <t>U43 I5 S26 2000</t>
  </si>
  <si>
    <t>0                      U  0043000I  5                  S  26          2000</t>
  </si>
  <si>
    <t>A military history of ancient India / Gurcharn Singh Sandhu.</t>
  </si>
  <si>
    <t>Sandhu, Gurcharn Singh.</t>
  </si>
  <si>
    <t>New Delhi : Vision Books, 2000.</t>
  </si>
  <si>
    <t>33535964:eng</t>
  </si>
  <si>
    <t>44413581</t>
  </si>
  <si>
    <t>ocm44413581</t>
  </si>
  <si>
    <t>31023067977</t>
  </si>
  <si>
    <t>9788170943754</t>
  </si>
  <si>
    <t>793645607</t>
  </si>
  <si>
    <t>U43 J3 D69 1990</t>
  </si>
  <si>
    <t>0                      U  0043000J  3                  D  69          1990</t>
  </si>
  <si>
    <t>Classical budo : arts and ways of Japan / by Donn F. Draeger.</t>
  </si>
  <si>
    <t>Draeger, Donn F.</t>
  </si>
  <si>
    <t>New York : Weatherhill, 1990</t>
  </si>
  <si>
    <t>The Martial arts and ways of Japan ; v. 2</t>
  </si>
  <si>
    <t>2015-11-06</t>
  </si>
  <si>
    <t>4080187652:eng</t>
  </si>
  <si>
    <t>34741902</t>
  </si>
  <si>
    <t>ocm34741902</t>
  </si>
  <si>
    <t>3103082337I</t>
  </si>
  <si>
    <t>9780834802346</t>
  </si>
  <si>
    <t>793434563</t>
  </si>
  <si>
    <t>U43 M54 M38 2010</t>
  </si>
  <si>
    <t>0                      U  0043000M  54                 M  38          2010</t>
  </si>
  <si>
    <t>The Roman army in Moesia Inferior / Florian Matei-Popescu.</t>
  </si>
  <si>
    <t>Matei-Popescu, Florian.</t>
  </si>
  <si>
    <t>Bucharest : Conphys Pub. House, 2010.</t>
  </si>
  <si>
    <t>Centre for Roman Military Studies ; 7</t>
  </si>
  <si>
    <t>2014-11-26</t>
  </si>
  <si>
    <t>2019-05-07</t>
  </si>
  <si>
    <t>5092710262:eng</t>
  </si>
  <si>
    <t>855672079</t>
  </si>
  <si>
    <t>ocn855672079</t>
  </si>
  <si>
    <t>31035137259</t>
  </si>
  <si>
    <t>794953660</t>
  </si>
  <si>
    <t>U43 R9 M4</t>
  </si>
  <si>
    <t>0                      U  0043000R  9                  M  4</t>
  </si>
  <si>
    <t>Russkai︠a︡ voennai︠a︡ myslʹ v XIX [i.e. devi︠a︡tnadt︠s︡atom] v.</t>
  </si>
  <si>
    <t>Meshcheri︠a︡kov, G. P. (Georgiĭ Polikarpovich)</t>
  </si>
  <si>
    <t>Moskva, "Nauka", 1973.</t>
  </si>
  <si>
    <t>2017-08-08</t>
  </si>
  <si>
    <t>9093882080:rus</t>
  </si>
  <si>
    <t>1079748</t>
  </si>
  <si>
    <t>ocm01079748</t>
  </si>
  <si>
    <t>3000569827H</t>
  </si>
  <si>
    <t>791540510</t>
  </si>
  <si>
    <t>U43 S64 W37 2001</t>
  </si>
  <si>
    <t>0                      U  0043000S  64                 W  37          2001</t>
  </si>
  <si>
    <t>Warfare and weaponry in South Asia, 1000-1800 / edited by Jos J.L. Gommans and Dirk H.A. Kolff.</t>
  </si>
  <si>
    <t>New Delhi ; New York : Oxford University Press, 2001.</t>
  </si>
  <si>
    <t>Oxford in India readings. Themes in Indian history</t>
  </si>
  <si>
    <t>2011-09-19</t>
  </si>
  <si>
    <t>2017-06-06</t>
  </si>
  <si>
    <t>194163288:eng</t>
  </si>
  <si>
    <t>46929034</t>
  </si>
  <si>
    <t>ocm46929034</t>
  </si>
  <si>
    <t>3102327360B</t>
  </si>
  <si>
    <t>9780195648713</t>
  </si>
  <si>
    <t>793694711</t>
  </si>
  <si>
    <t>U43 S65 S65 1982</t>
  </si>
  <si>
    <t>0                      U  0043000S  65                 S  65          1982</t>
  </si>
  <si>
    <t>The Soviet art of war : doctrine, strategy, and tactics / edited by Harriet Fast Scott and William F. Scott.</t>
  </si>
  <si>
    <t>Boulder, Colo. : Westview Press, 1982.</t>
  </si>
  <si>
    <t>903517668:eng</t>
  </si>
  <si>
    <t>7975264</t>
  </si>
  <si>
    <t>ocm07975264</t>
  </si>
  <si>
    <t>3000343593Z</t>
  </si>
  <si>
    <t>9780891589068</t>
  </si>
  <si>
    <t>792590479</t>
  </si>
  <si>
    <t>U43 U4 S55 2010</t>
  </si>
  <si>
    <t>0                      U  0043000U  4                  S  55          2010</t>
  </si>
  <si>
    <t>The Iraq wars and America's military revolution / Keith L. Shimko.</t>
  </si>
  <si>
    <t>Shimko, Keith L., 1962-</t>
  </si>
  <si>
    <t>New York, NY : Cambridge University Press, 2010.</t>
  </si>
  <si>
    <t>2015-03-12</t>
  </si>
  <si>
    <t>407477016:eng</t>
  </si>
  <si>
    <t>535491426</t>
  </si>
  <si>
    <t>ocn535491426</t>
  </si>
  <si>
    <t>3103241176S</t>
  </si>
  <si>
    <t>9780521128841</t>
  </si>
  <si>
    <t>794810057</t>
  </si>
  <si>
    <t>U52 K37 2005</t>
  </si>
  <si>
    <t>0                      U  0052000K  37          2005</t>
  </si>
  <si>
    <t>Imperial grunts : the American military on the ground / Robert D. Kaplan.</t>
  </si>
  <si>
    <t>Kaplan, Robert D., 1952-</t>
  </si>
  <si>
    <t>New York : Random House, 2005.</t>
  </si>
  <si>
    <t>2019-01-09</t>
  </si>
  <si>
    <t>138472629:eng</t>
  </si>
  <si>
    <t>57039411</t>
  </si>
  <si>
    <t>ocm57039411</t>
  </si>
  <si>
    <t>31024973745</t>
  </si>
  <si>
    <t>9781400061327</t>
  </si>
  <si>
    <t>793906274</t>
  </si>
  <si>
    <t>U52 M48 2019</t>
  </si>
  <si>
    <t>0                      U  0052000M  48          2019</t>
  </si>
  <si>
    <t>Guys like me : five wars, five veterans for peace / Michael A. Messner.</t>
  </si>
  <si>
    <t>Messner, Michael A., author.</t>
  </si>
  <si>
    <t>New Brunswick, Camden, and Newark, New Jersey : Rutgers University Press, [2019]</t>
  </si>
  <si>
    <t>2019</t>
  </si>
  <si>
    <t>4845551850:eng</t>
  </si>
  <si>
    <t>1029204900</t>
  </si>
  <si>
    <t>on1029204900</t>
  </si>
  <si>
    <t>3103903555S</t>
  </si>
  <si>
    <t>9781978802810</t>
  </si>
  <si>
    <t>795053900</t>
  </si>
  <si>
    <t>U53 B67 A3 2011</t>
  </si>
  <si>
    <t>0                      U  0053000B  67                 A  3           2011</t>
  </si>
  <si>
    <t>Corporal Boskin's cold Cold War : a comical journey / Joseph Boskin.</t>
  </si>
  <si>
    <t>Boskin, Joseph.</t>
  </si>
  <si>
    <t>Syracuse, N.Y. : Syracuse University Press, ©2011.</t>
  </si>
  <si>
    <t>867071138:eng</t>
  </si>
  <si>
    <t>713189564</t>
  </si>
  <si>
    <t>ocn713189564</t>
  </si>
  <si>
    <t>31033838976</t>
  </si>
  <si>
    <t>9780815609643</t>
  </si>
  <si>
    <t>794872796</t>
  </si>
  <si>
    <t>U54 C2 G75 2016</t>
  </si>
  <si>
    <t>0                      U  0054000C  2                  G  75          2016</t>
  </si>
  <si>
    <t>The Weight of Command : Voices of Canada's Second World War Generals and Those Who Knew Them / J.L. Granatstein.</t>
  </si>
  <si>
    <t>Granatstein, J. L., author, editor.</t>
  </si>
  <si>
    <t>Vancouver ; Toronto : UBC Press, [2016]</t>
  </si>
  <si>
    <t>Studies in Canadian military history</t>
  </si>
  <si>
    <t>2969277719:eng</t>
  </si>
  <si>
    <t>945781932</t>
  </si>
  <si>
    <t>ocn945781932</t>
  </si>
  <si>
    <t>31036457743</t>
  </si>
  <si>
    <t>9780774832991</t>
  </si>
  <si>
    <t>795013953</t>
  </si>
  <si>
    <t>U54 C2 I68 2007</t>
  </si>
  <si>
    <t>0                      U  0054000C  2                  I  68          2007</t>
  </si>
  <si>
    <t>Intrepid warriors : perspectives on Canadian military leaders / edited by Bernd Horn ; foreword by John Scott Cowan.</t>
  </si>
  <si>
    <t>Toronto, Ont. : Dundurn ; Lancaster : Gazelle Book Services [distributor], ©2007.</t>
  </si>
  <si>
    <t>2017-03-29</t>
  </si>
  <si>
    <t>1042639928:eng</t>
  </si>
  <si>
    <t>85898201</t>
  </si>
  <si>
    <t>ocm85898201</t>
  </si>
  <si>
    <t>3102704999M</t>
  </si>
  <si>
    <t>9781550027112</t>
  </si>
  <si>
    <t>794217669</t>
  </si>
  <si>
    <t>U54 C5 C89 1996</t>
  </si>
  <si>
    <t>0                      U  0054000C  5                  C  89          1996</t>
  </si>
  <si>
    <t>Zhongguo ren min jie fang jun jun shi jia zhuan lue / zhu bian Zhang Ruxian, Liu Peiyi.</t>
  </si>
  <si>
    <t>Beijing : Zhongguo da bai ke quan shu chu ban she : Xin hua shu dian zong dian Beijing fa xing suo jing xiao, 1996.</t>
  </si>
  <si>
    <t>2016-01-11</t>
  </si>
  <si>
    <t>3376388075:chi</t>
  </si>
  <si>
    <t>39172950</t>
  </si>
  <si>
    <t>ocm39172950</t>
  </si>
  <si>
    <t>3102216865B</t>
  </si>
  <si>
    <t>9787500054153</t>
  </si>
  <si>
    <t>793539781</t>
  </si>
  <si>
    <t>2015-08-04</t>
  </si>
  <si>
    <t>31022168709</t>
  </si>
  <si>
    <t>793539780</t>
  </si>
  <si>
    <t>U55 A45 F8 1958</t>
  </si>
  <si>
    <t>0                      U  0055000A  45                 F  8           1958</t>
  </si>
  <si>
    <t>The generalship of Alexander the Great.</t>
  </si>
  <si>
    <t>London, Eyre &amp; Spottiswoode, 1958.</t>
  </si>
  <si>
    <t>2018-08-20</t>
  </si>
  <si>
    <t>673265:eng</t>
  </si>
  <si>
    <t>1329473</t>
  </si>
  <si>
    <t>ocm01329473</t>
  </si>
  <si>
    <t>3102721026S</t>
  </si>
  <si>
    <t>791601505</t>
  </si>
  <si>
    <t>U55 C73 D53 2007</t>
  </si>
  <si>
    <t>0                      U  0055000C  73                 D  53          2007</t>
  </si>
  <si>
    <t>A thoroughly Canadian general : a biography of General H.D.G. Crerar / Paul Douglas Dickson.</t>
  </si>
  <si>
    <t>Dickson, Paul Douglas, 1963-</t>
  </si>
  <si>
    <t>Toronto : University of Toronto Press, c2007.</t>
  </si>
  <si>
    <t>2015-10-13</t>
  </si>
  <si>
    <t>837080577:eng</t>
  </si>
  <si>
    <t>84989191</t>
  </si>
  <si>
    <t>ocm84989191</t>
  </si>
  <si>
    <t>3102704964S</t>
  </si>
  <si>
    <t>9780802008022</t>
  </si>
  <si>
    <t>794212543</t>
  </si>
  <si>
    <t>U55 H48 A3 2016</t>
  </si>
  <si>
    <t>0                      U  0055000H  48                 A  3           2016</t>
  </si>
  <si>
    <t>One soldier : a Canadian soldier's fight against the Islamic State / Dillion Hillier with Russell Hillier.</t>
  </si>
  <si>
    <t>Hillier, Dillon, author.</t>
  </si>
  <si>
    <t>Toronto, Ontario : HarperCollins Publishers, [2016]</t>
  </si>
  <si>
    <t>2017-01-03</t>
  </si>
  <si>
    <t>3929347389:eng</t>
  </si>
  <si>
    <t>962548512</t>
  </si>
  <si>
    <t>ocn962548512</t>
  </si>
  <si>
    <t>3103646187D</t>
  </si>
  <si>
    <t>9781443449311</t>
  </si>
  <si>
    <t>795024612</t>
  </si>
  <si>
    <t>U55 H49 A3 2009</t>
  </si>
  <si>
    <t>0                      U  0055000H  49                 A  3           2009</t>
  </si>
  <si>
    <t>A soldier first : bullets, bureaucrats and the politics of war / Rick Hillier.</t>
  </si>
  <si>
    <t>Hillier, Rick, 1955-</t>
  </si>
  <si>
    <t>Toronto : HarperCollins, ©2009.</t>
  </si>
  <si>
    <t>812092266:eng</t>
  </si>
  <si>
    <t>426221895</t>
  </si>
  <si>
    <t>ocn426221895</t>
  </si>
  <si>
    <t>3103071731F</t>
  </si>
  <si>
    <t>9781554684915</t>
  </si>
  <si>
    <t>794515232</t>
  </si>
  <si>
    <t>U55 K56 A3 1993</t>
  </si>
  <si>
    <t>0                      U  0055000K  56                 A  3           1993</t>
  </si>
  <si>
    <t>Mud and green fields : the memoirs of Major-General George Kitching / George Kitching ; with a foreword by Colonel Charles P. Stacey.</t>
  </si>
  <si>
    <t>Kitching, George, 1910-1999.</t>
  </si>
  <si>
    <t>St. Catherine's, Ont. : Vanwell ; Shrewsbury : Airlife [distributor], ©1993.</t>
  </si>
  <si>
    <t>Armchair General series</t>
  </si>
  <si>
    <t>2016-03-07</t>
  </si>
  <si>
    <t>16295407:eng</t>
  </si>
  <si>
    <t>32238674</t>
  </si>
  <si>
    <t>ocm32238674</t>
  </si>
  <si>
    <t>3101160550F</t>
  </si>
  <si>
    <t>9780920277737</t>
  </si>
  <si>
    <t>793378871</t>
  </si>
  <si>
    <t>U55 K66 L82 2016</t>
  </si>
  <si>
    <t>0                      U  0055000K  66                 L  82          2016</t>
  </si>
  <si>
    <t>A Canadian hero : Corporal Filip Konowal, VC / Lubomyr Y. Luciuk.</t>
  </si>
  <si>
    <t>Luciuk, Lubomyr Y., 1953-</t>
  </si>
  <si>
    <t>Kingston, Ontario, Canada : Kashtan Press, 2016.</t>
  </si>
  <si>
    <t>3786806026:eng</t>
  </si>
  <si>
    <t>956556285</t>
  </si>
  <si>
    <t>ocn956556285</t>
  </si>
  <si>
    <t>3103684358Z</t>
  </si>
  <si>
    <t>9780969412588</t>
  </si>
  <si>
    <t>795020255</t>
  </si>
  <si>
    <t>U55 L5 A32 1965b</t>
  </si>
  <si>
    <t>0                      U  0055000L  5                  A  32          1965b</t>
  </si>
  <si>
    <t>The Liddell Hart memoirs.</t>
  </si>
  <si>
    <t>Liddell Hart, Basil Henry, Sir, 1895-1970.</t>
  </si>
  <si>
    <t>London : Cassell, [©1965]-</t>
  </si>
  <si>
    <t>2016-04-08</t>
  </si>
  <si>
    <t>569582064:eng</t>
  </si>
  <si>
    <t>61605155</t>
  </si>
  <si>
    <t>ocm61605155</t>
  </si>
  <si>
    <t>3000749058$</t>
  </si>
  <si>
    <t>794043688</t>
  </si>
  <si>
    <t>3100911920M</t>
  </si>
  <si>
    <t>794043687</t>
  </si>
  <si>
    <t>U55 M345 R53 2010</t>
  </si>
  <si>
    <t>0                      U  0055000M  345                R  53          2010</t>
  </si>
  <si>
    <t>The politics of command : Lieutenant-General A.G.L. McNaughton and the Canadian army, 1939-1943 / John Nelson Rickard.</t>
  </si>
  <si>
    <t>Rickard, John Nelson, 1969-</t>
  </si>
  <si>
    <t>Toronto ; Buffalo : University of Toronto Press, ©2010.</t>
  </si>
  <si>
    <t>796593862:eng</t>
  </si>
  <si>
    <t>468102938</t>
  </si>
  <si>
    <t>ocn468102938</t>
  </si>
  <si>
    <t>31030728308</t>
  </si>
  <si>
    <t>9781442640023</t>
  </si>
  <si>
    <t>794795295</t>
  </si>
  <si>
    <t>U55 R6 D68 1973</t>
  </si>
  <si>
    <t>0                      U  0055000R  6                  D  68          1973</t>
  </si>
  <si>
    <t>Rommel / Charles Douglas-Home.</t>
  </si>
  <si>
    <t>Douglas-Home, Charles, 1937- author.</t>
  </si>
  <si>
    <t>[Place of publication not identified] : Excalibur, ©1973.</t>
  </si>
  <si>
    <t>Great commanders</t>
  </si>
  <si>
    <t>1752548:eng</t>
  </si>
  <si>
    <t>3437967</t>
  </si>
  <si>
    <t>ocm03437967</t>
  </si>
  <si>
    <t>3101712993X</t>
  </si>
  <si>
    <t>9780525701040</t>
  </si>
  <si>
    <t>792255715</t>
  </si>
  <si>
    <t>U55 R6 L4</t>
  </si>
  <si>
    <t>0                      U  0055000R  6                  L  4</t>
  </si>
  <si>
    <t>Rommel as military commander / Ronald Lewin.</t>
  </si>
  <si>
    <t>Lewin, Ronald.</t>
  </si>
  <si>
    <t>London : Batsford ; Princeton, N.J. : Van Nostrand, 1968.</t>
  </si>
  <si>
    <t>Military commanders series</t>
  </si>
  <si>
    <t>2018-01-08</t>
  </si>
  <si>
    <t>3943341945:eng</t>
  </si>
  <si>
    <t>167104</t>
  </si>
  <si>
    <t>ocm00167104</t>
  </si>
  <si>
    <t>31033875783</t>
  </si>
  <si>
    <t>9780713412024</t>
  </si>
  <si>
    <t>791278519</t>
  </si>
  <si>
    <t>U55 R6 Y6 1950</t>
  </si>
  <si>
    <t>0                      U  0055000R  6                  Y  6           1950</t>
  </si>
  <si>
    <t>Rommel / by Desmond Young ; with a foreword by Field-Marshal Sir Claude Auchinleck.</t>
  </si>
  <si>
    <t>Young, Desmond.</t>
  </si>
  <si>
    <t>London : Collins, 1950</t>
  </si>
  <si>
    <t>1950</t>
  </si>
  <si>
    <t>2019-03-14</t>
  </si>
  <si>
    <t>1723031:eng</t>
  </si>
  <si>
    <t>627209</t>
  </si>
  <si>
    <t>ocm00627209</t>
  </si>
  <si>
    <t>3101852420C</t>
  </si>
  <si>
    <t>791431722</t>
  </si>
  <si>
    <t>U55 S63 F45 1989</t>
  </si>
  <si>
    <t>0                      U  0055000S  63                 F  45          1989</t>
  </si>
  <si>
    <t>The female soldier : or The surprising life and adventures of Hannah Snell (1750) / introduction by Dianne Dugaw.</t>
  </si>
  <si>
    <t>Los Angeles, CA : William Andrews Clark Memorial Library, 1989.</t>
  </si>
  <si>
    <t>Augustan Reprint Society ; 257</t>
  </si>
  <si>
    <t>2019-08-22</t>
  </si>
  <si>
    <t>55311184:eng</t>
  </si>
  <si>
    <t>222507405</t>
  </si>
  <si>
    <t>ocn222507405</t>
  </si>
  <si>
    <t>31037057133</t>
  </si>
  <si>
    <t>794332030</t>
  </si>
  <si>
    <t>U55 T87 S74 2015</t>
  </si>
  <si>
    <t>0                      U  0055000T  87                 S  74          2015</t>
  </si>
  <si>
    <t>The embattled general : Sir Richard Turner and the First World War / William F. Stewart.</t>
  </si>
  <si>
    <t>Stewart, William F. (William Frederick), 1958- author.</t>
  </si>
  <si>
    <t>Montreal ; Kingston : McGill-Queen's University Press, 2015.</t>
  </si>
  <si>
    <t>2018-07-09</t>
  </si>
  <si>
    <t>2518302338:eng</t>
  </si>
  <si>
    <t>908628824</t>
  </si>
  <si>
    <t>ocn908628824</t>
  </si>
  <si>
    <t>3103644843F</t>
  </si>
  <si>
    <t>9780773546257</t>
  </si>
  <si>
    <t>794994839</t>
  </si>
  <si>
    <t>U55 V65 V65 1985</t>
  </si>
  <si>
    <t>0                      U  0055000V  65                 V  65          1985</t>
  </si>
  <si>
    <t>Vokes, my story / by Chris Vokes with John P. Maclean.</t>
  </si>
  <si>
    <t>Vokes, Chris, 1904-1985.</t>
  </si>
  <si>
    <t>Ottawa, Canada : Gallery Books ; [Stittsville, Ont.] : [Distributed by Canada's Wings], [1985]</t>
  </si>
  <si>
    <t>[Memorial ed.].</t>
  </si>
  <si>
    <t>2017-02-16</t>
  </si>
  <si>
    <t>6843858:eng</t>
  </si>
  <si>
    <t>14052642</t>
  </si>
  <si>
    <t>ocm14052642</t>
  </si>
  <si>
    <t>3000374816I</t>
  </si>
  <si>
    <t>9780969210900</t>
  </si>
  <si>
    <t>792875792</t>
  </si>
  <si>
    <t>U101 B6</t>
  </si>
  <si>
    <t>0                      U  0101000B  6</t>
  </si>
  <si>
    <t>The book of war, the military classic of the Far East, translated from the Chinese by Captain E.F. Calthrop.</t>
  </si>
  <si>
    <t>Calthrop, Everard Ferguson, 1876-1915, translator.</t>
  </si>
  <si>
    <t>London, J. Murray, 1908.</t>
  </si>
  <si>
    <t>1908</t>
  </si>
  <si>
    <t>2015-03-28</t>
  </si>
  <si>
    <t>4655480</t>
  </si>
  <si>
    <t>ocm04655480</t>
  </si>
  <si>
    <t>30007299883</t>
  </si>
  <si>
    <t>792372013</t>
  </si>
  <si>
    <t>U101 C4743 F46 2016</t>
  </si>
  <si>
    <t>0                      U  0101000C  4743               F  46          2016</t>
  </si>
  <si>
    <t>Une femme et la guerre à la fin du Moyen Âge : le Livre des faits d'armes et de chevalerie de Christine de Pizan / études réunies par Dominique Demartini, Claire Le Ninan, Anne Paupert et Michelle Szkilnik.</t>
  </si>
  <si>
    <t>Paris : Honoré Champion éditeur, 2016.</t>
  </si>
  <si>
    <t>Études christiniennes, 1279-8193 ; 13</t>
  </si>
  <si>
    <t>2019-03-23</t>
  </si>
  <si>
    <t>3698541643:fre</t>
  </si>
  <si>
    <t>952800140</t>
  </si>
  <si>
    <t>ocn952800140</t>
  </si>
  <si>
    <t>3103687427R</t>
  </si>
  <si>
    <t>9782745330369</t>
  </si>
  <si>
    <t>795018453</t>
  </si>
  <si>
    <t>U101 F75 1954</t>
  </si>
  <si>
    <t>0                      U  0101000F  75          1954</t>
  </si>
  <si>
    <t>The Instructions sur le faict de la guerre, edited by G. Dickinson.</t>
  </si>
  <si>
    <t>Fourquevaux, baron de (Raymond), 1508-1574.</t>
  </si>
  <si>
    <t>London, University of London, Athlone Press, 1954.</t>
  </si>
  <si>
    <t>1954</t>
  </si>
  <si>
    <t>2018-04-11</t>
  </si>
  <si>
    <t>2287115419:eng</t>
  </si>
  <si>
    <t>8958741</t>
  </si>
  <si>
    <t>ocm08958741</t>
  </si>
  <si>
    <t>3102904803V</t>
  </si>
  <si>
    <t>792650301</t>
  </si>
  <si>
    <t>U101 G93 2017</t>
  </si>
  <si>
    <t>0                      U  0101000G  93          2017</t>
  </si>
  <si>
    <t>Essai général de tactique / précédé d'un discours sur l'état actuel de la politique et de la science militaire en Europe.</t>
  </si>
  <si>
    <t>Guibert, Jacques-Antoine-Hippolyte, comte de, 1743-1790.</t>
  </si>
  <si>
    <t>London, England : Forgotten Books, 2017.</t>
  </si>
  <si>
    <t>5342986950:fre</t>
  </si>
  <si>
    <t>978534883</t>
  </si>
  <si>
    <t>ocn978534883</t>
  </si>
  <si>
    <t>3103772411T</t>
  </si>
  <si>
    <t>9781333179236</t>
  </si>
  <si>
    <t>795033324</t>
  </si>
  <si>
    <t>U101 G93 2018</t>
  </si>
  <si>
    <t>0                      U  0101000G  93          2018</t>
  </si>
  <si>
    <t>Essai général de tactique / précédé d'un discours sur l'état actuel de la politique &amp; de la science militaire en Europe : avec le plan d'un ouvrage intitulé : La France politique et militaire.</t>
  </si>
  <si>
    <t>[Breinigsville, Pennsylvania] : [Nabu Public Domain Reprints], [2018]</t>
  </si>
  <si>
    <t>2018</t>
  </si>
  <si>
    <t>308813625:fre</t>
  </si>
  <si>
    <t>1023656988</t>
  </si>
  <si>
    <t>on1023656988</t>
  </si>
  <si>
    <t>31037662537</t>
  </si>
  <si>
    <t>9781275268975</t>
  </si>
  <si>
    <t>795051913</t>
  </si>
  <si>
    <t>U101 M16 2001</t>
  </si>
  <si>
    <t>0                      U  0101000M  16          2001</t>
  </si>
  <si>
    <t>L'arte della guerra ; Scritti politici minori / Niccolò Machiavelli ; a cura di Jean-Jacques Marchand, Denis Fachard e Giorgio Masi.</t>
  </si>
  <si>
    <t>Machiavelli, Niccolò, 1469-1527.</t>
  </si>
  <si>
    <t>Roma : Salerno, 2001.</t>
  </si>
  <si>
    <t>ita</t>
  </si>
  <si>
    <t>Edizione nazionale delle opere di Niccolò Machiavelli, Sezione 1, Opere politiche ; 3</t>
  </si>
  <si>
    <t>2019-03-02</t>
  </si>
  <si>
    <t>4820482236:ita</t>
  </si>
  <si>
    <t>54056177</t>
  </si>
  <si>
    <t>ocm54056177</t>
  </si>
  <si>
    <t>3102686947R</t>
  </si>
  <si>
    <t>9788884023384</t>
  </si>
  <si>
    <t>793856395</t>
  </si>
  <si>
    <t>U101 M5913 1993</t>
  </si>
  <si>
    <t>0                      U  0101000M  5913        1993</t>
  </si>
  <si>
    <t>The book of five rings / Miyamoto Musashi ; a new translation from the Japanese by Thomas Cleary, including the book of family traditions on the art of war, by Yagyū Munenori.</t>
  </si>
  <si>
    <t>Miyamoto, Musashi, 1584-1645.</t>
  </si>
  <si>
    <t>Boston : Shambhala ; [New York] : Random House [distributor], 1993.</t>
  </si>
  <si>
    <t>Shambhala dragon editions</t>
  </si>
  <si>
    <t>864878401:eng</t>
  </si>
  <si>
    <t>27035331</t>
  </si>
  <si>
    <t>ocm27035331</t>
  </si>
  <si>
    <t>31012376960</t>
  </si>
  <si>
    <t>9780877738688</t>
  </si>
  <si>
    <t>793257547</t>
  </si>
  <si>
    <t>2018-07-17</t>
  </si>
  <si>
    <t>3102718508V</t>
  </si>
  <si>
    <t>793257548</t>
  </si>
  <si>
    <t>U101 S8413 1984</t>
  </si>
  <si>
    <t>0                      U  0101000S  8413        1984</t>
  </si>
  <si>
    <t>Maurice's Strategikon : handbook of Byzantine military strategy / translated by George T. Dennis.</t>
  </si>
  <si>
    <t>Stratēgikon. English.</t>
  </si>
  <si>
    <t>Philadelphia : University of Pennsylvania Press, 1984.</t>
  </si>
  <si>
    <t>The Middle Ages</t>
  </si>
  <si>
    <t>2017-10-04</t>
  </si>
  <si>
    <t>916845696:eng</t>
  </si>
  <si>
    <t>9575024</t>
  </si>
  <si>
    <t>ocm09575024</t>
  </si>
  <si>
    <t>31034552300</t>
  </si>
  <si>
    <t>9780812278996</t>
  </si>
  <si>
    <t>792682597</t>
  </si>
  <si>
    <t>U101 S93213 2002</t>
  </si>
  <si>
    <t>0                      U  0101000S  93213       2002</t>
  </si>
  <si>
    <t>The art of war / Sun-tzu (Sun-zi) ; translated with an introduction and commentary by John Minford.</t>
  </si>
  <si>
    <t>Sunzi, active 6th century B.C.</t>
  </si>
  <si>
    <t>New York : Viking, ©2002.</t>
  </si>
  <si>
    <t>2018-02-21</t>
  </si>
  <si>
    <t>10141897029:eng</t>
  </si>
  <si>
    <t>49679570</t>
  </si>
  <si>
    <t>ocm49679570</t>
  </si>
  <si>
    <t>31028917007</t>
  </si>
  <si>
    <t>9780670031566</t>
  </si>
  <si>
    <t>793745417</t>
  </si>
  <si>
    <t>U101 S9348 1996</t>
  </si>
  <si>
    <t>0                      U  0101000S  9348        1996</t>
  </si>
  <si>
    <t>Sun Pin : the art of warfare / [translated] by D.C. Lau &amp; Roger T. Ames.</t>
  </si>
  <si>
    <t>Sun, Bin, active 4th century B.C.</t>
  </si>
  <si>
    <t>New York : Ballantine Books, 1996.</t>
  </si>
  <si>
    <t>Classics of ancient China.</t>
  </si>
  <si>
    <t>474460944:eng</t>
  </si>
  <si>
    <t>33971695</t>
  </si>
  <si>
    <t>ocm33971695</t>
  </si>
  <si>
    <t>3101898061Y</t>
  </si>
  <si>
    <t>9780345379917</t>
  </si>
  <si>
    <t>793415504</t>
  </si>
  <si>
    <t>U101 S93513 2003</t>
  </si>
  <si>
    <t>0                      U  0101000S  93513       2003</t>
  </si>
  <si>
    <t>Sun Bin : the art of warfare : a translation of the classic Chinese work of philosophy and strategy / translated, with an introduction and commentary by D.C. Lau and Roger T. Ames.</t>
  </si>
  <si>
    <t>Albany : State University of New York Press, ©2003.</t>
  </si>
  <si>
    <t>SUNY series in Chinese philosophy and culture</t>
  </si>
  <si>
    <t>5534247533:eng</t>
  </si>
  <si>
    <t>50693153</t>
  </si>
  <si>
    <t>ocm50693153</t>
  </si>
  <si>
    <t>3103020111T</t>
  </si>
  <si>
    <t>9780791454954</t>
  </si>
  <si>
    <t>793770780</t>
  </si>
  <si>
    <t>U101 S949 2015</t>
  </si>
  <si>
    <t>0                      U  0101000S  949         2015</t>
  </si>
  <si>
    <t>Shi yi jia zhu Sunzi : Sunzi ji jiao / Sun Wu zhuan ; Cao Cao, Du Mu deng zhu.</t>
  </si>
  <si>
    <t>Sunzi, active 6th century B.C., author.</t>
  </si>
  <si>
    <t>Beijing : Guo jia tu shu guan chu ban she, 2015.</t>
  </si>
  <si>
    <t>Ying yin ben.</t>
  </si>
  <si>
    <t>2019-11-06</t>
  </si>
  <si>
    <t>5534318821:chi</t>
  </si>
  <si>
    <t>1126541233</t>
  </si>
  <si>
    <t>on1126541233</t>
  </si>
  <si>
    <t>3103900882S</t>
  </si>
  <si>
    <t>TRANSIT</t>
  </si>
  <si>
    <t>9787501354795</t>
  </si>
  <si>
    <t>795085999</t>
  </si>
  <si>
    <t>3103900883Q</t>
  </si>
  <si>
    <t>795086000</t>
  </si>
  <si>
    <t>3103901060S</t>
  </si>
  <si>
    <t>795085998</t>
  </si>
  <si>
    <t>3103900884O</t>
  </si>
  <si>
    <t>795086001</t>
  </si>
  <si>
    <t>3103900885M</t>
  </si>
  <si>
    <t>795086002</t>
  </si>
  <si>
    <t>3103900886K</t>
  </si>
  <si>
    <t>795086003</t>
  </si>
  <si>
    <t>U101 S95 1993</t>
  </si>
  <si>
    <t>0                      U  0101000S  95          1993</t>
  </si>
  <si>
    <t>Sun-tzu : the art of warfare : the first English translation incorporating the recently discovered Yin-chʻüeh-shan texts / translated, with an introduction and commentary, by Roger T. Ames.</t>
  </si>
  <si>
    <t>New York : Ballantine Books, 1993.</t>
  </si>
  <si>
    <t>Classics of ancient China</t>
  </si>
  <si>
    <t>2013-12-09</t>
  </si>
  <si>
    <t>2019-09-27</t>
  </si>
  <si>
    <t>5534318821:eng</t>
  </si>
  <si>
    <t>26929968</t>
  </si>
  <si>
    <t>ocm26929968</t>
  </si>
  <si>
    <t>3103025347Y</t>
  </si>
  <si>
    <t>9780345362391</t>
  </si>
  <si>
    <t>793255040</t>
  </si>
  <si>
    <t>31029472507</t>
  </si>
  <si>
    <t>793255041</t>
  </si>
  <si>
    <t>U101 S9513 2001</t>
  </si>
  <si>
    <t>0                      U  0101000S  9513        2001</t>
  </si>
  <si>
    <t>The art of war : a new translation / translation, essays and commentary by the Denma Translation Group.</t>
  </si>
  <si>
    <t>Boston : Shambhala, ©2001.</t>
  </si>
  <si>
    <t>2018-01-27</t>
  </si>
  <si>
    <t>4926640842:eng</t>
  </si>
  <si>
    <t>44579045</t>
  </si>
  <si>
    <t>ocm44579045</t>
  </si>
  <si>
    <t>31026065573</t>
  </si>
  <si>
    <t>9781570625527</t>
  </si>
  <si>
    <t>793653509</t>
  </si>
  <si>
    <t>U101 S9513 2006</t>
  </si>
  <si>
    <t>0                      U  0101000S  9513        2006</t>
  </si>
  <si>
    <t>The art of war : the new illustrated edition / by Sun Tzu ; translated and with an introduction by Samuel B. Griffith ; with a foreword by B.H. Liddell Hart.</t>
  </si>
  <si>
    <t>Vancouver : Blue Heron Books, 2006.</t>
  </si>
  <si>
    <t>8852869950:eng</t>
  </si>
  <si>
    <t>67400175</t>
  </si>
  <si>
    <t>ocm67400175</t>
  </si>
  <si>
    <t>31025522843</t>
  </si>
  <si>
    <t>9781897035351</t>
  </si>
  <si>
    <t>794140701</t>
  </si>
  <si>
    <t>U101 S9513 2007</t>
  </si>
  <si>
    <t>0                      U  0101000S  9513        2007</t>
  </si>
  <si>
    <t>The art of war / Sun Zi's military methods ; translated by Victor H. Mair.</t>
  </si>
  <si>
    <t>New York : Columbia University Press, ©2007.</t>
  </si>
  <si>
    <t>Translations from the Asian classics</t>
  </si>
  <si>
    <t>2018-06-15</t>
  </si>
  <si>
    <t>2019-02-03</t>
  </si>
  <si>
    <t>137325042</t>
  </si>
  <si>
    <t>ocn137325042</t>
  </si>
  <si>
    <t>31026424258</t>
  </si>
  <si>
    <t>9780231133821</t>
  </si>
  <si>
    <t>794233789</t>
  </si>
  <si>
    <t>U101 S9513 2010</t>
  </si>
  <si>
    <t>0                      U  0101000S  9513        2010</t>
  </si>
  <si>
    <t>The wisdom of Sun Tzu / retold by Guo Wenping &amp; Zhong Shaoyi ; translated by Tiffany Gray.</t>
  </si>
  <si>
    <t>Sunzi bing fa. English.</t>
  </si>
  <si>
    <t>Beijing : China Intercontinental Press, 2010.</t>
  </si>
  <si>
    <t>Chinese classics</t>
  </si>
  <si>
    <t>4921815635:eng</t>
  </si>
  <si>
    <t>770366099</t>
  </si>
  <si>
    <t>ocn770366099</t>
  </si>
  <si>
    <t>3103437294R</t>
  </si>
  <si>
    <t>9787508517544</t>
  </si>
  <si>
    <t>794903916</t>
  </si>
  <si>
    <t>U101 S9513 2012</t>
  </si>
  <si>
    <t>0                      U  0101000S  9513        2012</t>
  </si>
  <si>
    <t>The art of war / Sun Tzu ; translated by Jonathan Clements.</t>
  </si>
  <si>
    <t>London : Constable, 2012.</t>
  </si>
  <si>
    <t>2019-07-03</t>
  </si>
  <si>
    <t>778327363</t>
  </si>
  <si>
    <t>ocn778327363</t>
  </si>
  <si>
    <t>3103565502N</t>
  </si>
  <si>
    <t>9781780330013</t>
  </si>
  <si>
    <t>794909647</t>
  </si>
  <si>
    <t>U101 S9513 2016</t>
  </si>
  <si>
    <t>0                      U  0101000S  9513        2016</t>
  </si>
  <si>
    <t>Sunzi bing fa zhi zhan lüe qi mou = The art of business and military warfare / Sun Wu zhu ; edited by Kon Ming and Lionel Giles.</t>
  </si>
  <si>
    <t>[Middletown, Delaware, United States] : Classical Publish, 2016.</t>
  </si>
  <si>
    <t>Zhong Ying shuang yu ban ben.</t>
  </si>
  <si>
    <t>3975755925:chi</t>
  </si>
  <si>
    <t>965308697</t>
  </si>
  <si>
    <t>ocn965308697</t>
  </si>
  <si>
    <t>3103859403Z</t>
  </si>
  <si>
    <t>9781539374657</t>
  </si>
  <si>
    <t>795025628</t>
  </si>
  <si>
    <t>U101 S96 L4856 2006</t>
  </si>
  <si>
    <t>0                      U  0101000S  96                 L  4856        2006</t>
  </si>
  <si>
    <t>"Sunzi" shi san pian zong he yan jiu / Li Ling zhu.</t>
  </si>
  <si>
    <t>Li, Ling, 1948-</t>
  </si>
  <si>
    <t>Beijing Shi : Zhonghua shu ju, 2006.</t>
  </si>
  <si>
    <t>Beijing di 1 ban.</t>
  </si>
  <si>
    <t>2018-04-23</t>
  </si>
  <si>
    <t>31705289:chi</t>
  </si>
  <si>
    <t>70248257</t>
  </si>
  <si>
    <t>ocm70248257</t>
  </si>
  <si>
    <t>3102672360P</t>
  </si>
  <si>
    <t>9787101048230</t>
  </si>
  <si>
    <t>794151476</t>
  </si>
  <si>
    <t>U101 S96 L486 2010</t>
  </si>
  <si>
    <t>0                      U  0101000S  96                 L  486         2010</t>
  </si>
  <si>
    <t>Wei yi de gui ze : &lt;&lt;Sunzi&gt;&gt; de dou zheng zhe xue / Li Ling zhu.</t>
  </si>
  <si>
    <t>Beijing : Sheng huo, du shu, xin zhi san lian shu dian, 2010.</t>
  </si>
  <si>
    <t>Wo men de jing dian</t>
  </si>
  <si>
    <t>2014-01-25</t>
  </si>
  <si>
    <t>476945318:chi</t>
  </si>
  <si>
    <t>604530553</t>
  </si>
  <si>
    <t>ocn604530553</t>
  </si>
  <si>
    <t>3103358805J</t>
  </si>
  <si>
    <t>9787108033628</t>
  </si>
  <si>
    <t>794815759</t>
  </si>
  <si>
    <t>U101 S96 S86 2012</t>
  </si>
  <si>
    <t>0                      U  0101000S  96                 S  86          2012</t>
  </si>
  <si>
    <t>Sun zi bing fa yu gu dai zhan zheng / "Zhonghua wen ku qing shao nian dao du ben" cong shu bian wei hui bian.</t>
  </si>
  <si>
    <t>Beijing : Wai wen chu ban she, 2012.</t>
  </si>
  <si>
    <t>Zhonghua wen ku qing shao nian dao du ben</t>
  </si>
  <si>
    <t>3780070361:chi</t>
  </si>
  <si>
    <t>823375505</t>
  </si>
  <si>
    <t>ocn823375505</t>
  </si>
  <si>
    <t>31035281124</t>
  </si>
  <si>
    <t>9787119076775</t>
  </si>
  <si>
    <t>794937108</t>
  </si>
  <si>
    <t>U101 S96 W425 2011</t>
  </si>
  <si>
    <t>0                      U  0101000S  96                 W  425         2011</t>
  </si>
  <si>
    <t>Song dai sun zi bing xue yan jiu / Wei Hong zhu.</t>
  </si>
  <si>
    <t>Wei, Hong, 1973-</t>
  </si>
  <si>
    <t>Beijing Shi : Jun shi ke xue chu ban she, 2011.</t>
  </si>
  <si>
    <t>866678686:chi</t>
  </si>
  <si>
    <t>712856032</t>
  </si>
  <si>
    <t>ocn712856032</t>
  </si>
  <si>
    <t>31034739776</t>
  </si>
  <si>
    <t>9787802374003</t>
  </si>
  <si>
    <t>794872376</t>
  </si>
  <si>
    <t>U101 S96 X813 2007</t>
  </si>
  <si>
    <t>0                      U  0101000S  96                 X  813         2007</t>
  </si>
  <si>
    <t>Sun Tzu : the ultimate master of war / by Xu Yuanxiang &amp; Li Jing.</t>
  </si>
  <si>
    <t>Xu, Yuanxiang, author.</t>
  </si>
  <si>
    <t>[Beijing] : China Intercontinental Press, [2007]</t>
  </si>
  <si>
    <t>Ancient sages of China</t>
  </si>
  <si>
    <t>2017-03-02</t>
  </si>
  <si>
    <t>115901045:eng</t>
  </si>
  <si>
    <t>180188398</t>
  </si>
  <si>
    <t>ocn180188398</t>
  </si>
  <si>
    <t>3102871181J</t>
  </si>
  <si>
    <t>9787508510408</t>
  </si>
  <si>
    <t>794279564</t>
  </si>
  <si>
    <t>U101 S96 2003</t>
  </si>
  <si>
    <t>0                      U  0101000S  96          2003</t>
  </si>
  <si>
    <t>Jing dian tu du Sunzi bing fa / [yuan zhu zhe Sun Wu ; yi zhu ping Li Qingshan, Ning Ling].</t>
  </si>
  <si>
    <t>Shanghai Shi : Shanghai ci shu chu ban she, 2003.</t>
  </si>
  <si>
    <t>2016-10-21</t>
  </si>
  <si>
    <t>8909481157:chi</t>
  </si>
  <si>
    <t>54487159</t>
  </si>
  <si>
    <t>ocm54487159</t>
  </si>
  <si>
    <t>3102543661X</t>
  </si>
  <si>
    <t>9787532611737</t>
  </si>
  <si>
    <t>793862728</t>
  </si>
  <si>
    <t>U101 V313 1996</t>
  </si>
  <si>
    <t>0                      U  0101000V  313         1996</t>
  </si>
  <si>
    <t>Vegetius : epitome of military science / translated with notes and introduction by N.P. Milner.</t>
  </si>
  <si>
    <t>Vegetius Renatus, Flavius.</t>
  </si>
  <si>
    <t>Liverpool [England] : Liverpool University Press, 1996.</t>
  </si>
  <si>
    <t>Translated texts for historians ; v. 16</t>
  </si>
  <si>
    <t>2015-08-23</t>
  </si>
  <si>
    <t>5574079876:eng</t>
  </si>
  <si>
    <t>36182380</t>
  </si>
  <si>
    <t>ocm36182380</t>
  </si>
  <si>
    <t>3102251635N</t>
  </si>
  <si>
    <t>9780853239109</t>
  </si>
  <si>
    <t>793468576</t>
  </si>
  <si>
    <t>U101 W443 L58 1993</t>
  </si>
  <si>
    <t>0                      U  0101000W  443                L  58          1993</t>
  </si>
  <si>
    <t>Wei Liaozi quan yi / Wei Liaozi yuan zhu ; Liu Chunsheng yi zhu.</t>
  </si>
  <si>
    <t>Liu, Chunsheng.</t>
  </si>
  <si>
    <t>Guiyang Shi : Guizhou ren min chu ban she, 1993.</t>
  </si>
  <si>
    <t>Zhongguo li dai ming zhu quan yi cong shu ; 23</t>
  </si>
  <si>
    <t>4061592866:chi</t>
  </si>
  <si>
    <t>32120088</t>
  </si>
  <si>
    <t>ocm32120088</t>
  </si>
  <si>
    <t>31019195809</t>
  </si>
  <si>
    <t>9787221030412</t>
  </si>
  <si>
    <t>793376125</t>
  </si>
  <si>
    <t>U101 Z46 2010</t>
  </si>
  <si>
    <t>0                      U  0101000Z  46          2010</t>
  </si>
  <si>
    <t>Sunzi zhi hui gu shi = Wisdom of Sun Tzu / Zhong wen zuo zhe Zhang Ying, Ying wen zuo zhe Wang Shanjiang, Ying wen shen ding Wang Rongpei.</t>
  </si>
  <si>
    <t>Zhang, Ying.</t>
  </si>
  <si>
    <t>Shanghai : Shanghai wai yu jiao yu chu ban she, 2010.</t>
  </si>
  <si>
    <t>Di 1 Ban.</t>
  </si>
  <si>
    <t>Zhu zi bai jia zhi hui gu shi = Wisdom of ancient Chinese sages</t>
  </si>
  <si>
    <t>901928456:chi</t>
  </si>
  <si>
    <t>826863088</t>
  </si>
  <si>
    <t>ocn826863088</t>
  </si>
  <si>
    <t>31034868320</t>
  </si>
  <si>
    <t>9787544616416</t>
  </si>
  <si>
    <t>794939468</t>
  </si>
  <si>
    <t>U102 A69 1880</t>
  </si>
  <si>
    <t>0                      U  0102000A  69          1880</t>
  </si>
  <si>
    <t>Etudes sur le combat.</t>
  </si>
  <si>
    <t>Ardant du Picq, Charles Jean Jacques Joseph, 1821-1870.</t>
  </si>
  <si>
    <t>Paris : [publisher not identified], 1880.</t>
  </si>
  <si>
    <t>1880</t>
  </si>
  <si>
    <t>4922164801:fre</t>
  </si>
  <si>
    <t>427556954</t>
  </si>
  <si>
    <t>ocn427556954</t>
  </si>
  <si>
    <t>3102927356E</t>
  </si>
  <si>
    <t>794684939</t>
  </si>
  <si>
    <t>U102 B646 1914</t>
  </si>
  <si>
    <t>0                      U  0102000B  646         1914</t>
  </si>
  <si>
    <t>The future of war in its technical, economic, and political relations / by Jean de Bloch ; translated by R.C. Long ; with a conversation with the author by William T. Stead, and an introd. by Edwin D. Mead.</t>
  </si>
  <si>
    <t>2</t>
  </si>
  <si>
    <t>Bloch, Jan, 1836-1902.</t>
  </si>
  <si>
    <t>Boston : World Peace Foundation, 1914.</t>
  </si>
  <si>
    <t>1914</t>
  </si>
  <si>
    <t>2269651:eng</t>
  </si>
  <si>
    <t>7479815</t>
  </si>
  <si>
    <t>ocm07479815</t>
  </si>
  <si>
    <t>3000723713Z</t>
  </si>
  <si>
    <t>792561254</t>
  </si>
  <si>
    <t>U102 C6313 1949</t>
  </si>
  <si>
    <t>0                      U  0102000C  6313        1949</t>
  </si>
  <si>
    <t>On war / by Carl von Clausewitz ; trans. by J.J. Graham.</t>
  </si>
  <si>
    <t>V.2</t>
  </si>
  <si>
    <t>Clausewitz, Carl von, 1780-1831.</t>
  </si>
  <si>
    <t>London : Routledge &amp; Kegan Paul, 1949.</t>
  </si>
  <si>
    <t>1949</t>
  </si>
  <si>
    <t>New and rev. ed. / with introd. and notes by F.N. Maude. 5th impression.</t>
  </si>
  <si>
    <t>3373612671:eng</t>
  </si>
  <si>
    <t>4659198</t>
  </si>
  <si>
    <t>ocm04659198</t>
  </si>
  <si>
    <t>31010106527</t>
  </si>
  <si>
    <t>792372366</t>
  </si>
  <si>
    <t>V.3</t>
  </si>
  <si>
    <t>31010106519</t>
  </si>
  <si>
    <t>792372365</t>
  </si>
  <si>
    <t>V.1</t>
  </si>
  <si>
    <t>31010106535</t>
  </si>
  <si>
    <t>792372367</t>
  </si>
  <si>
    <t>U102 C65 1976</t>
  </si>
  <si>
    <t>0                      U  0102000C  65          1976</t>
  </si>
  <si>
    <t>On war / Carl von Clausewitz ; edited and translated by Michael Howard and Peter Paret ; introductory essays by Peter Paret, Michael Howard, and Bernard Brodie ; with a commentary by Bernard Brodie.</t>
  </si>
  <si>
    <t>Princeton, N.J. : Princeton University Press, ©1976.</t>
  </si>
  <si>
    <t>2019-04-25</t>
  </si>
  <si>
    <t>2428983</t>
  </si>
  <si>
    <t>ocm02428983</t>
  </si>
  <si>
    <t>31028017535</t>
  </si>
  <si>
    <t>9780691056579</t>
  </si>
  <si>
    <t>792120829</t>
  </si>
  <si>
    <t>U102 C658</t>
  </si>
  <si>
    <t>0                      U  0102000C  658</t>
  </si>
  <si>
    <t>A short guide to Clausewitz on war; edited and with an introduction by Roger Ashley Leonard, preface by Michael Howard.</t>
  </si>
  <si>
    <t>London, Weidenfeld Nicolson [1967]</t>
  </si>
  <si>
    <t>497349450:eng</t>
  </si>
  <si>
    <t>461378</t>
  </si>
  <si>
    <t>ocm00461378</t>
  </si>
  <si>
    <t>3102357097$</t>
  </si>
  <si>
    <t>791384764</t>
  </si>
  <si>
    <t>2007-07-17</t>
  </si>
  <si>
    <t>31028017731</t>
  </si>
  <si>
    <t>791384765</t>
  </si>
  <si>
    <t>U102 D55 2009</t>
  </si>
  <si>
    <t>0                      U  0102000D  55          2009</t>
  </si>
  <si>
    <t>The liberal way of war : killing to make life live / Michael Dillon and Julian Reid.</t>
  </si>
  <si>
    <t>Dillon, Michael, 1945-</t>
  </si>
  <si>
    <t>London ; New York : Routledge, 2009.</t>
  </si>
  <si>
    <t>Global horizons</t>
  </si>
  <si>
    <t>2018-10-13</t>
  </si>
  <si>
    <t>800523906:eng</t>
  </si>
  <si>
    <t>237199489</t>
  </si>
  <si>
    <t>ocn237199489</t>
  </si>
  <si>
    <t>3103084916X</t>
  </si>
  <si>
    <t>9780415952996</t>
  </si>
  <si>
    <t>794372791</t>
  </si>
  <si>
    <t>U102 D835 1982</t>
  </si>
  <si>
    <t>0                      U  0102000D  835         1982</t>
  </si>
  <si>
    <t>How to make war : a comprehensive guide to modern warfare / James F. Dunnigan.</t>
  </si>
  <si>
    <t>Dunnigan, James F.</t>
  </si>
  <si>
    <t>New York : Morrow, 1982.</t>
  </si>
  <si>
    <t>2019-01-13</t>
  </si>
  <si>
    <t>3330901:eng</t>
  </si>
  <si>
    <t>7875334</t>
  </si>
  <si>
    <t>ocm07875334</t>
  </si>
  <si>
    <t>30001606973</t>
  </si>
  <si>
    <t>9780688007805</t>
  </si>
  <si>
    <t>792584483</t>
  </si>
  <si>
    <t>U102 F85</t>
  </si>
  <si>
    <t>0                      U  0102000F  85</t>
  </si>
  <si>
    <t>The foundations of the science of war / by J.F.C. Fuller.</t>
  </si>
  <si>
    <t>London : Hutchinson &amp; Co., [1926]</t>
  </si>
  <si>
    <t>1926</t>
  </si>
  <si>
    <t>2017-08-14</t>
  </si>
  <si>
    <t>1864162:eng</t>
  </si>
  <si>
    <t>17998189</t>
  </si>
  <si>
    <t>ocm17998189</t>
  </si>
  <si>
    <t>3100254616Z</t>
  </si>
  <si>
    <t>793010125</t>
  </si>
  <si>
    <t>U102 J78 2007</t>
  </si>
  <si>
    <t>0                      U  0102000J  78          2007</t>
  </si>
  <si>
    <t>The art of war / Antoine-Henri, Baron de Jomini ; translated by Capt. G.H. Mendell and Lt. W.P. Craighill.</t>
  </si>
  <si>
    <t>Jomini, Antoine Henri, baron de, 1779-1869.</t>
  </si>
  <si>
    <t>Mineola, N.Y. : Dover Publications, 2007.</t>
  </si>
  <si>
    <t>4921899633:eng</t>
  </si>
  <si>
    <t>82473372</t>
  </si>
  <si>
    <t>ocm82473372</t>
  </si>
  <si>
    <t>3102644748O</t>
  </si>
  <si>
    <t>9780486460062</t>
  </si>
  <si>
    <t>794206074</t>
  </si>
  <si>
    <t>U102 L58 1950</t>
  </si>
  <si>
    <t>0                      U  0102000L  58          1950</t>
  </si>
  <si>
    <t>Defence of the West / B.H. Liddell Hart.</t>
  </si>
  <si>
    <t>Liddell Hart, Basil Henry, Sir, 1895-1970, author.</t>
  </si>
  <si>
    <t>New York : William Morrow &amp; Co., 1950.</t>
  </si>
  <si>
    <t>1862380079:eng</t>
  </si>
  <si>
    <t>382384</t>
  </si>
  <si>
    <t>ocm00382384</t>
  </si>
  <si>
    <t>3101722136Y</t>
  </si>
  <si>
    <t>791359307</t>
  </si>
  <si>
    <t>U102 S8415 2008</t>
  </si>
  <si>
    <t>0                      U  0102000S  8415        2008</t>
  </si>
  <si>
    <t>Decoding Clausewitz : a new approach to On war / Jon Tetsuro Sumida.</t>
  </si>
  <si>
    <t>Sumida, Jon Tetsuro, 1949-</t>
  </si>
  <si>
    <t>Lawrence, KS : University Press of Kansas, ©2008.</t>
  </si>
  <si>
    <t>1043262500:eng</t>
  </si>
  <si>
    <t>213765799</t>
  </si>
  <si>
    <t>ocn213765799</t>
  </si>
  <si>
    <t>3102972799Q</t>
  </si>
  <si>
    <t>9780700616169</t>
  </si>
  <si>
    <t>794310748</t>
  </si>
  <si>
    <t>U102 S8613 2018</t>
  </si>
  <si>
    <t>0                      U  0102000S  8613        2018</t>
  </si>
  <si>
    <t>Sunzi bing fa = Sun Tzu on the art of war / Zhu zhe Sun Wu ; yi zhe Lionel Giles ; bai hua wen Li Minghui, Liang Pingchuan.</t>
  </si>
  <si>
    <t>Zhengzhou Shi : Zhong zhou gu ji chu ban she, 2018.</t>
  </si>
  <si>
    <t>Ying Han shuang yu guo xue jing dian. Zhailinnai Ying yi ben = The bilingual reading of the Chinese classics</t>
  </si>
  <si>
    <t>2019-05-31</t>
  </si>
  <si>
    <t>1083218885</t>
  </si>
  <si>
    <t>on1083218885</t>
  </si>
  <si>
    <t>3103866614V</t>
  </si>
  <si>
    <t>9787534873898</t>
  </si>
  <si>
    <t>795078125</t>
  </si>
  <si>
    <t>U102 U52</t>
  </si>
  <si>
    <t>0                      U  0102000U  52</t>
  </si>
  <si>
    <t>War as a social institution; the historian's perspective, edited for the American historical association by Jesse D. Clarkson and Thomas C. Cochran.</t>
  </si>
  <si>
    <t>American Historical Association.</t>
  </si>
  <si>
    <t>New York, Columbia University Press, 1941.</t>
  </si>
  <si>
    <t>2015-07-15</t>
  </si>
  <si>
    <t>148527371:eng</t>
  </si>
  <si>
    <t>1250918</t>
  </si>
  <si>
    <t>ocm01250918</t>
  </si>
  <si>
    <t>3000717158N</t>
  </si>
  <si>
    <t>791583838</t>
  </si>
  <si>
    <t>U104 C484 2000</t>
  </si>
  <si>
    <t>0                      U  0104000C  484         2000</t>
  </si>
  <si>
    <t>Classics of strategy and counsel : the collected translations of Thomas Cleary.</t>
  </si>
  <si>
    <t>Boston : Shambhala, 2000.</t>
  </si>
  <si>
    <t>2019-10-17</t>
  </si>
  <si>
    <t>2830006282:eng</t>
  </si>
  <si>
    <t>44018897</t>
  </si>
  <si>
    <t>ocm44018897</t>
  </si>
  <si>
    <t>3102090366Q</t>
  </si>
  <si>
    <t>9781570627507</t>
  </si>
  <si>
    <t>793640690</t>
  </si>
  <si>
    <t>2008-11-06</t>
  </si>
  <si>
    <t>3102091690C</t>
  </si>
  <si>
    <t>793640691</t>
  </si>
  <si>
    <t>U104 C64</t>
  </si>
  <si>
    <t>0                      U  0104000C  64</t>
  </si>
  <si>
    <t>Combat effectiveness : cohesion, stress, and the volunteer military / Sam C. Sarkesian, editor.</t>
  </si>
  <si>
    <t>Beverly Hills, Calif. : Sage Publications, ©1980.</t>
  </si>
  <si>
    <t>Sage research progress series on war, revolution, and peacekeeping ; v. 9</t>
  </si>
  <si>
    <t>2016-06-06</t>
  </si>
  <si>
    <t>349889953:eng</t>
  </si>
  <si>
    <t>6446654</t>
  </si>
  <si>
    <t>ocm06446654</t>
  </si>
  <si>
    <t>3000307798L</t>
  </si>
  <si>
    <t>9780803914407</t>
  </si>
  <si>
    <t>792499504</t>
  </si>
  <si>
    <t>U104 H557 1992</t>
  </si>
  <si>
    <t>0                      U  0104000H  557         1992</t>
  </si>
  <si>
    <t>Is it you or your model talking? : a framework for model validation / James S. Hodges, James A. Dewar.</t>
  </si>
  <si>
    <t>Hodges, James S.</t>
  </si>
  <si>
    <t>Santa Monica, CA : Rand, 1992.</t>
  </si>
  <si>
    <t>2018-06-12</t>
  </si>
  <si>
    <t>476413949:eng</t>
  </si>
  <si>
    <t>26733453</t>
  </si>
  <si>
    <t>ocm26733453</t>
  </si>
  <si>
    <t>3101948392Y</t>
  </si>
  <si>
    <t>9780833012234</t>
  </si>
  <si>
    <t>793250590</t>
  </si>
  <si>
    <t>U104 S33</t>
  </si>
  <si>
    <t>0                      U  0104000S  33</t>
  </si>
  <si>
    <t>Arms and influence, by Thomas C. Schelling.</t>
  </si>
  <si>
    <t>Schelling, Thomas C., 1921-2016.</t>
  </si>
  <si>
    <t>New Haven, Yale University Press, 1966.</t>
  </si>
  <si>
    <t>2011-09-23</t>
  </si>
  <si>
    <t>2016-11-21</t>
  </si>
  <si>
    <t>434726:eng</t>
  </si>
  <si>
    <t>567721</t>
  </si>
  <si>
    <t>ocm00567721</t>
  </si>
  <si>
    <t>3102947309E</t>
  </si>
  <si>
    <t>9780300002218</t>
  </si>
  <si>
    <t>791416815</t>
  </si>
  <si>
    <t>2016-11-04</t>
  </si>
  <si>
    <t>31031458305</t>
  </si>
  <si>
    <t>791416814</t>
  </si>
  <si>
    <t>31031458463</t>
  </si>
  <si>
    <t>791416816</t>
  </si>
  <si>
    <t>2010-07-07</t>
  </si>
  <si>
    <t>3000251099H</t>
  </si>
  <si>
    <t>791416819</t>
  </si>
  <si>
    <t>2010-06-07</t>
  </si>
  <si>
    <t>3103872027N</t>
  </si>
  <si>
    <t>791416817</t>
  </si>
  <si>
    <t>2010-10-04</t>
  </si>
  <si>
    <t>3000251102H</t>
  </si>
  <si>
    <t>791416818</t>
  </si>
  <si>
    <t>U104 S33 2008</t>
  </si>
  <si>
    <t>0                      U  0104000S  33          2008</t>
  </si>
  <si>
    <t>Arms and influence / with a new preface and afterword by Thomas C. Schelling.</t>
  </si>
  <si>
    <t>New Haven, CT : Yale University Press, 2008.</t>
  </si>
  <si>
    <t>2016-10-09</t>
  </si>
  <si>
    <t>434611985</t>
  </si>
  <si>
    <t>ocn434611985</t>
  </si>
  <si>
    <t>3103236083E</t>
  </si>
  <si>
    <t>9780300143379</t>
  </si>
  <si>
    <t>794783076</t>
  </si>
  <si>
    <t>U150 D39 2014</t>
  </si>
  <si>
    <t>0                      U  0150000D  39          2014</t>
  </si>
  <si>
    <t>Analysis to inform defense planning despite austerity / Paul K. Davis.</t>
  </si>
  <si>
    <t>Davis, Paul K., 1943- author.</t>
  </si>
  <si>
    <t>Santa Monica, CA : RAND Corporation, [2014]</t>
  </si>
  <si>
    <t>1843507700:eng</t>
  </si>
  <si>
    <t>873763153</t>
  </si>
  <si>
    <t>ocn873763153</t>
  </si>
  <si>
    <t>31035180398</t>
  </si>
  <si>
    <t>9780833085078</t>
  </si>
  <si>
    <t>794968532</t>
  </si>
  <si>
    <t>U153 D3827 2011</t>
  </si>
  <si>
    <t>0                      U  0153000D  3827        2011</t>
  </si>
  <si>
    <t>Looming discontinuities in U.S. military strategy and defense planning : colliding RMAs necessitate a new strategy / Paul K. Davis, Peter A. Wilson.</t>
  </si>
  <si>
    <t>Davis, Paul K., 1943-</t>
  </si>
  <si>
    <t>Santa Monica, CA : RAND, ©2011.</t>
  </si>
  <si>
    <t>Occasional paper ; OP-326-OSD</t>
  </si>
  <si>
    <t>2014-10-27</t>
  </si>
  <si>
    <t>837103023:eng</t>
  </si>
  <si>
    <t>709666439</t>
  </si>
  <si>
    <t>ocn709666439</t>
  </si>
  <si>
    <t>3103355777K</t>
  </si>
  <si>
    <t>9780833052100</t>
  </si>
  <si>
    <t>794869562</t>
  </si>
  <si>
    <t>U153 D48 2010</t>
  </si>
  <si>
    <t>0                      U  0153000D  48          2010</t>
  </si>
  <si>
    <t>Developing an assessment framework for U.S. Air Force building partnerships programs / Jennifer D.P. Moroney [and others].</t>
  </si>
  <si>
    <t>Santa Monica, CA : RAND, 2010.</t>
  </si>
  <si>
    <t>RAND Project Air Force</t>
  </si>
  <si>
    <t>766930416:eng</t>
  </si>
  <si>
    <t>495597277</t>
  </si>
  <si>
    <t>ocn495597277</t>
  </si>
  <si>
    <t>3103249919L</t>
  </si>
  <si>
    <t>9780833047380</t>
  </si>
  <si>
    <t>794801843</t>
  </si>
  <si>
    <t>U153 I485 2011</t>
  </si>
  <si>
    <t>0                      U  0153000I  485         2011</t>
  </si>
  <si>
    <t>Integrating the full range of security cooperation programs into Air Force planning : an analytic primer / Jennifer D.P. Moroney.</t>
  </si>
  <si>
    <t>Santa Monica, CA : RAND, 2011.</t>
  </si>
  <si>
    <t>Report ; TR-974-AF</t>
  </si>
  <si>
    <t>1374374565:eng</t>
  </si>
  <si>
    <t>747099831</t>
  </si>
  <si>
    <t>ocn747099831</t>
  </si>
  <si>
    <t>3103485044Q</t>
  </si>
  <si>
    <t>9780833052681</t>
  </si>
  <si>
    <t>794887813</t>
  </si>
  <si>
    <t>U153 K38 2013</t>
  </si>
  <si>
    <t>0                      U  0153000K  38          2013</t>
  </si>
  <si>
    <t>Are U.S. military interventions contagious over time? : intervention timing and its implications for force planning / Jennifer Kavanagh.</t>
  </si>
  <si>
    <t>Kavanagh, Jennifer, 1981-</t>
  </si>
  <si>
    <t>1783344713:eng</t>
  </si>
  <si>
    <t>841199221</t>
  </si>
  <si>
    <t>ocn841199221</t>
  </si>
  <si>
    <t>3103518094X</t>
  </si>
  <si>
    <t>9780833079015</t>
  </si>
  <si>
    <t>794946698</t>
  </si>
  <si>
    <t>U153 M38 2011</t>
  </si>
  <si>
    <t>0                      U  0153000M  38          2011</t>
  </si>
  <si>
    <t>Carrying the war to the enemy : American operational art to 1945 / Michael R. Matheny.</t>
  </si>
  <si>
    <t>Matheny, Michael R., 1950-</t>
  </si>
  <si>
    <t>Norman : University of Oklahoma Press, ©2011.</t>
  </si>
  <si>
    <t>Campaigns and commanders ; v. 28</t>
  </si>
  <si>
    <t>574129497:eng</t>
  </si>
  <si>
    <t>656847722</t>
  </si>
  <si>
    <t>ocn656847722</t>
  </si>
  <si>
    <t>3103344178A</t>
  </si>
  <si>
    <t>9780806141565</t>
  </si>
  <si>
    <t>794835148</t>
  </si>
  <si>
    <t>U153 P452 2011</t>
  </si>
  <si>
    <t>0                      U  0153000P  452         2011</t>
  </si>
  <si>
    <t>Efficiencies from applying a rotational equipping strategy / Christopher G. Pernin [and others].</t>
  </si>
  <si>
    <t>Santa Monica, CA : Rand/Arroyo Center, 2011.</t>
  </si>
  <si>
    <t>Rand Corporation monograph series</t>
  </si>
  <si>
    <t>867251766:eng</t>
  </si>
  <si>
    <t>712127581</t>
  </si>
  <si>
    <t>ocn712127581</t>
  </si>
  <si>
    <t>3103369041Q</t>
  </si>
  <si>
    <t>9780833052001</t>
  </si>
  <si>
    <t>794871846</t>
  </si>
  <si>
    <t>U155 E85 W37 2010</t>
  </si>
  <si>
    <t>0                      U  0155000E  85                 W  37          2010</t>
  </si>
  <si>
    <t>War planning 1914 / edited by Richard F. Hamilton, Holger H. Herwig.</t>
  </si>
  <si>
    <t>2019-11-16</t>
  </si>
  <si>
    <t>1044434432:eng</t>
  </si>
  <si>
    <t>383817699</t>
  </si>
  <si>
    <t>ocn383817699</t>
  </si>
  <si>
    <t>3103241721K</t>
  </si>
  <si>
    <t>9780521110969</t>
  </si>
  <si>
    <t>794495460</t>
  </si>
  <si>
    <t>U155 G3 B83 1991</t>
  </si>
  <si>
    <t>0                      U  0155000G  3                  B  83          1991</t>
  </si>
  <si>
    <t>Moltke, Schlieffen, and Prussian war planning / Arden Bucholz.</t>
  </si>
  <si>
    <t>Bucholz, Arden.</t>
  </si>
  <si>
    <t>New York : Berg : Distributed exclusively in the U.S. and Canada by St. Martin's, 1991.</t>
  </si>
  <si>
    <t>23024856:eng</t>
  </si>
  <si>
    <t>21761266</t>
  </si>
  <si>
    <t>ocm21761266</t>
  </si>
  <si>
    <t>31011450489</t>
  </si>
  <si>
    <t>9780854966530</t>
  </si>
  <si>
    <t>793126988</t>
  </si>
  <si>
    <t>U161 J56 2003</t>
  </si>
  <si>
    <t>0                      U  0161000J  56          2003</t>
  </si>
  <si>
    <t>Zhongguo zhan shu shi / Jin Yuguo zhu.</t>
  </si>
  <si>
    <t>Jin, Yuguo.</t>
  </si>
  <si>
    <t>Beijing : Jie fang jun chu ban she, 2003.</t>
  </si>
  <si>
    <t>2018-07-05</t>
  </si>
  <si>
    <t>181559412:chi</t>
  </si>
  <si>
    <t>52782169</t>
  </si>
  <si>
    <t>ocm52782169</t>
  </si>
  <si>
    <t>3102288567E</t>
  </si>
  <si>
    <t>9787506543668</t>
  </si>
  <si>
    <t>793813894</t>
  </si>
  <si>
    <t>U162 A3 no. 110</t>
  </si>
  <si>
    <t>0                      U  0162000A  3                                                       no. 110</t>
  </si>
  <si>
    <t>American foreign policy in the Nixon era / by A. Hartley.</t>
  </si>
  <si>
    <t>no. 110*</t>
  </si>
  <si>
    <t>Hartley, Anthony.</t>
  </si>
  <si>
    <t>London : International Institute for Strategic Studies, ©1975.</t>
  </si>
  <si>
    <t>Adelphi papers ; no. 110</t>
  </si>
  <si>
    <t>2018-11-09</t>
  </si>
  <si>
    <t>2112576:eng</t>
  </si>
  <si>
    <t>2932445</t>
  </si>
  <si>
    <t>ocm02932445</t>
  </si>
  <si>
    <t>31025101269</t>
  </si>
  <si>
    <t>9780900492891</t>
  </si>
  <si>
    <t>792195601</t>
  </si>
  <si>
    <t>U162 A3 no. 131</t>
  </si>
  <si>
    <t>0                      U  0162000A  3                                                       no. 131</t>
  </si>
  <si>
    <t>The Soviet Union and the PLO / by Galia Golan.</t>
  </si>
  <si>
    <t>no. 131*</t>
  </si>
  <si>
    <t>Golan, Galia.</t>
  </si>
  <si>
    <t>London : International Institute for Strategic Studies, 1976.</t>
  </si>
  <si>
    <t>Adelphi papers ; no. 131, 0567-932X</t>
  </si>
  <si>
    <t>6514879:eng</t>
  </si>
  <si>
    <t>2882512</t>
  </si>
  <si>
    <t>ocm02882512</t>
  </si>
  <si>
    <t>3000464393J</t>
  </si>
  <si>
    <t>9780860790020</t>
  </si>
  <si>
    <t>792188855</t>
  </si>
  <si>
    <t>U162 A3 no. 155</t>
  </si>
  <si>
    <t>0                      U  0162000A  3                                                       no. 155</t>
  </si>
  <si>
    <t>The Aegean dispute / by Andrew Wilson.</t>
  </si>
  <si>
    <t>no. 155*</t>
  </si>
  <si>
    <t>Wilson, Andrew, 1923-</t>
  </si>
  <si>
    <t>London : International Institute for Strategic Studies, 1979.</t>
  </si>
  <si>
    <t>Adelphi papers ; no. 155, 0567-932X</t>
  </si>
  <si>
    <t>131674698:eng</t>
  </si>
  <si>
    <t>5935638</t>
  </si>
  <si>
    <t>ocm05935638</t>
  </si>
  <si>
    <t>3100849388Z</t>
  </si>
  <si>
    <t>9780860790303</t>
  </si>
  <si>
    <t>792464657</t>
  </si>
  <si>
    <t>U162 A3 no. 17</t>
  </si>
  <si>
    <t>0                      U  0162000A  3                                                       no. 17</t>
  </si>
  <si>
    <t>Controlling the risks in Cuba / by Albert and Roberta Wohlstetter.</t>
  </si>
  <si>
    <t>no. 17*</t>
  </si>
  <si>
    <t>Wohlstetter, Albert.</t>
  </si>
  <si>
    <t>London : Institute for Strategic Studies, 1965.</t>
  </si>
  <si>
    <t>Adelphi papers ; no. 17</t>
  </si>
  <si>
    <t>2637154:eng</t>
  </si>
  <si>
    <t>2009106</t>
  </si>
  <si>
    <t>ocm02009106</t>
  </si>
  <si>
    <t>3100849363E</t>
  </si>
  <si>
    <t>792027984</t>
  </si>
  <si>
    <t>U162 A3 no. 210</t>
  </si>
  <si>
    <t>0                      U  0162000A  3                                                       no. 210</t>
  </si>
  <si>
    <t>Deterrence, war-fighting, and Soviet military doctrine / John Van Oudenaren.</t>
  </si>
  <si>
    <t>no. 210*</t>
  </si>
  <si>
    <t>Van Oudenaren, John.</t>
  </si>
  <si>
    <t>London : International Institute for Strategic Studies, 1986.</t>
  </si>
  <si>
    <t>Adelphi papers, 0567-932X ; 210</t>
  </si>
  <si>
    <t>7999877:eng</t>
  </si>
  <si>
    <t>14450851</t>
  </si>
  <si>
    <t>ocm14450851</t>
  </si>
  <si>
    <t>3000474172T</t>
  </si>
  <si>
    <t>9780860791041</t>
  </si>
  <si>
    <t>792891183</t>
  </si>
  <si>
    <t>U162 A3 no. 213</t>
  </si>
  <si>
    <t>0                      U  0162000A  3                                                       no. 213</t>
  </si>
  <si>
    <t>Strategic stability between the super-powers / Paul Stockton.</t>
  </si>
  <si>
    <t>no. 213*</t>
  </si>
  <si>
    <t>Stockton, Paul.</t>
  </si>
  <si>
    <t>Adelphi papers, 0567-932X ; 213</t>
  </si>
  <si>
    <t>8394105:eng</t>
  </si>
  <si>
    <t>15011347</t>
  </si>
  <si>
    <t>ocm15011347</t>
  </si>
  <si>
    <t>3000477203T</t>
  </si>
  <si>
    <t>9780860791072</t>
  </si>
  <si>
    <t>792916432</t>
  </si>
  <si>
    <t>U162 A3 no. 241</t>
  </si>
  <si>
    <t>0                      U  0162000A  3                                                       no. 241</t>
  </si>
  <si>
    <t>Strategic stability in the Arctic / George Lindsey.</t>
  </si>
  <si>
    <t>no. 241*</t>
  </si>
  <si>
    <t>Lindsey, George, 1920-2011.</t>
  </si>
  <si>
    <t>London : Brassey's for International Institute for Strategic Studies, 1989.</t>
  </si>
  <si>
    <t>Adelphi papers, 0567-932X ; 241</t>
  </si>
  <si>
    <t>22731631:eng</t>
  </si>
  <si>
    <t>20347750</t>
  </si>
  <si>
    <t>ocm20347750</t>
  </si>
  <si>
    <t>3103773213S</t>
  </si>
  <si>
    <t>9780080403489</t>
  </si>
  <si>
    <t>793085114</t>
  </si>
  <si>
    <t>U162 A3 no. 255</t>
  </si>
  <si>
    <t>0                      U  0162000A  3                                                       no. 255</t>
  </si>
  <si>
    <t>Soviet Attitudes towards ballistic missile defence and the ABM Treaty / Jeanette Voas.</t>
  </si>
  <si>
    <t>no.255</t>
  </si>
  <si>
    <t>Voas, Jeanette.</t>
  </si>
  <si>
    <t>London : Brassey's for the International Institute for Strategic Studies, ©1990.</t>
  </si>
  <si>
    <t>Adelphi papers, 0567-932X ; 255</t>
  </si>
  <si>
    <t>24166856:eng</t>
  </si>
  <si>
    <t>23011450</t>
  </si>
  <si>
    <t>ocm23011450</t>
  </si>
  <si>
    <t>3101147518P</t>
  </si>
  <si>
    <t>9780080413228</t>
  </si>
  <si>
    <t>793159268</t>
  </si>
  <si>
    <t>U162 A3 no. 270</t>
  </si>
  <si>
    <t>0                      U  0162000A  3                                                       no. 270</t>
  </si>
  <si>
    <t>The Yugoslav conflict : an analysis of the causes of the Yugoslav war, the policies of the republics and the regional and international implications of the conflict / John Zametica.</t>
  </si>
  <si>
    <t>no. 270*</t>
  </si>
  <si>
    <t>Zametica, John.</t>
  </si>
  <si>
    <t>London : Brassey's, 1992.</t>
  </si>
  <si>
    <t>Adelphi paper, 0567-932X ; 270</t>
  </si>
  <si>
    <t>2019-03-19</t>
  </si>
  <si>
    <t>10097768837:eng</t>
  </si>
  <si>
    <t>59902977</t>
  </si>
  <si>
    <t>ocm59902977</t>
  </si>
  <si>
    <t>3101210250D</t>
  </si>
  <si>
    <t>9781857530520</t>
  </si>
  <si>
    <t>793932778</t>
  </si>
  <si>
    <t>U162 A3 no. 304</t>
  </si>
  <si>
    <t>0                      U  0162000A  3                                                       no. 304</t>
  </si>
  <si>
    <t>Iran-Saudi Arabia relations and regional order : Iran and Saudi Arabia in the balance of power in the Gulf / Shahram Chubin and Charles Tripp.</t>
  </si>
  <si>
    <t>no. 304*</t>
  </si>
  <si>
    <t>Chubin, Shahram.</t>
  </si>
  <si>
    <t>Oxford [England] ; New York, NY : Oxford University Press for the International Institute for Strategic Studies, 1996.</t>
  </si>
  <si>
    <t>Adelphi paper, 0567-932X ; 304</t>
  </si>
  <si>
    <t>2017-11-09</t>
  </si>
  <si>
    <t>837042103:eng</t>
  </si>
  <si>
    <t>36033566</t>
  </si>
  <si>
    <t>ocm36033566</t>
  </si>
  <si>
    <t>3101536666U</t>
  </si>
  <si>
    <t>9780198292838</t>
  </si>
  <si>
    <t>793464504</t>
  </si>
  <si>
    <t>U162 A3 no. 346</t>
  </si>
  <si>
    <t>0                      U  0162000A  3                                                       no. 346</t>
  </si>
  <si>
    <t>The strategic implications of China's energy needs / Philip Andrews-Speed, Xuanli Liao, and Roland Dannreuther.</t>
  </si>
  <si>
    <t>no. 346*</t>
  </si>
  <si>
    <t>Andrews-Speed, C. P.</t>
  </si>
  <si>
    <t>London ; New York : Oxford University Press for the International Institute for Strategic Studies, [2002]</t>
  </si>
  <si>
    <t>Adelphi paper, 0567-932X ; 346</t>
  </si>
  <si>
    <t>2015-04-21</t>
  </si>
  <si>
    <t>9093807905:eng</t>
  </si>
  <si>
    <t>50275042</t>
  </si>
  <si>
    <t>ocm50275042</t>
  </si>
  <si>
    <t>3102284106H</t>
  </si>
  <si>
    <t>9780198516750</t>
  </si>
  <si>
    <t>793759655</t>
  </si>
  <si>
    <t>U162 A3 no. 348</t>
  </si>
  <si>
    <t>0                      U  0162000A  3                                                       no. 348</t>
  </si>
  <si>
    <t>Saudi Arabia and the illusion of security / J.E. Peterson.</t>
  </si>
  <si>
    <t>no. 348*</t>
  </si>
  <si>
    <t>Peterson, John, 1947-</t>
  </si>
  <si>
    <t>London : Oxford University Press for the International Institute for Strategic Studies, 2002.</t>
  </si>
  <si>
    <t>Adelphi paper, 0567-932X ; 348</t>
  </si>
  <si>
    <t>664014:eng</t>
  </si>
  <si>
    <t>50422151</t>
  </si>
  <si>
    <t>ocm50422151</t>
  </si>
  <si>
    <t>31022840902</t>
  </si>
  <si>
    <t>9780198516774</t>
  </si>
  <si>
    <t>793764750</t>
  </si>
  <si>
    <t>U162 A3 no. 351</t>
  </si>
  <si>
    <t>0                      U  0162000A  3                                                       no. 351</t>
  </si>
  <si>
    <t>Investing in peace : aid and conditionality after civil wars / James K. Boyce.</t>
  </si>
  <si>
    <t>no. 351*</t>
  </si>
  <si>
    <t>Boyce, James K.</t>
  </si>
  <si>
    <t>Oxford ; New York : Oxford University Press for the International Institute for Strategic Studies, London, 2002.</t>
  </si>
  <si>
    <t>Adelphi paper, 0567-932X ; 351</t>
  </si>
  <si>
    <t>2018-05-07</t>
  </si>
  <si>
    <t>795406417:eng</t>
  </si>
  <si>
    <t>48931530</t>
  </si>
  <si>
    <t>ocm48931530</t>
  </si>
  <si>
    <t>31022840952</t>
  </si>
  <si>
    <t>9780198516699</t>
  </si>
  <si>
    <t>793730728</t>
  </si>
  <si>
    <t>U162 A3 no. 352</t>
  </si>
  <si>
    <t>0                      U  0162000A  3                                                       no. 352</t>
  </si>
  <si>
    <t>Globalisation and insurgency / John Mackinlay.</t>
  </si>
  <si>
    <t>no. 352*</t>
  </si>
  <si>
    <t>Mackinlay, John.</t>
  </si>
  <si>
    <t>Oxford ; New York : Oxford University Press for the International Institute for Strategic Studies, ©2002.</t>
  </si>
  <si>
    <t>Adelphi paper, 0567-932X ; no. 352</t>
  </si>
  <si>
    <t>2018-02-15</t>
  </si>
  <si>
    <t>664209:eng</t>
  </si>
  <si>
    <t>51199170</t>
  </si>
  <si>
    <t>ocm51199170</t>
  </si>
  <si>
    <t>3102284101H</t>
  </si>
  <si>
    <t>9780198527077</t>
  </si>
  <si>
    <t>793780228</t>
  </si>
  <si>
    <t>U162 A3 no. 358</t>
  </si>
  <si>
    <t>0                      U  0162000A  3                                                       no. 358</t>
  </si>
  <si>
    <t>Political Islam in Southeast Asia : moderates, radicals and terrorists / Angel M. Rabasa.</t>
  </si>
  <si>
    <t>no. 358*</t>
  </si>
  <si>
    <t>Rabasa, Angel.</t>
  </si>
  <si>
    <t>Oxford ; New York : Oxford University Press for the International Institute for Strategic Studies, 2003.</t>
  </si>
  <si>
    <t>Adelphi paper ; 358</t>
  </si>
  <si>
    <t>2019-11-01</t>
  </si>
  <si>
    <t>664289:eng</t>
  </si>
  <si>
    <t>52437786</t>
  </si>
  <si>
    <t>ocm52437786</t>
  </si>
  <si>
    <t>3102393639Q</t>
  </si>
  <si>
    <t>9780198529118</t>
  </si>
  <si>
    <t>793806533</t>
  </si>
  <si>
    <t>U162 A3 no. 364</t>
  </si>
  <si>
    <t>0                      U  0162000A  3                                                       no. 364</t>
  </si>
  <si>
    <t>Somalia : state collapse and the threat of terrorism / Ken Menkhaus.</t>
  </si>
  <si>
    <t>no. 364*</t>
  </si>
  <si>
    <t>Menkhaus, Kenneth John.</t>
  </si>
  <si>
    <t>Oxford ; New York : Oxford University Press for the International Institute for Strategic Studies, 2004.</t>
  </si>
  <si>
    <t>Adelphi paper, 0567-932X ; 364</t>
  </si>
  <si>
    <t>2019-03-25</t>
  </si>
  <si>
    <t>795502002:eng</t>
  </si>
  <si>
    <t>55218622</t>
  </si>
  <si>
    <t>ocm55218622</t>
  </si>
  <si>
    <t>3102565359Q</t>
  </si>
  <si>
    <t>9780198516705</t>
  </si>
  <si>
    <t>793876075</t>
  </si>
  <si>
    <t>U162 A3 no. 379</t>
  </si>
  <si>
    <t>0                      U  0162000A  3                                                       no. 379</t>
  </si>
  <si>
    <t>The transformation of strategic affairs / Lawrence Freedman.</t>
  </si>
  <si>
    <t>no. 379*</t>
  </si>
  <si>
    <t>Freedman, Lawrence, author.</t>
  </si>
  <si>
    <t>Abingdon ; New York : Routledge for the International Institute for Strategic Studies, 2006.</t>
  </si>
  <si>
    <t>Adelphi paper, 0567-932X ; 379</t>
  </si>
  <si>
    <t>51072185:eng</t>
  </si>
  <si>
    <t>67617495</t>
  </si>
  <si>
    <t>ocm67617495</t>
  </si>
  <si>
    <t>31026307742</t>
  </si>
  <si>
    <t>9780415407243</t>
  </si>
  <si>
    <t>794141109</t>
  </si>
  <si>
    <t>U162 A3 no. 381</t>
  </si>
  <si>
    <t>0                      U  0162000A  3                                                       no. 381</t>
  </si>
  <si>
    <t>Myanmar's foreign policy : domestic influences and international implications / Jürgen Haacke.</t>
  </si>
  <si>
    <t>no. 381*</t>
  </si>
  <si>
    <t>Haacke, Jürgen, 1966-</t>
  </si>
  <si>
    <t>Abingdon, Oxon ; New York : Routledge for the International Institute for Strategic Studies, 2006.</t>
  </si>
  <si>
    <t>Adelphi paper, 0567-932X ; 381</t>
  </si>
  <si>
    <t>2018-09-25</t>
  </si>
  <si>
    <t>196188535:eng</t>
  </si>
  <si>
    <t>70214045</t>
  </si>
  <si>
    <t>ocm70214045</t>
  </si>
  <si>
    <t>3102634387X</t>
  </si>
  <si>
    <t>9780415407267</t>
  </si>
  <si>
    <t>794150857</t>
  </si>
  <si>
    <t>U162 A3 no. 383</t>
  </si>
  <si>
    <t>0                      U  0162000A  3                                                       no. 383</t>
  </si>
  <si>
    <t>Nuclear superiority : the 'new triad' and the evolution of nuclear strategy / David S. McDonough.</t>
  </si>
  <si>
    <t>no. 383*</t>
  </si>
  <si>
    <t>McDonough, David S., 1978-</t>
  </si>
  <si>
    <t>Adelphi paper, 0567-932X ; 383</t>
  </si>
  <si>
    <t>196189375:eng</t>
  </si>
  <si>
    <t>74329984</t>
  </si>
  <si>
    <t>ocm74329984</t>
  </si>
  <si>
    <t>3102639286G</t>
  </si>
  <si>
    <t>9780415427340</t>
  </si>
  <si>
    <t>794172267</t>
  </si>
  <si>
    <t>U162 A3 no.157</t>
  </si>
  <si>
    <t>0                      U  0162000A  3                                                       no.157</t>
  </si>
  <si>
    <t>Soviet policy towards Iran and the Gulf / by Shahram Chubin.</t>
  </si>
  <si>
    <t>no.157*</t>
  </si>
  <si>
    <t>London : International Institute for Strategic Studies, 1980.</t>
  </si>
  <si>
    <t>Adelphi papers ; no. 157, 0567-932X</t>
  </si>
  <si>
    <t>2017-12-05</t>
  </si>
  <si>
    <t>21239735:eng</t>
  </si>
  <si>
    <t>6161365</t>
  </si>
  <si>
    <t>ocm06161365</t>
  </si>
  <si>
    <t>3000307190O</t>
  </si>
  <si>
    <t>9780860790341</t>
  </si>
  <si>
    <t>792479527</t>
  </si>
  <si>
    <t>U162 A3 no.282</t>
  </si>
  <si>
    <t>0                      U  0162000A  3                                                       no.282</t>
  </si>
  <si>
    <t>The Gulf conflict : a military analysis : a military analysis of the lessons of the Gulf War with recommendations for future security in the region / Jeffrey McCausland.</t>
  </si>
  <si>
    <t>no.282*</t>
  </si>
  <si>
    <t>McCausland, Jeffrey D.</t>
  </si>
  <si>
    <t>London : Brassey's for the International Institute for Strategic Studies, ©1993.</t>
  </si>
  <si>
    <t>Adelphi paper ; 282</t>
  </si>
  <si>
    <t>196188544:eng</t>
  </si>
  <si>
    <t>29561872</t>
  </si>
  <si>
    <t>ocm29561872</t>
  </si>
  <si>
    <t>3101346879L</t>
  </si>
  <si>
    <t>9781857531008</t>
  </si>
  <si>
    <t>793314311</t>
  </si>
  <si>
    <t>U162 A3 no.298</t>
  </si>
  <si>
    <t>0                      U  0162000A  3                                                       no.298</t>
  </si>
  <si>
    <t>China and the South China Sea disputes : conflicting claims and potential solutions in the South China Sea / Mark J. Valencia.</t>
  </si>
  <si>
    <t>no.298*</t>
  </si>
  <si>
    <t>Valencia, Mark J.</t>
  </si>
  <si>
    <t>Oxford ; New York : Oxford University Press for the International Institute for Strategic Studies, 1995.</t>
  </si>
  <si>
    <t>Adelphi paper, 0567-923X ; 298</t>
  </si>
  <si>
    <t>2017-11-18</t>
  </si>
  <si>
    <t>2288117722:eng</t>
  </si>
  <si>
    <t>33437966</t>
  </si>
  <si>
    <t>ocm33437966</t>
  </si>
  <si>
    <t>3101492038D</t>
  </si>
  <si>
    <t>9780198280897</t>
  </si>
  <si>
    <t>793409314</t>
  </si>
  <si>
    <t>U162 A3 no.303</t>
  </si>
  <si>
    <t>0                      U  0162000A  3                                                       no.303</t>
  </si>
  <si>
    <t>Disarmament and demobilisation after civil wars : arms, soldiers and the termination of armed conflicts / Mats R. Berdal.</t>
  </si>
  <si>
    <t>no.303*</t>
  </si>
  <si>
    <t>Berdal, Mats R., 1965-</t>
  </si>
  <si>
    <t>Adelphi paper, 0567-923X ; 303</t>
  </si>
  <si>
    <t>40230856:eng</t>
  </si>
  <si>
    <t>35327149</t>
  </si>
  <si>
    <t>ocm35327149</t>
  </si>
  <si>
    <t>3102785720Z</t>
  </si>
  <si>
    <t>9780198280262</t>
  </si>
  <si>
    <t>793449643</t>
  </si>
  <si>
    <t>U162 A3 no.320</t>
  </si>
  <si>
    <t>0                      U  0162000A  3                                                       no.320</t>
  </si>
  <si>
    <t>The economic functions of violence in civil wars / David Keen.</t>
  </si>
  <si>
    <t>no.320*</t>
  </si>
  <si>
    <t>Oxford ; New York : Oxford University Press for the International Institute for Strategic Studies, 1998.</t>
  </si>
  <si>
    <t>Adelphi paper, 0567-932X ; 320</t>
  </si>
  <si>
    <t>2017-03-20</t>
  </si>
  <si>
    <t>41967045:eng</t>
  </si>
  <si>
    <t>39521583</t>
  </si>
  <si>
    <t>ocm39521583</t>
  </si>
  <si>
    <t>31019456912</t>
  </si>
  <si>
    <t>9780199223732</t>
  </si>
  <si>
    <t>793547694</t>
  </si>
  <si>
    <t>U162 A3 no.326</t>
  </si>
  <si>
    <t>0                      U  0162000A  3                                                       no.326</t>
  </si>
  <si>
    <t>The US and nuclear deterrence in Europe / David S. Yost.</t>
  </si>
  <si>
    <t>no.326*</t>
  </si>
  <si>
    <t>Yost, David S. (David Scott), 1948-</t>
  </si>
  <si>
    <t>Oxford ; New York : Oxford University Press for the International Institute for Strategic Studies, 1999.</t>
  </si>
  <si>
    <t>Adelphi paper, 0567-932X ; 326</t>
  </si>
  <si>
    <t>2015-03-31</t>
  </si>
  <si>
    <t>26272055:eng</t>
  </si>
  <si>
    <t>41152522</t>
  </si>
  <si>
    <t>ocm41152522</t>
  </si>
  <si>
    <t>3101952172Z</t>
  </si>
  <si>
    <t>9780199224265</t>
  </si>
  <si>
    <t>793585521</t>
  </si>
  <si>
    <t>U162 A3 no.327</t>
  </si>
  <si>
    <t>0                      U  0162000A  3                                                       no.327</t>
  </si>
  <si>
    <t>Nuclear policies in Europe / Bruno Tertrais.</t>
  </si>
  <si>
    <t>no.327*</t>
  </si>
  <si>
    <t>Tertrais, Bruno.</t>
  </si>
  <si>
    <t>Adelphi paper, 0567-932X ; 327</t>
  </si>
  <si>
    <t>8861393340:eng</t>
  </si>
  <si>
    <t>41152520</t>
  </si>
  <si>
    <t>ocm41152520</t>
  </si>
  <si>
    <t>31019466349</t>
  </si>
  <si>
    <t>9780199224272</t>
  </si>
  <si>
    <t>793585520</t>
  </si>
  <si>
    <t>U162 A3 no.335</t>
  </si>
  <si>
    <t>0                      U  0162000A  3                                                       no.335</t>
  </si>
  <si>
    <t>Continuity and change in Israeli security policy / Mark A. Heller.</t>
  </si>
  <si>
    <t>no.335*</t>
  </si>
  <si>
    <t>Heller, Mark.</t>
  </si>
  <si>
    <t>Oxford ; New York : Oxford University Press for the International Institute for Strategic Studies, 2000.</t>
  </si>
  <si>
    <t>Adelphi paper, 0567-932X ; 335</t>
  </si>
  <si>
    <t>2017-11-20</t>
  </si>
  <si>
    <t>44128154:eng</t>
  </si>
  <si>
    <t>44789502</t>
  </si>
  <si>
    <t>ocm44789502</t>
  </si>
  <si>
    <t>3102058698M</t>
  </si>
  <si>
    <t>9780199224838</t>
  </si>
  <si>
    <t>793658240</t>
  </si>
  <si>
    <t>U162 A3 no.341</t>
  </si>
  <si>
    <t>0                      U  0162000A  3                                                       no.341</t>
  </si>
  <si>
    <t>A new trusteeship? : the international administration of war-torn territories / Richard Caplan.</t>
  </si>
  <si>
    <t>no.341*</t>
  </si>
  <si>
    <t>Caplan, Richard.</t>
  </si>
  <si>
    <t>Oxford : Oxford University Press for the International Institute for Strategic Studies, 2002.</t>
  </si>
  <si>
    <t>Adelphi paper, 0567-932X ; 341</t>
  </si>
  <si>
    <t>2017-03-24</t>
  </si>
  <si>
    <t>838421496:eng</t>
  </si>
  <si>
    <t>59421301</t>
  </si>
  <si>
    <t>ocm59421301</t>
  </si>
  <si>
    <t>31029304371</t>
  </si>
  <si>
    <t>9780198515654</t>
  </si>
  <si>
    <t>793929918</t>
  </si>
  <si>
    <t>U162 A3 no.365</t>
  </si>
  <si>
    <t>0                      U  0162000A  3                                                       no.365</t>
  </si>
  <si>
    <t>Reshaping defence diplomacy : new roles for military cooperation and assistance / Andrew Cottey and Anthony Forster.</t>
  </si>
  <si>
    <t>no.365*</t>
  </si>
  <si>
    <t>Cottey, Andrew.</t>
  </si>
  <si>
    <t>Adelphi paper, 0567-932X ; 365</t>
  </si>
  <si>
    <t>2016-11-11</t>
  </si>
  <si>
    <t>864897960:eng</t>
  </si>
  <si>
    <t>55218793</t>
  </si>
  <si>
    <t>ocm55218793</t>
  </si>
  <si>
    <t>31024937985</t>
  </si>
  <si>
    <t>9780198566533</t>
  </si>
  <si>
    <t>793876081</t>
  </si>
  <si>
    <t>U162 A3 no.372</t>
  </si>
  <si>
    <t>0                      U  0162000A  3                                                       no.372</t>
  </si>
  <si>
    <t>Iraq's future : the aftermath of regime change / Toby Dodge.</t>
  </si>
  <si>
    <t>no.372*</t>
  </si>
  <si>
    <t>Dodge, Toby.</t>
  </si>
  <si>
    <t>London ; New York : Routledge for the International Institute for Strategic Studies, 2005.</t>
  </si>
  <si>
    <t>Adelphi paper, 0567-932X ; 372</t>
  </si>
  <si>
    <t>2019-03-07</t>
  </si>
  <si>
    <t>801970422:eng</t>
  </si>
  <si>
    <t>57064649</t>
  </si>
  <si>
    <t>ocm57064649</t>
  </si>
  <si>
    <t>3102546449V</t>
  </si>
  <si>
    <t>9780415363891</t>
  </si>
  <si>
    <t>793906609</t>
  </si>
  <si>
    <t>U162 A3 no.373</t>
  </si>
  <si>
    <t>0                      U  0162000A  3                                                       no.373</t>
  </si>
  <si>
    <t>Fuelling war : natural resources and armed conflict / Philippe Le Billon.</t>
  </si>
  <si>
    <t>no.373*</t>
  </si>
  <si>
    <t>Le Billon, Philippe.</t>
  </si>
  <si>
    <t>Abingdon, Oxon ; New York : Routledge for the International Institute for Strategic Studies, London, 2005.</t>
  </si>
  <si>
    <t>Adelphi paper, 0567-932X ; 373</t>
  </si>
  <si>
    <t>864521660:eng</t>
  </si>
  <si>
    <t>60564306</t>
  </si>
  <si>
    <t>ocm60564306</t>
  </si>
  <si>
    <t>31026326591</t>
  </si>
  <si>
    <t>9780415379700</t>
  </si>
  <si>
    <t>793939980</t>
  </si>
  <si>
    <t>U162 A3 no.377</t>
  </si>
  <si>
    <t>0                      U  0162000A  3                                                       no.377</t>
  </si>
  <si>
    <t>Revitalising US-Russian security cooperation : practical measures / Richard Weitz.</t>
  </si>
  <si>
    <t>no.377*</t>
  </si>
  <si>
    <t>Weitz, Richard.</t>
  </si>
  <si>
    <t>Abingdon, Oxon ; New York : Routledge for the International Institute for Strategic Studies, 2005.</t>
  </si>
  <si>
    <t>Adelphi paper, 0567-932X ; 377</t>
  </si>
  <si>
    <t>2015-09-27</t>
  </si>
  <si>
    <t>864522814:eng</t>
  </si>
  <si>
    <t>62585930</t>
  </si>
  <si>
    <t>ocm62585930</t>
  </si>
  <si>
    <t>3102633757V</t>
  </si>
  <si>
    <t>9780415398640</t>
  </si>
  <si>
    <t>794110006</t>
  </si>
  <si>
    <t>U162 A3 no.393</t>
  </si>
  <si>
    <t>0                      U  0162000A  3                                                       no.393</t>
  </si>
  <si>
    <t>Iran under Ahmadinejad : the politics of confrontation / Ali M. Ansari.</t>
  </si>
  <si>
    <t>no.393*</t>
  </si>
  <si>
    <t>Ansari, Ali M., author.</t>
  </si>
  <si>
    <t>Abingdon, Oxon : Routledge for the International Institute for Strategic Studies, 2007.</t>
  </si>
  <si>
    <t>Adelphi paper ; 393</t>
  </si>
  <si>
    <t>196189389:eng</t>
  </si>
  <si>
    <t>176945872</t>
  </si>
  <si>
    <t>ocn176945872</t>
  </si>
  <si>
    <t>3102978650D</t>
  </si>
  <si>
    <t>9780415454865</t>
  </si>
  <si>
    <t>794277996</t>
  </si>
  <si>
    <t>U162 A3 no.402</t>
  </si>
  <si>
    <t>0                      U  0162000A  3                                                       no.402</t>
  </si>
  <si>
    <t>Iraq's Sunni insurgency / Ahmed S. Hashim.</t>
  </si>
  <si>
    <t>no.402*</t>
  </si>
  <si>
    <t>Hashim, Ahmed.</t>
  </si>
  <si>
    <t>Abingdon, U.K. : Routledge for the International Institute for Strategic Studies, 2009.</t>
  </si>
  <si>
    <t>Adelphi paper ; 402</t>
  </si>
  <si>
    <t>189781910:eng</t>
  </si>
  <si>
    <t>310391474</t>
  </si>
  <si>
    <t>ocn310391474</t>
  </si>
  <si>
    <t>3102857243A</t>
  </si>
  <si>
    <t>9780415466554</t>
  </si>
  <si>
    <t>794435294</t>
  </si>
  <si>
    <t>U162 A3 no.52</t>
  </si>
  <si>
    <t>0                      U  0162000A  3                                                       no.52</t>
  </si>
  <si>
    <t>Arms &amp; security: the Egypt-Israel case.</t>
  </si>
  <si>
    <t>no.52*</t>
  </si>
  <si>
    <t>Kemp, Geoffrey.</t>
  </si>
  <si>
    <t>London, Institute for Strategic Studies, 1968.</t>
  </si>
  <si>
    <t>Adelphi papers, no. 52</t>
  </si>
  <si>
    <t>1359195:eng</t>
  </si>
  <si>
    <t>194269</t>
  </si>
  <si>
    <t>ocm00194269</t>
  </si>
  <si>
    <t>30005573585</t>
  </si>
  <si>
    <t>9780900492006</t>
  </si>
  <si>
    <t>791290241</t>
  </si>
  <si>
    <t>U162 B59 1968</t>
  </si>
  <si>
    <t>0                      U  0162000B  59          1968</t>
  </si>
  <si>
    <t>The principles of strategy, illustrated mainly from American campaigns.</t>
  </si>
  <si>
    <t>Bigelow, John, 1854-1936.</t>
  </si>
  <si>
    <t>New York, Greenwood Press [1968]</t>
  </si>
  <si>
    <t>The West Point military library</t>
  </si>
  <si>
    <t>2019-03-24</t>
  </si>
  <si>
    <t>903473026:eng</t>
  </si>
  <si>
    <t>2321</t>
  </si>
  <si>
    <t>ocm00002321</t>
  </si>
  <si>
    <t>3000224496A</t>
  </si>
  <si>
    <t>791224670</t>
  </si>
  <si>
    <t>U162 C66</t>
  </si>
  <si>
    <t>0                      U  0162000C  66</t>
  </si>
  <si>
    <t>Contemporary strategy : theories and policies / John Baylis [and others].</t>
  </si>
  <si>
    <t>New York : Holmes &amp; Meier Publishers, 1975.</t>
  </si>
  <si>
    <t>2019-11-18</t>
  </si>
  <si>
    <t>2452477982:eng</t>
  </si>
  <si>
    <t>1916921</t>
  </si>
  <si>
    <t>ocm01916921</t>
  </si>
  <si>
    <t>30004099952</t>
  </si>
  <si>
    <t>9780841902213</t>
  </si>
  <si>
    <t>792011183</t>
  </si>
  <si>
    <t>U162 C66 1987</t>
  </si>
  <si>
    <t>0                      U  0162000C  66          1987</t>
  </si>
  <si>
    <t>Contemporary strategy / John Baylis [and others].</t>
  </si>
  <si>
    <t>New York : Holmes &amp; Meier, 1987.</t>
  </si>
  <si>
    <t>2nd ed., rev. and enl.</t>
  </si>
  <si>
    <t>2019-11-08</t>
  </si>
  <si>
    <t>5342483203:eng</t>
  </si>
  <si>
    <t>14214560</t>
  </si>
  <si>
    <t>ocm14214560</t>
  </si>
  <si>
    <t>31012231027</t>
  </si>
  <si>
    <t>9780841909298</t>
  </si>
  <si>
    <t>792882233</t>
  </si>
  <si>
    <t>3101139932B</t>
  </si>
  <si>
    <t>792882234</t>
  </si>
  <si>
    <t>U162 E95 2011</t>
  </si>
  <si>
    <t>0                      U  0162000E  95          2011</t>
  </si>
  <si>
    <t>The evolution of operational art : from Napoleon to the present / edited by John Andreas Olsen and Martin van Creveld.</t>
  </si>
  <si>
    <t>Oxford : Oxford University Press, ©2011.</t>
  </si>
  <si>
    <t>2011-05-09</t>
  </si>
  <si>
    <t>813800020:eng</t>
  </si>
  <si>
    <t>689008077</t>
  </si>
  <si>
    <t>ocn689008077</t>
  </si>
  <si>
    <t>3103233530L</t>
  </si>
  <si>
    <t>9780199599486</t>
  </si>
  <si>
    <t>794854746</t>
  </si>
  <si>
    <t>U162 F36</t>
  </si>
  <si>
    <t>0                      U  0162000F  36</t>
  </si>
  <si>
    <t>The axis grand strategy; blueprints for the total war, compiled and edited by Ladislas Farago, with the co-operation of Major William Moseley Brown, Major George Fielding Eliot, Foster Kennedy [and others] ... for the Committee for national morale.</t>
  </si>
  <si>
    <t>Farago, Ladislas, editor.</t>
  </si>
  <si>
    <t>New York, Toronto, Farrar &amp; Rinehart [1942]</t>
  </si>
  <si>
    <t>1942</t>
  </si>
  <si>
    <t>2017-11-30</t>
  </si>
  <si>
    <t>1498514:eng</t>
  </si>
  <si>
    <t>347101</t>
  </si>
  <si>
    <t>ocm00347101</t>
  </si>
  <si>
    <t>3103872015U</t>
  </si>
  <si>
    <t>791345453</t>
  </si>
  <si>
    <t>U162 G724 2002</t>
  </si>
  <si>
    <t>0                      U  0162000G  724         2002</t>
  </si>
  <si>
    <t>Strategy for chaos : revolutions in military affairs and the evidence of history / Colin S. Gray ; with a foreword by Williamson Murray.</t>
  </si>
  <si>
    <t>London : Frank Cass, 2004.</t>
  </si>
  <si>
    <t>Cass series. Strategy and history ; no. 2</t>
  </si>
  <si>
    <t>2017-02-06</t>
  </si>
  <si>
    <t>792927845:eng</t>
  </si>
  <si>
    <t>53388656</t>
  </si>
  <si>
    <t>ocm53388656</t>
  </si>
  <si>
    <t>3102496977S</t>
  </si>
  <si>
    <t>9780714684833</t>
  </si>
  <si>
    <t>793827678</t>
  </si>
  <si>
    <t>U162 G735 2010</t>
  </si>
  <si>
    <t>0                      U  0162000G  735         2010</t>
  </si>
  <si>
    <t>The strategy bridge : theory for practice / Colin S. Gray.</t>
  </si>
  <si>
    <t>Oxford ; New York, NY : Oxford University Press, 2010.</t>
  </si>
  <si>
    <t>2018-12-19</t>
  </si>
  <si>
    <t>793936568:eng</t>
  </si>
  <si>
    <t>642283159</t>
  </si>
  <si>
    <t>ocn642283159</t>
  </si>
  <si>
    <t>3103230875G</t>
  </si>
  <si>
    <t>9780199579662</t>
  </si>
  <si>
    <t>794828045</t>
  </si>
  <si>
    <t>U162 H48 2010</t>
  </si>
  <si>
    <t>0                      U  0162000H  48          2010</t>
  </si>
  <si>
    <t>The evolution of strategy : thinking war from antiquity to the present / Beatrice Heuser.</t>
  </si>
  <si>
    <t>Heuser, Beatrice, 1961-</t>
  </si>
  <si>
    <t>Cambridge, UK ; New York : Cambridge University Press, 2010.</t>
  </si>
  <si>
    <t>2012-06-14</t>
  </si>
  <si>
    <t>792783406:eng</t>
  </si>
  <si>
    <t>639166426</t>
  </si>
  <si>
    <t>ocn639166426</t>
  </si>
  <si>
    <t>31033121550</t>
  </si>
  <si>
    <t>9780521199681</t>
  </si>
  <si>
    <t>794826662</t>
  </si>
  <si>
    <t>U162 K25</t>
  </si>
  <si>
    <t>0                      U  0162000K  25</t>
  </si>
  <si>
    <t>Thinking about the unthinkable.</t>
  </si>
  <si>
    <t>Kahn, Herman, 1922-1983.</t>
  </si>
  <si>
    <t>New York, Horizon Press, 1962.</t>
  </si>
  <si>
    <t>1962</t>
  </si>
  <si>
    <t>2017-12-13</t>
  </si>
  <si>
    <t>20031946:eng</t>
  </si>
  <si>
    <t>567732</t>
  </si>
  <si>
    <t>ocm00567732</t>
  </si>
  <si>
    <t>31030144541</t>
  </si>
  <si>
    <t>791416823</t>
  </si>
  <si>
    <t>U162 M25 1986</t>
  </si>
  <si>
    <t>0                      U  0162000M  25          1986</t>
  </si>
  <si>
    <t>Makers of modern strategy : from Machiavelli to the nuclear age / edited by Peter Paret with the collaboration of Gordon A. Craig and Felix Gilbert.</t>
  </si>
  <si>
    <t>Princeton, N.J. : Princeton University Press, ©1986.</t>
  </si>
  <si>
    <t>Princeton paperbacks</t>
  </si>
  <si>
    <t>2016-08-08</t>
  </si>
  <si>
    <t>7083081:eng</t>
  </si>
  <si>
    <t>12370286</t>
  </si>
  <si>
    <t>ocm12370286</t>
  </si>
  <si>
    <t>3103006999C</t>
  </si>
  <si>
    <t>9780691092355</t>
  </si>
  <si>
    <t>792812375</t>
  </si>
  <si>
    <t>U162 M254 1994</t>
  </si>
  <si>
    <t>0                      U  0162000M  254         1994</t>
  </si>
  <si>
    <t>The Making of strategy : rulers, states, and war / edited by Williamson Murray, MacGregor Knox, Alvin Bernstein.</t>
  </si>
  <si>
    <t>Cambridge, England ; New York : Cambridge University Press, 1994.</t>
  </si>
  <si>
    <t>836745643:eng</t>
  </si>
  <si>
    <t>29846167</t>
  </si>
  <si>
    <t>ocm29846167</t>
  </si>
  <si>
    <t>3101487444K</t>
  </si>
  <si>
    <t>9780521453899</t>
  </si>
  <si>
    <t>793321993</t>
  </si>
  <si>
    <t>U162 N29 1997</t>
  </si>
  <si>
    <t>0                      U  0162000N  29          1997</t>
  </si>
  <si>
    <t>In pursuit of military excellence : the evolution of operational theory / Shimon Naveh.</t>
  </si>
  <si>
    <t>Naveh, Shimon.</t>
  </si>
  <si>
    <t>London ; Portland, OR : Frank Cass, 1997.</t>
  </si>
  <si>
    <t>The Cummings Center series, 1365-3733 ; 7</t>
  </si>
  <si>
    <t>2016-03-26</t>
  </si>
  <si>
    <t>836953576:eng</t>
  </si>
  <si>
    <t>36884345</t>
  </si>
  <si>
    <t>ocm36884345</t>
  </si>
  <si>
    <t>3101848793N</t>
  </si>
  <si>
    <t>9780714647272</t>
  </si>
  <si>
    <t>793486677</t>
  </si>
  <si>
    <t>U162 O36 2004</t>
  </si>
  <si>
    <t>0                      U  0162000O  36          2004</t>
  </si>
  <si>
    <t>Offense, defense, and war / edited by Michael E. Brown [and others].</t>
  </si>
  <si>
    <t>Cambridge, Mass. : MIT Press, ©2004.</t>
  </si>
  <si>
    <t>An international security reader</t>
  </si>
  <si>
    <t>2018-04-03</t>
  </si>
  <si>
    <t>57062180:eng</t>
  </si>
  <si>
    <t>55488190</t>
  </si>
  <si>
    <t>ocm55488190</t>
  </si>
  <si>
    <t>3102441608M</t>
  </si>
  <si>
    <t>9780262523165</t>
  </si>
  <si>
    <t>793877030</t>
  </si>
  <si>
    <t>U162 O85 2006</t>
  </si>
  <si>
    <t>0                      U  0162000O  85          2006</t>
  </si>
  <si>
    <t>Science, strategy and war : the strategic theory of John Boyd / Frans P.B. Osinga.</t>
  </si>
  <si>
    <t>Osinga, Frans P. B.</t>
  </si>
  <si>
    <t>Strategy and history ; 18</t>
  </si>
  <si>
    <t>51212709:eng</t>
  </si>
  <si>
    <t>67773991</t>
  </si>
  <si>
    <t>ocm67773991</t>
  </si>
  <si>
    <t>3103081894W</t>
  </si>
  <si>
    <t>9780415371032</t>
  </si>
  <si>
    <t>794141337</t>
  </si>
  <si>
    <t>U162 P66 1984</t>
  </si>
  <si>
    <t>0                      U  0162000P  66          1984</t>
  </si>
  <si>
    <t>The sources of military doctrine : France, Britain, and Germany between the world wars / Barry R. Posen.</t>
  </si>
  <si>
    <t>Posen, Barry.</t>
  </si>
  <si>
    <t>Ithaca : Cornell University Press, 1984.</t>
  </si>
  <si>
    <t>2016-09-21</t>
  </si>
  <si>
    <t>1056025:eng</t>
  </si>
  <si>
    <t>10695828</t>
  </si>
  <si>
    <t>ocm10695828</t>
  </si>
  <si>
    <t>3103019111Z</t>
  </si>
  <si>
    <t>9780801416330</t>
  </si>
  <si>
    <t>792737915</t>
  </si>
  <si>
    <t>U162 R55 1988</t>
  </si>
  <si>
    <t>0                      U  0162000R  55          1988</t>
  </si>
  <si>
    <t>The war that never was / Ravi Rikhye.</t>
  </si>
  <si>
    <t>Rikhye, Ravi, 1946-</t>
  </si>
  <si>
    <t>Delhi : Chanakya Publications, 1988.</t>
  </si>
  <si>
    <t>2019-04-26</t>
  </si>
  <si>
    <t>21961294:eng</t>
  </si>
  <si>
    <t>19749483</t>
  </si>
  <si>
    <t>ocm19749483</t>
  </si>
  <si>
    <t>3100416578H</t>
  </si>
  <si>
    <t>9788170010449</t>
  </si>
  <si>
    <t>793067799</t>
  </si>
  <si>
    <t>U162 S54 2012</t>
  </si>
  <si>
    <t>0                      U  0162000S  54          2012</t>
  </si>
  <si>
    <t>War from the ground up : twenty-first century combat as politics / Emile Simpson.</t>
  </si>
  <si>
    <t>Simpson, Emile.</t>
  </si>
  <si>
    <t>Crises in world politics</t>
  </si>
  <si>
    <t>2016-07-12</t>
  </si>
  <si>
    <t>1119167254:eng</t>
  </si>
  <si>
    <t>794366579</t>
  </si>
  <si>
    <t>ocn794366579</t>
  </si>
  <si>
    <t>31034710900</t>
  </si>
  <si>
    <t>9780231704069</t>
  </si>
  <si>
    <t>794919805</t>
  </si>
  <si>
    <t>U162 S58 1984</t>
  </si>
  <si>
    <t>0                      U  0162000S  58          1984</t>
  </si>
  <si>
    <t>The ideology of the offensive : military decision making and the disasters of 1914 / Jack Snyder.</t>
  </si>
  <si>
    <t>Snyder, Jack L.</t>
  </si>
  <si>
    <t>Ithaca [N.Y.] : Cornell University Press, 1984.</t>
  </si>
  <si>
    <t>2015-02-10</t>
  </si>
  <si>
    <t>959491:eng</t>
  </si>
  <si>
    <t>10724850</t>
  </si>
  <si>
    <t>ocm10724850</t>
  </si>
  <si>
    <t>31030191060</t>
  </si>
  <si>
    <t>9780801416576</t>
  </si>
  <si>
    <t>792739676</t>
  </si>
  <si>
    <t>U162 S724 2011</t>
  </si>
  <si>
    <t>0                      U  0162000S  724         2011</t>
  </si>
  <si>
    <t>Military strategy : the politics and technique of war / John Stone.</t>
  </si>
  <si>
    <t>Stone, John, Dr.</t>
  </si>
  <si>
    <t>London ; New York : Continuum International Publishing Group, ©2011.</t>
  </si>
  <si>
    <t>2018-05-14</t>
  </si>
  <si>
    <t>762144972:eng</t>
  </si>
  <si>
    <t>688843069</t>
  </si>
  <si>
    <t>ocn688843069</t>
  </si>
  <si>
    <t>3103382815Q</t>
  </si>
  <si>
    <t>9781441186911</t>
  </si>
  <si>
    <t>794854672</t>
  </si>
  <si>
    <t>U162 S85252 2007</t>
  </si>
  <si>
    <t>0                      U  0162000S  85252       2007</t>
  </si>
  <si>
    <t>Strategy in the contemporary world : an introduction to strategic studies / edited by John Baylis [and others].</t>
  </si>
  <si>
    <t>Second edition.</t>
  </si>
  <si>
    <t>793208368:eng</t>
  </si>
  <si>
    <t>72354138</t>
  </si>
  <si>
    <t>ocm72354138</t>
  </si>
  <si>
    <t>3102568256H</t>
  </si>
  <si>
    <t>9780199289783</t>
  </si>
  <si>
    <t>794169885</t>
  </si>
  <si>
    <t>U162 S85252 2010</t>
  </si>
  <si>
    <t>0                      U  0162000S  85252       2010</t>
  </si>
  <si>
    <t>Strategy in the contemporary world : an introduction to strategic studies / edited by John Baylis, James J. Wirtz, and Colin S. Gray.</t>
  </si>
  <si>
    <t>Oxford ; New York : Oxford University Press, 2010.</t>
  </si>
  <si>
    <t>2019-11-28</t>
  </si>
  <si>
    <t>423215517</t>
  </si>
  <si>
    <t>ocn423215517</t>
  </si>
  <si>
    <t>3103130815Y</t>
  </si>
  <si>
    <t>9780199548873</t>
  </si>
  <si>
    <t>794505984</t>
  </si>
  <si>
    <t>U162 X54 2011</t>
  </si>
  <si>
    <t>0                      U  0162000X  54          2011</t>
  </si>
  <si>
    <t>Ming dai bing shu yan jiu / Xie Wenchao zhu.</t>
  </si>
  <si>
    <t>Xie, Wenchao.</t>
  </si>
  <si>
    <t>Tianjin Shi : Tianjin ren min chu ban she, 2011.</t>
  </si>
  <si>
    <t>2012-07-05</t>
  </si>
  <si>
    <t>1012909260:chi</t>
  </si>
  <si>
    <t>754143417</t>
  </si>
  <si>
    <t>ocn754143417</t>
  </si>
  <si>
    <t>3103442005T</t>
  </si>
  <si>
    <t>9787201067254</t>
  </si>
  <si>
    <t>794892564</t>
  </si>
  <si>
    <t>U162.6 C66 2009</t>
  </si>
  <si>
    <t>0                      U  0162600C  66          2009</t>
  </si>
  <si>
    <t>Complex deterrence : strategy in the global age / edited by T.V. Paul, Patrick M. Morgan, &amp; James J. Wirtz.</t>
  </si>
  <si>
    <t>Chicago : University of Chicago Press, 2009.</t>
  </si>
  <si>
    <t>2017-04-03</t>
  </si>
  <si>
    <t>1076474260:eng</t>
  </si>
  <si>
    <t>316327236</t>
  </si>
  <si>
    <t>ocn316327236</t>
  </si>
  <si>
    <t>3103135325R</t>
  </si>
  <si>
    <t>9780226650029</t>
  </si>
  <si>
    <t>794448563</t>
  </si>
  <si>
    <t>U162.6 D39 1991</t>
  </si>
  <si>
    <t>0                      U  0162600D  39          1991</t>
  </si>
  <si>
    <t>Deterring or coercing opponents in crisis : lessons from the war with Saddam Hussein / Paul K. Davis, John Arquilla ; prepared for the Joint Staff.</t>
  </si>
  <si>
    <t>Santa Monica, CA : Rand, 1991.</t>
  </si>
  <si>
    <t>196189061:eng</t>
  </si>
  <si>
    <t>24916211</t>
  </si>
  <si>
    <t>ocm24916211</t>
  </si>
  <si>
    <t>3101909473G</t>
  </si>
  <si>
    <t>9780833011923</t>
  </si>
  <si>
    <t>793208261</t>
  </si>
  <si>
    <t>U162.6 D452 2011</t>
  </si>
  <si>
    <t>0                      U  0162600D  452         2011</t>
  </si>
  <si>
    <t>Deterrence : its past and future : papers presented at Hoover Institution, November 2010 / edited by George P. Shultz, Sidney D. Drell, and James E. Goodby.</t>
  </si>
  <si>
    <t>Stanford, Calif. : Hoover Institution Press, Stanford University, [2011]</t>
  </si>
  <si>
    <t>Hoover Institution Press publication ; no. 613</t>
  </si>
  <si>
    <t>2013-07-30</t>
  </si>
  <si>
    <t>1101329854:eng</t>
  </si>
  <si>
    <t>726818992</t>
  </si>
  <si>
    <t>ocn726818992</t>
  </si>
  <si>
    <t>3103383834I</t>
  </si>
  <si>
    <t>9780817913847</t>
  </si>
  <si>
    <t>794877381</t>
  </si>
  <si>
    <t>U162.6 F48 1987</t>
  </si>
  <si>
    <t>0                      U  0162600F  48          1987</t>
  </si>
  <si>
    <t>Nuclear deterrence, morality, and realism / John Finnis, Joseph M. Boyle, Jr., Germain Grisez.</t>
  </si>
  <si>
    <t>Finnis, John, author.</t>
  </si>
  <si>
    <t>Oxford : Clarendon Press ; New York : Oxford University Press, 1987.</t>
  </si>
  <si>
    <t>2015-03-20</t>
  </si>
  <si>
    <t>8494341:eng</t>
  </si>
  <si>
    <t>14518451</t>
  </si>
  <si>
    <t>ocm14518451</t>
  </si>
  <si>
    <t>3000525751V</t>
  </si>
  <si>
    <t>9780198247920</t>
  </si>
  <si>
    <t>792892773</t>
  </si>
  <si>
    <t>U162.6 F74 2004</t>
  </si>
  <si>
    <t>0                      U  0162600F  74          2004</t>
  </si>
  <si>
    <t>Deterrence / Lawrence Freedman.</t>
  </si>
  <si>
    <t>Freedman, Lawrence.</t>
  </si>
  <si>
    <t>Cambridge, UK ; Malden, MA : Polity Press, 2004.</t>
  </si>
  <si>
    <t>2019-10-11</t>
  </si>
  <si>
    <t>8909903598:eng</t>
  </si>
  <si>
    <t>52720946</t>
  </si>
  <si>
    <t>ocm52720946</t>
  </si>
  <si>
    <t>3102801633C</t>
  </si>
  <si>
    <t>9780745631127</t>
  </si>
  <si>
    <t>793812589</t>
  </si>
  <si>
    <t>U162.6 I53 2007</t>
  </si>
  <si>
    <t>0                      U  0162600I  53          2007</t>
  </si>
  <si>
    <t>The India-Pakistan nuclear relationship : theories of deterrence and international relations / editor, E. Sridharan.</t>
  </si>
  <si>
    <t>New Delhi : Routledge, 2007.</t>
  </si>
  <si>
    <t>2016-11-17</t>
  </si>
  <si>
    <t>900989364:eng</t>
  </si>
  <si>
    <t>76851294</t>
  </si>
  <si>
    <t>ocm76851294</t>
  </si>
  <si>
    <t>3102637495G</t>
  </si>
  <si>
    <t>9780415424080</t>
  </si>
  <si>
    <t>794177763</t>
  </si>
  <si>
    <t>U162.6 J47 1985</t>
  </si>
  <si>
    <t>0                      U  0162600J  47          1985</t>
  </si>
  <si>
    <t>Psychology and deterrence / Robert Jervis, Richard Ned Lebow, Janice Gross Stein, with contributions by Patrick M. Morgan and Jack L. Snyder.</t>
  </si>
  <si>
    <t>Jervis, Robert, 1940-</t>
  </si>
  <si>
    <t>Baltimore, Md. : Johns Hopkins University Press, ©1985.</t>
  </si>
  <si>
    <t>Perspectives on security</t>
  </si>
  <si>
    <t>4690101:eng</t>
  </si>
  <si>
    <t>12080021</t>
  </si>
  <si>
    <t>ocm12080021</t>
  </si>
  <si>
    <t>3103020124R</t>
  </si>
  <si>
    <t>9780801832772</t>
  </si>
  <si>
    <t>792800159</t>
  </si>
  <si>
    <t>U162.6 K38 1987</t>
  </si>
  <si>
    <t>0                      U  0162600K  38          1987</t>
  </si>
  <si>
    <t>Moral paradoxes of nuclear deterrence / Gregory S. Kavka.</t>
  </si>
  <si>
    <t>Kavka, Gregory S., 1947-</t>
  </si>
  <si>
    <t>Cambridge [Cambridgeshire] ; New York : Cambridge University Press, 1987.</t>
  </si>
  <si>
    <t>10727895:eng</t>
  </si>
  <si>
    <t>15696381</t>
  </si>
  <si>
    <t>ocm15696381</t>
  </si>
  <si>
    <t>30005273308</t>
  </si>
  <si>
    <t>9780521330435</t>
  </si>
  <si>
    <t>792939791</t>
  </si>
  <si>
    <t>U162.6 L44 1993</t>
  </si>
  <si>
    <t>0                      U  0162600L  44          1993</t>
  </si>
  <si>
    <t>Morality, prudence, and nuclear weapons / Steven P. Lee.</t>
  </si>
  <si>
    <t>Lee, Steven (Steven P.)</t>
  </si>
  <si>
    <t>Cambridge [England] ; New York, NY, USA : Cambridge University Press, 1993.</t>
  </si>
  <si>
    <t>Cambridge studies in philosophy and public policy</t>
  </si>
  <si>
    <t>2015-04-02</t>
  </si>
  <si>
    <t>760767948:eng</t>
  </si>
  <si>
    <t>26543305</t>
  </si>
  <si>
    <t>ocm26543305</t>
  </si>
  <si>
    <t>3101239273I</t>
  </si>
  <si>
    <t>9780521382724</t>
  </si>
  <si>
    <t>793246567</t>
  </si>
  <si>
    <t>U162.6 L66 2005</t>
  </si>
  <si>
    <t>0                      U  0162600L  66          2005</t>
  </si>
  <si>
    <t>Middle powers and accidental wars : a study in conventional strategic stability / Bernard Fook Weng Loo.</t>
  </si>
  <si>
    <t>Loo, Bernard Fook Weng.</t>
  </si>
  <si>
    <t>Lewiston, NY : Edwin Mellen Press, ©2005.</t>
  </si>
  <si>
    <t>Studies in political science ; v. 29</t>
  </si>
  <si>
    <t>373813417:eng</t>
  </si>
  <si>
    <t>60401819</t>
  </si>
  <si>
    <t>ocm60401819</t>
  </si>
  <si>
    <t>3102576040S</t>
  </si>
  <si>
    <t>9780773460935</t>
  </si>
  <si>
    <t>793937084</t>
  </si>
  <si>
    <t>U162.6 M43 1983</t>
  </si>
  <si>
    <t>0                      U  0162600M  43          1983</t>
  </si>
  <si>
    <t>Conventional deterrence / John J. Mearsheimer.</t>
  </si>
  <si>
    <t>Mearsheimer, John J.</t>
  </si>
  <si>
    <t>Ithaca : Cornell University Press, 1983.</t>
  </si>
  <si>
    <t>2014-11-29</t>
  </si>
  <si>
    <t>2019-09-23</t>
  </si>
  <si>
    <t>6822715:eng</t>
  </si>
  <si>
    <t>9394615</t>
  </si>
  <si>
    <t>ocm09394615</t>
  </si>
  <si>
    <t>30001648242</t>
  </si>
  <si>
    <t>9780801415692</t>
  </si>
  <si>
    <t>792674073</t>
  </si>
  <si>
    <t>3102814941L</t>
  </si>
  <si>
    <t>792674074</t>
  </si>
  <si>
    <t>3103020114T</t>
  </si>
  <si>
    <t>792674075</t>
  </si>
  <si>
    <t>U162.6 M6723 2003</t>
  </si>
  <si>
    <t>0                      U  0162600M  6723        2003</t>
  </si>
  <si>
    <t>Deterrence now / Patrick M. Morgan.</t>
  </si>
  <si>
    <t>Morgan, Patrick M., 1940-</t>
  </si>
  <si>
    <t>Cambridge [England] ; New York : Cambridge University Press, 2003.</t>
  </si>
  <si>
    <t>Cambridge studies in international relations ; 89</t>
  </si>
  <si>
    <t>2019-09-22</t>
  </si>
  <si>
    <t>1025850:eng</t>
  </si>
  <si>
    <t>50717995</t>
  </si>
  <si>
    <t>ocm50717995</t>
  </si>
  <si>
    <t>3102531534I</t>
  </si>
  <si>
    <t>9780521529693</t>
  </si>
  <si>
    <t>793771377</t>
  </si>
  <si>
    <t>U162.6 M6726 2009</t>
  </si>
  <si>
    <t>0                      U  0162600M  6726        2009</t>
  </si>
  <si>
    <t>Understanding the role of deterrence in counterterrorism security / Andrew R. Morral, Brian A. Jackson.</t>
  </si>
  <si>
    <t>Morral, Andrew R.</t>
  </si>
  <si>
    <t>Santa Monica, CA : RAND, 2009.</t>
  </si>
  <si>
    <t>Occasional paper ; OP-281-RC</t>
  </si>
  <si>
    <t>2015-11-23</t>
  </si>
  <si>
    <t>347710678:eng</t>
  </si>
  <si>
    <t>463972128</t>
  </si>
  <si>
    <t>ocn463972128</t>
  </si>
  <si>
    <t>31032501280</t>
  </si>
  <si>
    <t>9780833049148</t>
  </si>
  <si>
    <t>794793103</t>
  </si>
  <si>
    <t>U162.6 P69 1990</t>
  </si>
  <si>
    <t>0                      U  0162600P  69          1990</t>
  </si>
  <si>
    <t>Nuclear deterrence theory : the search for credibility / Robert Powell.</t>
  </si>
  <si>
    <t>Powell, Robert, 1956 July 7-</t>
  </si>
  <si>
    <t>Cambridge ; New York : Cambridge University Press, 1990.</t>
  </si>
  <si>
    <t>2017-06-02</t>
  </si>
  <si>
    <t>836716033:eng</t>
  </si>
  <si>
    <t>20089122</t>
  </si>
  <si>
    <t>ocm20089122</t>
  </si>
  <si>
    <t>3103020085I</t>
  </si>
  <si>
    <t>9780521375276</t>
  </si>
  <si>
    <t>793077039</t>
  </si>
  <si>
    <t>U162.6 S65 2006</t>
  </si>
  <si>
    <t>0                      U  0162600S  65          2006</t>
  </si>
  <si>
    <t>Deterring America : rogue states and the proliferation of weapons of mass destruction / Derek D. Smith.</t>
  </si>
  <si>
    <t>Smith, Derek Delbert.</t>
  </si>
  <si>
    <t>Cambridge : Cambridge University Press, 2006.</t>
  </si>
  <si>
    <t>2018-09-26</t>
  </si>
  <si>
    <t>793978539:eng</t>
  </si>
  <si>
    <t>69090385</t>
  </si>
  <si>
    <t>ocm69090385</t>
  </si>
  <si>
    <t>3102584521K</t>
  </si>
  <si>
    <t>9780521864657</t>
  </si>
  <si>
    <t>794145253</t>
  </si>
  <si>
    <t>U162.6 Z34 2000</t>
  </si>
  <si>
    <t>0                      U  0162600Z  34          2000</t>
  </si>
  <si>
    <t>Perfect deterrence / Frank C. Zagare and D. Marc Kilgour.</t>
  </si>
  <si>
    <t>Zagare, Frank C.</t>
  </si>
  <si>
    <t>Cambridge, UK ; New York, NY : Cambridge University Press, ©2000.</t>
  </si>
  <si>
    <t>Cambridge studies in international relations ; 72</t>
  </si>
  <si>
    <t>6078804:eng</t>
  </si>
  <si>
    <t>42934603</t>
  </si>
  <si>
    <t>ocm42934603</t>
  </si>
  <si>
    <t>3102558266K</t>
  </si>
  <si>
    <t>9780521781749</t>
  </si>
  <si>
    <t>793617490</t>
  </si>
  <si>
    <t>U163 A776 2005</t>
  </si>
  <si>
    <t>0                      U  0163000A  776         2005</t>
  </si>
  <si>
    <t>How the weak win wars : a theory of asymmetric conflict / Ivan Arreguín-Toft.</t>
  </si>
  <si>
    <t>Arreguín-Toft, Ivan M.</t>
  </si>
  <si>
    <t>Cambridge studies in international relations ; 99</t>
  </si>
  <si>
    <t>2019-11-15</t>
  </si>
  <si>
    <t>864615084:eng</t>
  </si>
  <si>
    <t>56347947</t>
  </si>
  <si>
    <t>ocm56347947</t>
  </si>
  <si>
    <t>3102558247O</t>
  </si>
  <si>
    <t>9780521839761</t>
  </si>
  <si>
    <t>793891458</t>
  </si>
  <si>
    <t>U163 A86 2004</t>
  </si>
  <si>
    <t>0                      U  0163000A  86          2004</t>
  </si>
  <si>
    <t>Assuring access in key strategic regions : toward a long-term strategy / Eric V. Larson [and others].</t>
  </si>
  <si>
    <t>Santa Monica, CA : Rand, 2004.</t>
  </si>
  <si>
    <t>57010729:eng</t>
  </si>
  <si>
    <t>54029360</t>
  </si>
  <si>
    <t>ocm54029360</t>
  </si>
  <si>
    <t>3102446196$</t>
  </si>
  <si>
    <t>9780833035448</t>
  </si>
  <si>
    <t>793855758</t>
  </si>
  <si>
    <t>U163 B375 2011</t>
  </si>
  <si>
    <t>0                      U  0163000B  375         2011</t>
  </si>
  <si>
    <t>American military intervention in unconventional war : from the Philippines to Iraq / Wayne Bert.</t>
  </si>
  <si>
    <t>Bert, Wayne, 1939-</t>
  </si>
  <si>
    <t>2015-11-18</t>
  </si>
  <si>
    <t>865123115:eng</t>
  </si>
  <si>
    <t>711864654</t>
  </si>
  <si>
    <t>ocn711864654</t>
  </si>
  <si>
    <t>3103405179K</t>
  </si>
  <si>
    <t>9780230119383</t>
  </si>
  <si>
    <t>794871315</t>
  </si>
  <si>
    <t>U163 B53 2004</t>
  </si>
  <si>
    <t>0                      U  0163000B  53          2004</t>
  </si>
  <si>
    <t>Military power : explaining victory and defeat in modern battle / Stephen Biddle.</t>
  </si>
  <si>
    <t>Biddle, Stephen D.</t>
  </si>
  <si>
    <t>Princeton, N.J. : Princeton University Press, ©2004.</t>
  </si>
  <si>
    <t>2018-06-02</t>
  </si>
  <si>
    <t>865478986:eng</t>
  </si>
  <si>
    <t>52542088</t>
  </si>
  <si>
    <t>ocm52542088</t>
  </si>
  <si>
    <t>3103006997C</t>
  </si>
  <si>
    <t>9780691116457</t>
  </si>
  <si>
    <t>793809212</t>
  </si>
  <si>
    <t>U163 C54 2004</t>
  </si>
  <si>
    <t>0                      U  0163000C  54          2004</t>
  </si>
  <si>
    <t>Blitzkrieg to Desert Storm : the evolution of operational warfare / Robert M. Citino.</t>
  </si>
  <si>
    <t>Citino, Robert Michael, 1958-</t>
  </si>
  <si>
    <t>Lawrence, Kan. : University Press of Kansas, ©2004.</t>
  </si>
  <si>
    <t>2018-04-27</t>
  </si>
  <si>
    <t>728434:eng</t>
  </si>
  <si>
    <t>53038755</t>
  </si>
  <si>
    <t>ocm53038755</t>
  </si>
  <si>
    <t>31023519416</t>
  </si>
  <si>
    <t>9780700613007</t>
  </si>
  <si>
    <t>793819867</t>
  </si>
  <si>
    <t>U163 D36 2011</t>
  </si>
  <si>
    <t>0                      U  0163000D  36          2011</t>
  </si>
  <si>
    <t>Wars of disruption and resilience : cybered conflict, power, and national security / Chris C. Demchak.</t>
  </si>
  <si>
    <t>Demchak, Chris C.</t>
  </si>
  <si>
    <t>Athens : University of Georgia Press, ©2011.</t>
  </si>
  <si>
    <t>Studies in security and international affairs</t>
  </si>
  <si>
    <t>864947914:eng</t>
  </si>
  <si>
    <t>711777290</t>
  </si>
  <si>
    <t>ocn711777290</t>
  </si>
  <si>
    <t>31034082883</t>
  </si>
  <si>
    <t>9780820340678</t>
  </si>
  <si>
    <t>794871186</t>
  </si>
  <si>
    <t>U163 E84 2017</t>
  </si>
  <si>
    <t>0                      U  0163000E  84          2017</t>
  </si>
  <si>
    <t>Ethics and policies for cyber operations : a NATO Cooperative Cyber Defence Centre of Excellence initiative / Mariarosaria Taddeo, Ludovica Glorioso, editors.</t>
  </si>
  <si>
    <t>[Cham, Switzerland?] : Springer, [2017]</t>
  </si>
  <si>
    <t>Philosophical studies series ; volume 124</t>
  </si>
  <si>
    <t>2018-02-19</t>
  </si>
  <si>
    <t>3982398980:eng</t>
  </si>
  <si>
    <t>969727647</t>
  </si>
  <si>
    <t>ocn969727647</t>
  </si>
  <si>
    <t>3103701329O</t>
  </si>
  <si>
    <t>9783319452999</t>
  </si>
  <si>
    <t>795027478</t>
  </si>
  <si>
    <t>U163 F59 2008</t>
  </si>
  <si>
    <t>0                      U  0163000F  59          2008</t>
  </si>
  <si>
    <t>First strike : preemptive war in modern history / Matthew J. Flynn.</t>
  </si>
  <si>
    <t>Flynn, Matthew J.</t>
  </si>
  <si>
    <t>New York : Routledge, 2008.</t>
  </si>
  <si>
    <t>802155490:eng</t>
  </si>
  <si>
    <t>173243811</t>
  </si>
  <si>
    <t>ocn173243811</t>
  </si>
  <si>
    <t>3102885586N</t>
  </si>
  <si>
    <t>9780415958448</t>
  </si>
  <si>
    <t>794265875</t>
  </si>
  <si>
    <t>U163 G67 2013</t>
  </si>
  <si>
    <t>0                      U  0163000G  67          2013</t>
  </si>
  <si>
    <t>The Army's role in overcoming anti-access and area denial challenges / John Gordon IV, John Matsumura.</t>
  </si>
  <si>
    <t>Gordon, John, 1956-</t>
  </si>
  <si>
    <t>1361164588:eng</t>
  </si>
  <si>
    <t>843026070</t>
  </si>
  <si>
    <t>ocn843026070</t>
  </si>
  <si>
    <t>31035180700</t>
  </si>
  <si>
    <t>9780833079930</t>
  </si>
  <si>
    <t>794947810</t>
  </si>
  <si>
    <t>U163 H58 2006</t>
  </si>
  <si>
    <t>0                      U  0163000H  58          2006</t>
  </si>
  <si>
    <t>Hitting first : preventive force in U.S. security strategy / edited by William W. Keller and Gordon R. Mitchell.</t>
  </si>
  <si>
    <t>Pittsburgh, Pa. : University of Pittsburgh Press, ©2006.</t>
  </si>
  <si>
    <t>The security continuum</t>
  </si>
  <si>
    <t>898513100:eng</t>
  </si>
  <si>
    <t>68800024</t>
  </si>
  <si>
    <t>ocm68800024</t>
  </si>
  <si>
    <t>31026327342</t>
  </si>
  <si>
    <t>9780822942900</t>
  </si>
  <si>
    <t>794144304</t>
  </si>
  <si>
    <t>U163 H93 1986</t>
  </si>
  <si>
    <t>0                      U  0163000H  93          1986</t>
  </si>
  <si>
    <t>The logic of surprise in international conflict / Alex Roberto Hybel.</t>
  </si>
  <si>
    <t>Hybel, Alex Roberto.</t>
  </si>
  <si>
    <t>Lexington, Mass. : Lexington Books, ©1986.</t>
  </si>
  <si>
    <t>5842028:eng</t>
  </si>
  <si>
    <t>13094183</t>
  </si>
  <si>
    <t>ocm13094183</t>
  </si>
  <si>
    <t>30004787887</t>
  </si>
  <si>
    <t>9780669123715</t>
  </si>
  <si>
    <t>792840140</t>
  </si>
  <si>
    <t>U163 H94 2011</t>
  </si>
  <si>
    <t>0                      U  0163000H  94          2011</t>
  </si>
  <si>
    <t>Hybrid and cyber war as consequences of the asymmetry : a comprehensive approach answering hybrid actors and activities in cyberspace : political social and military responses / Josef Schröfl, Bahram M. Rajaee, Dieter Muhr (eds.).</t>
  </si>
  <si>
    <t>Frankfurt am Main ; New York : Peter Lang, 2011.</t>
  </si>
  <si>
    <t>901190856:eng</t>
  </si>
  <si>
    <t>727021112</t>
  </si>
  <si>
    <t>ocn727021112</t>
  </si>
  <si>
    <t>3103382802S</t>
  </si>
  <si>
    <t>9783631602850</t>
  </si>
  <si>
    <t>794877611</t>
  </si>
  <si>
    <t>U163 J66 2002</t>
  </si>
  <si>
    <t>0                      U  0163000J  66          2002</t>
  </si>
  <si>
    <t>Global information warfare : how businesses, governments, and others achieve objectives and attain competitive advantages / Andy Jones, Gerald L. Kovacich, Perry G. Luzwick.</t>
  </si>
  <si>
    <t>Jones, Andy, 1952-</t>
  </si>
  <si>
    <t>Boca Raton, Fla. : Auerbach Publications, ©2002.</t>
  </si>
  <si>
    <t>1006653022:eng</t>
  </si>
  <si>
    <t>49421631</t>
  </si>
  <si>
    <t>ocm49421631</t>
  </si>
  <si>
    <t>31022563842</t>
  </si>
  <si>
    <t>9780849311147</t>
  </si>
  <si>
    <t>793740250</t>
  </si>
  <si>
    <t>U163 L518 2012</t>
  </si>
  <si>
    <t>0                      U  0163000L  518         2012</t>
  </si>
  <si>
    <t>Crisis and escalation in cyberspace / Martin C. Libicki.</t>
  </si>
  <si>
    <t>Libicki, Martin C.</t>
  </si>
  <si>
    <t>Santa Monica, CA : RAND, Project Air Force, 2012.</t>
  </si>
  <si>
    <t>1749210629:eng</t>
  </si>
  <si>
    <t>818866331</t>
  </si>
  <si>
    <t>ocn818866331</t>
  </si>
  <si>
    <t>3103141554Q</t>
  </si>
  <si>
    <t>9780833076786</t>
  </si>
  <si>
    <t>794934246</t>
  </si>
  <si>
    <t>U163 L534 2007</t>
  </si>
  <si>
    <t>0                      U  0163000L  534         2007</t>
  </si>
  <si>
    <t>Conquest in cyberspace : national security and information warfare / Martin C. Libicki.</t>
  </si>
  <si>
    <t>New York, NY : Cambridge University Press, 2007.</t>
  </si>
  <si>
    <t>198475065:eng</t>
  </si>
  <si>
    <t>71552276</t>
  </si>
  <si>
    <t>ocm71552276</t>
  </si>
  <si>
    <t>3102599107B</t>
  </si>
  <si>
    <t>9780521871600</t>
  </si>
  <si>
    <t>794167296</t>
  </si>
  <si>
    <t>U163 L539 2009</t>
  </si>
  <si>
    <t>0                      U  0163000L  539         2009</t>
  </si>
  <si>
    <t>Cyberdeterrence and cyberwar / Martin C. Libicki.</t>
  </si>
  <si>
    <t>Rand Corporation monograph series ; MG-877-AF</t>
  </si>
  <si>
    <t>315916387:eng</t>
  </si>
  <si>
    <t>428819545</t>
  </si>
  <si>
    <t>ocn428819545</t>
  </si>
  <si>
    <t>3103149780J</t>
  </si>
  <si>
    <t>9780833047342</t>
  </si>
  <si>
    <t>794778843</t>
  </si>
  <si>
    <t>U163 L86 2009</t>
  </si>
  <si>
    <t>0                      U  0163000L  86          2009</t>
  </si>
  <si>
    <t>The grand strategy of the Byzantine Empire / Edward N. Luttwak.</t>
  </si>
  <si>
    <t>Cambridge, Mass. : Belknap Press of Harvard University Press, 2009.</t>
  </si>
  <si>
    <t>194821796:eng</t>
  </si>
  <si>
    <t>317361758</t>
  </si>
  <si>
    <t>ocn317361758</t>
  </si>
  <si>
    <t>3103097172S</t>
  </si>
  <si>
    <t>9780674035195</t>
  </si>
  <si>
    <t>794452961</t>
  </si>
  <si>
    <t>U163 M2687 2012</t>
  </si>
  <si>
    <t>0                      U  0163000M  2687        2012</t>
  </si>
  <si>
    <t>The complexity of modern asymmetric warfare / Max G. Manwaring ; foreword by John T. Fishel ; afterword by Edwin G. Corr.</t>
  </si>
  <si>
    <t>Manwaring, Max G.</t>
  </si>
  <si>
    <t>Norman, OK : University of Oklahoma Press, ©2012.</t>
  </si>
  <si>
    <t>International security affairs ; v. 8</t>
  </si>
  <si>
    <t>1037071573:eng</t>
  </si>
  <si>
    <t>758973682</t>
  </si>
  <si>
    <t>ocn758973682</t>
  </si>
  <si>
    <t>3103455846H</t>
  </si>
  <si>
    <t>9780806142654</t>
  </si>
  <si>
    <t>794896744</t>
  </si>
  <si>
    <t>U163 N53 2008</t>
  </si>
  <si>
    <t>0                      U  0163000N  53          2008</t>
  </si>
  <si>
    <t>Eve of destruction : the coming age of preventive war / Thomas M. Nichols.</t>
  </si>
  <si>
    <t>Nichols, Thomas M., 1960-</t>
  </si>
  <si>
    <t>Philadelphia : University of Pennsylvania Press, ©2008.</t>
  </si>
  <si>
    <t>890561703:eng</t>
  </si>
  <si>
    <t>182656648</t>
  </si>
  <si>
    <t>ocn182656648</t>
  </si>
  <si>
    <t>31026505424</t>
  </si>
  <si>
    <t>9780812240665</t>
  </si>
  <si>
    <t>794284970</t>
  </si>
  <si>
    <t>U163 O63 2005</t>
  </si>
  <si>
    <t>0                      U  0163000O  63          2005</t>
  </si>
  <si>
    <t>The operational art : Canadian perspectives : context and concepts / edited by Allan English ... [et al.].</t>
  </si>
  <si>
    <t>[Winnipeg] : Canadian Defence Academy Press, c2005.</t>
  </si>
  <si>
    <t>2016-05-11</t>
  </si>
  <si>
    <t>479472794:eng</t>
  </si>
  <si>
    <t>61127979</t>
  </si>
  <si>
    <t>ocm61127979</t>
  </si>
  <si>
    <t>3103040007O</t>
  </si>
  <si>
    <t>9780662409977</t>
  </si>
  <si>
    <t>793946745</t>
  </si>
  <si>
    <t>U163 R53 2013</t>
  </si>
  <si>
    <t>0                      U  0163000R  53          2013</t>
  </si>
  <si>
    <t>Cyber war will not take place / Thomas Rid.</t>
  </si>
  <si>
    <t>Rid, Thomas, 1975-</t>
  </si>
  <si>
    <t>London : Hurst &amp; Company, 2013.</t>
  </si>
  <si>
    <t>1174470907:eng</t>
  </si>
  <si>
    <t>822960071</t>
  </si>
  <si>
    <t>ocn822960071</t>
  </si>
  <si>
    <t>31035001227</t>
  </si>
  <si>
    <t>9781849042802</t>
  </si>
  <si>
    <t>794936744</t>
  </si>
  <si>
    <t>U163 R68 2013</t>
  </si>
  <si>
    <t>0                      U  0163000R  68          2013</t>
  </si>
  <si>
    <t>Cyber warfare : how conflicts in cyberspace are challenging America and changing the world / Paul Rosenzweig.</t>
  </si>
  <si>
    <t>Rosenzweig, Paul, 1959-</t>
  </si>
  <si>
    <t>Santa Barbara, Calif. : Praeger, ©2013.</t>
  </si>
  <si>
    <t>Changing face of war, 1937-5271</t>
  </si>
  <si>
    <t>1192296477:eng</t>
  </si>
  <si>
    <t>780481148</t>
  </si>
  <si>
    <t>ocn780481148</t>
  </si>
  <si>
    <t>3103528905J</t>
  </si>
  <si>
    <t>9780313398957</t>
  </si>
  <si>
    <t>794912272</t>
  </si>
  <si>
    <t>U163 S64 2010</t>
  </si>
  <si>
    <t>0                      U  0163000S  64          2010</t>
  </si>
  <si>
    <t>Solving the people puzzle : cultural intelligence and special operations forces / Emily Spencer.</t>
  </si>
  <si>
    <t>Spencer, Emily.</t>
  </si>
  <si>
    <t>Toronto : Dundurn Group, 2010.</t>
  </si>
  <si>
    <t>865030440:eng</t>
  </si>
  <si>
    <t>593992781</t>
  </si>
  <si>
    <t>ocn593992781</t>
  </si>
  <si>
    <t>3103073261G</t>
  </si>
  <si>
    <t>9781554887507</t>
  </si>
  <si>
    <t>794814974</t>
  </si>
  <si>
    <t>U163 T46 2007</t>
  </si>
  <si>
    <t>0                      U  0163000T  46          2007</t>
  </si>
  <si>
    <t>Asymmetric warfare : threat and response in the twenty-first century / Rod Thornton.</t>
  </si>
  <si>
    <t>Thornton, Rod.</t>
  </si>
  <si>
    <t>Cambridge ; Malden, MA : Polity Press, ©2007.</t>
  </si>
  <si>
    <t>795548051:eng</t>
  </si>
  <si>
    <t>69732620</t>
  </si>
  <si>
    <t>ocm69732620</t>
  </si>
  <si>
    <t>3102570806$</t>
  </si>
  <si>
    <t>9780745633640</t>
  </si>
  <si>
    <t>794146931</t>
  </si>
  <si>
    <t>U163 V5713 2000</t>
  </si>
  <si>
    <t>0                      U  0163000V  5713        2000</t>
  </si>
  <si>
    <t>The information bomb / Paul Virilio ; translated by Chris Turner.</t>
  </si>
  <si>
    <t>London ; New York : Verso, 2000.</t>
  </si>
  <si>
    <t>33920926:eng</t>
  </si>
  <si>
    <t>44506901</t>
  </si>
  <si>
    <t>ocm44506901</t>
  </si>
  <si>
    <t>3102888548J</t>
  </si>
  <si>
    <t>9781859847459</t>
  </si>
  <si>
    <t>793651843</t>
  </si>
  <si>
    <t>2014-09-04</t>
  </si>
  <si>
    <t>3102092377B</t>
  </si>
  <si>
    <t>793651842</t>
  </si>
  <si>
    <t>U163 W566 2009</t>
  </si>
  <si>
    <t>0                      U  0163000W  566         2009</t>
  </si>
  <si>
    <t>Winning the asymmetric war : political, social and military responses / Josef Schröfl, Sean Michael Cox, Thomas Pankratz (eds.).</t>
  </si>
  <si>
    <t>Frankfurt am Main ; New York : Peter Lang, 2009.</t>
  </si>
  <si>
    <t>2018-03-29</t>
  </si>
  <si>
    <t>890659933:eng</t>
  </si>
  <si>
    <t>301889674</t>
  </si>
  <si>
    <t>ocn301889674</t>
  </si>
  <si>
    <t>3103086593L</t>
  </si>
  <si>
    <t>9783631572498</t>
  </si>
  <si>
    <t>794433052</t>
  </si>
  <si>
    <t>U165 G69 1991</t>
  </si>
  <si>
    <t>0                      U  0165000G  69          1991</t>
  </si>
  <si>
    <t>Forward into battle : fighting tactics from Waterloo to the near future / Paddy Griffith.</t>
  </si>
  <si>
    <t>Griffith, Paddy.</t>
  </si>
  <si>
    <t>Novato, CA : Presidio, 1991.</t>
  </si>
  <si>
    <t>Rev. and updated ed.</t>
  </si>
  <si>
    <t>2018-10-11</t>
  </si>
  <si>
    <t>22492038:eng</t>
  </si>
  <si>
    <t>22509853</t>
  </si>
  <si>
    <t>ocm22509853</t>
  </si>
  <si>
    <t>3101944822I</t>
  </si>
  <si>
    <t>9780891414131</t>
  </si>
  <si>
    <t>793146639</t>
  </si>
  <si>
    <t>U165 H36 2018</t>
  </si>
  <si>
    <t>0                      U  0165000H  36          2018</t>
  </si>
  <si>
    <t>Creating chaos : covert political warfare, from Truman to Putin / Larry Hancock.</t>
  </si>
  <si>
    <t>Hancock, Larry J., author.</t>
  </si>
  <si>
    <t>London ; New York : OR Books, [2018]</t>
  </si>
  <si>
    <t>2018-11-04</t>
  </si>
  <si>
    <t>5463852525:eng</t>
  </si>
  <si>
    <t>1022986089</t>
  </si>
  <si>
    <t>on1022986089</t>
  </si>
  <si>
    <t>3103704784M</t>
  </si>
  <si>
    <t>9781944869878</t>
  </si>
  <si>
    <t>795051614</t>
  </si>
  <si>
    <t>U165 H8 2001</t>
  </si>
  <si>
    <t>0                      U  0165000H  8           2001</t>
  </si>
  <si>
    <t>Combined arms warfare in the twentieth century / Jonathan M. House ; maps by George Skoch.</t>
  </si>
  <si>
    <t>House, Jonathan M. (Jonathan Mallory), 1950-</t>
  </si>
  <si>
    <t>Lawrence, Kan. : University Press of Kansas, ©2001.</t>
  </si>
  <si>
    <t>2694250:eng</t>
  </si>
  <si>
    <t>45506040</t>
  </si>
  <si>
    <t>ocm45506040</t>
  </si>
  <si>
    <t>3102561797M</t>
  </si>
  <si>
    <t>9780700610815</t>
  </si>
  <si>
    <t>793673100</t>
  </si>
  <si>
    <t>U165 S36 2007</t>
  </si>
  <si>
    <t>0                      U  0165000S  36          2007</t>
  </si>
  <si>
    <t>San shi liu ji / Pi Minhui bian zhu.</t>
  </si>
  <si>
    <t>Changsha Shi : Yue Lu shu she, 2007.</t>
  </si>
  <si>
    <t>2016-03-15</t>
  </si>
  <si>
    <t>4020196885:chi</t>
  </si>
  <si>
    <t>228114894</t>
  </si>
  <si>
    <t>ocn228114894</t>
  </si>
  <si>
    <t>31030639630</t>
  </si>
  <si>
    <t>9787806658505</t>
  </si>
  <si>
    <t>794348866</t>
  </si>
  <si>
    <t>U167 A7333 2010</t>
  </si>
  <si>
    <t>0                      U  0167000A  7333        2010</t>
  </si>
  <si>
    <t>Archaeology, cultural property, and the military / edited by Laurie Rush.</t>
  </si>
  <si>
    <t>Woodbridge ; Rochester, NY : Boydell Press, 2010.</t>
  </si>
  <si>
    <t>Heritage matters, 1756-4832 ; v. 3</t>
  </si>
  <si>
    <t>2013-11-08</t>
  </si>
  <si>
    <t>908896066:eng</t>
  </si>
  <si>
    <t>555622225</t>
  </si>
  <si>
    <t>ocn555622225</t>
  </si>
  <si>
    <t>3103229655W</t>
  </si>
  <si>
    <t>9781843835394</t>
  </si>
  <si>
    <t>794811961</t>
  </si>
  <si>
    <t>U167 G48 2009</t>
  </si>
  <si>
    <t>0                      U  0167000G  48          2009</t>
  </si>
  <si>
    <t>Getting out : historical perspectives on leaving Iraq / edited by Michael Walzer and Nicolaus Mills.</t>
  </si>
  <si>
    <t>Philadelphia : University of Pennsylvania Press, ©2009.</t>
  </si>
  <si>
    <t>2018-06-22</t>
  </si>
  <si>
    <t>865298158:eng</t>
  </si>
  <si>
    <t>320799614</t>
  </si>
  <si>
    <t>ocn320799614</t>
  </si>
  <si>
    <t>3103087170X</t>
  </si>
  <si>
    <t>9780812242164</t>
  </si>
  <si>
    <t>794486929</t>
  </si>
  <si>
    <t>U167.5 D37 B44 2013</t>
  </si>
  <si>
    <t>0                      U  0167500D  37                 B  44          2013</t>
  </si>
  <si>
    <t>"A" force : the origins of British deception during the Second World War / Whitney T. Bendeck.</t>
  </si>
  <si>
    <t>Bendeck, Whitney T., author.</t>
  </si>
  <si>
    <t>Annapolis, Maryland : Naval Institute Press, [2013]</t>
  </si>
  <si>
    <t>1367533767:eng</t>
  </si>
  <si>
    <t>852488302</t>
  </si>
  <si>
    <t>ocn852488302</t>
  </si>
  <si>
    <t>3103504882W</t>
  </si>
  <si>
    <t>9781612512334</t>
  </si>
  <si>
    <t>794951402</t>
  </si>
  <si>
    <t>U167.5 F6 C63 2012</t>
  </si>
  <si>
    <t>0                      U  0167500F  6                  C  63          2012</t>
  </si>
  <si>
    <t>Warfare in woods and forests / Anthony Clayton ; foreword by Charles Guthrie.</t>
  </si>
  <si>
    <t>Clayton, Anthony, 1928-</t>
  </si>
  <si>
    <t>Bloomington : Indiana University Press, ©2012.</t>
  </si>
  <si>
    <t>769061127:eng</t>
  </si>
  <si>
    <t>696100061</t>
  </si>
  <si>
    <t>ocn696100061</t>
  </si>
  <si>
    <t>3103405421L</t>
  </si>
  <si>
    <t>9780253356888</t>
  </si>
  <si>
    <t>794859007</t>
  </si>
  <si>
    <t>U167.5 I8 T53 2013</t>
  </si>
  <si>
    <t>0                      U  0167500I  8                  T  53          2013</t>
  </si>
  <si>
    <t>Improving the U.S. Military's understanding of unstable environments vulnerable to violent extremist groups : insights from social science / David E. Thaler, Ryan Andrew Brown, Gabriella C. Gonzalez, Blake W. Mobley, Parisa Roshan.</t>
  </si>
  <si>
    <t>Thaler, David E., author.</t>
  </si>
  <si>
    <t>1703015131:eng</t>
  </si>
  <si>
    <t>865452280</t>
  </si>
  <si>
    <t>ocn865452280</t>
  </si>
  <si>
    <t>3103564499C</t>
  </si>
  <si>
    <t>9780833081643</t>
  </si>
  <si>
    <t>794962904</t>
  </si>
  <si>
    <t>U167.5 S68 D48 2010</t>
  </si>
  <si>
    <t>0                      U  0167500S  68                 D  48          2010</t>
  </si>
  <si>
    <t>Developing an Army strategy for building partner capacity for stability operations / Jefferson P. Marquis [and others].</t>
  </si>
  <si>
    <t>Santa Monica, Calif. : RAND Arroyo Center, ©2010.</t>
  </si>
  <si>
    <t>RAND Corporation monograph series ; MG-942-A</t>
  </si>
  <si>
    <t>766273924:eng</t>
  </si>
  <si>
    <t>609305226</t>
  </si>
  <si>
    <t>ocn609305226</t>
  </si>
  <si>
    <t>3103286127Z</t>
  </si>
  <si>
    <t>9780833049544</t>
  </si>
  <si>
    <t>794819860</t>
  </si>
  <si>
    <t>U167.5 S7 G73 2011</t>
  </si>
  <si>
    <t>0                      U  0167500S  7                  G  73          2011</t>
  </si>
  <si>
    <t>Cities under siege : the new military urbanism / Stephen Graham.</t>
  </si>
  <si>
    <t>Graham, Stephen, 1965-</t>
  </si>
  <si>
    <t>London : Verso, 2011.</t>
  </si>
  <si>
    <t>908535075:eng</t>
  </si>
  <si>
    <t>751832783</t>
  </si>
  <si>
    <t>ocn751832783</t>
  </si>
  <si>
    <t>3103433010S</t>
  </si>
  <si>
    <t>9781844677627</t>
  </si>
  <si>
    <t>794891245</t>
  </si>
  <si>
    <t>U168 E53</t>
  </si>
  <si>
    <t>0                      U  0168000E  53</t>
  </si>
  <si>
    <t>Alexander the Great and the logistics of the Macedonian army / Donald W. Engels.</t>
  </si>
  <si>
    <t>Engels, Donald W.</t>
  </si>
  <si>
    <t>Berkeley : University of California Press, ©1978.</t>
  </si>
  <si>
    <t>2019-07-27</t>
  </si>
  <si>
    <t>501568:eng</t>
  </si>
  <si>
    <t>4220382</t>
  </si>
  <si>
    <t>ocm04220382</t>
  </si>
  <si>
    <t>3000465812K</t>
  </si>
  <si>
    <t>9780520034334</t>
  </si>
  <si>
    <t>792332134</t>
  </si>
  <si>
    <t>U168 F44 1993</t>
  </si>
  <si>
    <t>0                      U  0168000F  44          1993</t>
  </si>
  <si>
    <t>Feeding Mars : logistics in Western warfare from the Middle Ages to the present / edited by John A. Lynn.</t>
  </si>
  <si>
    <t>Boulder, CO : Westview Press, ©1993.</t>
  </si>
  <si>
    <t>2019-06-13</t>
  </si>
  <si>
    <t>836727878:eng</t>
  </si>
  <si>
    <t>26307640</t>
  </si>
  <si>
    <t>ocm26307640</t>
  </si>
  <si>
    <t>3101354285H</t>
  </si>
  <si>
    <t>9780813317168</t>
  </si>
  <si>
    <t>793242198</t>
  </si>
  <si>
    <t>U168 L64x</t>
  </si>
  <si>
    <t>0                      U  0168000L  64x</t>
  </si>
  <si>
    <t>Logistics / editor, Murray A. Geisler.</t>
  </si>
  <si>
    <t>Amsterdam : North-Holland Pub. Co. : Distributed by American Elsevier, 1975.</t>
  </si>
  <si>
    <t>North-Holland/TIMS studies in the management sciences ; vol. 1</t>
  </si>
  <si>
    <t>2019-06-03</t>
  </si>
  <si>
    <t>375757574:eng</t>
  </si>
  <si>
    <t>1923638</t>
  </si>
  <si>
    <t>ocm01923638</t>
  </si>
  <si>
    <t>3000440014B</t>
  </si>
  <si>
    <t>9780720424591</t>
  </si>
  <si>
    <t>792012180</t>
  </si>
  <si>
    <t>U168 V36</t>
  </si>
  <si>
    <t>0                      U  0168000V  36</t>
  </si>
  <si>
    <t>Supplying war : logistics from Wallenstein to Patton / Martin Van Creveld.</t>
  </si>
  <si>
    <t>Cambridge ; New York : Cambridge University Press, 1977.</t>
  </si>
  <si>
    <t>2000-12-11</t>
  </si>
  <si>
    <t>2019-02-22</t>
  </si>
  <si>
    <t>373809067:eng</t>
  </si>
  <si>
    <t>2896123</t>
  </si>
  <si>
    <t>ocm02896123</t>
  </si>
  <si>
    <t>3103189382B</t>
  </si>
  <si>
    <t>9780521217309</t>
  </si>
  <si>
    <t>792190580</t>
  </si>
  <si>
    <t>3103008466P</t>
  </si>
  <si>
    <t>792190579</t>
  </si>
  <si>
    <t>U168 V36 2004</t>
  </si>
  <si>
    <t>0                      U  0168000V  36          2004</t>
  </si>
  <si>
    <t>Cambridge ; New York : Cambridge University Press, 2004.</t>
  </si>
  <si>
    <t>53971675</t>
  </si>
  <si>
    <t>ocm53971675</t>
  </si>
  <si>
    <t>3102583652F</t>
  </si>
  <si>
    <t>9780521837446</t>
  </si>
  <si>
    <t>793854392</t>
  </si>
  <si>
    <t>U240 A27 2018</t>
  </si>
  <si>
    <t>0                      U  0240000A  27          2018</t>
  </si>
  <si>
    <t>Rules for rebels : the science of victory in militant history / Max Abrahms.</t>
  </si>
  <si>
    <t>Abrahms, Max Benjamin, author.</t>
  </si>
  <si>
    <t>Oxford : Oxford University Press, 2018.</t>
  </si>
  <si>
    <t>2019-08-15</t>
  </si>
  <si>
    <t>5443728425:eng</t>
  </si>
  <si>
    <t>1023053293</t>
  </si>
  <si>
    <t>on1023053293</t>
  </si>
  <si>
    <t>31038098074</t>
  </si>
  <si>
    <t>9780198811558</t>
  </si>
  <si>
    <t>795051660</t>
  </si>
  <si>
    <t>U240 B47 2018</t>
  </si>
  <si>
    <t>0                      U  0240000B  47          2018</t>
  </si>
  <si>
    <t>Small wars, big data : the information revolution in modern conflict / Eli Berman, Joseph H. Felter, and Jacob N. Shapiro with Vestal McIntyre.</t>
  </si>
  <si>
    <t>Berman, Eli, author.</t>
  </si>
  <si>
    <t>Princeton, New Jersey : Princeton University Press, [2018]</t>
  </si>
  <si>
    <t>2018-11-16</t>
  </si>
  <si>
    <t>5027449565:eng</t>
  </si>
  <si>
    <t>1004927100</t>
  </si>
  <si>
    <t>on1004927100</t>
  </si>
  <si>
    <t>3103738421K</t>
  </si>
  <si>
    <t>9780691177076</t>
  </si>
  <si>
    <t>795042259</t>
  </si>
  <si>
    <t>U240 B57 2016</t>
  </si>
  <si>
    <t>0                      U  0240000B  57          2016</t>
  </si>
  <si>
    <t>Insurgency and counterinsurgency : a global history / Jeremy Black.</t>
  </si>
  <si>
    <t>Black, Jeremy, 1955- author.</t>
  </si>
  <si>
    <t>Lanham, MD ; London : Rowman &amp; Littlefield, [2016]</t>
  </si>
  <si>
    <t>2946703721:eng</t>
  </si>
  <si>
    <t>944086759</t>
  </si>
  <si>
    <t>ocn944086759</t>
  </si>
  <si>
    <t>31036573808</t>
  </si>
  <si>
    <t>9781442256316</t>
  </si>
  <si>
    <t>795012676</t>
  </si>
  <si>
    <t>U240 C584 1999</t>
  </si>
  <si>
    <t>0                      U  0240000C  584         1999</t>
  </si>
  <si>
    <t>Civil wars, insecurity, and intervention / edited by Barbara F. Walter and Jack Snyder.</t>
  </si>
  <si>
    <t>New York : Columbia University Press, ©1999.</t>
  </si>
  <si>
    <t>354505605:eng</t>
  </si>
  <si>
    <t>41049537</t>
  </si>
  <si>
    <t>ocm41049537</t>
  </si>
  <si>
    <t>31029639032</t>
  </si>
  <si>
    <t>9780231116268</t>
  </si>
  <si>
    <t>793582825</t>
  </si>
  <si>
    <t>3102530098P</t>
  </si>
  <si>
    <t>793582824</t>
  </si>
  <si>
    <t>U240 D2813 1968</t>
  </si>
  <si>
    <t>0                      U  0240000D  2813        1968</t>
  </si>
  <si>
    <t>Revolution in the revolution? : armed struggle and political struggle in Latin America / Regis Debray ; translated from the author's French and Spanish by Bobbye Ortiz.</t>
  </si>
  <si>
    <t>Debray, Regis.</t>
  </si>
  <si>
    <t>Hamondsworth, Middlesex : Penguin Books, [1968]</t>
  </si>
  <si>
    <t>A Pelican Book</t>
  </si>
  <si>
    <t>2019-07-21</t>
  </si>
  <si>
    <t>9857320:eng</t>
  </si>
  <si>
    <t>862304751</t>
  </si>
  <si>
    <t>ocn862304751</t>
  </si>
  <si>
    <t>31036284873</t>
  </si>
  <si>
    <t>794960277</t>
  </si>
  <si>
    <t>U240 D383 2003</t>
  </si>
  <si>
    <t>0                      U  0240000D  383         2003</t>
  </si>
  <si>
    <t>Democracies and small wars / editor, Efraim Inbar.</t>
  </si>
  <si>
    <t>London ; Portland, OR : F. Cass, 2003.</t>
  </si>
  <si>
    <t>BESA studies in international security</t>
  </si>
  <si>
    <t>766819022:eng</t>
  </si>
  <si>
    <t>52373298</t>
  </si>
  <si>
    <t>ocm52373298</t>
  </si>
  <si>
    <t>31023788762</t>
  </si>
  <si>
    <t>9780714655345</t>
  </si>
  <si>
    <t>793804720</t>
  </si>
  <si>
    <t>U240 E54 1995</t>
  </si>
  <si>
    <t>0                      U  0240000E  54          1995</t>
  </si>
  <si>
    <t>From the barrel of a gun : a history of guerrilla, revolutionary, and counter-insurgency warfare, from the Romans to the present / John Ellis.</t>
  </si>
  <si>
    <t>Ellis, John, 1945-</t>
  </si>
  <si>
    <t>London : Greenhill Books ; Mechanicsburg, Pa. : Stackpole Books, 1995.</t>
  </si>
  <si>
    <t>2016-11-19</t>
  </si>
  <si>
    <t>1215820036:eng</t>
  </si>
  <si>
    <t>31938576</t>
  </si>
  <si>
    <t>ocm31938576</t>
  </si>
  <si>
    <t>3101470183Q</t>
  </si>
  <si>
    <t>9781853671975</t>
  </si>
  <si>
    <t>793371784</t>
  </si>
  <si>
    <t>U240 E813 1991</t>
  </si>
  <si>
    <t>0                      U  0240000E  813         1991</t>
  </si>
  <si>
    <t>Treatise on partisan warfare / Johann Ewald ; translation, introduction, and annotation by Robert A. Selig and David Curtis Skaggs.</t>
  </si>
  <si>
    <t>Ewald, Johann von, 1744-1813.</t>
  </si>
  <si>
    <t>New York : Greenwood Press, 1991.</t>
  </si>
  <si>
    <t>Contributions in military studies, 0883-6884 ; no. 116</t>
  </si>
  <si>
    <t>2620227:eng</t>
  </si>
  <si>
    <t>23975786</t>
  </si>
  <si>
    <t>ocm23975786</t>
  </si>
  <si>
    <t>3100962371V</t>
  </si>
  <si>
    <t>9780313273506</t>
  </si>
  <si>
    <t>793186557</t>
  </si>
  <si>
    <t>U240 G823 1977</t>
  </si>
  <si>
    <t>0                      U  0240000G  823         1977</t>
  </si>
  <si>
    <t>The Guerrilla reader : a historical anthology / [compiled and edited by] Walter Laqueur.</t>
  </si>
  <si>
    <t>Philadelphia : Temple University Press, ©1977.</t>
  </si>
  <si>
    <t>918584729:eng</t>
  </si>
  <si>
    <t>11809055</t>
  </si>
  <si>
    <t>ocm11809055</t>
  </si>
  <si>
    <t>3000419436W</t>
  </si>
  <si>
    <t>9780877220954</t>
  </si>
  <si>
    <t>792788823</t>
  </si>
  <si>
    <t>U240 G8313 1997</t>
  </si>
  <si>
    <t>0                      U  0240000G  8313        1997</t>
  </si>
  <si>
    <t>Guerrilla warfare / Che Guevara ; with revised and updated introduction and case studies by Brian Loveman and Thomas M. Davies, Jr.</t>
  </si>
  <si>
    <t>Guevara, Che, 1928-1967.</t>
  </si>
  <si>
    <t>Wilmington, Del. : SR Books, ©1997.</t>
  </si>
  <si>
    <t>Latin American silhouettes</t>
  </si>
  <si>
    <t>2019-02-05</t>
  </si>
  <si>
    <t>1151070845:eng</t>
  </si>
  <si>
    <t>37030370</t>
  </si>
  <si>
    <t>ocm37030370</t>
  </si>
  <si>
    <t>3102785760R</t>
  </si>
  <si>
    <t>9780842026772</t>
  </si>
  <si>
    <t>793490294</t>
  </si>
  <si>
    <t>U240 K34 1999</t>
  </si>
  <si>
    <t>0                      U  0240000K  34          1999</t>
  </si>
  <si>
    <t>New and old wars : organized violence in a global era / Mary Kaldor.</t>
  </si>
  <si>
    <t>Kaldor, Mary.</t>
  </si>
  <si>
    <t>Stanford, Calif. : Stanford University Press, 1999.</t>
  </si>
  <si>
    <t>2292268303:eng</t>
  </si>
  <si>
    <t>41326604</t>
  </si>
  <si>
    <t>ocm41326604</t>
  </si>
  <si>
    <t>3103136007$</t>
  </si>
  <si>
    <t>9780804737210</t>
  </si>
  <si>
    <t>793589159</t>
  </si>
  <si>
    <t>U240 K34 2007</t>
  </si>
  <si>
    <t>0                      U  0240000K  34          2007</t>
  </si>
  <si>
    <t>New &amp; old wars / Mary Kaldor.</t>
  </si>
  <si>
    <t>Stanford, Calif. : Stanford University Press, 2007.</t>
  </si>
  <si>
    <t>2018-04-04</t>
  </si>
  <si>
    <t>4917627212:eng</t>
  </si>
  <si>
    <t>85479050</t>
  </si>
  <si>
    <t>ocm85479050</t>
  </si>
  <si>
    <t>3103100330N</t>
  </si>
  <si>
    <t>9780804756457</t>
  </si>
  <si>
    <t>794213718</t>
  </si>
  <si>
    <t>U240 K34 2012</t>
  </si>
  <si>
    <t>0                      U  0240000K  34          2012</t>
  </si>
  <si>
    <t>New &amp; old wars : organized violence in a global era / Mary Kaldor.</t>
  </si>
  <si>
    <t>Kaldor, Mary, author.</t>
  </si>
  <si>
    <t>Stanford, California : Stanford University Press, 2012.</t>
  </si>
  <si>
    <t>Third edition.</t>
  </si>
  <si>
    <t>2018-03-22</t>
  </si>
  <si>
    <t>826827895</t>
  </si>
  <si>
    <t>ocn826827895</t>
  </si>
  <si>
    <t>3103468320J</t>
  </si>
  <si>
    <t>9780804785495</t>
  </si>
  <si>
    <t>794939430</t>
  </si>
  <si>
    <t>U240 K49 2009</t>
  </si>
  <si>
    <t>0                      U  0240000K  49          2009</t>
  </si>
  <si>
    <t>The accidental guerrilla : fighting small wars in the midst of a big one / David Kilcullen.</t>
  </si>
  <si>
    <t>Kilcullen, David, author.</t>
  </si>
  <si>
    <t>Oxford ; New York : Oxford University Press, 2009.</t>
  </si>
  <si>
    <t>2018-05-25</t>
  </si>
  <si>
    <t>799894830:eng</t>
  </si>
  <si>
    <t>221155251</t>
  </si>
  <si>
    <t>ocn221155251</t>
  </si>
  <si>
    <t>3103216743B</t>
  </si>
  <si>
    <t>9780195368345</t>
  </si>
  <si>
    <t>794324705</t>
  </si>
  <si>
    <t>31030628735</t>
  </si>
  <si>
    <t>794324706</t>
  </si>
  <si>
    <t>U240 L36</t>
  </si>
  <si>
    <t>0                      U  0240000L  36</t>
  </si>
  <si>
    <t>Guerrilla : a historical and critical study / Walter Laqueur.</t>
  </si>
  <si>
    <t>Laqueur, Walter, 1921-2018.</t>
  </si>
  <si>
    <t>Boston : Little, Brown, ©1976.</t>
  </si>
  <si>
    <t>2003-12-01</t>
  </si>
  <si>
    <t>2016-02-11</t>
  </si>
  <si>
    <t>3768461386:eng</t>
  </si>
  <si>
    <t>2331543</t>
  </si>
  <si>
    <t>ocm02331543</t>
  </si>
  <si>
    <t>3000406293C</t>
  </si>
  <si>
    <t>9780316514699</t>
  </si>
  <si>
    <t>792104962</t>
  </si>
  <si>
    <t>3000173877H</t>
  </si>
  <si>
    <t>792104963</t>
  </si>
  <si>
    <t>U240 L68 1989</t>
  </si>
  <si>
    <t>0                      U  0240000L  68          1989</t>
  </si>
  <si>
    <t>Low-intensity conflict : the pattern of warfare in the modern world / edited by Loren B. Thompson.</t>
  </si>
  <si>
    <t>Lexington, Mass. : Lexington Books, ©1989.</t>
  </si>
  <si>
    <t>Georgetown international security studies series</t>
  </si>
  <si>
    <t>2016-06-28</t>
  </si>
  <si>
    <t>866243889:eng</t>
  </si>
  <si>
    <t>19515267</t>
  </si>
  <si>
    <t>ocm19515267</t>
  </si>
  <si>
    <t>3102130210C</t>
  </si>
  <si>
    <t>9780669200447</t>
  </si>
  <si>
    <t>793060554</t>
  </si>
  <si>
    <t>U240 M343</t>
  </si>
  <si>
    <t>0                      U  0240000M  343</t>
  </si>
  <si>
    <t>On guerrilla warfare. Translated and with an introd. by Samuel B. Griffith.</t>
  </si>
  <si>
    <t>Mao, Zedong, 1893-1976.</t>
  </si>
  <si>
    <t>New York, Praeger [1961]</t>
  </si>
  <si>
    <t>Praeger publications in Russian history and world communism ; no. 99</t>
  </si>
  <si>
    <t>2017-03-12</t>
  </si>
  <si>
    <t>3856830738:eng</t>
  </si>
  <si>
    <t>671717</t>
  </si>
  <si>
    <t>ocm00671717</t>
  </si>
  <si>
    <t>31022675073</t>
  </si>
  <si>
    <t>791442646</t>
  </si>
  <si>
    <t>U240 P62</t>
  </si>
  <si>
    <t>0                      U  0240000P  62</t>
  </si>
  <si>
    <t>Guerrilla warfare and Marxism; a collection of writings from Karl Marx to the present on armed struggles for liberation and for socialism, edited with an introd. by William J. Pomeroy.</t>
  </si>
  <si>
    <t>Pomeroy, William J., 1916-2009, compiler.</t>
  </si>
  <si>
    <t>New York, International Publishers [1968]</t>
  </si>
  <si>
    <t>[1st ed.].</t>
  </si>
  <si>
    <t>New World paperbacks ; 0248</t>
  </si>
  <si>
    <t>2015-02-13</t>
  </si>
  <si>
    <t>1437566:eng</t>
  </si>
  <si>
    <t>451709</t>
  </si>
  <si>
    <t>ocm00451709</t>
  </si>
  <si>
    <t>3000251088M</t>
  </si>
  <si>
    <t>9780717802487</t>
  </si>
  <si>
    <t>791382439</t>
  </si>
  <si>
    <t>3000251089K</t>
  </si>
  <si>
    <t>791382438</t>
  </si>
  <si>
    <t>3000523985G</t>
  </si>
  <si>
    <t>791382436</t>
  </si>
  <si>
    <t>3100247638G</t>
  </si>
  <si>
    <t>791382437</t>
  </si>
  <si>
    <t>U240 P66 2013</t>
  </si>
  <si>
    <t>0                      U  0240000P  66          2013</t>
  </si>
  <si>
    <t>Counterinsurgency : exposing the myths of the new way of war / Douglas Porch.</t>
  </si>
  <si>
    <t>Porch, Douglas.</t>
  </si>
  <si>
    <t>New York : Cambridge University Press, 2013.</t>
  </si>
  <si>
    <t>1173274446:eng</t>
  </si>
  <si>
    <t>813414777</t>
  </si>
  <si>
    <t>ocn813414777</t>
  </si>
  <si>
    <t>31035012074</t>
  </si>
  <si>
    <t>9781107699847</t>
  </si>
  <si>
    <t>794931650</t>
  </si>
  <si>
    <t>U240 R43</t>
  </si>
  <si>
    <t>0                      U  0240000R  43</t>
  </si>
  <si>
    <t>Revolutionary guerrilla warfare / edited by Sam C. Sarkesian.</t>
  </si>
  <si>
    <t>Chicago : Precedent Pub., ©1975.</t>
  </si>
  <si>
    <t>796579538:eng</t>
  </si>
  <si>
    <t>1733152</t>
  </si>
  <si>
    <t>ocm01733152</t>
  </si>
  <si>
    <t>3000172713F</t>
  </si>
  <si>
    <t>9780913750056</t>
  </si>
  <si>
    <t>791856433</t>
  </si>
  <si>
    <t>U240 S34 2006</t>
  </si>
  <si>
    <t>0                      U  0240000S  34          2006</t>
  </si>
  <si>
    <t>Insurgents, terrorists, and militias : the warriors of contemporary combat / Richard H. Shultz, Jr. and Andrea J. Dew.</t>
  </si>
  <si>
    <t>Shultz, Richard H., 1947-</t>
  </si>
  <si>
    <t>New York : Columbia University Press, ©2006.</t>
  </si>
  <si>
    <t>794165044:eng</t>
  </si>
  <si>
    <t>62342763</t>
  </si>
  <si>
    <t>ocm62342763</t>
  </si>
  <si>
    <t>3102584359K</t>
  </si>
  <si>
    <t>9780231129824</t>
  </si>
  <si>
    <t>794105572</t>
  </si>
  <si>
    <t>U240 V3 1962</t>
  </si>
  <si>
    <t>0                      U  0240000V  3           1962</t>
  </si>
  <si>
    <t>Counter-guerrilla operations : the Philippine experience / Napoleon D. Valeriano and Charles T.R. Bohannan.</t>
  </si>
  <si>
    <t>Valeriano, Napoleon D.</t>
  </si>
  <si>
    <t>New York : Praeger, [1962]</t>
  </si>
  <si>
    <t>Books that matter</t>
  </si>
  <si>
    <t>2018-11-15</t>
  </si>
  <si>
    <t>1658822:eng</t>
  </si>
  <si>
    <t>567649</t>
  </si>
  <si>
    <t>ocm00567649</t>
  </si>
  <si>
    <t>3101186213S</t>
  </si>
  <si>
    <t>791416798</t>
  </si>
  <si>
    <t>U241 A77 2012</t>
  </si>
  <si>
    <t>0                      U  0241000A  77          2012</t>
  </si>
  <si>
    <t>Assessing freedom of movement for counterinsurgency campaigns / Ben Connable [and others].</t>
  </si>
  <si>
    <t>Santa Monica, CA : RAND, ©2012.</t>
  </si>
  <si>
    <t>2018-11-02</t>
  </si>
  <si>
    <t>1071047270:eng</t>
  </si>
  <si>
    <t>771425884</t>
  </si>
  <si>
    <t>ocn771425884</t>
  </si>
  <si>
    <t>3103485061M</t>
  </si>
  <si>
    <t>9780833059062</t>
  </si>
  <si>
    <t>794904176</t>
  </si>
  <si>
    <t>Options for and costs of retaining C-17 aircraft production-only tooling / John C. Graser [and others].</t>
  </si>
  <si>
    <t>Santa Monica, CA : RAND, 2012.</t>
  </si>
  <si>
    <t>RAND Corporation report series ; TR-1143-AF</t>
  </si>
  <si>
    <t>1059576034:eng</t>
  </si>
  <si>
    <t>767825096</t>
  </si>
  <si>
    <t>ocn767825096</t>
  </si>
  <si>
    <t>3103485060M</t>
  </si>
  <si>
    <t>9780833058898</t>
  </si>
  <si>
    <t>794901547</t>
  </si>
  <si>
    <t>U241 C63 2012</t>
  </si>
  <si>
    <t>0                      U  0241000C  63          2012</t>
  </si>
  <si>
    <t>Embracing the fog of war : assessment and metrics in counterinsurgency / Ben Connable.</t>
  </si>
  <si>
    <t>Connable, Ben.</t>
  </si>
  <si>
    <t>1075726431:eng</t>
  </si>
  <si>
    <t>774021168</t>
  </si>
  <si>
    <t>ocn774021168</t>
  </si>
  <si>
    <t>3103438328Y</t>
  </si>
  <si>
    <t>9780833058157</t>
  </si>
  <si>
    <t>794906197</t>
  </si>
  <si>
    <t>U241 C64 2014</t>
  </si>
  <si>
    <t>0                      U  0241000C  64          2014</t>
  </si>
  <si>
    <t>Modeling, simulation, and operations analysis in Afghanistan and Iraq : operational vignettes, lessons learned, and a survey of selected efforts / Ben Connable, Walter L. Perry, Abby Doll, Natasha Lander, Dan Madden.</t>
  </si>
  <si>
    <t>Connable, Ben, author.</t>
  </si>
  <si>
    <t>1748011243:eng</t>
  </si>
  <si>
    <t>866996440</t>
  </si>
  <si>
    <t>ocn866996440</t>
  </si>
  <si>
    <t>3103564562F</t>
  </si>
  <si>
    <t>9780833082114</t>
  </si>
  <si>
    <t>794963761</t>
  </si>
  <si>
    <t>U241 D54 2009</t>
  </si>
  <si>
    <t>0                      U  0241000D  54          2009</t>
  </si>
  <si>
    <t>The difficult war : perspectives on insurgency and special operations forces / edited by Emily Spencer ; foreward by J.P.Y.D. Gosselin.</t>
  </si>
  <si>
    <t>Kingston : Canadian Defence Academy Press ; Toronto : Dundurn Press, c2009.</t>
  </si>
  <si>
    <t>1042639913:eng</t>
  </si>
  <si>
    <t>319486908</t>
  </si>
  <si>
    <t>ocn319486908</t>
  </si>
  <si>
    <t>31030711160</t>
  </si>
  <si>
    <t>9781554884414</t>
  </si>
  <si>
    <t>794483818</t>
  </si>
  <si>
    <t>U241 F74 2011</t>
  </si>
  <si>
    <t>0                      U  0241000F  74          2011</t>
  </si>
  <si>
    <t>The British way in counter-insurgency, 1945-1967 / David French.</t>
  </si>
  <si>
    <t>French, David, 1954-</t>
  </si>
  <si>
    <t>2013-02-19</t>
  </si>
  <si>
    <t>1009091105:eng</t>
  </si>
  <si>
    <t>751726089</t>
  </si>
  <si>
    <t>ocn751726089</t>
  </si>
  <si>
    <t>31034085422</t>
  </si>
  <si>
    <t>9780199587964</t>
  </si>
  <si>
    <t>794890658</t>
  </si>
  <si>
    <t>U241 F76 2011</t>
  </si>
  <si>
    <t>0                      U  0241000F  76          2011</t>
  </si>
  <si>
    <t>From insurgency to stability / Angel Rabasa [and others].</t>
  </si>
  <si>
    <t>v.1-2</t>
  </si>
  <si>
    <t>2018-11-11</t>
  </si>
  <si>
    <t>2517419031:eng</t>
  </si>
  <si>
    <t>743040141</t>
  </si>
  <si>
    <t>ocn743040141</t>
  </si>
  <si>
    <t>31035247210</t>
  </si>
  <si>
    <t>9780833052995</t>
  </si>
  <si>
    <t>794885329</t>
  </si>
  <si>
    <t>31035247192</t>
  </si>
  <si>
    <t>794885330</t>
  </si>
  <si>
    <t>U241 G46 2013</t>
  </si>
  <si>
    <t>0                      U  0241000G  46          2013</t>
  </si>
  <si>
    <t>Wrong turn : America's deadly embrace of counterinsurgency / Colonel Gian Gentile.</t>
  </si>
  <si>
    <t>Gentile, Gian P.</t>
  </si>
  <si>
    <t>New York : The New Press, 2013.</t>
  </si>
  <si>
    <t>2015-04-22</t>
  </si>
  <si>
    <t>1403227552:eng</t>
  </si>
  <si>
    <t>807025091</t>
  </si>
  <si>
    <t>ocn807025091</t>
  </si>
  <si>
    <t>3103505619B</t>
  </si>
  <si>
    <t>9781595588746</t>
  </si>
  <si>
    <t>794927142</t>
  </si>
  <si>
    <t>U241 G535 2011</t>
  </si>
  <si>
    <t>0                      U  0241000G  535         2011</t>
  </si>
  <si>
    <t>Band of brothers or dysfunctional family? : a military perspective on coalition challenges during stability operations / Russell W. Glenn.</t>
  </si>
  <si>
    <t>Glenn, Russell W.</t>
  </si>
  <si>
    <t>1045851875:eng</t>
  </si>
  <si>
    <t>762097807</t>
  </si>
  <si>
    <t>ocn762097807</t>
  </si>
  <si>
    <t>3103483610M</t>
  </si>
  <si>
    <t>9780833047694</t>
  </si>
  <si>
    <t>794899838</t>
  </si>
  <si>
    <t>U241 G65 2007</t>
  </si>
  <si>
    <t>0                      U  0241000G  65          2007</t>
  </si>
  <si>
    <t>Heads we win : the cognitive side of counterinsurgency (COIN) / David C. Gompert ; prepared for the Office of the Secretary of Defense.</t>
  </si>
  <si>
    <t>Gompert, David C.</t>
  </si>
  <si>
    <t>Santa Monica, CA : RAND National Defense Research Institute, 2007.</t>
  </si>
  <si>
    <t>Rand counterinsurgency study ; paper 1</t>
  </si>
  <si>
    <t>364402711:eng</t>
  </si>
  <si>
    <t>80917982</t>
  </si>
  <si>
    <t>ocm80917982</t>
  </si>
  <si>
    <t>31026934942</t>
  </si>
  <si>
    <t>9780833040213</t>
  </si>
  <si>
    <t>794202002</t>
  </si>
  <si>
    <t>U241 H43 2013</t>
  </si>
  <si>
    <t>0                      U  0241000H  43          2013</t>
  </si>
  <si>
    <t>Hearts and minds : a people's history of counterinsurgency / edited by Hannah Gurman.</t>
  </si>
  <si>
    <t>New Press people's history</t>
  </si>
  <si>
    <t>1380487764:eng</t>
  </si>
  <si>
    <t>827974328</t>
  </si>
  <si>
    <t>ocn827974328</t>
  </si>
  <si>
    <t>3103529473G</t>
  </si>
  <si>
    <t>9781595588258</t>
  </si>
  <si>
    <t>794940513</t>
  </si>
  <si>
    <t>U241 H68 1990</t>
  </si>
  <si>
    <t>0                      U  0241000H  68          1990</t>
  </si>
  <si>
    <t>The Army's role in counterinsurgency and insurgency / Stephen T. Hosmer.</t>
  </si>
  <si>
    <t>Hosmer, Stephen T.</t>
  </si>
  <si>
    <t>Santa Monica, CA : Rand Corp., [1990]</t>
  </si>
  <si>
    <t>25708031:eng</t>
  </si>
  <si>
    <t>23295121</t>
  </si>
  <si>
    <t>ocm23295121</t>
  </si>
  <si>
    <t>3101948367X</t>
  </si>
  <si>
    <t>9780833011077</t>
  </si>
  <si>
    <t>793167249</t>
  </si>
  <si>
    <t>U241 I53 2009</t>
  </si>
  <si>
    <t>0                      U  0241000I  53          2009</t>
  </si>
  <si>
    <t>India and counterinsurgency : lessons learned / edited by Sumit Ganguly and David P. Fidler.</t>
  </si>
  <si>
    <t>Asian security studies</t>
  </si>
  <si>
    <t>801083136:eng</t>
  </si>
  <si>
    <t>265078562</t>
  </si>
  <si>
    <t>ocn265078562</t>
  </si>
  <si>
    <t>3103085545Z</t>
  </si>
  <si>
    <t>9780415491037</t>
  </si>
  <si>
    <t>794405532</t>
  </si>
  <si>
    <t>U241 J62 2004</t>
  </si>
  <si>
    <t>0                      U  0241000J  62          2004</t>
  </si>
  <si>
    <t>Resisting rebellion : the history and politics of counterinsurgency / Anthony James Joes.</t>
  </si>
  <si>
    <t>Joes, Anthony James.</t>
  </si>
  <si>
    <t>Lexington, Ky. : University Press of Kentucky, ©2004.</t>
  </si>
  <si>
    <t>801719056:eng</t>
  </si>
  <si>
    <t>55228462</t>
  </si>
  <si>
    <t>ocm55228462</t>
  </si>
  <si>
    <t>3102980987P</t>
  </si>
  <si>
    <t>9780813123394</t>
  </si>
  <si>
    <t>793876284</t>
  </si>
  <si>
    <t>U241 K37 2013</t>
  </si>
  <si>
    <t>0                      U  0241000K  37          2013</t>
  </si>
  <si>
    <t>The insurgents : David Petraeus and the plot to change the American way of war / Fred Kaplan.</t>
  </si>
  <si>
    <t>Kaplan, Fred M.</t>
  </si>
  <si>
    <t>New York : Simon &amp; Schuster, 2013.</t>
  </si>
  <si>
    <t>1st Simon &amp; Schuster hardcover ed.</t>
  </si>
  <si>
    <t>1119718369:eng</t>
  </si>
  <si>
    <t>795504258</t>
  </si>
  <si>
    <t>ocn795504258</t>
  </si>
  <si>
    <t>3103528605S</t>
  </si>
  <si>
    <t>9781451642636</t>
  </si>
  <si>
    <t>794921241</t>
  </si>
  <si>
    <t>U241 K55 2010</t>
  </si>
  <si>
    <t>0                      U  0241000K  55          2010</t>
  </si>
  <si>
    <t>Counterinsurgency / David J. Kilcullen.</t>
  </si>
  <si>
    <t>Kilcullen, David.</t>
  </si>
  <si>
    <t>323410348:eng</t>
  </si>
  <si>
    <t>437300061</t>
  </si>
  <si>
    <t>ocn437300061</t>
  </si>
  <si>
    <t>3103242650D</t>
  </si>
  <si>
    <t>9780199737482</t>
  </si>
  <si>
    <t>794785702</t>
  </si>
  <si>
    <t>U241 L63 2012</t>
  </si>
  <si>
    <t>0                      U  0241000L  63          2012</t>
  </si>
  <si>
    <t>Locals rule : historical lessons for creating local defense forces for Afghanistan and beyond / Austin Long [and others].</t>
  </si>
  <si>
    <t>Santa Monica, CA : RAND/National Defense Research Institute, ©2012.</t>
  </si>
  <si>
    <t>RAND Corporation monograph series</t>
  </si>
  <si>
    <t>2018-03-30</t>
  </si>
  <si>
    <t>1166610123:eng</t>
  </si>
  <si>
    <t>809250636</t>
  </si>
  <si>
    <t>ocn809250636</t>
  </si>
  <si>
    <t>3103441014V</t>
  </si>
  <si>
    <t>9780833076595</t>
  </si>
  <si>
    <t>794928220</t>
  </si>
  <si>
    <t>U241 L64 2008</t>
  </si>
  <si>
    <t>0                      U  0241000L  64          2008</t>
  </si>
  <si>
    <t>Doctrine of eternal recurrence : the U.S. military and counterinsurgency doctrine, 1960-1970 and 2003-2006 / Austin Long.</t>
  </si>
  <si>
    <t>Long, Austin G.</t>
  </si>
  <si>
    <t>Santa Monica, CA : Rand National Defense Research Institute, 2008.</t>
  </si>
  <si>
    <t>Rand counterinsurgency study. Paper ; 6</t>
  </si>
  <si>
    <t>136149349:eng</t>
  </si>
  <si>
    <t>226304778</t>
  </si>
  <si>
    <t>ocn226304778</t>
  </si>
  <si>
    <t>31030501830</t>
  </si>
  <si>
    <t>9780833044709</t>
  </si>
  <si>
    <t>794344816</t>
  </si>
  <si>
    <t>U241 L66 2006</t>
  </si>
  <si>
    <t>0                      U  0241000L  66          2006</t>
  </si>
  <si>
    <t>On "other war" : lessons from five decades of RAND counterinsurgency research / Austin Long.</t>
  </si>
  <si>
    <t>Santa Monica, CA : RAND, National Defense Research Institute, 2006.</t>
  </si>
  <si>
    <t>794007555:eng</t>
  </si>
  <si>
    <t>64442922</t>
  </si>
  <si>
    <t>ocm64442922</t>
  </si>
  <si>
    <t>31026209623</t>
  </si>
  <si>
    <t>9780833039262</t>
  </si>
  <si>
    <t>794129308</t>
  </si>
  <si>
    <t>U241 M333 2008</t>
  </si>
  <si>
    <t>0                      U  0241000M  333         2008</t>
  </si>
  <si>
    <t>Rethinking counterinsurgency / John Mackinlay, Alison Al-Baddawy.</t>
  </si>
  <si>
    <t>Rand counterinsurgency study ; v. 5</t>
  </si>
  <si>
    <t>135808985:eng</t>
  </si>
  <si>
    <t>225846802</t>
  </si>
  <si>
    <t>ocn225846802</t>
  </si>
  <si>
    <t>3102872213Q</t>
  </si>
  <si>
    <t>9780833044754</t>
  </si>
  <si>
    <t>794342587</t>
  </si>
  <si>
    <t>U241 M47 2003</t>
  </si>
  <si>
    <t>0                      U  0241000M  47          2003</t>
  </si>
  <si>
    <t>How democracies lose small wars : state, society, and the failures of France in Algeria, Israel in Lebanon, and the United States in Vietnam / Gil Merom.</t>
  </si>
  <si>
    <t>Merom, Gil, 1956-</t>
  </si>
  <si>
    <t>Cambridge, UK ; New York : Cambridge University Press, ©2003.</t>
  </si>
  <si>
    <t>891301135:eng</t>
  </si>
  <si>
    <t>51274584</t>
  </si>
  <si>
    <t>ocm51274584</t>
  </si>
  <si>
    <t>31023152120</t>
  </si>
  <si>
    <t>9780521804035</t>
  </si>
  <si>
    <t>793782039</t>
  </si>
  <si>
    <t>U241 M634 1995</t>
  </si>
  <si>
    <t>0                      U  0241000M  634         1995</t>
  </si>
  <si>
    <t>British counterinsurgency in the post-imperial era / Thomas R. Mockaitis.</t>
  </si>
  <si>
    <t>Mockaitis, Thomas R., 1955-</t>
  </si>
  <si>
    <t>Manchester ; New York : Manchester University Press ; New York : Distributed exclusively in the USA and Canada by St Martin's Press, ©1995.</t>
  </si>
  <si>
    <t>War, armed forces, and society</t>
  </si>
  <si>
    <t>2018-01-16</t>
  </si>
  <si>
    <t>33084036:eng</t>
  </si>
  <si>
    <t>30979429</t>
  </si>
  <si>
    <t>ocm30979429</t>
  </si>
  <si>
    <t>3101441908L</t>
  </si>
  <si>
    <t>9780719039195</t>
  </si>
  <si>
    <t>793350685</t>
  </si>
  <si>
    <t>U241 M65 2007</t>
  </si>
  <si>
    <t>0                      U  0241000M  65          2007</t>
  </si>
  <si>
    <t>Modern counter-insurgency / edited by Ian Beckett.</t>
  </si>
  <si>
    <t>Aldershot : Ashgate, ©2007.</t>
  </si>
  <si>
    <t>3901392367:eng</t>
  </si>
  <si>
    <t>72868496</t>
  </si>
  <si>
    <t>ocm72868496</t>
  </si>
  <si>
    <t>3102570809$</t>
  </si>
  <si>
    <t>9780754626367</t>
  </si>
  <si>
    <t>794170710</t>
  </si>
  <si>
    <t>U241 M67 2007</t>
  </si>
  <si>
    <t>0                      U  0241000M  67          2007</t>
  </si>
  <si>
    <t>Money in the bank : lessons learned from past counterinsurgency (COIN) operations / Angel Rabasa [and others].</t>
  </si>
  <si>
    <t>Santa Monica, CA : Rand Corp., 2007.</t>
  </si>
  <si>
    <t>Rand counterinsurgency study. Paper ; 4</t>
  </si>
  <si>
    <t>137587938:eng</t>
  </si>
  <si>
    <t>167764234</t>
  </si>
  <si>
    <t>ocn167764234</t>
  </si>
  <si>
    <t>3102805939O</t>
  </si>
  <si>
    <t>9780833041593</t>
  </si>
  <si>
    <t>794262700</t>
  </si>
  <si>
    <t>U241 M69 2009</t>
  </si>
  <si>
    <t>0                      U  0241000M  69          2009</t>
  </si>
  <si>
    <t>A question of command : counterinsurgency from the Civil War to Iraq / Mark Moyar ; foreword by Donald Kagan and Frederick Kagan.</t>
  </si>
  <si>
    <t>Moyar, Mark, 1971-</t>
  </si>
  <si>
    <t>New Haven : Yale University Press, ©2009.</t>
  </si>
  <si>
    <t>The Yale library of military history</t>
  </si>
  <si>
    <t>795327401:eng</t>
  </si>
  <si>
    <t>317471820</t>
  </si>
  <si>
    <t>ocn317471820</t>
  </si>
  <si>
    <t>3103136556B</t>
  </si>
  <si>
    <t>9780300152760</t>
  </si>
  <si>
    <t>794453864</t>
  </si>
  <si>
    <t>U241 P379 2013</t>
  </si>
  <si>
    <t>0                      U  0241000P  379         2013</t>
  </si>
  <si>
    <t>Paths to victory : lessons from modern insurgencies / Christopher Paul, Colin P. Clarke, Beth Grill, Molly Dunigan.</t>
  </si>
  <si>
    <t>Paul, Christopher, 1971-</t>
  </si>
  <si>
    <t>Rand Corporation research report series ; RR-291/1-OSD</t>
  </si>
  <si>
    <t>2015-11-17</t>
  </si>
  <si>
    <t>1401652285:eng</t>
  </si>
  <si>
    <t>855491809</t>
  </si>
  <si>
    <t>ocn855491809</t>
  </si>
  <si>
    <t>3103518011C</t>
  </si>
  <si>
    <t>9780833080547</t>
  </si>
  <si>
    <t>794953494</t>
  </si>
  <si>
    <t>U241 P39 2010</t>
  </si>
  <si>
    <t>0                      U  0241000P  39          2010</t>
  </si>
  <si>
    <t>Victory has a thousand fathers : detailed counterinsurgency case studies / Christopher Paul, Colin P. Clarke, Beth Grill.</t>
  </si>
  <si>
    <t>Santa Monica, CA : RAND Corporation, 2010.</t>
  </si>
  <si>
    <t>Rand Corporation monograph series ; MG-964-1 OSD</t>
  </si>
  <si>
    <t>766256964:eng</t>
  </si>
  <si>
    <t>654426060</t>
  </si>
  <si>
    <t>ocn654426060</t>
  </si>
  <si>
    <t>3103286195L</t>
  </si>
  <si>
    <t>9780833049674</t>
  </si>
  <si>
    <t>794834073</t>
  </si>
  <si>
    <t>U241 P392 2010</t>
  </si>
  <si>
    <t>0                      U  0241000P  392         2010</t>
  </si>
  <si>
    <t>Victory has a thousand fathers : sources of success in counterinsurgency / Christopher Paul, Colin P. Clarke, Beth Grill.</t>
  </si>
  <si>
    <t>Santa Monica, CA : RAND Corporation, ©2010.</t>
  </si>
  <si>
    <t>Rand Corporation monograph series ; MG-964-OSD</t>
  </si>
  <si>
    <t>1033181567:eng</t>
  </si>
  <si>
    <t>654417536</t>
  </si>
  <si>
    <t>ocn654417536</t>
  </si>
  <si>
    <t>3103255816Z</t>
  </si>
  <si>
    <t>9780833049612</t>
  </si>
  <si>
    <t>794834072</t>
  </si>
  <si>
    <t>U241 P393 2011</t>
  </si>
  <si>
    <t>0                      U  0241000P  393         2011</t>
  </si>
  <si>
    <t>Counterinsurgency scorecard : Afghanistan in early 2011 relative to the insurgencies of the past 30 years / Christopher Paul.</t>
  </si>
  <si>
    <t>Occasional paper ; OP-337-OSD</t>
  </si>
  <si>
    <t>2015-02-09</t>
  </si>
  <si>
    <t>993390982:eng</t>
  </si>
  <si>
    <t>740456789</t>
  </si>
  <si>
    <t>ocn740456789</t>
  </si>
  <si>
    <t>3103392817L</t>
  </si>
  <si>
    <t>9780833052483</t>
  </si>
  <si>
    <t>794883241</t>
  </si>
  <si>
    <t>U241 P3932 2013</t>
  </si>
  <si>
    <t>0                      U  0241000P  3932        2013</t>
  </si>
  <si>
    <t>Counterinsurgency scorecard : Afghanistan in early 2013 relative to insurgencies since World War II / Christopher Paul, Colin P. Clarke, Beth Grill, Molly Dunigan.</t>
  </si>
  <si>
    <t>Paul, Christopher, 1971- author.</t>
  </si>
  <si>
    <t>Santa Monica, CA : RAND Corporation, [2013]</t>
  </si>
  <si>
    <t>3859381789:eng</t>
  </si>
  <si>
    <t>862075047</t>
  </si>
  <si>
    <t>ocn862075047</t>
  </si>
  <si>
    <t>3103564607O</t>
  </si>
  <si>
    <t>9780833081766</t>
  </si>
  <si>
    <t>794959966</t>
  </si>
  <si>
    <t>U241 P3992 2013</t>
  </si>
  <si>
    <t>0                      U  0241000P  3992        2013</t>
  </si>
  <si>
    <t>Paths to victory : detailed insurgency case studies / Christopher Paul, Colin P. Clarke, Beth Grill, Molly Dunigan.</t>
  </si>
  <si>
    <t>Rand Corporation research report series ; RR-291/2-OSD</t>
  </si>
  <si>
    <t>1408003255:eng</t>
  </si>
  <si>
    <t>860801706</t>
  </si>
  <si>
    <t>ocn860801706</t>
  </si>
  <si>
    <t>3103518021A</t>
  </si>
  <si>
    <t>9780833081094</t>
  </si>
  <si>
    <t>794958527</t>
  </si>
  <si>
    <t>U241 P75 2011</t>
  </si>
  <si>
    <t>0                      U  0241000P  75          2011</t>
  </si>
  <si>
    <t>Weaponizing anthropology : social science in service of the militarized state / David H. Price.</t>
  </si>
  <si>
    <t>Price, David H.</t>
  </si>
  <si>
    <t>Petrolia, Calif. : CounterPunch ; Oakland, Calif. : AK Press, 2011.</t>
  </si>
  <si>
    <t>1010798304:eng</t>
  </si>
  <si>
    <t>669754830</t>
  </si>
  <si>
    <t>ocn669754830</t>
  </si>
  <si>
    <t>31034068215</t>
  </si>
  <si>
    <t>9781849350631</t>
  </si>
  <si>
    <t>794847090</t>
  </si>
  <si>
    <t>U241 R43 2009</t>
  </si>
  <si>
    <t>0                      U  0241000R  43          2009</t>
  </si>
  <si>
    <t>Reconstruction under fire : unifying civil and military counterinsurgency / David C. Gompert [and others].</t>
  </si>
  <si>
    <t>Santa Monica, CA : RAND Corporation, 2009.</t>
  </si>
  <si>
    <t>1059694615:eng</t>
  </si>
  <si>
    <t>387771308</t>
  </si>
  <si>
    <t>ocn387771308</t>
  </si>
  <si>
    <t>3103131969H</t>
  </si>
  <si>
    <t>9780833047052</t>
  </si>
  <si>
    <t>794495601</t>
  </si>
  <si>
    <t>U241 R432 2010</t>
  </si>
  <si>
    <t>0                      U  0241000R  432         2010</t>
  </si>
  <si>
    <t>Reconstruction under fire : case studies and further analysis of civil requirements / Brooke Stearns Lawson [and others].</t>
  </si>
  <si>
    <t>Santa Monica, CA : Rand Corp., 2010.</t>
  </si>
  <si>
    <t>930600610:eng</t>
  </si>
  <si>
    <t>642464823</t>
  </si>
  <si>
    <t>ocn642464823</t>
  </si>
  <si>
    <t>3103255812Z</t>
  </si>
  <si>
    <t>9780833049735</t>
  </si>
  <si>
    <t>794828250</t>
  </si>
  <si>
    <t>U241 T68 1986</t>
  </si>
  <si>
    <t>0                      U  0241000T  68          1986</t>
  </si>
  <si>
    <t>Britain's civil wars : counterinsurgency in the twentieth century / by Charles Townshend.</t>
  </si>
  <si>
    <t>Townshend, Charles.</t>
  </si>
  <si>
    <t>London ; Boston : Faber and Faber, 1986.</t>
  </si>
  <si>
    <t>836694857:eng</t>
  </si>
  <si>
    <t>13009953</t>
  </si>
  <si>
    <t>ocm13009953</t>
  </si>
  <si>
    <t>3000476282C</t>
  </si>
  <si>
    <t>9780571138029</t>
  </si>
  <si>
    <t>792837274</t>
  </si>
  <si>
    <t>U241 U256 2009</t>
  </si>
  <si>
    <t>0                      U  0241000U  256         2009</t>
  </si>
  <si>
    <t>The new counterinsurgency era : transforming the U.S. military for modern wars / David Ucko ; foreword by John A. Nagl.</t>
  </si>
  <si>
    <t>Ucko, David H.</t>
  </si>
  <si>
    <t>Washington, D.C. : Georgetown University Press, ©2009.</t>
  </si>
  <si>
    <t>2018-08-31</t>
  </si>
  <si>
    <t>793833277:eng</t>
  </si>
  <si>
    <t>275150961</t>
  </si>
  <si>
    <t>ocn275150961</t>
  </si>
  <si>
    <t>3103135306V</t>
  </si>
  <si>
    <t>9781589014879</t>
  </si>
  <si>
    <t>794415860</t>
  </si>
  <si>
    <t>U241 U79 2007</t>
  </si>
  <si>
    <t>0                      U  0241000U  79          2007</t>
  </si>
  <si>
    <t>The U.S. Army/Marine Corps counterinsurgency field manual : U.S. Army field manual no. 3-24 : Marine Corps warfighting publication no. 3-33.5 / foreword by David H. Petraeus and James F. Amos.</t>
  </si>
  <si>
    <t>United States. Department of the Army.</t>
  </si>
  <si>
    <t>Chicago : University of Chicago Press, 2007.</t>
  </si>
  <si>
    <t>University of Chicago Press ed. / foreword by John A. Nagl ; with a new introduction by Sarah Sewall.</t>
  </si>
  <si>
    <t>796492246:eng</t>
  </si>
  <si>
    <t>83610179</t>
  </si>
  <si>
    <t>ocm83610179</t>
  </si>
  <si>
    <t>3102643374Y</t>
  </si>
  <si>
    <t>9780226841519</t>
  </si>
  <si>
    <t>794208960</t>
  </si>
  <si>
    <t>U241 W38 2014</t>
  </si>
  <si>
    <t>0                      U  0241000W  38          2014</t>
  </si>
  <si>
    <t>Countering others' insurgencies : understanding U.S. small-footprint interventions in local context / Stephen Watts, Jason H. Campbell, Patrick B. Johnston, Sameer Lalwani, Sarah H. Bana.</t>
  </si>
  <si>
    <t>Watts, Stephen (Stephen Baldwin)</t>
  </si>
  <si>
    <t>Santa Monica, California : RAND, [2014]</t>
  </si>
  <si>
    <t>1821485033:eng</t>
  </si>
  <si>
    <t>871186949</t>
  </si>
  <si>
    <t>ocn871186949</t>
  </si>
  <si>
    <t>31035180504</t>
  </si>
  <si>
    <t>9780833084040</t>
  </si>
  <si>
    <t>794967300</t>
  </si>
  <si>
    <t>U260 B66 2010</t>
  </si>
  <si>
    <t>0                      U  0260000B  66          2010</t>
  </si>
  <si>
    <t>Enhancing Army Joint Force headquarters capabilities / Timothy M. Bonds, Myron Hura, Thomas-Durell Young.</t>
  </si>
  <si>
    <t>Bonds, Tim, 1962-</t>
  </si>
  <si>
    <t>Santa Monica, CA : RAND Arroyo Center, 2010.</t>
  </si>
  <si>
    <t>Rand Corporation monograph series ; MG-675-A</t>
  </si>
  <si>
    <t>549302458:eng</t>
  </si>
  <si>
    <t>650215752</t>
  </si>
  <si>
    <t>ocn650215752</t>
  </si>
  <si>
    <t>31032996185</t>
  </si>
  <si>
    <t>9780833043993</t>
  </si>
  <si>
    <t>794832361</t>
  </si>
  <si>
    <t>U261 R47 2013</t>
  </si>
  <si>
    <t>0                      U  0261000R  47          2013</t>
  </si>
  <si>
    <t>Developing Navy capability to recover forces in chemical, biological, and radiological hazard environments / Adam C. Resnick, Steven A. Knapp.</t>
  </si>
  <si>
    <t>Resnick, Adam C.</t>
  </si>
  <si>
    <t>Santa Monica, CA : RAND, National Defense Research Institute, [2013]</t>
  </si>
  <si>
    <t>Research report</t>
  </si>
  <si>
    <t>1391841756:eng</t>
  </si>
  <si>
    <t>858159564</t>
  </si>
  <si>
    <t>ocn858159564</t>
  </si>
  <si>
    <t>3103564505R</t>
  </si>
  <si>
    <t>9780833081476</t>
  </si>
  <si>
    <t>794955865</t>
  </si>
  <si>
    <t>U262 C48 2005</t>
  </si>
  <si>
    <t>0                      U  0262000C  48          2005</t>
  </si>
  <si>
    <t>Choice of force : special operations for Canada / edited by David Last and Bernd Horn.</t>
  </si>
  <si>
    <t>Montreal : Published for the School of Policy Studies, Queen's University by McGill-Queen's University Press, c2005.</t>
  </si>
  <si>
    <t>2015-01-15</t>
  </si>
  <si>
    <t>451827710:eng</t>
  </si>
  <si>
    <t>57207616</t>
  </si>
  <si>
    <t>ocm57207616</t>
  </si>
  <si>
    <t>3102552155C</t>
  </si>
  <si>
    <t>9781553390442</t>
  </si>
  <si>
    <t>793908914</t>
  </si>
  <si>
    <t>U262 F67 2004</t>
  </si>
  <si>
    <t>0                      U  0262000F  67          2004</t>
  </si>
  <si>
    <t>Force of choice / edited by Bernd Horn, J. Paul de B. Taillon and David Last.</t>
  </si>
  <si>
    <t>Montreal : Published for the School of Policy Studies, Queen's University and by McGill-Queen's University Press, c2004.</t>
  </si>
  <si>
    <t>Queen's policy studies series</t>
  </si>
  <si>
    <t>2015-01-16</t>
  </si>
  <si>
    <t>367783900:eng</t>
  </si>
  <si>
    <t>56371115</t>
  </si>
  <si>
    <t>ocm56371115</t>
  </si>
  <si>
    <t>3103019084O</t>
  </si>
  <si>
    <t>9781553390428</t>
  </si>
  <si>
    <t>793891926</t>
  </si>
  <si>
    <t>U262 L67 2014</t>
  </si>
  <si>
    <t>0                      U  0262000L  67          2014</t>
  </si>
  <si>
    <t>Authorities and options for funding USSOCOM operations / Elvira N. Laredo, John E. Peters, Karlyn D. Stanley, Matthew E. Boyer, William Welser IV, Thomas S. Szayna.</t>
  </si>
  <si>
    <t>Loredo, Elvira N., author.</t>
  </si>
  <si>
    <t>Santa Monica, CA : Rand Corporation, [2014]</t>
  </si>
  <si>
    <t>1882330802:eng</t>
  </si>
  <si>
    <t>879324210</t>
  </si>
  <si>
    <t>ocn879324210</t>
  </si>
  <si>
    <t>3103564564F</t>
  </si>
  <si>
    <t>9780833085061</t>
  </si>
  <si>
    <t>794971930</t>
  </si>
  <si>
    <t>U262 P84 2003</t>
  </si>
  <si>
    <t>0                      U  0262000P  84          2003</t>
  </si>
  <si>
    <t>Shadow wars : special forces in the new battle against terrorism / by David Pugliese.</t>
  </si>
  <si>
    <t>Pugliese, David, 1957-</t>
  </si>
  <si>
    <t>Ottawa, Ont. : Esprit de Corps Books, ©2003.</t>
  </si>
  <si>
    <t>11420117:eng</t>
  </si>
  <si>
    <t>53036556</t>
  </si>
  <si>
    <t>ocm53036556</t>
  </si>
  <si>
    <t>3102998531A</t>
  </si>
  <si>
    <t>9781895896244</t>
  </si>
  <si>
    <t>793819746</t>
  </si>
  <si>
    <t>U262 T46 1998</t>
  </si>
  <si>
    <t>0                      U  0262000T  46          1998</t>
  </si>
  <si>
    <t>The Imperial War Museum book of war behind enemy lines / Julian Thompson.</t>
  </si>
  <si>
    <t>Thompson, Julian, 1934-</t>
  </si>
  <si>
    <t>London : Sidgwick &amp; Jackson, 1998.</t>
  </si>
  <si>
    <t>37814928:eng</t>
  </si>
  <si>
    <t>38738177</t>
  </si>
  <si>
    <t>ocm38738177</t>
  </si>
  <si>
    <t>31019738322</t>
  </si>
  <si>
    <t>9780283062537</t>
  </si>
  <si>
    <t>793529509</t>
  </si>
  <si>
    <t>U263 B45 1989</t>
  </si>
  <si>
    <t>0                      U  0263000B  45          1989</t>
  </si>
  <si>
    <t>Behavior, society, and nuclear war / Philip E. Tetlock [and others], editors.</t>
  </si>
  <si>
    <t>New York : Oxford University Press, 1989-&lt;1993&gt;</t>
  </si>
  <si>
    <t>2007-05-03</t>
  </si>
  <si>
    <t>2017-08-23</t>
  </si>
  <si>
    <t>5218208381:eng</t>
  </si>
  <si>
    <t>19129637</t>
  </si>
  <si>
    <t>ocm19129637</t>
  </si>
  <si>
    <t>3102799704I</t>
  </si>
  <si>
    <t>9780195057652</t>
  </si>
  <si>
    <t>793048185</t>
  </si>
  <si>
    <t>3103147592V</t>
  </si>
  <si>
    <t>793048186</t>
  </si>
  <si>
    <t>2015-09-07</t>
  </si>
  <si>
    <t>3101399632A</t>
  </si>
  <si>
    <t>793048184</t>
  </si>
  <si>
    <t>U263 C56 2012</t>
  </si>
  <si>
    <t>0                      U  0263000C  56          2012</t>
  </si>
  <si>
    <t>Towards a World War III scenario : the dangers of nuclear war / Michel Chossudovsky.</t>
  </si>
  <si>
    <t>Chossudovsky, Michel.</t>
  </si>
  <si>
    <t>Montreal : Global Research, ©2012.</t>
  </si>
  <si>
    <t>2012-11-08</t>
  </si>
  <si>
    <t>1077559321:eng</t>
  </si>
  <si>
    <t>775060680</t>
  </si>
  <si>
    <t>ocn775060680</t>
  </si>
  <si>
    <t>3103402730M</t>
  </si>
  <si>
    <t>9780973714753</t>
  </si>
  <si>
    <t>794907214</t>
  </si>
  <si>
    <t>U263 E96 1982</t>
  </si>
  <si>
    <t>0                      U  0263000E  96          1982</t>
  </si>
  <si>
    <t>Exterminism and cold war / Edward Thompson [and others] ; edited by New Left Review.</t>
  </si>
  <si>
    <t>London : NLB ; [New York, NY] : [Distributed by Schocken Books], 1982.</t>
  </si>
  <si>
    <t>2016-10-18</t>
  </si>
  <si>
    <t>350932272:eng</t>
  </si>
  <si>
    <t>9440871</t>
  </si>
  <si>
    <t>ocm09440871</t>
  </si>
  <si>
    <t>3103679629B</t>
  </si>
  <si>
    <t>9780860910510</t>
  </si>
  <si>
    <t>792676211</t>
  </si>
  <si>
    <t>U263 G47 2007</t>
  </si>
  <si>
    <t>0                      U  0263000G  47          2007</t>
  </si>
  <si>
    <t>Empire and the bomb : how the U.S. uses nuclear weapons to dominate the world / Joseph Gerson.</t>
  </si>
  <si>
    <t>Gerson, Joseph.</t>
  </si>
  <si>
    <t>London : Pluto Press published in association with American Friends Service Committee, 2007.</t>
  </si>
  <si>
    <t>2018-02-02</t>
  </si>
  <si>
    <t>797348506:eng</t>
  </si>
  <si>
    <t>71808234</t>
  </si>
  <si>
    <t>ocm71808234</t>
  </si>
  <si>
    <t>3102641159F</t>
  </si>
  <si>
    <t>9780745324951</t>
  </si>
  <si>
    <t>794168501</t>
  </si>
  <si>
    <t>U263 J47 1989</t>
  </si>
  <si>
    <t>0                      U  0263000J  47          1989</t>
  </si>
  <si>
    <t>The meaning of the nuclear revolution : statecraft and the prospect of Armageddon / Robert Jervis.</t>
  </si>
  <si>
    <t>Ithaca : Cornell University Press, 1989.</t>
  </si>
  <si>
    <t>2019-12-12</t>
  </si>
  <si>
    <t>836868409:eng</t>
  </si>
  <si>
    <t>19353888</t>
  </si>
  <si>
    <t>ocm19353888</t>
  </si>
  <si>
    <t>3102944501K</t>
  </si>
  <si>
    <t>9780801423048</t>
  </si>
  <si>
    <t>793055151</t>
  </si>
  <si>
    <t>2016-05-30</t>
  </si>
  <si>
    <t>31036436122</t>
  </si>
  <si>
    <t>793055152</t>
  </si>
  <si>
    <t>U263 K36 1983</t>
  </si>
  <si>
    <t>0                      U  0263000K  36          1983</t>
  </si>
  <si>
    <t>The wizards of Armageddon / Fred Kaplan.</t>
  </si>
  <si>
    <t>New York : Simon and Schuster, ©1983.</t>
  </si>
  <si>
    <t>8235049:eng</t>
  </si>
  <si>
    <t>9195787</t>
  </si>
  <si>
    <t>ocm09195787</t>
  </si>
  <si>
    <t>3102823766M</t>
  </si>
  <si>
    <t>9780671424442</t>
  </si>
  <si>
    <t>792663108</t>
  </si>
  <si>
    <t>U263 L49 1988</t>
  </si>
  <si>
    <t>0                      U  0263000L  49          1988</t>
  </si>
  <si>
    <t>China builds the bomb / John Wilson Lewis and Xue Litai.</t>
  </si>
  <si>
    <t>Lewis, John Wilson, 1930-2017.</t>
  </si>
  <si>
    <t>Stanford, Calif. : Stanford University Press, ©1988.</t>
  </si>
  <si>
    <t>ISIS studies in international policy</t>
  </si>
  <si>
    <t>2017-10-02</t>
  </si>
  <si>
    <t>13069892:eng</t>
  </si>
  <si>
    <t>16950375</t>
  </si>
  <si>
    <t>ocm16950375</t>
  </si>
  <si>
    <t>3102997171I</t>
  </si>
  <si>
    <t>9780804714525</t>
  </si>
  <si>
    <t>792978549</t>
  </si>
  <si>
    <t>U263 L53 1990</t>
  </si>
  <si>
    <t>0                      U  0263000L  53          1990</t>
  </si>
  <si>
    <t>The genocidal mentality : Nazi holocaust and nuclear threat / Robert Jay Lifton and Eric Markusen.</t>
  </si>
  <si>
    <t>Lifton, Robert Jay, 1926-</t>
  </si>
  <si>
    <t>New York : Basic Books, ©1990.</t>
  </si>
  <si>
    <t>2019-02-08</t>
  </si>
  <si>
    <t>21063385:eng</t>
  </si>
  <si>
    <t>20631490</t>
  </si>
  <si>
    <t>ocm20631490</t>
  </si>
  <si>
    <t>31007094456</t>
  </si>
  <si>
    <t>9780465026623</t>
  </si>
  <si>
    <t>793093438</t>
  </si>
  <si>
    <t>U263 L64 1987</t>
  </si>
  <si>
    <t>0                      U  0263000L  64          1987</t>
  </si>
  <si>
    <t>The Logic of nuclear terror / Roman Kolkowicz, editor.</t>
  </si>
  <si>
    <t>Boston : Allen &amp; Unwin, ©1987.</t>
  </si>
  <si>
    <t>2015-11-11</t>
  </si>
  <si>
    <t>350994171:eng</t>
  </si>
  <si>
    <t>14212454</t>
  </si>
  <si>
    <t>ocm14212454</t>
  </si>
  <si>
    <t>31000182204</t>
  </si>
  <si>
    <t>9780044970316</t>
  </si>
  <si>
    <t>792882023</t>
  </si>
  <si>
    <t>U263 M324 1987</t>
  </si>
  <si>
    <t>0                      U  0263000M  324         1987</t>
  </si>
  <si>
    <t>Managing nuclear operations / Ashton B. Carter, John D. Steinbruner, Charles A. Zraket, editors.</t>
  </si>
  <si>
    <t>Washington, D.C. : Brookings Institution, ©1987.</t>
  </si>
  <si>
    <t>2017-09-06</t>
  </si>
  <si>
    <t>365401488:eng</t>
  </si>
  <si>
    <t>15014821</t>
  </si>
  <si>
    <t>ocm15014821</t>
  </si>
  <si>
    <t>3000528552M</t>
  </si>
  <si>
    <t>9780815713142</t>
  </si>
  <si>
    <t>792916585</t>
  </si>
  <si>
    <t>U263 N48 1989</t>
  </si>
  <si>
    <t>0                      U  0263000N  48          1989</t>
  </si>
  <si>
    <t>War and peace in the nuclear age / John Newhouse.</t>
  </si>
  <si>
    <t>Newhouse, John, 1929-2016.</t>
  </si>
  <si>
    <t>New York : Knopf : Distributed by Random House, 1989, ©1988.</t>
  </si>
  <si>
    <t>18933196:eng</t>
  </si>
  <si>
    <t>18833429</t>
  </si>
  <si>
    <t>ocm18833429</t>
  </si>
  <si>
    <t>30008065866</t>
  </si>
  <si>
    <t>9780394562179</t>
  </si>
  <si>
    <t>793038551</t>
  </si>
  <si>
    <t>U263 N75 1984</t>
  </si>
  <si>
    <t>0                      U  0263000N  75          1984</t>
  </si>
  <si>
    <t>The Nuclear crisis reader / edited by Gwyn Prins.</t>
  </si>
  <si>
    <t>New York : Vintage Books, 1984.</t>
  </si>
  <si>
    <t>54646858:eng</t>
  </si>
  <si>
    <t>10779526</t>
  </si>
  <si>
    <t>ocm10779526</t>
  </si>
  <si>
    <t>30001697921</t>
  </si>
  <si>
    <t>9780394727684</t>
  </si>
  <si>
    <t>792743198</t>
  </si>
  <si>
    <t>U263 N8 1983</t>
  </si>
  <si>
    <t>0                      U  0263000N  8           1983</t>
  </si>
  <si>
    <t>The Aftermath : the human and ecological consequences of nuclear war / edited by Jeannie Peterson for Ambio ; with an introduction by Alva Myrdal.</t>
  </si>
  <si>
    <t>Nuclear war, the aftermath.</t>
  </si>
  <si>
    <t>New York : Pantheon Books, ©1983.</t>
  </si>
  <si>
    <t>2017-03-14</t>
  </si>
  <si>
    <t>408064:eng</t>
  </si>
  <si>
    <t>9576418</t>
  </si>
  <si>
    <t>ocm09576418</t>
  </si>
  <si>
    <t>3000166104Q</t>
  </si>
  <si>
    <t>9780394534466</t>
  </si>
  <si>
    <t>792682910</t>
  </si>
  <si>
    <t>U263 N94 1986</t>
  </si>
  <si>
    <t>0                      U  0263000N  94          1986</t>
  </si>
  <si>
    <t>Nuclear ethics / Joseph S. Nye, Jr.</t>
  </si>
  <si>
    <t>Nye, Joseph S.</t>
  </si>
  <si>
    <t>New York : Free Press ; London : Collier Macmillan, ©1986.</t>
  </si>
  <si>
    <t>2015-05-20</t>
  </si>
  <si>
    <t>5482008:eng</t>
  </si>
  <si>
    <t>13009956</t>
  </si>
  <si>
    <t>ocm13009956</t>
  </si>
  <si>
    <t>3000194574I</t>
  </si>
  <si>
    <t>9780029224601</t>
  </si>
  <si>
    <t>792837276</t>
  </si>
  <si>
    <t>2003-10-27</t>
  </si>
  <si>
    <t>3100021690X</t>
  </si>
  <si>
    <t>792837277</t>
  </si>
  <si>
    <t>U263 R67 2011</t>
  </si>
  <si>
    <t>0                      U  0263000R  67          2011</t>
  </si>
  <si>
    <t>How the end begins : the road to a nuclear World War III / Ron Rosenbaum.</t>
  </si>
  <si>
    <t>Rosenbaum, Ron.</t>
  </si>
  <si>
    <t>New York : Simon &amp; Schuster, 2011.</t>
  </si>
  <si>
    <t>2015-04-07</t>
  </si>
  <si>
    <t>192154897:eng</t>
  </si>
  <si>
    <t>313658819</t>
  </si>
  <si>
    <t>ocn313658819</t>
  </si>
  <si>
    <t>3103341146S</t>
  </si>
  <si>
    <t>9781416594215</t>
  </si>
  <si>
    <t>794437977</t>
  </si>
  <si>
    <t>U263 R86 1985</t>
  </si>
  <si>
    <t>0                      U  0263000R  86          1985</t>
  </si>
  <si>
    <t>The politics of nuclear defence : a comprehensive introduction / Greville Rumble.</t>
  </si>
  <si>
    <t>Rumble, Greville.</t>
  </si>
  <si>
    <t>New York, NY, USA : Basil Blackwell, 1985.</t>
  </si>
  <si>
    <t>836726130:eng</t>
  </si>
  <si>
    <t>237329812</t>
  </si>
  <si>
    <t>ocn237329812</t>
  </si>
  <si>
    <t>3000381839F</t>
  </si>
  <si>
    <t>9780745601946</t>
  </si>
  <si>
    <t>794373085</t>
  </si>
  <si>
    <t>U263 S378 1988</t>
  </si>
  <si>
    <t>0                      U  0263000S  378         1988</t>
  </si>
  <si>
    <t>Games of chicken : four decades of U.S. nuclear policy / David Schwartzman.</t>
  </si>
  <si>
    <t>Schwartzman, David.</t>
  </si>
  <si>
    <t>New York, NY : Praeger, 1988.</t>
  </si>
  <si>
    <t>235165514:eng</t>
  </si>
  <si>
    <t>16900768</t>
  </si>
  <si>
    <t>ocm16900768</t>
  </si>
  <si>
    <t>3000588098J</t>
  </si>
  <si>
    <t>9780275928841</t>
  </si>
  <si>
    <t>792976845</t>
  </si>
  <si>
    <t>U263 S773 2012</t>
  </si>
  <si>
    <t>0                      U  0263000S  773         2012</t>
  </si>
  <si>
    <t>Strategy in the second nuclear age : power, ambition, and the ultimate weapon / Toshi Yoshihara and James R. Holmes, editors.</t>
  </si>
  <si>
    <t>Washington, DC : Georgetown University Press, ©2012.</t>
  </si>
  <si>
    <t>2013-01-14</t>
  </si>
  <si>
    <t>1075726423:eng</t>
  </si>
  <si>
    <t>774021162</t>
  </si>
  <si>
    <t>ocn774021162</t>
  </si>
  <si>
    <t>3103468123P</t>
  </si>
  <si>
    <t>9781589019287</t>
  </si>
  <si>
    <t>794906194</t>
  </si>
  <si>
    <t>U264 A27 1998</t>
  </si>
  <si>
    <t>0                      U  0264000A  27          1998</t>
  </si>
  <si>
    <t>The absolute weapon revisited : nuclear arms and the emerging international order / edited by T.V. Paul, Richard J. Harknett, and James J. Wirtz.</t>
  </si>
  <si>
    <t>Ann Arbor : University of Michigan Press, ©1998.</t>
  </si>
  <si>
    <t>864901136:eng</t>
  </si>
  <si>
    <t>37806054</t>
  </si>
  <si>
    <t>ocm37806054</t>
  </si>
  <si>
    <t>31018677222</t>
  </si>
  <si>
    <t>9780472108633</t>
  </si>
  <si>
    <t>793507449</t>
  </si>
  <si>
    <t>2019-04-07</t>
  </si>
  <si>
    <t>3101867762R</t>
  </si>
  <si>
    <t>793507448</t>
  </si>
  <si>
    <t>U264 B4 1984</t>
  </si>
  <si>
    <t>0                      U  0264000B  4           1984</t>
  </si>
  <si>
    <t>The nuclear weapons industry / by Kenneth A. Bertsch and Linda S. Shaw.</t>
  </si>
  <si>
    <t>Bertsch, Kenneth A.</t>
  </si>
  <si>
    <t>Washington, D.C. (1319 F. St., N.W., Suite 900, Washington 20004) : Investor Responsibility Research Center, ©1984.</t>
  </si>
  <si>
    <t>2849172:eng</t>
  </si>
  <si>
    <t>10354196</t>
  </si>
  <si>
    <t>ocm10354196</t>
  </si>
  <si>
    <t>3000365719H</t>
  </si>
  <si>
    <t>792722290</t>
  </si>
  <si>
    <t>U264 G67 2009</t>
  </si>
  <si>
    <t>0                      U  0264000G  67          2009</t>
  </si>
  <si>
    <t>Red cloud at dawn : Truman, Stalin, and the end of the atomic monopoly / Michael D. Gordin.</t>
  </si>
  <si>
    <t>Gordin, Michael D.</t>
  </si>
  <si>
    <t>New York : Farrar, Straus and Giroux, 2009.</t>
  </si>
  <si>
    <t>795024251:eng</t>
  </si>
  <si>
    <t>300718864</t>
  </si>
  <si>
    <t>ocn300718864</t>
  </si>
  <si>
    <t>3103243383C</t>
  </si>
  <si>
    <t>9780374256821</t>
  </si>
  <si>
    <t>794431889</t>
  </si>
  <si>
    <t>U264 H645 2009</t>
  </si>
  <si>
    <t>0                      U  0264000H  645         2009</t>
  </si>
  <si>
    <t>The dead hand : the untold story of the Cold War arms race and its dangerous legacy / David E. Hoffman.</t>
  </si>
  <si>
    <t>Hoffman, David E. (David Emanuel)</t>
  </si>
  <si>
    <t>New York : Doubleday, 2009.</t>
  </si>
  <si>
    <t>2016-09-12</t>
  </si>
  <si>
    <t>793206978:eng</t>
  </si>
  <si>
    <t>320432478</t>
  </si>
  <si>
    <t>ocn320432478</t>
  </si>
  <si>
    <t>31031574422</t>
  </si>
  <si>
    <t>9780385524377</t>
  </si>
  <si>
    <t>794486250</t>
  </si>
  <si>
    <t>U264 L33 1984</t>
  </si>
  <si>
    <t>0                      U  0264000L  33          1984</t>
  </si>
  <si>
    <t>Moral principles and nuclear weapons / Douglas P. Lackey.</t>
  </si>
  <si>
    <t>Lackey, Douglas P.</t>
  </si>
  <si>
    <t>Totowa, N.J. : Rowman &amp; Allanheld, 1984.</t>
  </si>
  <si>
    <t>[Philosophy and society]</t>
  </si>
  <si>
    <t>2802323:eng</t>
  </si>
  <si>
    <t>10800128</t>
  </si>
  <si>
    <t>ocm10800128</t>
  </si>
  <si>
    <t>30003767900</t>
  </si>
  <si>
    <t>9780847671168</t>
  </si>
  <si>
    <t>792744379</t>
  </si>
  <si>
    <t>U264 M49 1984</t>
  </si>
  <si>
    <t>0                      U  0264000M  49          1984</t>
  </si>
  <si>
    <t>The dynamics of nuclear proliferation / Stephen M. Meyer with a foreword by Joseph S. Nye, Jr.</t>
  </si>
  <si>
    <t>Meyer, Stephen M.</t>
  </si>
  <si>
    <t>Chicago : University of Chicago Press, ©1984.</t>
  </si>
  <si>
    <t>19957303:eng</t>
  </si>
  <si>
    <t>9893709</t>
  </si>
  <si>
    <t>ocm09893709</t>
  </si>
  <si>
    <t>3000365932H</t>
  </si>
  <si>
    <t>9780226521480</t>
  </si>
  <si>
    <t>792698440</t>
  </si>
  <si>
    <t>U264 M66x 1987b</t>
  </si>
  <si>
    <t>0                      U  0264000M  66x         1987b</t>
  </si>
  <si>
    <t>South Africa and nuclear proliferation : South Africa's nuclear capabilities and intentions in the context of international non-proliferation policies / J.D.L. Moore.</t>
  </si>
  <si>
    <t>Moore, J. D. L. (John Davey Lewis)</t>
  </si>
  <si>
    <t>Houndmills, Basingstoke, Hampshire : Macmillan Press, 1987.</t>
  </si>
  <si>
    <t>6852596:eng</t>
  </si>
  <si>
    <t>17551603</t>
  </si>
  <si>
    <t>ocm17551603</t>
  </si>
  <si>
    <t>3000533018O</t>
  </si>
  <si>
    <t>9780333387511</t>
  </si>
  <si>
    <t>792995480</t>
  </si>
  <si>
    <t>U264 N823 1986</t>
  </si>
  <si>
    <t>0                      U  0264000N  823         1986</t>
  </si>
  <si>
    <t>Nuclear weapons and the future of humanity : the fundamental questions / edited by Avner Cohen and Steven Lee.</t>
  </si>
  <si>
    <t>Totowa, N.J. : Rowman &amp; Allanheld, 1986.</t>
  </si>
  <si>
    <t>Philosophy and society series</t>
  </si>
  <si>
    <t>2011-02-05</t>
  </si>
  <si>
    <t>2019-06-27</t>
  </si>
  <si>
    <t>918660939:eng</t>
  </si>
  <si>
    <t>11262097</t>
  </si>
  <si>
    <t>ocm11262097</t>
  </si>
  <si>
    <t>3000472783A</t>
  </si>
  <si>
    <t>9780847672585</t>
  </si>
  <si>
    <t>792765804</t>
  </si>
  <si>
    <t>30001928008</t>
  </si>
  <si>
    <t>792765805</t>
  </si>
  <si>
    <t>U264 P38 2000</t>
  </si>
  <si>
    <t>0                      U  0264000P  38          2000</t>
  </si>
  <si>
    <t>Power versus prudence : why nations forgo nuclear weapons / T.V. Paul.</t>
  </si>
  <si>
    <t>Paul, T. V.</t>
  </si>
  <si>
    <t>Montreal : McGill-Queen's University Press, ©2000.</t>
  </si>
  <si>
    <t>Foreign policy, security and strategic studies</t>
  </si>
  <si>
    <t>793987534:eng</t>
  </si>
  <si>
    <t>43282140</t>
  </si>
  <si>
    <t>ocm43282140</t>
  </si>
  <si>
    <t>31019691148</t>
  </si>
  <si>
    <t>9780773520868</t>
  </si>
  <si>
    <t>793623133</t>
  </si>
  <si>
    <t>U264 P38 2009</t>
  </si>
  <si>
    <t>0                      U  0264000P  38          2009</t>
  </si>
  <si>
    <t>The tradition of non-use of nuclear weapons / T.V. Paul.</t>
  </si>
  <si>
    <t>Stanford, Calif. : Stanford Security Studies, ©2009.</t>
  </si>
  <si>
    <t>2019-12-18</t>
  </si>
  <si>
    <t>139059251:eng</t>
  </si>
  <si>
    <t>232391075</t>
  </si>
  <si>
    <t>ocn232391075</t>
  </si>
  <si>
    <t>3103061075X</t>
  </si>
  <si>
    <t>9780804761314</t>
  </si>
  <si>
    <t>794363699</t>
  </si>
  <si>
    <t>U264 P69 1987</t>
  </si>
  <si>
    <t>0                      U  0264000P  69          1987</t>
  </si>
  <si>
    <t>March to Armageddon : the United States and the nuclear arms race, 1939 to the present / Ronald E. Powaski.</t>
  </si>
  <si>
    <t>Powaski, Ronald E.</t>
  </si>
  <si>
    <t>New York : Oxford University Press, 1987.</t>
  </si>
  <si>
    <t>9055272:eng</t>
  </si>
  <si>
    <t>14691888</t>
  </si>
  <si>
    <t>ocm14691888</t>
  </si>
  <si>
    <t>3100220005S</t>
  </si>
  <si>
    <t>9780195038781</t>
  </si>
  <si>
    <t>792898965</t>
  </si>
  <si>
    <t>U264 R48 2007</t>
  </si>
  <si>
    <t>0                      U  0264000R  48          2007</t>
  </si>
  <si>
    <t>Arsenals of folly : the making of the nuclear arms race / Richard Rhodes.</t>
  </si>
  <si>
    <t>Rhodes, Richard, 1937-</t>
  </si>
  <si>
    <t>New York : Alfred A. Knopf, 2007.</t>
  </si>
  <si>
    <t>198139184:eng</t>
  </si>
  <si>
    <t>137325021</t>
  </si>
  <si>
    <t>ocn137325021</t>
  </si>
  <si>
    <t>3102644776I</t>
  </si>
  <si>
    <t>9780375414138</t>
  </si>
  <si>
    <t>794233782</t>
  </si>
  <si>
    <t>U264 S233 1995</t>
  </si>
  <si>
    <t>0                      U  0264000S  233         1995</t>
  </si>
  <si>
    <t>The spread of nuclear weapons : a debate / Scott D. Sagan, Kenneth N. Waltz.</t>
  </si>
  <si>
    <t>Sagan, Scott Douglas.</t>
  </si>
  <si>
    <t>New York : W.W. Norton, ©1995.</t>
  </si>
  <si>
    <t>2019-11-07</t>
  </si>
  <si>
    <t>5534266810:eng</t>
  </si>
  <si>
    <t>31206086</t>
  </si>
  <si>
    <t>ocm31206086</t>
  </si>
  <si>
    <t>3103742628M</t>
  </si>
  <si>
    <t>9780393038101</t>
  </si>
  <si>
    <t>793355758</t>
  </si>
  <si>
    <t>U264 S37 1990</t>
  </si>
  <si>
    <t>0                      U  0264000S  37          1990</t>
  </si>
  <si>
    <t>The nuclear seduction : why the arms race doesn't matter--and what does / William A. Schwartz and Charles Derber with Gordon Fellman [and others].</t>
  </si>
  <si>
    <t>Schwartz, William A., 1958-</t>
  </si>
  <si>
    <t>Berkeley : University of California Press, ©1990.</t>
  </si>
  <si>
    <t>204496323:eng</t>
  </si>
  <si>
    <t>19773611</t>
  </si>
  <si>
    <t>ocm19773611</t>
  </si>
  <si>
    <t>31013698809</t>
  </si>
  <si>
    <t>9780520061347</t>
  </si>
  <si>
    <t>793068303</t>
  </si>
  <si>
    <t>U264 S555 2008</t>
  </si>
  <si>
    <t>0                      U  0264000S  555         2008</t>
  </si>
  <si>
    <t>Nuclear weapons : a very short introduction / Joseph M. Siracusa.</t>
  </si>
  <si>
    <t>Siracusa, Joseph M.</t>
  </si>
  <si>
    <t>Oxford ; New York : Oxford University Press, 2008.</t>
  </si>
  <si>
    <t>Very short introductions ; 179</t>
  </si>
  <si>
    <t>803204068:eng</t>
  </si>
  <si>
    <t>182552878</t>
  </si>
  <si>
    <t>ocn182552878</t>
  </si>
  <si>
    <t>3102882508E</t>
  </si>
  <si>
    <t>9780199229543</t>
  </si>
  <si>
    <t>794284538</t>
  </si>
  <si>
    <t>U264 S59 1987</t>
  </si>
  <si>
    <t>0                      U  0264000S  59          1987</t>
  </si>
  <si>
    <t>National security and the nuclear dilemma : an introduction to the American experience / Richard Smoke.</t>
  </si>
  <si>
    <t>Smoke, Richard.</t>
  </si>
  <si>
    <t>New York : Random House, ©1987.</t>
  </si>
  <si>
    <t>5132261:eng</t>
  </si>
  <si>
    <t>14966137</t>
  </si>
  <si>
    <t>ocm14966137</t>
  </si>
  <si>
    <t>31000218039</t>
  </si>
  <si>
    <t>9780394358000</t>
  </si>
  <si>
    <t>792915266</t>
  </si>
  <si>
    <t>2009-11-18</t>
  </si>
  <si>
    <t>31000218047</t>
  </si>
  <si>
    <t>792915267</t>
  </si>
  <si>
    <t>2008-11-15</t>
  </si>
  <si>
    <t>3100021695N</t>
  </si>
  <si>
    <t>792915265</t>
  </si>
  <si>
    <t>2008-04-03</t>
  </si>
  <si>
    <t>3100021802B</t>
  </si>
  <si>
    <t>792915264</t>
  </si>
  <si>
    <t>U264 S59 1993</t>
  </si>
  <si>
    <t>0                      U  0264000S  59          1993</t>
  </si>
  <si>
    <t>National security and the nuclear dilemma : an introduction to the American experience in the Cold War / Richard Smoke ; with the participation of Eric Mlyn.</t>
  </si>
  <si>
    <t>New York : McGraw-Hill, ©1993.</t>
  </si>
  <si>
    <t>2019-11-13</t>
  </si>
  <si>
    <t>26503671</t>
  </si>
  <si>
    <t>ocm26503671</t>
  </si>
  <si>
    <t>31023156929</t>
  </si>
  <si>
    <t>9780070593527</t>
  </si>
  <si>
    <t>793245991</t>
  </si>
  <si>
    <t>U264 W35 1987</t>
  </si>
  <si>
    <t>0                      U  0264000W  35          1987</t>
  </si>
  <si>
    <t>South Africa and the bomb : responsibility and deterrence / Ronald W. Walters.</t>
  </si>
  <si>
    <t>Walters, Ronald W.</t>
  </si>
  <si>
    <t>Lexington, Mass. : Lexington Books, ©1987.</t>
  </si>
  <si>
    <t>309195646:eng</t>
  </si>
  <si>
    <t>13859115</t>
  </si>
  <si>
    <t>ocm13859115</t>
  </si>
  <si>
    <t>3102944558A</t>
  </si>
  <si>
    <t>9780669141979</t>
  </si>
  <si>
    <t>792869471</t>
  </si>
  <si>
    <t>U264.3 A874 1998</t>
  </si>
  <si>
    <t>0                      U  0264300A  874         1998</t>
  </si>
  <si>
    <t>Atomic audit : the costs and consequences of U.S. nuclear weapons since 1940 / Stephen I. Schwartz, editor.</t>
  </si>
  <si>
    <t>Washington, D.C. : Brookings Institution Press, ©1998.</t>
  </si>
  <si>
    <t>799376705:eng</t>
  </si>
  <si>
    <t>39093551</t>
  </si>
  <si>
    <t>ocm39093551</t>
  </si>
  <si>
    <t>3102124946N</t>
  </si>
  <si>
    <t>9780815777748</t>
  </si>
  <si>
    <t>793537900</t>
  </si>
  <si>
    <t>U264.3 G87 2004</t>
  </si>
  <si>
    <t>0                      U  0264300G  87          2004</t>
  </si>
  <si>
    <t>People of the bomb : portraits of America's nuclear complex / Hugh Gusterson.</t>
  </si>
  <si>
    <t>Gusterson, Hugh.</t>
  </si>
  <si>
    <t>Minneapolis, Minn. : University of Minnesota Press, ©2004.</t>
  </si>
  <si>
    <t>2017-03-23</t>
  </si>
  <si>
    <t>905401989:eng</t>
  </si>
  <si>
    <t>54528955</t>
  </si>
  <si>
    <t>ocm54528955</t>
  </si>
  <si>
    <t>31029069854</t>
  </si>
  <si>
    <t>9780816638598</t>
  </si>
  <si>
    <t>793863764</t>
  </si>
  <si>
    <t>U264.3 J66 2011</t>
  </si>
  <si>
    <t>0                      U  0264300J  66          2011</t>
  </si>
  <si>
    <t>ABOLISHING THE TABOO : DWIGHT D. EISENHOWER AND AMERICAN NUCLEAR DOCTRINE 1945-1961 / Brian Madison Jones.</t>
  </si>
  <si>
    <t>Jones, Brian Madison.</t>
  </si>
  <si>
    <t>Solihull, West Midlands : Helion &amp; Company Ltd, 2011.</t>
  </si>
  <si>
    <t>Helion studies in military history ; no. 7</t>
  </si>
  <si>
    <t>1044126914:eng</t>
  </si>
  <si>
    <t>769665938</t>
  </si>
  <si>
    <t>ocn769665938</t>
  </si>
  <si>
    <t>3103382276W</t>
  </si>
  <si>
    <t>9781907677311</t>
  </si>
  <si>
    <t>794903573</t>
  </si>
  <si>
    <t>U264.3 S24 1993</t>
  </si>
  <si>
    <t>0                      U  0264300S  24          1993</t>
  </si>
  <si>
    <t>The limits of safety : organizations, accidents, and nuclear weapons / Scott D. Sagan.</t>
  </si>
  <si>
    <t>Princeton studies in international history and politics</t>
  </si>
  <si>
    <t>806942487:eng</t>
  </si>
  <si>
    <t>27429286</t>
  </si>
  <si>
    <t>ocm27429286</t>
  </si>
  <si>
    <t>3101242881O</t>
  </si>
  <si>
    <t>9780691032214</t>
  </si>
  <si>
    <t>793266211</t>
  </si>
  <si>
    <t>U264.3 S45 2013</t>
  </si>
  <si>
    <t>0                      U  0264300S  45          2013</t>
  </si>
  <si>
    <t>Command and control / by Eric Schlosser.</t>
  </si>
  <si>
    <t>Schlosser, Eric.</t>
  </si>
  <si>
    <t>London : Allen Lane, 2009.</t>
  </si>
  <si>
    <t>2019-03-03</t>
  </si>
  <si>
    <t>306751384:eng</t>
  </si>
  <si>
    <t>419644789</t>
  </si>
  <si>
    <t>ocn419644789</t>
  </si>
  <si>
    <t>3103504639B</t>
  </si>
  <si>
    <t>9781846141485</t>
  </si>
  <si>
    <t>794503274</t>
  </si>
  <si>
    <t>U264.3 S46 2012</t>
  </si>
  <si>
    <t>0                      U  0264300S  46          2012</t>
  </si>
  <si>
    <t>Lost nuke : the last flight of Bomber 075 / Dirk Septer.</t>
  </si>
  <si>
    <t>Septer, D. (Dirk), 1949-</t>
  </si>
  <si>
    <t>Victoria, [B.C.] : Heritage House, c2012.</t>
  </si>
  <si>
    <t>2013-09-19</t>
  </si>
  <si>
    <t>905312960:eng</t>
  </si>
  <si>
    <t>727702266</t>
  </si>
  <si>
    <t>ocn727702266</t>
  </si>
  <si>
    <t>31034030106</t>
  </si>
  <si>
    <t>9781926936864</t>
  </si>
  <si>
    <t>794878388</t>
  </si>
  <si>
    <t>U264.3 W43 1994</t>
  </si>
  <si>
    <t>0                      U  0264300W  43          1994</t>
  </si>
  <si>
    <t>Operation crossroads : the atomic tests at Bikini Atoll / Jonathan M. Weisgall.</t>
  </si>
  <si>
    <t>Weisgall, Jonathan M., 1949-</t>
  </si>
  <si>
    <t>Annapolis, Md. : Naval Institute Press, ©1994.</t>
  </si>
  <si>
    <t>138759338:eng</t>
  </si>
  <si>
    <t>29477984</t>
  </si>
  <si>
    <t>ocm29477984</t>
  </si>
  <si>
    <t>3101487287A</t>
  </si>
  <si>
    <t>9781557509192</t>
  </si>
  <si>
    <t>793312222</t>
  </si>
  <si>
    <t>U264.4 C2 G87 1996</t>
  </si>
  <si>
    <t>0                      U  0264400C  2                  G  87          1996</t>
  </si>
  <si>
    <t>Nuclear rites : a weapons laboratory at the end of the Cold War / Hugh Gusterson.</t>
  </si>
  <si>
    <t>Berkeley : University of California Press, ©1996.</t>
  </si>
  <si>
    <t>2003-12-16</t>
  </si>
  <si>
    <t>555139:eng</t>
  </si>
  <si>
    <t>34517289</t>
  </si>
  <si>
    <t>ocm34517289</t>
  </si>
  <si>
    <t>3101730416W</t>
  </si>
  <si>
    <t>9780520081475</t>
  </si>
  <si>
    <t>793428683</t>
  </si>
  <si>
    <t>31017073850</t>
  </si>
  <si>
    <t>793428684</t>
  </si>
  <si>
    <t>U264.4 N3 G35 1993</t>
  </si>
  <si>
    <t>0                      U  0264400N  3                  G  35          1993</t>
  </si>
  <si>
    <t>American ground zero : the secret nuclear war / Carole Gallagher.</t>
  </si>
  <si>
    <t>Gallagher, Carole.</t>
  </si>
  <si>
    <t>[Cambridge, Mass.] : [MIT Press], ©1993.</t>
  </si>
  <si>
    <t>2018-10-17</t>
  </si>
  <si>
    <t>836916696:eng</t>
  </si>
  <si>
    <t>26129934</t>
  </si>
  <si>
    <t>ocm26129934</t>
  </si>
  <si>
    <t>3101224703D</t>
  </si>
  <si>
    <t>9780262071468</t>
  </si>
  <si>
    <t>793238184</t>
  </si>
  <si>
    <t>U264.4 N32 M52 2006</t>
  </si>
  <si>
    <t>0                      U  0264400N  32                 M  52          2006</t>
  </si>
  <si>
    <t>The nuclear borderlands : the Manhattan Project in post-Cold War New Mexico / Joseph Masco.</t>
  </si>
  <si>
    <t>Masco, Joseph, 1964- author.</t>
  </si>
  <si>
    <t>Princeton, New Jersey : Princeton University Press, [2006]</t>
  </si>
  <si>
    <t>2016-01-06</t>
  </si>
  <si>
    <t>865453922:eng</t>
  </si>
  <si>
    <t>61151373</t>
  </si>
  <si>
    <t>ocm61151373</t>
  </si>
  <si>
    <t>31025783893</t>
  </si>
  <si>
    <t>9780691120768</t>
  </si>
  <si>
    <t>793947415</t>
  </si>
  <si>
    <t>U264.5 C6 L49 2014</t>
  </si>
  <si>
    <t>0                      U  0264500C  6                  L  49          2014</t>
  </si>
  <si>
    <t>Paper tigers : China's nuclear posture / Jeffrey Lewis.</t>
  </si>
  <si>
    <t>Lewis, Jeffrey G.</t>
  </si>
  <si>
    <t>Abingdon, Oxon : Routledge, November 2014.</t>
  </si>
  <si>
    <t>Adelphi, 1944-5571 ; 446</t>
  </si>
  <si>
    <t>2019-04-18</t>
  </si>
  <si>
    <t>2213142133:eng</t>
  </si>
  <si>
    <t>894105729</t>
  </si>
  <si>
    <t>ocn894105729</t>
  </si>
  <si>
    <t>3103657711B</t>
  </si>
  <si>
    <t>9781138907140</t>
  </si>
  <si>
    <t>794982339</t>
  </si>
  <si>
    <t>U264.5 G3 K8613 1995</t>
  </si>
  <si>
    <t>0                      U  0264500G  3                  K  8613        1995</t>
  </si>
  <si>
    <t>Bonn &amp; the bomb : German politics and the nuclear option / Matthias Kuntzel ; [translated by Helke Heino and R. Range Cloyd, Jr.</t>
  </si>
  <si>
    <t>Küntzel, Matthias.</t>
  </si>
  <si>
    <t>London ; Boulder, Colo. : Pluto Press, 1995.</t>
  </si>
  <si>
    <t>Transnational Institute series</t>
  </si>
  <si>
    <t>898212695:eng</t>
  </si>
  <si>
    <t>31330572</t>
  </si>
  <si>
    <t>ocm31330572</t>
  </si>
  <si>
    <t>3101446000B</t>
  </si>
  <si>
    <t>9780745309101</t>
  </si>
  <si>
    <t>793358856</t>
  </si>
  <si>
    <t>U264.5 G7 L37 1996</t>
  </si>
  <si>
    <t>0                      U  0264500G  7                  L  37          1996</t>
  </si>
  <si>
    <t>Nuclear designs : Great Britain, France, and China in the global governance of nuclear arms / Bruce D. Larkin.</t>
  </si>
  <si>
    <t>Larkin, Bruce D., 1936-</t>
  </si>
  <si>
    <t>New Brunswick (U.S.A.) : Transaction, ©1996.</t>
  </si>
  <si>
    <t>2016-04-04</t>
  </si>
  <si>
    <t>36907591:eng</t>
  </si>
  <si>
    <t>32780106</t>
  </si>
  <si>
    <t>ocm32780106</t>
  </si>
  <si>
    <t>31015769711</t>
  </si>
  <si>
    <t>9781560002390</t>
  </si>
  <si>
    <t>793394023</t>
  </si>
  <si>
    <t>U264.5 G7 S76 2012</t>
  </si>
  <si>
    <t>0                      U  0264500G  7                  S  76          2012</t>
  </si>
  <si>
    <t>Losing an empire and finding a role : Britain, the USA, NATO and nuclear weapons, 1964-70 / Kristan Stoddart.</t>
  </si>
  <si>
    <t>Stoddart, Kristan.</t>
  </si>
  <si>
    <t>Houndmills, Basingstoke, Hampshire ; New York : Palgrave Macmillan, 2012.</t>
  </si>
  <si>
    <t>Nuclear weapons and international security since 1945</t>
  </si>
  <si>
    <t>1099156795:eng</t>
  </si>
  <si>
    <t>764357556</t>
  </si>
  <si>
    <t>ocn764357556</t>
  </si>
  <si>
    <t>31034145953</t>
  </si>
  <si>
    <t>9780230300880</t>
  </si>
  <si>
    <t>794900393</t>
  </si>
  <si>
    <t>U264.5 I4 R69 2002</t>
  </si>
  <si>
    <t>0                      U  0264500I  4                  R  69          2002</t>
  </si>
  <si>
    <t>The algebra of infinite justice / Arundhati Roy ; with a foreword by John Berger.</t>
  </si>
  <si>
    <t>Roy, Arundhati.</t>
  </si>
  <si>
    <t>London : Flamingo, 2002.</t>
  </si>
  <si>
    <t>[Rev. ed.].</t>
  </si>
  <si>
    <t>6490241:eng</t>
  </si>
  <si>
    <t>53798164</t>
  </si>
  <si>
    <t>ocm53798164</t>
  </si>
  <si>
    <t>3102532127S</t>
  </si>
  <si>
    <t>9780007149490</t>
  </si>
  <si>
    <t>793850594</t>
  </si>
  <si>
    <t>U264.5 I7 C36 2013</t>
  </si>
  <si>
    <t>0                      U  0264500I  7                  C  36          2013</t>
  </si>
  <si>
    <t>Can the world tolerate an Iran with nuclear weapons? : Krauthammer and Yadlin vs. Zakaria and Nasr : the Munk debate on Iran / edited by Rudyard Griffiths.</t>
  </si>
  <si>
    <t>Toronto, ON : Anansi, 2013.</t>
  </si>
  <si>
    <t>Munk debates</t>
  </si>
  <si>
    <t>1181014686:eng</t>
  </si>
  <si>
    <t>817586980</t>
  </si>
  <si>
    <t>ocn817586980</t>
  </si>
  <si>
    <t>31034926779</t>
  </si>
  <si>
    <t>9781770892361</t>
  </si>
  <si>
    <t>794933540</t>
  </si>
  <si>
    <t>U264.5 I7 C66 2011</t>
  </si>
  <si>
    <t>0                      U  0264500I  7                  C  66          2011</t>
  </si>
  <si>
    <t>Coping with a nuclearizing Iran / James Dobbins [and others].</t>
  </si>
  <si>
    <t>Santa Monica, CA : Rand Corp, 2011.</t>
  </si>
  <si>
    <t>RAND Corporation monograph series ; MG-1154-SRF</t>
  </si>
  <si>
    <t>2013-02-11</t>
  </si>
  <si>
    <t>1106521017:eng</t>
  </si>
  <si>
    <t>760971853</t>
  </si>
  <si>
    <t>ocn760971853</t>
  </si>
  <si>
    <t>3103437570M</t>
  </si>
  <si>
    <t>9780833058652</t>
  </si>
  <si>
    <t>794898751</t>
  </si>
  <si>
    <t>U264.5 I7 E93 2006</t>
  </si>
  <si>
    <t>0                      U  0264500I  7                  E  93          2006</t>
  </si>
  <si>
    <t>Showdown with nuclear Iran : radical Islam's messianic mission to destroy Israel and cripple the United States / Michael D. Evans with Jerome R. Corsi.</t>
  </si>
  <si>
    <t>Evans, Mike, 1947-</t>
  </si>
  <si>
    <t>Nashville, Tenn. : Nelson Current, ©2006.</t>
  </si>
  <si>
    <t>2015-11-25</t>
  </si>
  <si>
    <t>5618393621:eng</t>
  </si>
  <si>
    <t>70718396</t>
  </si>
  <si>
    <t>ocm70718396</t>
  </si>
  <si>
    <t>3102598619Z</t>
  </si>
  <si>
    <t>9781595550750</t>
  </si>
  <si>
    <t>794158261</t>
  </si>
  <si>
    <t>U264.5 I7 K38 2014</t>
  </si>
  <si>
    <t>0                      U  0264500I  7                  K  38          2014</t>
  </si>
  <si>
    <t>Iran's nuclear diplomacy : power politics and conflict resolution / Bernd Kaussler.</t>
  </si>
  <si>
    <t>Kaussler, Bernd, author.</t>
  </si>
  <si>
    <t>London ; New York : Routledge, Taylor &amp; Francis Group, 2014.</t>
  </si>
  <si>
    <t>Routledge new diplomacy studies</t>
  </si>
  <si>
    <t>2017-04-12</t>
  </si>
  <si>
    <t>1118883562:eng</t>
  </si>
  <si>
    <t>795010725</t>
  </si>
  <si>
    <t>ocn795010725</t>
  </si>
  <si>
    <t>3103501256V</t>
  </si>
  <si>
    <t>9780415643856</t>
  </si>
  <si>
    <t>794920797</t>
  </si>
  <si>
    <t>U264.5 I7 P38 2012</t>
  </si>
  <si>
    <t>0                      U  0264500I  7                  P  38          2012</t>
  </si>
  <si>
    <t>Nuclear Iran : the birth of an atomic state / David Patrikarakos.</t>
  </si>
  <si>
    <t>Patrikarakos, David, 1977-</t>
  </si>
  <si>
    <t>London : I.B. Tauris, 2012.</t>
  </si>
  <si>
    <t>2014-08-13</t>
  </si>
  <si>
    <t>1169706965:eng</t>
  </si>
  <si>
    <t>778422080</t>
  </si>
  <si>
    <t>ocn778422080</t>
  </si>
  <si>
    <t>31034323927</t>
  </si>
  <si>
    <t>9781780761251</t>
  </si>
  <si>
    <t>794909867</t>
  </si>
  <si>
    <t>U264.5 I75 C65 2010</t>
  </si>
  <si>
    <t>0                      U  0264500I  75                 C  65          2010</t>
  </si>
  <si>
    <t>Worst-kept secret : Israel's bargain with the bomb / Avner Cohen.</t>
  </si>
  <si>
    <t>Cohen, Avner, 1951-</t>
  </si>
  <si>
    <t>New York : Columbia University Press, ©2010.</t>
  </si>
  <si>
    <t>2012-09-26</t>
  </si>
  <si>
    <t>796609851:eng</t>
  </si>
  <si>
    <t>519829882</t>
  </si>
  <si>
    <t>ocn519829882</t>
  </si>
  <si>
    <t>3103235327L</t>
  </si>
  <si>
    <t>9780231136983</t>
  </si>
  <si>
    <t>794808559</t>
  </si>
  <si>
    <t>U264.5 K7 P65 2011</t>
  </si>
  <si>
    <t>0                      U  0264500K  7                  P  65          2011</t>
  </si>
  <si>
    <t>No exit : North Korea, nuclear weapons, and international security / Jonathan D. Pollack.</t>
  </si>
  <si>
    <t>Pollack, Jonathan D.</t>
  </si>
  <si>
    <t>London : International Institute for Strategic Studies ; New York : Routledge, 2011.</t>
  </si>
  <si>
    <t>Adelphi series ; 418-419</t>
  </si>
  <si>
    <t>762674113:eng</t>
  </si>
  <si>
    <t>690089927</t>
  </si>
  <si>
    <t>ocn690089927</t>
  </si>
  <si>
    <t>3103657694M</t>
  </si>
  <si>
    <t>9780415670838</t>
  </si>
  <si>
    <t>794855252</t>
  </si>
  <si>
    <t>U264.5 K7 S29 2012</t>
  </si>
  <si>
    <t>0                      U  0264500K  7                  S  29          2012</t>
  </si>
  <si>
    <t>Characterizing the North Korean nuclear missile threat / Markus Schiller.</t>
  </si>
  <si>
    <t>Schiller, Markus, 1979-</t>
  </si>
  <si>
    <t>Technical report ; TR-1268-TSF</t>
  </si>
  <si>
    <t>2013-04-03</t>
  </si>
  <si>
    <t>1170412957:eng</t>
  </si>
  <si>
    <t>811850338</t>
  </si>
  <si>
    <t>ocn811850338</t>
  </si>
  <si>
    <t>3103441024T</t>
  </si>
  <si>
    <t>9780833076212</t>
  </si>
  <si>
    <t>794930472</t>
  </si>
  <si>
    <t>U264.5 P18 C45 2009</t>
  </si>
  <si>
    <t>0                      U  0264500P  18                 C  45          2009</t>
  </si>
  <si>
    <t>Pakistan's nuclear weapons / Bhumitra Chakma.</t>
  </si>
  <si>
    <t>Chakma, Bhumitra.</t>
  </si>
  <si>
    <t>London ; New York : Routledge, 2009, ©2008.</t>
  </si>
  <si>
    <t>Routledge security in Asia Pacific series ; 7</t>
  </si>
  <si>
    <t>2015-02-24</t>
  </si>
  <si>
    <t>114059049:eng</t>
  </si>
  <si>
    <t>199464165</t>
  </si>
  <si>
    <t>ocn199464165</t>
  </si>
  <si>
    <t>31029771113</t>
  </si>
  <si>
    <t>9780415408714</t>
  </si>
  <si>
    <t>794304898</t>
  </si>
  <si>
    <t>U264.5 P18 K43 2012</t>
  </si>
  <si>
    <t>0                      U  0264500P  18                 K  43          2012</t>
  </si>
  <si>
    <t>Eating grass : the making of the Pakistani bomb / Feroz Hassan Khan.</t>
  </si>
  <si>
    <t>Khan, Feroz Hassan, 1952- author.</t>
  </si>
  <si>
    <t>Stanford, California : Stanford Security Studies An Imprint of Standford University Press, [2012]</t>
  </si>
  <si>
    <t>2017-03-07</t>
  </si>
  <si>
    <t>1184817728:eng</t>
  </si>
  <si>
    <t>788269842</t>
  </si>
  <si>
    <t>ocn788269842</t>
  </si>
  <si>
    <t>3103413572B</t>
  </si>
  <si>
    <t>9780804776004</t>
  </si>
  <si>
    <t>794916301</t>
  </si>
  <si>
    <t>U264.5 S28 C54 2016</t>
  </si>
  <si>
    <t>0                      U  0264500S  28                 C  54          2016</t>
  </si>
  <si>
    <t>Saudi Arabia and Nuclear Weapons : How do countries think about the bomb? / Norman Cigar.</t>
  </si>
  <si>
    <t>Cigar, Norman L., author.</t>
  </si>
  <si>
    <t>London : Routledge/Taylor &amp; Francis Group, 2016.</t>
  </si>
  <si>
    <t>UCLA Center for Middle East development (CMED) series ; 10</t>
  </si>
  <si>
    <t>2018-03-14</t>
  </si>
  <si>
    <t>2808643856:eng</t>
  </si>
  <si>
    <t>930255550</t>
  </si>
  <si>
    <t>ocn930255550</t>
  </si>
  <si>
    <t>3103739403H</t>
  </si>
  <si>
    <t>9781138643291</t>
  </si>
  <si>
    <t>795006954</t>
  </si>
  <si>
    <t>U265 N5</t>
  </si>
  <si>
    <t>0                      U  0265000N  5</t>
  </si>
  <si>
    <t>Canadian Expeditionary Force, 1914-1919 : official history of the Canadian Army in the First World War / by G.W.L. Nicholson.</t>
  </si>
  <si>
    <t>Nicholson, Gerald W. L.</t>
  </si>
  <si>
    <t>Ottawa : R. Duhamel, Queen's Printer and Controller of Stationery, 1962.</t>
  </si>
  <si>
    <t>2015-05-05</t>
  </si>
  <si>
    <t>5595802240:eng</t>
  </si>
  <si>
    <t>2317262</t>
  </si>
  <si>
    <t>ocm02317262</t>
  </si>
  <si>
    <t>3101566249S</t>
  </si>
  <si>
    <t>792102536</t>
  </si>
  <si>
    <t>U265 N5 1964</t>
  </si>
  <si>
    <t>0                      U  0265000N  5           1964</t>
  </si>
  <si>
    <t>Canadian Expeditionary Force, 1914-1919.</t>
  </si>
  <si>
    <t>Ottawa : R. Duhamel, 1964.</t>
  </si>
  <si>
    <t>4801818:eng</t>
  </si>
  <si>
    <t>12252573</t>
  </si>
  <si>
    <t>ocm12252573</t>
  </si>
  <si>
    <t>3102050995J</t>
  </si>
  <si>
    <t>792807748</t>
  </si>
  <si>
    <t>U270 G38 2010</t>
  </si>
  <si>
    <t>0                      U  0270000G  38          2010</t>
  </si>
  <si>
    <t>Cyprus 1974 : "This ain't no picnic, it's war" : the combat diary of Al Gaudet, Canadian peacekeeper / edited by David A. Kielstra ; forward [sic] by Alain Forand.</t>
  </si>
  <si>
    <t>Gaudet, Al.</t>
  </si>
  <si>
    <t>Waterloo, Ont. : LCMSDS Press of Wilfrid Laurier University, c2010.</t>
  </si>
  <si>
    <t>Laurier military history series ; 1</t>
  </si>
  <si>
    <t>448907641:eng</t>
  </si>
  <si>
    <t>578133327</t>
  </si>
  <si>
    <t>ocn578133327</t>
  </si>
  <si>
    <t>3103073401M</t>
  </si>
  <si>
    <t>9781926804033</t>
  </si>
  <si>
    <t>794814079</t>
  </si>
  <si>
    <t>U310 L49 2012</t>
  </si>
  <si>
    <t>0                      U  0310000L  49          2012</t>
  </si>
  <si>
    <t>War games and their history / Christopher George Lewin.</t>
  </si>
  <si>
    <t>Lewin, C. G.</t>
  </si>
  <si>
    <t>[Stroud, England] : Fonthill Media, 2012.</t>
  </si>
  <si>
    <t>2020-01-08</t>
  </si>
  <si>
    <t>1211001044:eng</t>
  </si>
  <si>
    <t>783167282</t>
  </si>
  <si>
    <t>ocn783167282</t>
  </si>
  <si>
    <t>31039079057</t>
  </si>
  <si>
    <t>9781781550427</t>
  </si>
  <si>
    <t>794914081</t>
  </si>
  <si>
    <t>U310 L66 2019</t>
  </si>
  <si>
    <t>0                      U  0310000L  66          2019</t>
  </si>
  <si>
    <t>Successful professional wargames : a practitioner's handbook / Graham Longely-Brown.</t>
  </si>
  <si>
    <t>Longley Brown, Graham, author.</t>
  </si>
  <si>
    <t>[Place not identified] : History of Wargaming Project, 2019.</t>
  </si>
  <si>
    <t>2020-01-16</t>
  </si>
  <si>
    <t>9641418160:eng</t>
  </si>
  <si>
    <t>1127863269</t>
  </si>
  <si>
    <t>on1127863269</t>
  </si>
  <si>
    <t>3103903766F</t>
  </si>
  <si>
    <t>9780244803643</t>
  </si>
  <si>
    <t>795086224</t>
  </si>
  <si>
    <t>U310 P47 2011</t>
  </si>
  <si>
    <t>0                      U  0310000P  47          2011</t>
  </si>
  <si>
    <t>Peter Perla's the art of wargaming : a guide for professionals and hobbyist / edited by John Curry.</t>
  </si>
  <si>
    <t>Perla, Peter P.</t>
  </si>
  <si>
    <t>[United Kingdom] : [Lulu.com], c2011.</t>
  </si>
  <si>
    <t>2019-02-18</t>
  </si>
  <si>
    <t>1411422013:eng</t>
  </si>
  <si>
    <t>1099770274</t>
  </si>
  <si>
    <t>on1099770274</t>
  </si>
  <si>
    <t>31038671254</t>
  </si>
  <si>
    <t>9781471033735</t>
  </si>
  <si>
    <t>795081602</t>
  </si>
  <si>
    <t>U310 S23 2012</t>
  </si>
  <si>
    <t>0                      U  0310000S  23          2012</t>
  </si>
  <si>
    <t>Simulating war : studying conflict through simulation games / Philip Sabin.</t>
  </si>
  <si>
    <t>Sabin, Philip A. G.</t>
  </si>
  <si>
    <t>London ; New York : Continuum, ©2012.</t>
  </si>
  <si>
    <t>791992313:eng</t>
  </si>
  <si>
    <t>757148371</t>
  </si>
  <si>
    <t>ocn757148371</t>
  </si>
  <si>
    <t>3103410580L</t>
  </si>
  <si>
    <t>9781441185587</t>
  </si>
  <si>
    <t>794895283</t>
  </si>
  <si>
    <t>U310 V327 2013</t>
  </si>
  <si>
    <t>0                      U  0310000V  327         2013</t>
  </si>
  <si>
    <t>Wargames : from gladiators to gigabytes / Martin van Creveld.</t>
  </si>
  <si>
    <t>Cambridge ; New York : Cambridge University Press, 2013.</t>
  </si>
  <si>
    <t>2017-09-15</t>
  </si>
  <si>
    <t>1174500534:eng</t>
  </si>
  <si>
    <t>814389764</t>
  </si>
  <si>
    <t>ocn814389764</t>
  </si>
  <si>
    <t>31035003193</t>
  </si>
  <si>
    <t>9781107036956</t>
  </si>
  <si>
    <t>794932186</t>
  </si>
  <si>
    <t>U310 Z67 2016</t>
  </si>
  <si>
    <t>0                      U  0310000Z  67          2016</t>
  </si>
  <si>
    <t>Zones of control : perspectives on wargaming / edited by Pat Harrigan and Matthew G. Kirschenbaum ; foreword by James F. Dunnigan.</t>
  </si>
  <si>
    <t>Cambridge, Massachusetts : The MIT Press, [2016]</t>
  </si>
  <si>
    <t>Game histories</t>
  </si>
  <si>
    <t>2989151635:eng</t>
  </si>
  <si>
    <t>936684796</t>
  </si>
  <si>
    <t>ocn936684796</t>
  </si>
  <si>
    <t>3103759383M</t>
  </si>
  <si>
    <t>9780262033992</t>
  </si>
  <si>
    <t>795010955</t>
  </si>
  <si>
    <t>U310.2 H35 2006</t>
  </si>
  <si>
    <t>0                      U  0310200H  35          2006</t>
  </si>
  <si>
    <t>From Sun Tzu to XBox : war and video games / Ed Halter.</t>
  </si>
  <si>
    <t>Halter, Ed.</t>
  </si>
  <si>
    <t>New York, N.Y. : Thunder's Mouth Press, 2006.</t>
  </si>
  <si>
    <t>795540715:eng</t>
  </si>
  <si>
    <t>68918463</t>
  </si>
  <si>
    <t>ocm68918463</t>
  </si>
  <si>
    <t>3102592666C</t>
  </si>
  <si>
    <t>9781560256816</t>
  </si>
  <si>
    <t>794144687</t>
  </si>
  <si>
    <t>U313 H3</t>
  </si>
  <si>
    <t>0                      U  0313000H  3</t>
  </si>
  <si>
    <t>The Third World War, August 1985 / by John Hackett and other top-ranking NATO generals and advisors.</t>
  </si>
  <si>
    <t>Hackett, John, Sir, 1910-1997.</t>
  </si>
  <si>
    <t>New York : Macmillan, 1978, 1979 printing.</t>
  </si>
  <si>
    <t>2019-03-28</t>
  </si>
  <si>
    <t>3901206653:eng</t>
  </si>
  <si>
    <t>4496917</t>
  </si>
  <si>
    <t>ocm04496917</t>
  </si>
  <si>
    <t>3000144904G</t>
  </si>
  <si>
    <t>9780025471603</t>
  </si>
  <si>
    <t>792356032</t>
  </si>
  <si>
    <t>U320 W37 2011</t>
  </si>
  <si>
    <t>0                      U  0320000W  37          2011</t>
  </si>
  <si>
    <t>War volunteering in modern times : from the French Revolution to the Second World War / edited by Christine G. Krüger [and] Sonja Levsen.</t>
  </si>
  <si>
    <t>Houndmills, Basingstoke, Hampshire ; New York, NY : Palgrave Macmillan, 2011.</t>
  </si>
  <si>
    <t>2013-05-29</t>
  </si>
  <si>
    <t>897955607:eng</t>
  </si>
  <si>
    <t>318872933</t>
  </si>
  <si>
    <t>ocn318872933</t>
  </si>
  <si>
    <t>3103320673L</t>
  </si>
  <si>
    <t>9780230228054</t>
  </si>
  <si>
    <t>794482692</t>
  </si>
  <si>
    <t>U328 G7 M37 2010</t>
  </si>
  <si>
    <t>0                      U  0328000G  7                  M  37          2010</t>
  </si>
  <si>
    <t>Sport and the military : the British armed forces 1880-1960 / Tony Mason and Eliza Riedi.</t>
  </si>
  <si>
    <t>Mason, Tony, 1938-</t>
  </si>
  <si>
    <t>2018-10-16</t>
  </si>
  <si>
    <t>536799657:eng</t>
  </si>
  <si>
    <t>649801972</t>
  </si>
  <si>
    <t>ocn649801972</t>
  </si>
  <si>
    <t>3103233537L</t>
  </si>
  <si>
    <t>9780521877145</t>
  </si>
  <si>
    <t>794831946</t>
  </si>
  <si>
    <t>U383 P49 2013</t>
  </si>
  <si>
    <t>0                      U  0383000P  49          2013</t>
  </si>
  <si>
    <t>Physical and psychological health following military sexual assault : recommendations for care, research, and policy / Coreen Farris, Terry L. Schell, and Terri Tanielian.</t>
  </si>
  <si>
    <t>Santa Monica, CA : Rand Corp., ©2013.</t>
  </si>
  <si>
    <t>Rand Corporation Occasional paper series ; OP-382-OSD</t>
  </si>
  <si>
    <t>1380489535:eng</t>
  </si>
  <si>
    <t>830375305</t>
  </si>
  <si>
    <t>ocn830375305</t>
  </si>
  <si>
    <t>3103523028P</t>
  </si>
  <si>
    <t>794943395</t>
  </si>
  <si>
    <t>U390 S76 1972</t>
  </si>
  <si>
    <t>0                      U  0390000S  76          1972</t>
  </si>
  <si>
    <t>Resources devoted to military research and development; an international comparison. [Prepared by Randall Forsberg].</t>
  </si>
  <si>
    <t>Stockholm International Peace Research Institute.</t>
  </si>
  <si>
    <t>Stockholm, Almqvist &amp; Wiksell; New York, Humanities Press [1972]</t>
  </si>
  <si>
    <t>1595011:eng</t>
  </si>
  <si>
    <t>700370</t>
  </si>
  <si>
    <t>ocm00700370</t>
  </si>
  <si>
    <t>3000412384N</t>
  </si>
  <si>
    <t>9789185114153</t>
  </si>
  <si>
    <t>791449454</t>
  </si>
  <si>
    <t>U393 L385 1993</t>
  </si>
  <si>
    <t>0                      U  0393000L  385         1993</t>
  </si>
  <si>
    <t>The Cold War and American science : the military-industrial-academic complex at MIT and Stanford / Stuart W. Leslie.</t>
  </si>
  <si>
    <t>Leslie, Stuart W.</t>
  </si>
  <si>
    <t>New York : Columbia University Press, ©1993.</t>
  </si>
  <si>
    <t>2019-05-23</t>
  </si>
  <si>
    <t>1062130:eng</t>
  </si>
  <si>
    <t>26396270</t>
  </si>
  <si>
    <t>ocm26396270</t>
  </si>
  <si>
    <t>31019528921</t>
  </si>
  <si>
    <t>9780231079587</t>
  </si>
  <si>
    <t>793243735</t>
  </si>
  <si>
    <t>U394 A34 I53 2012</t>
  </si>
  <si>
    <t>0                      U  0394000A  34                 I  53          2012</t>
  </si>
  <si>
    <t>Improving Army basic research : report of an expert panel on the future of Army laboratories / Gilbert Decker [and others].</t>
  </si>
  <si>
    <t>1090195353:eng</t>
  </si>
  <si>
    <t>781077959</t>
  </si>
  <si>
    <t>ocn781077959</t>
  </si>
  <si>
    <t>3103439760A</t>
  </si>
  <si>
    <t>9780833059741</t>
  </si>
  <si>
    <t>794912449</t>
  </si>
  <si>
    <t>U394 A75 J33 2015</t>
  </si>
  <si>
    <t>0                      U  0394000A  75                 J  33          2015</t>
  </si>
  <si>
    <t>The Pentagon's brain : an uncensored history of DARPA, America's top secret military research agency / Annie Jacobsen.</t>
  </si>
  <si>
    <t>Jacobsen, Annie, author.</t>
  </si>
  <si>
    <t>New York, NY : Little, Brown and Company, 2015.</t>
  </si>
  <si>
    <t>2495225809:eng</t>
  </si>
  <si>
    <t>900012161</t>
  </si>
  <si>
    <t>ocn900012161</t>
  </si>
  <si>
    <t>3103683768L</t>
  </si>
  <si>
    <t>9780316371766</t>
  </si>
  <si>
    <t>794987063</t>
  </si>
  <si>
    <t>U394 A75 W45 2017</t>
  </si>
  <si>
    <t>0                      U  0394000A  75                 W  45          2017</t>
  </si>
  <si>
    <t>The imagineers of war : the untold history of DARPA, the Pentagon agency that changed the world / Sharon Weinberger.</t>
  </si>
  <si>
    <t>Weinberger, Sharon, author.</t>
  </si>
  <si>
    <t>New York : Alfred A. Knopf, 2017.</t>
  </si>
  <si>
    <t>2979290431:eng</t>
  </si>
  <si>
    <t>946610757</t>
  </si>
  <si>
    <t>ocn946610757</t>
  </si>
  <si>
    <t>3103671005F</t>
  </si>
  <si>
    <t>9780385351799</t>
  </si>
  <si>
    <t>795014635</t>
  </si>
  <si>
    <t>U395 C2 G6</t>
  </si>
  <si>
    <t>0                      U  0395000C  2                  G  6</t>
  </si>
  <si>
    <t>A history of the Defence Research Board of Canada.</t>
  </si>
  <si>
    <t>Goodspeed, D. J. (Donald James), 1919-</t>
  </si>
  <si>
    <t>[Ottawa], [E. Cloutier Queen's Printer], [1958]</t>
  </si>
  <si>
    <t>2017-11-15</t>
  </si>
  <si>
    <t>2891899:eng</t>
  </si>
  <si>
    <t>10707558</t>
  </si>
  <si>
    <t>ocm10707558</t>
  </si>
  <si>
    <t>3000728567W</t>
  </si>
  <si>
    <t>792738531</t>
  </si>
  <si>
    <t>U395 R9 L45 1996</t>
  </si>
  <si>
    <t>0                      U  0395000R  9                  L  45          1996</t>
  </si>
  <si>
    <t>Prospects for Russian military R &amp; D / Sharon Leiter.</t>
  </si>
  <si>
    <t>Leiter, Sharon.</t>
  </si>
  <si>
    <t>Santa Monica, CA. : RAND, ©1996.</t>
  </si>
  <si>
    <t>MR ; 709-A</t>
  </si>
  <si>
    <t>2019-10-28</t>
  </si>
  <si>
    <t>39968571:eng</t>
  </si>
  <si>
    <t>34619259</t>
  </si>
  <si>
    <t>ocm34619259</t>
  </si>
  <si>
    <t>3101898482A</t>
  </si>
  <si>
    <t>9780833023629</t>
  </si>
  <si>
    <t>793431541</t>
  </si>
  <si>
    <t>U408 G46 2012</t>
  </si>
  <si>
    <t>0                      U  0408000G  46          2012</t>
  </si>
  <si>
    <t>General military training : standardization and reduction options / Roland J. Yardley, Dulani Woods, Cesse Cameron Ip, Jerry M. Sollinger.</t>
  </si>
  <si>
    <t>Yardley, Roland J.</t>
  </si>
  <si>
    <t>Technical report ; TR-1222-OSD</t>
  </si>
  <si>
    <t>1192522288:eng</t>
  </si>
  <si>
    <t>824158605</t>
  </si>
  <si>
    <t>ocn824158605</t>
  </si>
  <si>
    <t>3103141540S</t>
  </si>
  <si>
    <t>9780833069122</t>
  </si>
  <si>
    <t>794937617</t>
  </si>
  <si>
    <t>U408 M87 2011</t>
  </si>
  <si>
    <t>0                      U  0408000M  87          2011</t>
  </si>
  <si>
    <t>Command culture : officer education in the U.S. Army and the German Armed Forces, 1901-1940, and the consequences for World War II / Jörg Muth.</t>
  </si>
  <si>
    <t>Muth, Jörg, 1967-</t>
  </si>
  <si>
    <t>Denton, Tex. : University of North Texas Press, ©2011.</t>
  </si>
  <si>
    <t>2019-01-30</t>
  </si>
  <si>
    <t>766990173:eng</t>
  </si>
  <si>
    <t>694392539</t>
  </si>
  <si>
    <t>ocn694392539</t>
  </si>
  <si>
    <t>31033623890</t>
  </si>
  <si>
    <t>9781574413038</t>
  </si>
  <si>
    <t>794857465</t>
  </si>
  <si>
    <t>U408.3 C43 2014</t>
  </si>
  <si>
    <t>0                      U  0408300C  43          2014</t>
  </si>
  <si>
    <t>Changing the Army's weapon training strategies to meet operational requirements more efficiently and effectively / James C. Crowley, Bryan W. Hallmark, Michael G. Shanley, Jerry M. Sollinger.</t>
  </si>
  <si>
    <t>Crowley, James C., 1945- author.</t>
  </si>
  <si>
    <t>[Research report] ; RR-448-A</t>
  </si>
  <si>
    <t>1902672060:eng</t>
  </si>
  <si>
    <t>881139362</t>
  </si>
  <si>
    <t>ocn881139362</t>
  </si>
  <si>
    <t>3103564566F</t>
  </si>
  <si>
    <t>9780833082619</t>
  </si>
  <si>
    <t>794973817</t>
  </si>
  <si>
    <t>U408.3 M34 2012</t>
  </si>
  <si>
    <t>0                      U  0408300M  34          2012</t>
  </si>
  <si>
    <t>Making improvements to the Army distributed learning program / Michael G. Shanley [and others].</t>
  </si>
  <si>
    <t>Santa Monica, CA : RAND Arroyo Center, 2012.</t>
  </si>
  <si>
    <t>1073402722:eng</t>
  </si>
  <si>
    <t>772611145</t>
  </si>
  <si>
    <t>ocn772611145</t>
  </si>
  <si>
    <t>3103438331W</t>
  </si>
  <si>
    <t>9780833052025</t>
  </si>
  <si>
    <t>794904747</t>
  </si>
  <si>
    <t>U408.3 O68 2012</t>
  </si>
  <si>
    <t>0                      U  0408300O  68          2012</t>
  </si>
  <si>
    <t>Optimizing the Defense Language Institute English Language Center / Thomas Manacapilli [and others].</t>
  </si>
  <si>
    <t>Report ; TR-1152-AF</t>
  </si>
  <si>
    <t>1172993163:eng</t>
  </si>
  <si>
    <t>798500007</t>
  </si>
  <si>
    <t>ocn798500007</t>
  </si>
  <si>
    <t>3103441026T</t>
  </si>
  <si>
    <t>9780833068453</t>
  </si>
  <si>
    <t>794923763</t>
  </si>
  <si>
    <t>U408.3 S27 2012</t>
  </si>
  <si>
    <t>0                      U  0408300S  27          2012</t>
  </si>
  <si>
    <t>Implementation of the Common Core State Standards : recommendations for the Department of Defense Education Activity Schools / Anna Rosefsky Saavedra, Jennifer L. Steele.</t>
  </si>
  <si>
    <t>Saavedra, Anna Rosefsky.</t>
  </si>
  <si>
    <t>Santa Monica, CA : RAND, National Defense Research Institute, 2012.</t>
  </si>
  <si>
    <t>Occasional paper ; OP-384-OSD</t>
  </si>
  <si>
    <t>1175384607:eng</t>
  </si>
  <si>
    <t>815044347</t>
  </si>
  <si>
    <t>ocn815044347</t>
  </si>
  <si>
    <t>3103141560O</t>
  </si>
  <si>
    <t>9780833077851</t>
  </si>
  <si>
    <t>794932358</t>
  </si>
  <si>
    <t>U408.3 S832 2014</t>
  </si>
  <si>
    <t>0                      U  0408300S  832         2014</t>
  </si>
  <si>
    <t>Developing army leaders : lessons for teaching critical thinking in distributed, resident, and mixed-delivery venues / Susan G. Straus, Michael G. Shanley, James C. Crowley, Douglas Yeung, Sarah H. Bana, Kristin J. Leuschner.</t>
  </si>
  <si>
    <t>Straus, Susan G.</t>
  </si>
  <si>
    <t>Santa Monica, California : Rand Corporation, 2014.</t>
  </si>
  <si>
    <t>1791234238:eng</t>
  </si>
  <si>
    <t>870842055</t>
  </si>
  <si>
    <t>ocn870842055</t>
  </si>
  <si>
    <t>3103564571D</t>
  </si>
  <si>
    <t>9780833081520</t>
  </si>
  <si>
    <t>794966913</t>
  </si>
  <si>
    <t>U408.3 S84 2013</t>
  </si>
  <si>
    <t>0                      U  0408300S  84          2013</t>
  </si>
  <si>
    <t>Enhancing critical thinking skills for Army leaders using blended-learning methods / Susan G. Straus, Michael G. Shanley, Maria C. Lytell, James C. Crowley, Sarah H. Bana, Megan Clifford, Kristin J. Leuschner.</t>
  </si>
  <si>
    <t>Santa Monica, CA : RAND, 2013.</t>
  </si>
  <si>
    <t>1363918469:eng</t>
  </si>
  <si>
    <t>851068491</t>
  </si>
  <si>
    <t>ocn851068491</t>
  </si>
  <si>
    <t>3103564547J</t>
  </si>
  <si>
    <t>9780833079091</t>
  </si>
  <si>
    <t>794950699</t>
  </si>
  <si>
    <t>U408.3 V36 1990</t>
  </si>
  <si>
    <t>0                      U  0408300V  36          1990</t>
  </si>
  <si>
    <t>The training of officers : from military professionalism to irrelevance / Martin van Creveld.</t>
  </si>
  <si>
    <t>2017-07-25</t>
  </si>
  <si>
    <t>138664159:eng</t>
  </si>
  <si>
    <t>20220244</t>
  </si>
  <si>
    <t>ocm20220244</t>
  </si>
  <si>
    <t>31028098783</t>
  </si>
  <si>
    <t>9780029331521</t>
  </si>
  <si>
    <t>793081047</t>
  </si>
  <si>
    <t>U410 Q1 D58 2010</t>
  </si>
  <si>
    <t>0                      U  0410000Q  1                  D  58          2010</t>
  </si>
  <si>
    <t>Diversity of service academy entrants and graduates / Sheila Nataraj Kirby [and others].</t>
  </si>
  <si>
    <t>Rand Corporation monograph series ; MG-917-OSD</t>
  </si>
  <si>
    <t>766273927:eng</t>
  </si>
  <si>
    <t>554225982</t>
  </si>
  <si>
    <t>ocn554225982</t>
  </si>
  <si>
    <t>3103255597S</t>
  </si>
  <si>
    <t>9780833048936</t>
  </si>
  <si>
    <t>794811922</t>
  </si>
  <si>
    <t>U428 S83 G54 2004</t>
  </si>
  <si>
    <t>0                      U  0428000S  83                 G  54          2004</t>
  </si>
  <si>
    <t>The School of the Americas : military training and political violence in the Americas / Lesley Gill.</t>
  </si>
  <si>
    <t>Gill, Lesley.</t>
  </si>
  <si>
    <t>Durham : Duke University Press, 2004.</t>
  </si>
  <si>
    <t>American encounters/global interactions</t>
  </si>
  <si>
    <t>2019-02-28</t>
  </si>
  <si>
    <t>862934417:eng</t>
  </si>
  <si>
    <t>53972193</t>
  </si>
  <si>
    <t>ocm53972193</t>
  </si>
  <si>
    <t>31024220363</t>
  </si>
  <si>
    <t>9780822333821</t>
  </si>
  <si>
    <t>793854477</t>
  </si>
  <si>
    <t>U428.5 D68 2012</t>
  </si>
  <si>
    <t>0                      U  0428500D  68          2012</t>
  </si>
  <si>
    <t>Arms and the university : military presence and the civic education of non-military students / Donald Alexander Downs, Ilia Murtazashvili.</t>
  </si>
  <si>
    <t>Downs, Donald Alexander.</t>
  </si>
  <si>
    <t>New York : Cambridge University Press, 2012.</t>
  </si>
  <si>
    <t>1007056115:eng</t>
  </si>
  <si>
    <t>749115620</t>
  </si>
  <si>
    <t>ocn749115620</t>
  </si>
  <si>
    <t>31034110571</t>
  </si>
  <si>
    <t>9780521192323</t>
  </si>
  <si>
    <t>794889704</t>
  </si>
  <si>
    <t>U440 H39 2017</t>
  </si>
  <si>
    <t>0                      U  0440000H  39          2017</t>
  </si>
  <si>
    <t>Crerar's Lieutenants : Inventing the Canadian Junior Army Officer, 1939-45 / Geoffrey Hayes.</t>
  </si>
  <si>
    <t>Hayes, Geoffrey, 1961- author.</t>
  </si>
  <si>
    <t>Vancouver ; Toronto : UBC Press, [2017]</t>
  </si>
  <si>
    <t>4192185811:eng</t>
  </si>
  <si>
    <t>1043050321</t>
  </si>
  <si>
    <t>on1043050321</t>
  </si>
  <si>
    <t>3103728775S</t>
  </si>
  <si>
    <t>9780774834834</t>
  </si>
  <si>
    <t>795059616</t>
  </si>
  <si>
    <t>U440 R47 2010</t>
  </si>
  <si>
    <t>0                      U  0440000R  47          2010</t>
  </si>
  <si>
    <t>The report of the Officer Development Board : Maj-Gen Rowley and the education of the Canadian Forces / edited by Randall Wakelam and Harold Coombs.</t>
  </si>
  <si>
    <t>Canada. Department of National Defence. Officer Development Board.</t>
  </si>
  <si>
    <t>Waterloo, Ont. : LCMSDS Press, ©2010.</t>
  </si>
  <si>
    <t>2595911454:eng</t>
  </si>
  <si>
    <t>521745133</t>
  </si>
  <si>
    <t>ocn521745133</t>
  </si>
  <si>
    <t>3103073215Q</t>
  </si>
  <si>
    <t>9780978344191</t>
  </si>
  <si>
    <t>794808790</t>
  </si>
  <si>
    <t>U442 A3 F66 2011</t>
  </si>
  <si>
    <t>0                      U  0442000A  3                  F  66          2011</t>
  </si>
  <si>
    <t>La grenade verte : Valcartier 1974 : les oubliés de la compagnie D / Hugo Fontaine.</t>
  </si>
  <si>
    <t>Fontaine, Hugo.</t>
  </si>
  <si>
    <t>Montréal : Éditions La Presse, [2011]</t>
  </si>
  <si>
    <t>2014-08-29</t>
  </si>
  <si>
    <t>988779614:fre</t>
  </si>
  <si>
    <t>767541015</t>
  </si>
  <si>
    <t>ocn767541015</t>
  </si>
  <si>
    <t>3103325978T</t>
  </si>
  <si>
    <t>9782923681818</t>
  </si>
  <si>
    <t>794901057</t>
  </si>
  <si>
    <t>U444 K5 P7</t>
  </si>
  <si>
    <t>0                      U  0444000K  5                  P  7</t>
  </si>
  <si>
    <t>Canada's RMC: A history of the Royal Military College.</t>
  </si>
  <si>
    <t>Preston, Richard A., 1910-2006.</t>
  </si>
  <si>
    <t>Toronto, Published for the Royal Military College Club of Canada by the University of Toronto Press [©1969]</t>
  </si>
  <si>
    <t>2017-03-28</t>
  </si>
  <si>
    <t>1187499:eng</t>
  </si>
  <si>
    <t>32823</t>
  </si>
  <si>
    <t>ocm00032823</t>
  </si>
  <si>
    <t>3103706854H</t>
  </si>
  <si>
    <t>9780802032225</t>
  </si>
  <si>
    <t>791234713</t>
  </si>
  <si>
    <t>U444 K5 P8 1991</t>
  </si>
  <si>
    <t>0                      U  0444000K  5                  P  8           1991</t>
  </si>
  <si>
    <t>To serve Canada : a history of the Royal Military College since the Second World War / Richard A. Preston ; with a foreword by A.J.G.D. de Chastelain.</t>
  </si>
  <si>
    <t>Ottawa : University of Ottawa Press, ©1991.</t>
  </si>
  <si>
    <t>2003-09-15</t>
  </si>
  <si>
    <t>864060759:eng</t>
  </si>
  <si>
    <t>28150358</t>
  </si>
  <si>
    <t>ocm28150358</t>
  </si>
  <si>
    <t>31012147631</t>
  </si>
  <si>
    <t>9780776603278</t>
  </si>
  <si>
    <t>793281231</t>
  </si>
  <si>
    <t>3101115254O</t>
  </si>
  <si>
    <t>793281230</t>
  </si>
  <si>
    <t>U520 L1 T45 1961</t>
  </si>
  <si>
    <t>0                      U  0520000L  1                  T  45          1961</t>
  </si>
  <si>
    <t>The story of Sandhurst.</t>
  </si>
  <si>
    <t>Thomas, Hugh, 1931-2017.</t>
  </si>
  <si>
    <t>London, Hutchinson [1961]</t>
  </si>
  <si>
    <t>376571341:eng</t>
  </si>
  <si>
    <t>2943236</t>
  </si>
  <si>
    <t>ocm02943236</t>
  </si>
  <si>
    <t>31007558669</t>
  </si>
  <si>
    <t>792196942</t>
  </si>
  <si>
    <t>2016-03-06</t>
  </si>
  <si>
    <t>U571 C54 1992</t>
  </si>
  <si>
    <t>0                      U  0571000C  54          1992</t>
  </si>
  <si>
    <t>For King and Kaiser! : the making of the Prussian Army officer, 1860-1914 / Steven E. Clemente.</t>
  </si>
  <si>
    <t>Clemente, Steven E.</t>
  </si>
  <si>
    <t>New York : Greenwood Press, 1992.</t>
  </si>
  <si>
    <t>Contributions in military studies, 0883-6884 ; no. 123</t>
  </si>
  <si>
    <t>2019-04-12</t>
  </si>
  <si>
    <t>797314591:eng</t>
  </si>
  <si>
    <t>24504034</t>
  </si>
  <si>
    <t>ocm24504034</t>
  </si>
  <si>
    <t>31012162487</t>
  </si>
  <si>
    <t>9780313280047</t>
  </si>
  <si>
    <t>793199782</t>
  </si>
  <si>
    <t>U635 K6 P37 2007</t>
  </si>
  <si>
    <t>0                      U  0635000K  6                  P  37          2007</t>
  </si>
  <si>
    <t>Between dreams and reality : the military examination in late Chosŏn Korea, 1600-1894 / Eugene Y. Park.</t>
  </si>
  <si>
    <t>Park, Eugene Y.</t>
  </si>
  <si>
    <t>Cambridge, Mass. : Published by the Harvard University Asia Center : Distributed by Harvard University Press, 2007.</t>
  </si>
  <si>
    <t>Harvard East Asian monographs ; 281</t>
  </si>
  <si>
    <t>2018-11-29</t>
  </si>
  <si>
    <t>368667042:eng</t>
  </si>
  <si>
    <t>80460612</t>
  </si>
  <si>
    <t>ocm80460612</t>
  </si>
  <si>
    <t>31027041929</t>
  </si>
  <si>
    <t>9780674025028</t>
  </si>
  <si>
    <t>794200965</t>
  </si>
  <si>
    <t>U644 L8 H83 2012</t>
  </si>
  <si>
    <t>0                      U  0644000L  8                  H  83          2012</t>
  </si>
  <si>
    <t>Huangpu jun xiao shi liao hui bian. Di yi ji, di er ji / Guangdong sheng li zhongshan tu shu guan, Guangdong shi she hui ke xue yuan, Zhongshan da xue tu shu guan bian.</t>
  </si>
  <si>
    <t>Guangzhou Shi : Guangdong jiao yu chu ban she, 2012-2013.</t>
  </si>
  <si>
    <t>2014-11-14</t>
  </si>
  <si>
    <t>3375912484:chi</t>
  </si>
  <si>
    <t>826438735</t>
  </si>
  <si>
    <t>ocn826438735</t>
  </si>
  <si>
    <t>31035578521</t>
  </si>
  <si>
    <t>9787540692292</t>
  </si>
  <si>
    <t>794939121</t>
  </si>
  <si>
    <t>31035578531</t>
  </si>
  <si>
    <t>794939120</t>
  </si>
  <si>
    <t>31035578433</t>
  </si>
  <si>
    <t>794939130</t>
  </si>
  <si>
    <t>v.15</t>
  </si>
  <si>
    <t>31035578541</t>
  </si>
  <si>
    <t>794939119</t>
  </si>
  <si>
    <t>31035578423</t>
  </si>
  <si>
    <t>794939131</t>
  </si>
  <si>
    <t>31035578483</t>
  </si>
  <si>
    <t>794939125</t>
  </si>
  <si>
    <t>31035578511</t>
  </si>
  <si>
    <t>794939122</t>
  </si>
  <si>
    <t>v.17</t>
  </si>
  <si>
    <t>31035578561</t>
  </si>
  <si>
    <t>794939117</t>
  </si>
  <si>
    <t>31035578463</t>
  </si>
  <si>
    <t>794939127</t>
  </si>
  <si>
    <t>31035578473</t>
  </si>
  <si>
    <t>794939126</t>
  </si>
  <si>
    <t>31035578551</t>
  </si>
  <si>
    <t>794939118</t>
  </si>
  <si>
    <t>v.19</t>
  </si>
  <si>
    <t>31035578581</t>
  </si>
  <si>
    <t>794939115</t>
  </si>
  <si>
    <t>v.10</t>
  </si>
  <si>
    <t>31035578493</t>
  </si>
  <si>
    <t>794939124</t>
  </si>
  <si>
    <t>v.22</t>
  </si>
  <si>
    <t>3103557861$</t>
  </si>
  <si>
    <t>794939112</t>
  </si>
  <si>
    <t>v.20</t>
  </si>
  <si>
    <t>31035578591</t>
  </si>
  <si>
    <t>794939114</t>
  </si>
  <si>
    <t>31035578403</t>
  </si>
  <si>
    <t>794939133</t>
  </si>
  <si>
    <t>31035578413</t>
  </si>
  <si>
    <t>794939132</t>
  </si>
  <si>
    <t>v.18</t>
  </si>
  <si>
    <t>31035578571</t>
  </si>
  <si>
    <t>794939116</t>
  </si>
  <si>
    <t>31035578501</t>
  </si>
  <si>
    <t>794939123</t>
  </si>
  <si>
    <t>31035578453</t>
  </si>
  <si>
    <t>794939128</t>
  </si>
  <si>
    <t>v.21</t>
  </si>
  <si>
    <t>3103557860$</t>
  </si>
  <si>
    <t>794939113</t>
  </si>
  <si>
    <t>31035578443</t>
  </si>
  <si>
    <t>794939129</t>
  </si>
  <si>
    <t>U644 L8 L1 1985</t>
  </si>
  <si>
    <t>0                      U  0644000L  8                  L  1           1985</t>
  </si>
  <si>
    <t>Huangpu jun xiao shi liao, 1924-1927 / Guangdong ge ming li shi bo wu guan bian.</t>
  </si>
  <si>
    <t>[Canton] : Guangdong ren min chu ban she : Guangdong sheng Xin hua shu dian fa xing, 1985.</t>
  </si>
  <si>
    <t>Di 2 ban.</t>
  </si>
  <si>
    <t>Guangdong ge ming shi liao cong kan</t>
  </si>
  <si>
    <t>2016-05-22</t>
  </si>
  <si>
    <t>55026122:chi</t>
  </si>
  <si>
    <t>16933710</t>
  </si>
  <si>
    <t>ocm16933710</t>
  </si>
  <si>
    <t>3101455070Q</t>
  </si>
  <si>
    <t>9787218014203</t>
  </si>
  <si>
    <t>792978084</t>
  </si>
  <si>
    <t>U646 G56 2012</t>
  </si>
  <si>
    <t>0                      U  0646000G  56          2012</t>
  </si>
  <si>
    <t>The European Union in global security : the politics of impact / Roy H. Ginsberg and Susan E. Penksa.</t>
  </si>
  <si>
    <t>Ginsberg, Roy H.</t>
  </si>
  <si>
    <t>Palgrave studies in European Union politics</t>
  </si>
  <si>
    <t>2014-03-06</t>
  </si>
  <si>
    <t>1082956913:eng</t>
  </si>
  <si>
    <t>752068322</t>
  </si>
  <si>
    <t>ocn752068322</t>
  </si>
  <si>
    <t>31034088051</t>
  </si>
  <si>
    <t>9780230248267</t>
  </si>
  <si>
    <t>794891462</t>
  </si>
  <si>
    <t>U715 P64 1983</t>
  </si>
  <si>
    <t>0                      U  0715000P  64          1983</t>
  </si>
  <si>
    <t>The Political education of soldiers / Morris Janowitz and Stephen D. Wesbrook, editors.</t>
  </si>
  <si>
    <t>Beverly Hills : Sage Publications, ©1983.</t>
  </si>
  <si>
    <t>Sage research progress series on war, revolution, and peacekeeping ; v. 11</t>
  </si>
  <si>
    <t>353649946:eng</t>
  </si>
  <si>
    <t>8785217</t>
  </si>
  <si>
    <t>ocm08785217</t>
  </si>
  <si>
    <t>3000339706O</t>
  </si>
  <si>
    <t>9780803910201</t>
  </si>
  <si>
    <t>792640852</t>
  </si>
  <si>
    <t>U716 A88 2012</t>
  </si>
  <si>
    <t>0                      U  0716000A  88          2012</t>
  </si>
  <si>
    <t>An assessment of the ability of U.S. Department of Defense and the services to measure and track language and culture training and capabilities among general purpose forces / Jennifer DeCamp [and others].</t>
  </si>
  <si>
    <t>RAND Corporation technical report series ; TR-1192-OSD</t>
  </si>
  <si>
    <t>1172963878:eng</t>
  </si>
  <si>
    <t>808628415</t>
  </si>
  <si>
    <t>ocn808628415</t>
  </si>
  <si>
    <t>3103484421M</t>
  </si>
  <si>
    <t>9780833076670</t>
  </si>
  <si>
    <t>794927789</t>
  </si>
  <si>
    <t>2017-03-13</t>
  </si>
  <si>
    <t>U717 R9 P315 1961</t>
  </si>
  <si>
    <t>0                      U  0717000R  9                  P  315         1961</t>
  </si>
  <si>
    <t>Partiĭno-politicheskai︠a︡ rabota v krasnoĭ Armii, aprelʹ 1918-fevralʹ 1919; dokumenty. [sostaviteli, L.D. Znamenskai︠a︡, V.P. Portnov, L.M. Chizhova; pod red. V.P. Portnova].</t>
  </si>
  <si>
    <t>T︠S︡entralʹnyĭ gosudarstvennyĭ arkhiv Sovetskoĭ Armii.</t>
  </si>
  <si>
    <t>Moskva, Voen. izd-vo, 1961.</t>
  </si>
  <si>
    <t>135519483:rus</t>
  </si>
  <si>
    <t>15695213</t>
  </si>
  <si>
    <t>ocm15695213</t>
  </si>
  <si>
    <t>3103095659P</t>
  </si>
  <si>
    <t>792939672</t>
  </si>
  <si>
    <t>U717 R9 P315 1968</t>
  </si>
  <si>
    <t>0                      U  0717000R  9                  P  315         1968</t>
  </si>
  <si>
    <t>Partiīno-politicheskaia rabota v Sovetskikh Vooruzhennykh Silakh.</t>
  </si>
  <si>
    <t>Moskva : Voenizdat, 1968.</t>
  </si>
  <si>
    <t>Izd. 2-e, pererabot.</t>
  </si>
  <si>
    <t>Biblioteka ofitsera</t>
  </si>
  <si>
    <t>10033211110:rus</t>
  </si>
  <si>
    <t>61588093</t>
  </si>
  <si>
    <t>ocm61588093</t>
  </si>
  <si>
    <t>3000569831Q</t>
  </si>
  <si>
    <t>794025981</t>
  </si>
  <si>
    <t>U717 R9 P316</t>
  </si>
  <si>
    <t>0                      U  0717000R  9                  P  316</t>
  </si>
  <si>
    <t>Partiĭno-politicheskai︠a︡ rabota v Sovetskikh Vooruzhennykh Silakh. Ucheb. posobie dli︠a︡ studentov grazh. Vuzov. [Pod. red. kand. ist. nauk, polk. P.I. Karpenko].</t>
  </si>
  <si>
    <t>Moskva, Voenizdat, 1972.</t>
  </si>
  <si>
    <t>8913948804:rus</t>
  </si>
  <si>
    <t>9306043</t>
  </si>
  <si>
    <t>ocm09306043</t>
  </si>
  <si>
    <t>30005701288</t>
  </si>
  <si>
    <t>792669267</t>
  </si>
  <si>
    <t>U717 R9 P43</t>
  </si>
  <si>
    <t>0                      U  0717000R  9                  P  43</t>
  </si>
  <si>
    <t>Stroitel'stvo politorganov, partiı̆nykh i komsomol'skikh organizat︠s︡ii armii i flota, 1918-1968.</t>
  </si>
  <si>
    <t>Petrov, I︠U︡. P. (I︠U︡riĭ Pavlovich)</t>
  </si>
  <si>
    <t>Moskva, Voennoe izd-vo, 1968.</t>
  </si>
  <si>
    <t>197807723:rus</t>
  </si>
  <si>
    <t>65670962</t>
  </si>
  <si>
    <t>ocm65670962</t>
  </si>
  <si>
    <t>30005683356</t>
  </si>
  <si>
    <t>794136294</t>
  </si>
  <si>
    <t>U717 R9 P68</t>
  </si>
  <si>
    <t>0                      U  0717000R  9                  P  68</t>
  </si>
  <si>
    <t>Professii︠a︡-politrabotnik. Sbornik stateĭ.</t>
  </si>
  <si>
    <t>Moskva, Voenizdat, 1973.</t>
  </si>
  <si>
    <t>30110014:rus</t>
  </si>
  <si>
    <t>27340602</t>
  </si>
  <si>
    <t>ocm27340602</t>
  </si>
  <si>
    <t>3000569832O</t>
  </si>
  <si>
    <t>793264625</t>
  </si>
  <si>
    <t>U717 R9 V74 1984</t>
  </si>
  <si>
    <t>0                      U  0717000R  9                  V  74          1984</t>
  </si>
  <si>
    <t>Vsearmeĭskie soveshchanii︠a︡ politrabotnikov, 1918-1940 : rezoli︠u︡t︠s︡ii / [sostaviteli T.F. Kari︠a︡eva (otvetstvennyĭ redaktor) ... et al. ; redkollegii︠a︡ N.I. Smorigo (otvetstvennyĭ redaktor) and others].</t>
  </si>
  <si>
    <t>Moskva : Izd-vo "Nauka", 1984.</t>
  </si>
  <si>
    <t>3855380685:rus</t>
  </si>
  <si>
    <t>12237376</t>
  </si>
  <si>
    <t>ocm12237376</t>
  </si>
  <si>
    <t>30003699042</t>
  </si>
  <si>
    <t>792807276</t>
  </si>
  <si>
    <t>U738 R6513 1990</t>
  </si>
  <si>
    <t>0                      U  0738000R  6513        1990</t>
  </si>
  <si>
    <t>Infantry attacks / by Erwin Rommel ; with a new introduction by Manfred Rommel.</t>
  </si>
  <si>
    <t>Rommel, Erwin, 1891-1944.</t>
  </si>
  <si>
    <t>London : Greenhill Books ; Novato, Calif. : Presidio Press, 1990.</t>
  </si>
  <si>
    <t>2018-01-31</t>
  </si>
  <si>
    <t>3881404602:eng</t>
  </si>
  <si>
    <t>20853008</t>
  </si>
  <si>
    <t>ocm20853008</t>
  </si>
  <si>
    <t>31027452050</t>
  </si>
  <si>
    <t>9780891413851</t>
  </si>
  <si>
    <t>793101446</t>
  </si>
  <si>
    <t>U750 H3</t>
  </si>
  <si>
    <t>0                      U  0750000H  3</t>
  </si>
  <si>
    <t>The profession of arms.</t>
  </si>
  <si>
    <t>London, Times Pub. Co. [1963]</t>
  </si>
  <si>
    <t>Lees Knowles lectures, 1962</t>
  </si>
  <si>
    <t>2017-05-23</t>
  </si>
  <si>
    <t>110228092:eng</t>
  </si>
  <si>
    <t>3931422</t>
  </si>
  <si>
    <t>ocm03931422</t>
  </si>
  <si>
    <t>3000738065D</t>
  </si>
  <si>
    <t>792305934</t>
  </si>
  <si>
    <t>U766 W64</t>
  </si>
  <si>
    <t>0                      U  0766000W  64</t>
  </si>
  <si>
    <t>Garrison community; a study of an overseas American military colony.</t>
  </si>
  <si>
    <t>Wolf, Charlotte.</t>
  </si>
  <si>
    <t>Westport, Conn., Greenwood Pub. Corp. [1969]</t>
  </si>
  <si>
    <t>Contributions in sociology ; 2</t>
  </si>
  <si>
    <t>2019-04-11</t>
  </si>
  <si>
    <t>1226647:eng</t>
  </si>
  <si>
    <t>63406</t>
  </si>
  <si>
    <t>ocm00063406</t>
  </si>
  <si>
    <t>3000224621X</t>
  </si>
  <si>
    <t>9780837118536</t>
  </si>
  <si>
    <t>791243651</t>
  </si>
  <si>
    <t>U766 Z45 2010</t>
  </si>
  <si>
    <t>0                      U  0766000Z  45          2010</t>
  </si>
  <si>
    <t>Entangling alliances : foreign war brides and American soldiers in the twentieth century / Susan Zeiger.</t>
  </si>
  <si>
    <t>Zeiger, Susan, 1959-</t>
  </si>
  <si>
    <t>New York : New York University Press, ©2010.</t>
  </si>
  <si>
    <t>2012-03-07</t>
  </si>
  <si>
    <t>793232575:eng</t>
  </si>
  <si>
    <t>441212494</t>
  </si>
  <si>
    <t>ocn441212494</t>
  </si>
  <si>
    <t>31032420210</t>
  </si>
  <si>
    <t>9780814797174</t>
  </si>
  <si>
    <t>794786755</t>
  </si>
  <si>
    <t>U767 D4 1954</t>
  </si>
  <si>
    <t>0                      U  0767000D  4           1954</t>
  </si>
  <si>
    <t>The British soldier: his daily life from Tudor to modern times. With a foreword by Sir John Harding.</t>
  </si>
  <si>
    <t>De Watteville, H. (Herman), 1875-1963.</t>
  </si>
  <si>
    <t>London, J.M. Dent [1954]</t>
  </si>
  <si>
    <t>1971123:eng</t>
  </si>
  <si>
    <t>990318</t>
  </si>
  <si>
    <t>ocm00990318</t>
  </si>
  <si>
    <t>3000725279F</t>
  </si>
  <si>
    <t>791519840</t>
  </si>
  <si>
    <t>U767 M38 2017</t>
  </si>
  <si>
    <t>0                      U  0767000M  38          2017</t>
  </si>
  <si>
    <t>Women of empire : nineteenth-century army officers' wives in India and the U.S. West / Verity McInnis.</t>
  </si>
  <si>
    <t>McInnis, Verity, 1957- author.</t>
  </si>
  <si>
    <t>Norman : University of Oklahoma Press, [2017]</t>
  </si>
  <si>
    <t>4566371722:eng</t>
  </si>
  <si>
    <t>985800981</t>
  </si>
  <si>
    <t>ocn985800981</t>
  </si>
  <si>
    <t>3103740489K</t>
  </si>
  <si>
    <t>9780806157740</t>
  </si>
  <si>
    <t>795035461</t>
  </si>
  <si>
    <t>U768 M48 1966</t>
  </si>
  <si>
    <t>0                      U  0768000M  48          1966</t>
  </si>
  <si>
    <t>La Vie quotidienne des soldats pendant la Grande guerre.</t>
  </si>
  <si>
    <t>Meyer, Jacques, 1895-</t>
  </si>
  <si>
    <t>[Paris] Hachette, 1967.</t>
  </si>
  <si>
    <t>La Vie quotidienne</t>
  </si>
  <si>
    <t>347681228:fre</t>
  </si>
  <si>
    <t>854622</t>
  </si>
  <si>
    <t>ocm00854622</t>
  </si>
  <si>
    <t>3102520685E</t>
  </si>
  <si>
    <t>791487648</t>
  </si>
  <si>
    <t>U771 H6</t>
  </si>
  <si>
    <t>0                      U  0771000H  6</t>
  </si>
  <si>
    <t>Strategic power and Soviet foreign policy [by] Arnold L. Horelick and Myron Rush.</t>
  </si>
  <si>
    <t>Horelick, Arnold Lawrence, 1928-</t>
  </si>
  <si>
    <t>Chicago, University of Chicago Press [1966]</t>
  </si>
  <si>
    <t>2015-11-27</t>
  </si>
  <si>
    <t>1440821:eng</t>
  </si>
  <si>
    <t>283339</t>
  </si>
  <si>
    <t>ocm00283339</t>
  </si>
  <si>
    <t>3000512405Y</t>
  </si>
  <si>
    <t>791323040</t>
  </si>
  <si>
    <t>U773 G47 1913</t>
  </si>
  <si>
    <t>0                      U  0773000G  47          1913</t>
  </si>
  <si>
    <t>The Austrian officer at work and at play, by Dorothea Gerard (Madame Longard de Longgarde).</t>
  </si>
  <si>
    <t>Gerard, Dorothea, 1855-1915.</t>
  </si>
  <si>
    <t>London, Smith, Elder, 1913.</t>
  </si>
  <si>
    <t>1913</t>
  </si>
  <si>
    <t>2018-04-09</t>
  </si>
  <si>
    <t>14563819:eng</t>
  </si>
  <si>
    <t>4227659</t>
  </si>
  <si>
    <t>ocm04227659</t>
  </si>
  <si>
    <t>31030988703</t>
  </si>
  <si>
    <t>792332790</t>
  </si>
  <si>
    <t>U773 H36 2002</t>
  </si>
  <si>
    <t>0                      U  0773000H  36          2002</t>
  </si>
  <si>
    <t>The first casualty : violence against women in Canadian military communities / Deborah Harrison with the collaboration of Lucie Laliberté [and others].</t>
  </si>
  <si>
    <t>Harrison, Deborah, 1948-</t>
  </si>
  <si>
    <t>Toronto : Lorimer, 2002.</t>
  </si>
  <si>
    <t>2015-07-23</t>
  </si>
  <si>
    <t>3859026215:eng</t>
  </si>
  <si>
    <t>48803935</t>
  </si>
  <si>
    <t>ocm48803935</t>
  </si>
  <si>
    <t>3102244459I</t>
  </si>
  <si>
    <t>9781550287417</t>
  </si>
  <si>
    <t>793728073</t>
  </si>
  <si>
    <t>U793 B375 2004</t>
  </si>
  <si>
    <t>0                      U  0793000B  375         2004</t>
  </si>
  <si>
    <t>How to build a nuclear bomb : and other weapons of mass destruction / Frank Barnaby.</t>
  </si>
  <si>
    <t>Barnaby, Frank.</t>
  </si>
  <si>
    <t>New York : Nation Books, 2004.</t>
  </si>
  <si>
    <t>16446275:eng</t>
  </si>
  <si>
    <t>54697475</t>
  </si>
  <si>
    <t>ocm54697475</t>
  </si>
  <si>
    <t>3102399052G</t>
  </si>
  <si>
    <t>9781560256038</t>
  </si>
  <si>
    <t>793865967</t>
  </si>
  <si>
    <t>U793 B58 2004</t>
  </si>
  <si>
    <t>0                      U  0793000B  58          2004</t>
  </si>
  <si>
    <t>Disarming Iraq / Hans Blix.</t>
  </si>
  <si>
    <t>Blix, Hans, author.</t>
  </si>
  <si>
    <t>New York : Pantheon Books, ©2004.</t>
  </si>
  <si>
    <t>9621859785:eng</t>
  </si>
  <si>
    <t>54029444</t>
  </si>
  <si>
    <t>ocm54029444</t>
  </si>
  <si>
    <t>3102384934I</t>
  </si>
  <si>
    <t>9780375423024</t>
  </si>
  <si>
    <t>793855772</t>
  </si>
  <si>
    <t>U793 G65 2006</t>
  </si>
  <si>
    <t>0                      U  0793000G  65          2006</t>
  </si>
  <si>
    <t>Preventive attack and weapons of mass destruction : a comparative historical analysis / Lyle J. Goldstein.</t>
  </si>
  <si>
    <t>Goldstein, Lyle.</t>
  </si>
  <si>
    <t>Stanford, Calif. : Stanford University Press, 2006.</t>
  </si>
  <si>
    <t>891696234:eng</t>
  </si>
  <si>
    <t>60373724</t>
  </si>
  <si>
    <t>ocm60373724</t>
  </si>
  <si>
    <t>31025452552</t>
  </si>
  <si>
    <t>9780804750264</t>
  </si>
  <si>
    <t>793936484</t>
  </si>
  <si>
    <t>U793 K67 2010</t>
  </si>
  <si>
    <t>0                      U  0793000K  67          2010</t>
  </si>
  <si>
    <t>Weapons of mass destruction / Michael Kort ; foreword by Cathal J. Nolan.</t>
  </si>
  <si>
    <t>Kort, Michael, 1944-</t>
  </si>
  <si>
    <t>New York : Facts on File, ©2010.</t>
  </si>
  <si>
    <t>Global issues</t>
  </si>
  <si>
    <t>2012-05-09</t>
  </si>
  <si>
    <t>287158968:eng</t>
  </si>
  <si>
    <t>401140492</t>
  </si>
  <si>
    <t>ocn401140492</t>
  </si>
  <si>
    <t>3103227961T</t>
  </si>
  <si>
    <t>9780816078271</t>
  </si>
  <si>
    <t>794498419</t>
  </si>
  <si>
    <t>U795 L48 1997</t>
  </si>
  <si>
    <t>0                      U  0795000L  48          1997</t>
  </si>
  <si>
    <t>Non-lethal weapons--a fatal attraction? : military strategies and technologies for 21st century conflict / Nick Lewer and Steven Schofield.</t>
  </si>
  <si>
    <t>Lewer, Nick.</t>
  </si>
  <si>
    <t>London ; Atlantic Highlands, N.J. : Zed Books, 1997.</t>
  </si>
  <si>
    <t>375446553:eng</t>
  </si>
  <si>
    <t>35269934</t>
  </si>
  <si>
    <t>ocm35269934</t>
  </si>
  <si>
    <t>31018130153</t>
  </si>
  <si>
    <t>9781856494854</t>
  </si>
  <si>
    <t>793448305</t>
  </si>
  <si>
    <t>U795 N65 2004</t>
  </si>
  <si>
    <t>0                      U  0795000N  65          2004</t>
  </si>
  <si>
    <t>Nonlethal Weapons and Capabilities : Report of an Independent Task Force Sponsored by the Council on Foreign Relations / Graham T. Allison and Paul X. Kelley, co-chairs ; Richard L. Garwin, project director.</t>
  </si>
  <si>
    <t>New York, NY : Council on Foreign Relations Press ; [Washington, D.C.] : [Distributed by the Brookings Institution Press], [2004]</t>
  </si>
  <si>
    <t>Task force report (Council on Foreign Relations)</t>
  </si>
  <si>
    <t>793926576:eng</t>
  </si>
  <si>
    <t>54751784</t>
  </si>
  <si>
    <t>ocm54751784</t>
  </si>
  <si>
    <t>31024390445</t>
  </si>
  <si>
    <t>9780876093412</t>
  </si>
  <si>
    <t>793867010</t>
  </si>
  <si>
    <t>U800 D46 1894</t>
  </si>
  <si>
    <t>0                      U  0800000D  46          1894</t>
  </si>
  <si>
    <t>An illustrated history of arms and armour : from the earliest period to the present time / by Auguste Demmin ; trans. by C.C. Black.</t>
  </si>
  <si>
    <t>Demmin, Auguste, 1817-1898.</t>
  </si>
  <si>
    <t>London ; And New York : George Bell, 1894.</t>
  </si>
  <si>
    <t>1894</t>
  </si>
  <si>
    <t>[Bohn's artists' library]</t>
  </si>
  <si>
    <t>2019-04-06</t>
  </si>
  <si>
    <t>3901045751:eng</t>
  </si>
  <si>
    <t>5949440</t>
  </si>
  <si>
    <t>ocm05949440</t>
  </si>
  <si>
    <t>3000728727$</t>
  </si>
  <si>
    <t>792465972</t>
  </si>
  <si>
    <t>U800 F5</t>
  </si>
  <si>
    <t>0                      U  0800000F  5</t>
  </si>
  <si>
    <t>Armour &amp; weapons. With a pref. by Viscount Dillon.</t>
  </si>
  <si>
    <t>Ffoulkes, Charles John, 1868-1947.</t>
  </si>
  <si>
    <t>Oxford : Clarendon Press, 1909.</t>
  </si>
  <si>
    <t>1909</t>
  </si>
  <si>
    <t>3943442635:eng</t>
  </si>
  <si>
    <t>427540263</t>
  </si>
  <si>
    <t>ocn427540263</t>
  </si>
  <si>
    <t>30007287407</t>
  </si>
  <si>
    <t>794680086</t>
  </si>
  <si>
    <t>U800 O3</t>
  </si>
  <si>
    <t>0                      U  0800000O  3</t>
  </si>
  <si>
    <t>The archaeology of weapons; arms and armor from prehistory to the age of chivalry. Illustrated by the author.</t>
  </si>
  <si>
    <t>Oakeshott, R. Ewart.</t>
  </si>
  <si>
    <t>New York, Praeger [1960]</t>
  </si>
  <si>
    <t>2019-01-17</t>
  </si>
  <si>
    <t>9569636:eng</t>
  </si>
  <si>
    <t>569220</t>
  </si>
  <si>
    <t>ocm00569220</t>
  </si>
  <si>
    <t>3000728772V</t>
  </si>
  <si>
    <t>791417166</t>
  </si>
  <si>
    <t>U805 S59 1967b</t>
  </si>
  <si>
    <t>0                      U  0805000S  59          1967b</t>
  </si>
  <si>
    <t>Arms and armour of the Greeks, [by] A.M. Snodgrass.</t>
  </si>
  <si>
    <t>Snodgrass, Anthony M.</t>
  </si>
  <si>
    <t>London, Thames &amp; Hudson, 1967.</t>
  </si>
  <si>
    <t>Aspects of Greek and Roman life (Thames and Hudson)</t>
  </si>
  <si>
    <t>450021:eng</t>
  </si>
  <si>
    <t>246322</t>
  </si>
  <si>
    <t>ocm00246322</t>
  </si>
  <si>
    <t>3000238467S</t>
  </si>
  <si>
    <t>791307887</t>
  </si>
  <si>
    <t>2014-11-23</t>
  </si>
  <si>
    <t>3102815117A</t>
  </si>
  <si>
    <t>791307889</t>
  </si>
  <si>
    <t>30005192235</t>
  </si>
  <si>
    <t>791307888</t>
  </si>
  <si>
    <t>U805 S6</t>
  </si>
  <si>
    <t>0                      U  0805000S  6</t>
  </si>
  <si>
    <t>Early Greek armour and weapons, from the end of the bronze age to 600 B.C.</t>
  </si>
  <si>
    <t>Edinburgh, University Press [1964]</t>
  </si>
  <si>
    <t>2018-01-19</t>
  </si>
  <si>
    <t>1667513:eng</t>
  </si>
  <si>
    <t>569904</t>
  </si>
  <si>
    <t>ocm00569904</t>
  </si>
  <si>
    <t>31027573777</t>
  </si>
  <si>
    <t>791417354</t>
  </si>
  <si>
    <t>U810 A7</t>
  </si>
  <si>
    <t>0                      U  0810000A  7</t>
  </si>
  <si>
    <t>Armour &amp; weapons in the middle ages / by Charles H. Ashdown ...</t>
  </si>
  <si>
    <t>Ashdown, Charles Henry.</t>
  </si>
  <si>
    <t>London : Harrap, 1925.</t>
  </si>
  <si>
    <t>1925</t>
  </si>
  <si>
    <t>The home antiquary series</t>
  </si>
  <si>
    <t>2342988:eng</t>
  </si>
  <si>
    <t>1392016</t>
  </si>
  <si>
    <t>ocm01392016</t>
  </si>
  <si>
    <t>3000717429I</t>
  </si>
  <si>
    <t>791617212</t>
  </si>
  <si>
    <t>U810 C65 2002</t>
  </si>
  <si>
    <t>0                      U  0810000C  65          2002</t>
  </si>
  <si>
    <t>A companion to medieval arms and armour / edited by David Nicolle.</t>
  </si>
  <si>
    <t>Woodbridge, UK ; Rochester, NY : Boydell Press, 2002.</t>
  </si>
  <si>
    <t>56794707:eng</t>
  </si>
  <si>
    <t>49285526</t>
  </si>
  <si>
    <t>ocm49285526</t>
  </si>
  <si>
    <t>3102243394H</t>
  </si>
  <si>
    <t>9780851158723</t>
  </si>
  <si>
    <t>793736761</t>
  </si>
  <si>
    <t>U810 D48 2012</t>
  </si>
  <si>
    <t>0                      U  0810000D  48          2012</t>
  </si>
  <si>
    <t>Medieval military technology / Kelly DeVries and Robert Douglas Smith.</t>
  </si>
  <si>
    <t>DeVries, Kelly, 1956- author.</t>
  </si>
  <si>
    <t>North York, Ont. ; Tonawanda, N.Y. : University of Toronto Press, ©2012.</t>
  </si>
  <si>
    <t>150461926:eng</t>
  </si>
  <si>
    <t>782101074</t>
  </si>
  <si>
    <t>ocn782101074</t>
  </si>
  <si>
    <t>3103402792A</t>
  </si>
  <si>
    <t>9781442604971</t>
  </si>
  <si>
    <t>794913590</t>
  </si>
  <si>
    <t>U810 N52324 2002</t>
  </si>
  <si>
    <t>0                      U  0810000N  52324       2002</t>
  </si>
  <si>
    <t>Warriors and their weapons around the time of the crusades : relationships between Byzantium, the West, and the Islamic world / David Nicolle.</t>
  </si>
  <si>
    <t>Nicolle, David, 1944-</t>
  </si>
  <si>
    <t>Aldershot, Hampshire [England] ; Burlington, Vt. : Ashgate/Variorum, ©2002.</t>
  </si>
  <si>
    <t>Variorum collected studies series</t>
  </si>
  <si>
    <t>2015-05-13</t>
  </si>
  <si>
    <t>971926:eng</t>
  </si>
  <si>
    <t>50096848</t>
  </si>
  <si>
    <t>ocm50096848</t>
  </si>
  <si>
    <t>3102437630Y</t>
  </si>
  <si>
    <t>9780860788980</t>
  </si>
  <si>
    <t>793755496</t>
  </si>
  <si>
    <t>U815 O2 2000</t>
  </si>
  <si>
    <t>0                      U  0815000O  2           2000</t>
  </si>
  <si>
    <t>European weapons and armour : from the Renaissance to the Industrial Revolution / Ewart Oakeshott ; with line illustrations by the author.</t>
  </si>
  <si>
    <t>Rochester, NY : Boydell Press, 2000.</t>
  </si>
  <si>
    <t>447564:eng</t>
  </si>
  <si>
    <t>44468825</t>
  </si>
  <si>
    <t>ocm44468825</t>
  </si>
  <si>
    <t>31023528209</t>
  </si>
  <si>
    <t>9780851157894</t>
  </si>
  <si>
    <t>793646879</t>
  </si>
  <si>
    <t>U820 G74 E84 2004</t>
  </si>
  <si>
    <t>0                      U  0820000G  74                 E  84          2004</t>
  </si>
  <si>
    <t>Warfare in Ancient Greece : arms and armour from the heroes of Homer to Alexander the Great / Tim Everson.</t>
  </si>
  <si>
    <t>Everson, Tim.</t>
  </si>
  <si>
    <t>Stroud : Sutton Pub., 2004.</t>
  </si>
  <si>
    <t>205900664:eng</t>
  </si>
  <si>
    <t>56644966</t>
  </si>
  <si>
    <t>ocm56644966</t>
  </si>
  <si>
    <t>31024911386</t>
  </si>
  <si>
    <t>9780750933186</t>
  </si>
  <si>
    <t>793897932</t>
  </si>
  <si>
    <t>U820 G8 R39 2007</t>
  </si>
  <si>
    <t>0                      U  0820000G  8                  R  39          2007</t>
  </si>
  <si>
    <t>The ancient Greeks at war / Louis Rawlings.</t>
  </si>
  <si>
    <t>Rawlings, Louis.</t>
  </si>
  <si>
    <t>Manchester ; New York : Manchester University Press, 2007.</t>
  </si>
  <si>
    <t>2016-11-10</t>
  </si>
  <si>
    <t>103619796:eng</t>
  </si>
  <si>
    <t>148904619</t>
  </si>
  <si>
    <t>ocn148904619</t>
  </si>
  <si>
    <t>31025738838</t>
  </si>
  <si>
    <t>9780719056574</t>
  </si>
  <si>
    <t>794241164</t>
  </si>
  <si>
    <t>U820 R6 R66 1986</t>
  </si>
  <si>
    <t>0                      U  0820000R  6                  R  66          1986</t>
  </si>
  <si>
    <t>Military equipment and the identity of Roman soldiers : proceedings of the Fourth Roman Military Equipment Conference / edited by J.C. Coulston.</t>
  </si>
  <si>
    <t>Roman Military Equipment Conference (4th : 1986 : Newcastle University)</t>
  </si>
  <si>
    <t>Oxford, England : B.A.R., 1988.</t>
  </si>
  <si>
    <t>BAR international series ; 394</t>
  </si>
  <si>
    <t>441201971:eng</t>
  </si>
  <si>
    <t>17784137</t>
  </si>
  <si>
    <t>ocm17784137</t>
  </si>
  <si>
    <t>3103705593O</t>
  </si>
  <si>
    <t>9780860545088</t>
  </si>
  <si>
    <t>793003272</t>
  </si>
  <si>
    <t>U820 S35 S36 1981</t>
  </si>
  <si>
    <t>0                      U  0820000S  35                 S  36          1981</t>
  </si>
  <si>
    <t>Scottish weapons and fortifications, 1100-1800 / edited by David H. Caldwell.</t>
  </si>
  <si>
    <t>Edinburgh : J. Donald ; Atlantic Highlands, N.J. : Distributed in the U.S.A. by Humanities Press, ©1981.</t>
  </si>
  <si>
    <t>353443115:eng</t>
  </si>
  <si>
    <t>8065554</t>
  </si>
  <si>
    <t>ocm08065554</t>
  </si>
  <si>
    <t>31002500505</t>
  </si>
  <si>
    <t>9780859760478</t>
  </si>
  <si>
    <t>792596363</t>
  </si>
  <si>
    <t>U821 C6 H39 1972</t>
  </si>
  <si>
    <t>0                      U  0821000C  6                  H  39          1972</t>
  </si>
  <si>
    <t>Chūgoku In Shū jidai no buki / Hayashi Minao cho.</t>
  </si>
  <si>
    <t>Hayashi, Minao, 1925-2006.</t>
  </si>
  <si>
    <t>Kyōto : Kyōto Daigaku Jinbun Kagaku Kenkyūjo, Shōwa 47 [1972]</t>
  </si>
  <si>
    <t>jpn</t>
  </si>
  <si>
    <t>57462401:jpn</t>
  </si>
  <si>
    <t>25255729</t>
  </si>
  <si>
    <t>ocm25255729</t>
  </si>
  <si>
    <t>3102801709F</t>
  </si>
  <si>
    <t>793215372</t>
  </si>
  <si>
    <t>U821 C6 W37 1992</t>
  </si>
  <si>
    <t>0                      U  0821000C  6                  W  37          1992</t>
  </si>
  <si>
    <t>Weapons in ancient China / edited by Yang Hong.</t>
  </si>
  <si>
    <t>New York : Science Press, 1992.</t>
  </si>
  <si>
    <t>2018-05-11</t>
  </si>
  <si>
    <t>352045229:eng</t>
  </si>
  <si>
    <t>27940402</t>
  </si>
  <si>
    <t>ocm27940402</t>
  </si>
  <si>
    <t>3102802440C</t>
  </si>
  <si>
    <t>9781880132036</t>
  </si>
  <si>
    <t>793276009</t>
  </si>
  <si>
    <t>U821 C6 Y364 2013</t>
  </si>
  <si>
    <t>0                      U  0821000C  6                  Y  364         2013</t>
  </si>
  <si>
    <t>Zhongguo gu bing er shi jiang : cha tu zhen cang ben / Yang Hong, Li Li zhu.</t>
  </si>
  <si>
    <t>Yang, Hong, 1935-</t>
  </si>
  <si>
    <t>Beijing : Sheng huo, du shu, xin zhi san lian shu dian, 2013.</t>
  </si>
  <si>
    <t>Er shi jiang xi lie</t>
  </si>
  <si>
    <t>1212046099:chi</t>
  </si>
  <si>
    <t>829675257</t>
  </si>
  <si>
    <t>ocn829675257</t>
  </si>
  <si>
    <t>3103485062M</t>
  </si>
  <si>
    <t>9787108040886</t>
  </si>
  <si>
    <t>794942574</t>
  </si>
  <si>
    <t>U825 L54 2012</t>
  </si>
  <si>
    <t>0                      U  0825000L  54          2012</t>
  </si>
  <si>
    <t>Lightening body armor : Arroyo support to the Army response to Section 125 of the National Defense Authorization Act for Fiscal Year 2011 / Kenneth Horn [and others].</t>
  </si>
  <si>
    <t>Rand Corporation technical report series ; TR-1136-A</t>
  </si>
  <si>
    <t>2013-07-25</t>
  </si>
  <si>
    <t>1076006657:eng</t>
  </si>
  <si>
    <t>774213761</t>
  </si>
  <si>
    <t>ocn774213761</t>
  </si>
  <si>
    <t>3103487220G</t>
  </si>
  <si>
    <t>9780833058447</t>
  </si>
  <si>
    <t>794906372</t>
  </si>
  <si>
    <t>U854 W55 2012</t>
  </si>
  <si>
    <t>0                      U  0854000W  55          2012</t>
  </si>
  <si>
    <t>The sword and the crucible : a history of the metallurgy of European swords up to the 16th century / by Alan Williams.</t>
  </si>
  <si>
    <t>Williams, Alan (Alan R.)</t>
  </si>
  <si>
    <t>Leiden ; Boston : Brill, ©2012.</t>
  </si>
  <si>
    <t>History of warfare ; v. 77</t>
  </si>
  <si>
    <t>1087007376:eng</t>
  </si>
  <si>
    <t>779740287</t>
  </si>
  <si>
    <t>ocn779740287</t>
  </si>
  <si>
    <t>3103414407O</t>
  </si>
  <si>
    <t>9789004227835</t>
  </si>
  <si>
    <t>794911279</t>
  </si>
  <si>
    <t>U860 A3 2009</t>
  </si>
  <si>
    <t>0                      U  0860000A  3           2009</t>
  </si>
  <si>
    <t>Fencing : a Renaissance treatise / by Camillo Agrippa ; translated and with an introduction by Ken Mondschein.</t>
  </si>
  <si>
    <t>Agrippa, Camillo, -1595?</t>
  </si>
  <si>
    <t>New York : Ithaca Press, 2009.</t>
  </si>
  <si>
    <t>1153549255:eng</t>
  </si>
  <si>
    <t>424454811</t>
  </si>
  <si>
    <t>ocn424454811</t>
  </si>
  <si>
    <t>3103156147F</t>
  </si>
  <si>
    <t>9781599101293</t>
  </si>
  <si>
    <t>794506716</t>
  </si>
  <si>
    <t>U860 C33 1937</t>
  </si>
  <si>
    <t>0                      U  0860000C  33          1937</t>
  </si>
  <si>
    <t>The theory and practice of fencing, by Julio Martinez Castello; with an introduction by Anthony J. Drexel Biddle ... illustrated by Gabriel H. Mayorga.</t>
  </si>
  <si>
    <t>Castelló, Julio Martinez.</t>
  </si>
  <si>
    <t>New York, London, C. Scribner's Sons, 1937.</t>
  </si>
  <si>
    <t>2359057:eng</t>
  </si>
  <si>
    <t>10254853</t>
  </si>
  <si>
    <t>ocm10254853</t>
  </si>
  <si>
    <t>3000524432F</t>
  </si>
  <si>
    <t>792716558</t>
  </si>
  <si>
    <t>U860 C35 1910</t>
  </si>
  <si>
    <t>0                      U  0860000C  35          1910</t>
  </si>
  <si>
    <t>Schools and masters of fence from the Middle Ages to the end of the eighteenth century : with a complete bibliography / by Egerton Castle ; illustrated with reproductions of old engravings and representations of typical swords.</t>
  </si>
  <si>
    <t>Castle, Egerton, 1858-1920.</t>
  </si>
  <si>
    <t>London : Bell, 1910.</t>
  </si>
  <si>
    <t>1910</t>
  </si>
  <si>
    <t>704991:eng</t>
  </si>
  <si>
    <t>3193905</t>
  </si>
  <si>
    <t>ocm03193905</t>
  </si>
  <si>
    <t>3000741954B</t>
  </si>
  <si>
    <t>792227927</t>
  </si>
  <si>
    <t>U860 J3 1972</t>
  </si>
  <si>
    <t>0                      U  0860000J  3           1972</t>
  </si>
  <si>
    <t>Three Elizabethan fencing manuals. Facsim. reproductions, with an introd. by James L. Jackson.</t>
  </si>
  <si>
    <t>Jackson, James L. (James Louis), 1916- compiler.</t>
  </si>
  <si>
    <t>Delmar, N.Y., Scholars' Facsimiles &amp; Reprints, 1972.</t>
  </si>
  <si>
    <t>2015-05-12</t>
  </si>
  <si>
    <t>1481316:eng</t>
  </si>
  <si>
    <t>379349</t>
  </si>
  <si>
    <t>ocm00379349</t>
  </si>
  <si>
    <t>3000557282C</t>
  </si>
  <si>
    <t>9780820111070</t>
  </si>
  <si>
    <t>791358348</t>
  </si>
  <si>
    <t>U860 L37 2016</t>
  </si>
  <si>
    <t>0                      U  0860000L  37          2016</t>
  </si>
  <si>
    <t>Late Medieval and Early Modern Fight Books : Transmission and Tradition of Martial Arts in Europe (14th-17th centuries) / edited by Daniel Jaquet, Karin Verelst and Timothy Dawson.</t>
  </si>
  <si>
    <t>Leiden ; Boston : Brill, [2016]</t>
  </si>
  <si>
    <t>History of warfare, 1385-7827 ; volume 112</t>
  </si>
  <si>
    <t>3033452489:eng</t>
  </si>
  <si>
    <t>950202607</t>
  </si>
  <si>
    <t>ocn950202607</t>
  </si>
  <si>
    <t>31035927282</t>
  </si>
  <si>
    <t>9789004312418</t>
  </si>
  <si>
    <t>795016558</t>
  </si>
  <si>
    <t>U860 T87 2016</t>
  </si>
  <si>
    <t>0                      U  0860000T  87          2016</t>
  </si>
  <si>
    <t>Methods and practice of Elizabethan swordplay / Craig Turner and Tony Soper ; with a foreword by Joseph Papp.</t>
  </si>
  <si>
    <t>Turner, Craig, M.F.A., author.</t>
  </si>
  <si>
    <t>Carbondale : Southern Illinois University Press, 2016.</t>
  </si>
  <si>
    <t>Paperback edition.</t>
  </si>
  <si>
    <t>1007203:eng</t>
  </si>
  <si>
    <t>923549448</t>
  </si>
  <si>
    <t>ocn923549448</t>
  </si>
  <si>
    <t>3103654049T</t>
  </si>
  <si>
    <t>9780809335183</t>
  </si>
  <si>
    <t>795004527</t>
  </si>
  <si>
    <t>U873 A713 2010</t>
  </si>
  <si>
    <t>0                      U  0873000A  713         2010</t>
  </si>
  <si>
    <t>Apollodorus Mechanicus, Siege-matters = Poliorkētika / translated with introduction and commentary, David Whitehead.</t>
  </si>
  <si>
    <t>Apollodorus, of Damascus, active 1st century-2nd century, author.</t>
  </si>
  <si>
    <t>Stuttgart : Franz Steiner Verlag, 2010, ©2010.</t>
  </si>
  <si>
    <t>Geschichte</t>
  </si>
  <si>
    <t>9593149664:eng</t>
  </si>
  <si>
    <t>659775681</t>
  </si>
  <si>
    <t>ocn659775681</t>
  </si>
  <si>
    <t>3103302871H</t>
  </si>
  <si>
    <t>9783515097109</t>
  </si>
  <si>
    <t>794836556</t>
  </si>
  <si>
    <t>U875 M36</t>
  </si>
  <si>
    <t>0                      U  0875000M  36</t>
  </si>
  <si>
    <t>Greek and Roman artillery; historical development [by] E.W. Marsden.</t>
  </si>
  <si>
    <t>Marsden, Eric William.</t>
  </si>
  <si>
    <t>Oxford, Clarendon Press, 1969.</t>
  </si>
  <si>
    <t>2014-02-26</t>
  </si>
  <si>
    <t>2017-11-16</t>
  </si>
  <si>
    <t>4159935717:eng</t>
  </si>
  <si>
    <t>54494</t>
  </si>
  <si>
    <t>ocm00054494</t>
  </si>
  <si>
    <t>3000512414X</t>
  </si>
  <si>
    <t>9780198142683</t>
  </si>
  <si>
    <t>791240885</t>
  </si>
  <si>
    <t>3000224643N</t>
  </si>
  <si>
    <t>791240886</t>
  </si>
  <si>
    <t>U875 M36 1971</t>
  </si>
  <si>
    <t>0                      U  0875000M  36          1971</t>
  </si>
  <si>
    <t>Greek and Roman artillery; technical treatises [by] E.W. Marsden.</t>
  </si>
  <si>
    <t>Oxford, Clarendon P., 1971.</t>
  </si>
  <si>
    <t>4535575506:eng</t>
  </si>
  <si>
    <t>164768</t>
  </si>
  <si>
    <t>ocm00164768</t>
  </si>
  <si>
    <t>30005624216</t>
  </si>
  <si>
    <t>9780198142690</t>
  </si>
  <si>
    <t>791277574</t>
  </si>
  <si>
    <t>U877 B73 1985</t>
  </si>
  <si>
    <t>0                      U  0877000B  73          1985</t>
  </si>
  <si>
    <t>The medieval archer / J. Bradbury.</t>
  </si>
  <si>
    <t>Bradbury, Jim.</t>
  </si>
  <si>
    <t>Woodbridge : Boydell, 1985.</t>
  </si>
  <si>
    <t>635877:eng</t>
  </si>
  <si>
    <t>12525367</t>
  </si>
  <si>
    <t>ocm12525367</t>
  </si>
  <si>
    <t>3102819203U</t>
  </si>
  <si>
    <t>9780851151946</t>
  </si>
  <si>
    <t>792817443</t>
  </si>
  <si>
    <t>U883 O55</t>
  </si>
  <si>
    <t>0                      U  0883000O  55</t>
  </si>
  <si>
    <t>Castles and cannon; a study of early artillery fortifications in England.</t>
  </si>
  <si>
    <t>O'Neil, B. H. St. J. (Bryan Hugh St. John)</t>
  </si>
  <si>
    <t>Oxford, Clarendon Press, 1960.</t>
  </si>
  <si>
    <t>2019-07-12</t>
  </si>
  <si>
    <t>796532169:eng</t>
  </si>
  <si>
    <t>569794</t>
  </si>
  <si>
    <t>ocm00569794</t>
  </si>
  <si>
    <t>3102952290E</t>
  </si>
  <si>
    <t>791417333</t>
  </si>
  <si>
    <t>UA10 A79 1990</t>
  </si>
  <si>
    <t>0                      UA 0010000A  79          1990</t>
  </si>
  <si>
    <t>Arms races : technological and political dynamics / edited by Nils Petter Gleditsch and Olva Njølstad.</t>
  </si>
  <si>
    <t>Oslo : International Peace Research Institute ; Newbury Park : Sage Publications, 1990.</t>
  </si>
  <si>
    <t>PRIO monographs</t>
  </si>
  <si>
    <t xml:space="preserve">UA </t>
  </si>
  <si>
    <t>2016-09-23</t>
  </si>
  <si>
    <t>806739325:eng</t>
  </si>
  <si>
    <t>21376538</t>
  </si>
  <si>
    <t>ocm21376538</t>
  </si>
  <si>
    <t>3100657476J</t>
  </si>
  <si>
    <t>9780803982208</t>
  </si>
  <si>
    <t>793117256</t>
  </si>
  <si>
    <t>UA10 B39 2013</t>
  </si>
  <si>
    <t>0                      UA 0010000B  39          2013</t>
  </si>
  <si>
    <t>The military effectiveness of post-colonial states / by Pradeep P. Barua.</t>
  </si>
  <si>
    <t>Barua, Pradeep.</t>
  </si>
  <si>
    <t>Leiden : Brill, 2013.</t>
  </si>
  <si>
    <t>History of warfare ; v. 88</t>
  </si>
  <si>
    <t>1416676008:eng</t>
  </si>
  <si>
    <t>826017744</t>
  </si>
  <si>
    <t>ocn826017744</t>
  </si>
  <si>
    <t>3103498383T</t>
  </si>
  <si>
    <t>9789004243248</t>
  </si>
  <si>
    <t>794938887</t>
  </si>
  <si>
    <t>UA10 E85 1989</t>
  </si>
  <si>
    <t>0                      UA 0010000E  85          1989</t>
  </si>
  <si>
    <t>Arms race theory : strategy and structure of behavior / Craig Etcheson.</t>
  </si>
  <si>
    <t>Etcheson, Craig, 1955-</t>
  </si>
  <si>
    <t>New York : Greenwood Press, 1989.</t>
  </si>
  <si>
    <t>Contributions in military studies, 0883-6884 ; no. 87</t>
  </si>
  <si>
    <t>2015-11-14</t>
  </si>
  <si>
    <t>143963029:eng</t>
  </si>
  <si>
    <t>18815965</t>
  </si>
  <si>
    <t>ocm18815965</t>
  </si>
  <si>
    <t>31002159335</t>
  </si>
  <si>
    <t>9780313262548</t>
  </si>
  <si>
    <t>793037932</t>
  </si>
  <si>
    <t>UA10 F37 2013</t>
  </si>
  <si>
    <t>0                      UA 0010000F  37          2013</t>
  </si>
  <si>
    <t>Transforming military power since the Cold War : Britain, France, and the United States, 1991-2012 / Theo Farrell, Sten Rynning and Terry Terriff.</t>
  </si>
  <si>
    <t>Farrell, Theo, 1967-</t>
  </si>
  <si>
    <t>1405406710:eng</t>
  </si>
  <si>
    <t>837924224</t>
  </si>
  <si>
    <t>ocn837924224</t>
  </si>
  <si>
    <t>3103503286H</t>
  </si>
  <si>
    <t>9781107044326</t>
  </si>
  <si>
    <t>794945225</t>
  </si>
  <si>
    <t>UA10 F5413 2011</t>
  </si>
  <si>
    <t>0                      UA 0010000F  5413        2011</t>
  </si>
  <si>
    <t>On flexibility : recovery from technological and doctrinal surprise on the battlefield / Meir Finkel ; translated by Moshe Tlamim.</t>
  </si>
  <si>
    <t>Finkel, Meir, 1968- author.</t>
  </si>
  <si>
    <t>Stanford, California : Stanford Security Studies, [2011], ©2011.</t>
  </si>
  <si>
    <t>688184120:eng</t>
  </si>
  <si>
    <t>672300122</t>
  </si>
  <si>
    <t>ocn672300122</t>
  </si>
  <si>
    <t>3103321924I</t>
  </si>
  <si>
    <t>9780804774888</t>
  </si>
  <si>
    <t>794849446</t>
  </si>
  <si>
    <t>UA10 M5915 1989</t>
  </si>
  <si>
    <t>0                      UA 0010000M  5915        1989</t>
  </si>
  <si>
    <t>The Militarization of the Western world / edited by John R. Gillis.</t>
  </si>
  <si>
    <t>New Brunswick : Rutgers University Press, ©1989.</t>
  </si>
  <si>
    <t>55163792:eng</t>
  </si>
  <si>
    <t>18961022</t>
  </si>
  <si>
    <t>ocm18961022</t>
  </si>
  <si>
    <t>31024560643</t>
  </si>
  <si>
    <t>9780813514499</t>
  </si>
  <si>
    <t>793042651</t>
  </si>
  <si>
    <t>2019-02-01</t>
  </si>
  <si>
    <t>UA10 V3 1959</t>
  </si>
  <si>
    <t>0                      UA 0010000V  3           1959</t>
  </si>
  <si>
    <t>A history of militarism: [civilian and military.</t>
  </si>
  <si>
    <t>Vagts, Alfred, 1892-1986.</t>
  </si>
  <si>
    <t>New York] Meridian Books [1959]</t>
  </si>
  <si>
    <t>Greenwich editions</t>
  </si>
  <si>
    <t>2008-11-18</t>
  </si>
  <si>
    <t>2019-07-17</t>
  </si>
  <si>
    <t>1702040:eng</t>
  </si>
  <si>
    <t>575497</t>
  </si>
  <si>
    <t>ocm00575497</t>
  </si>
  <si>
    <t>3000238469O</t>
  </si>
  <si>
    <t>791418927</t>
  </si>
  <si>
    <t>2004-10-30</t>
  </si>
  <si>
    <t>3101837492B</t>
  </si>
  <si>
    <t>791418925</t>
  </si>
  <si>
    <t>3101839550D</t>
  </si>
  <si>
    <t>791418926</t>
  </si>
  <si>
    <t>UA10.5 B73 1988</t>
  </si>
  <si>
    <t>0                      UA 0010500B  73          1988</t>
  </si>
  <si>
    <t>Game theory and national security / Steven J. Brams and D. Marc Kilgour.</t>
  </si>
  <si>
    <t>Brams, Steven J.</t>
  </si>
  <si>
    <t>New York, NY, USA : B. Blackwell, 1988.</t>
  </si>
  <si>
    <t>16115450:eng</t>
  </si>
  <si>
    <t>17546369</t>
  </si>
  <si>
    <t>ocm17546369</t>
  </si>
  <si>
    <t>31029472763</t>
  </si>
  <si>
    <t>9781557860040</t>
  </si>
  <si>
    <t>792994739</t>
  </si>
  <si>
    <t>UA10.5 B89 1983</t>
  </si>
  <si>
    <t>0                      UA 0010500B  89          1983</t>
  </si>
  <si>
    <t>People, states, and fear : the national security problem in international relations / by Barry Buzan.</t>
  </si>
  <si>
    <t>Buzan, Barry.</t>
  </si>
  <si>
    <t>Chapel Hill : University of North Carolina Press, ©1983.</t>
  </si>
  <si>
    <t>2018-05-26</t>
  </si>
  <si>
    <t>3863797246:eng</t>
  </si>
  <si>
    <t>9370977</t>
  </si>
  <si>
    <t>ocm09370977</t>
  </si>
  <si>
    <t>3102944516I</t>
  </si>
  <si>
    <t>9780807815724</t>
  </si>
  <si>
    <t>792672571</t>
  </si>
  <si>
    <t>UA10.5 B89 2007</t>
  </si>
  <si>
    <t>0                      UA 0010500B  89          2007</t>
  </si>
  <si>
    <t>People, states &amp; fear : an agenda for international security studies in the post-cold war era / Barry Buzan.</t>
  </si>
  <si>
    <t>Colchester, UK : ECPR Press, ©2007.</t>
  </si>
  <si>
    <t>2nd ed., with a new introduction by the author.</t>
  </si>
  <si>
    <t>ECPR Press classics</t>
  </si>
  <si>
    <t>15516102:eng</t>
  </si>
  <si>
    <t>183267294</t>
  </si>
  <si>
    <t>ocn183267294</t>
  </si>
  <si>
    <t>31030586164</t>
  </si>
  <si>
    <t>9780955248818</t>
  </si>
  <si>
    <t>794287632</t>
  </si>
  <si>
    <t>UA10.5 C85 1996</t>
  </si>
  <si>
    <t>0                      UA 0010500C  85          1996</t>
  </si>
  <si>
    <t>The culture of national security : norms and identity in world politics / edited by Peter J. Katzenstein ; [sponsored by the Committee on International Peace &amp; Security of the Social Science Research Council].</t>
  </si>
  <si>
    <t>New York : Columbia University Press, [1996]</t>
  </si>
  <si>
    <t>New directions in world politics</t>
  </si>
  <si>
    <t>2019-10-04</t>
  </si>
  <si>
    <t>807099199:eng</t>
  </si>
  <si>
    <t>34640712</t>
  </si>
  <si>
    <t>ocm34640712</t>
  </si>
  <si>
    <t>3102779553O</t>
  </si>
  <si>
    <t>9780023110467</t>
  </si>
  <si>
    <t>793432103</t>
  </si>
  <si>
    <t>UA10.5 I52 1992</t>
  </si>
  <si>
    <t>0                      UA 0010500I  52          1992</t>
  </si>
  <si>
    <t>The Insecurity dilemma : national security of Third World states / edited by Brian L. Job.</t>
  </si>
  <si>
    <t>Boulder : L. Rienner Publishers, 1992.</t>
  </si>
  <si>
    <t>2009-04-22</t>
  </si>
  <si>
    <t>2019-03-16</t>
  </si>
  <si>
    <t>890176427:eng</t>
  </si>
  <si>
    <t>24590056</t>
  </si>
  <si>
    <t>ocm24590056</t>
  </si>
  <si>
    <t>31012197497</t>
  </si>
  <si>
    <t>9781555872670</t>
  </si>
  <si>
    <t>793201672</t>
  </si>
  <si>
    <t>3100980621W</t>
  </si>
  <si>
    <t>793201673</t>
  </si>
  <si>
    <t>UA10.5 K73 2010</t>
  </si>
  <si>
    <t>0                      UA 0010500K  73          2010</t>
  </si>
  <si>
    <t>States, citizens and the privatization of security / Elke Krahmann.</t>
  </si>
  <si>
    <t>Krahmann, Elke.</t>
  </si>
  <si>
    <t>2012-03-28</t>
  </si>
  <si>
    <t>651792946:eng</t>
  </si>
  <si>
    <t>449825490</t>
  </si>
  <si>
    <t>ocn449825490</t>
  </si>
  <si>
    <t>3103243364G</t>
  </si>
  <si>
    <t>9780521110198</t>
  </si>
  <si>
    <t>794787412</t>
  </si>
  <si>
    <t>UA10.5 K85 1994</t>
  </si>
  <si>
    <t>0                      UA 0010500K  85          1994</t>
  </si>
  <si>
    <t>The vulnerability of empire / Charles A. Kupchan.</t>
  </si>
  <si>
    <t>Kupchan, Charles.</t>
  </si>
  <si>
    <t>Ithaca : Cornell University Press, 1994.</t>
  </si>
  <si>
    <t>30344902:eng</t>
  </si>
  <si>
    <t>28503531</t>
  </si>
  <si>
    <t>ocm28503531</t>
  </si>
  <si>
    <t>3101486075U</t>
  </si>
  <si>
    <t>9780801428852</t>
  </si>
  <si>
    <t>793289500</t>
  </si>
  <si>
    <t>UA10.5 L43 2003</t>
  </si>
  <si>
    <t>0                      UA 0010500L  43          2003</t>
  </si>
  <si>
    <t>The tragic vision of politics : ethics, interests, and orders / Richard Ned Lebow.</t>
  </si>
  <si>
    <t>New York : Cambridge University Press, 2003.</t>
  </si>
  <si>
    <t>708625:eng</t>
  </si>
  <si>
    <t>51294062</t>
  </si>
  <si>
    <t>ocm51294062</t>
  </si>
  <si>
    <t>3102998313K</t>
  </si>
  <si>
    <t>9780521827539</t>
  </si>
  <si>
    <t>793782424</t>
  </si>
  <si>
    <t>UA10.5 M315 2002</t>
  </si>
  <si>
    <t>0                      UA 0010500M  315         2002</t>
  </si>
  <si>
    <t>Armies without states : the privatization of security / Robert Mandel.</t>
  </si>
  <si>
    <t>Mandel, Robert, 1949-</t>
  </si>
  <si>
    <t>Boulder, Colo. : L. Rienner, 2002.</t>
  </si>
  <si>
    <t>837998395:eng</t>
  </si>
  <si>
    <t>48871172</t>
  </si>
  <si>
    <t>ocm48871172</t>
  </si>
  <si>
    <t>3102224790B</t>
  </si>
  <si>
    <t>9781588260666</t>
  </si>
  <si>
    <t>793729380</t>
  </si>
  <si>
    <t>UA10.5 N293 1997</t>
  </si>
  <si>
    <t>0                      UA 0010500N  293         1997</t>
  </si>
  <si>
    <t>The national security of small states in a changing world / edited by Efraim Inbar and Gabriel Sheffer.</t>
  </si>
  <si>
    <t>London ; Portland, OR. : Frank Cass, 1997.</t>
  </si>
  <si>
    <t>BESA studies in international security.</t>
  </si>
  <si>
    <t>350053544:eng</t>
  </si>
  <si>
    <t>36225416</t>
  </si>
  <si>
    <t>ocm36225416</t>
  </si>
  <si>
    <t>31018494438</t>
  </si>
  <si>
    <t>9780714647869</t>
  </si>
  <si>
    <t>793469669</t>
  </si>
  <si>
    <t>UA10.5 N48 1991</t>
  </si>
  <si>
    <t>0                      UA 0010500N  48          1991</t>
  </si>
  <si>
    <t>New thinking about strategy and international security / edited by Ken Booth.</t>
  </si>
  <si>
    <t>London : HarperCollins Academic, 1991.</t>
  </si>
  <si>
    <t>2019-11-30</t>
  </si>
  <si>
    <t>143812610:eng</t>
  </si>
  <si>
    <t>22239640</t>
  </si>
  <si>
    <t>ocm22239640</t>
  </si>
  <si>
    <t>3101142169C</t>
  </si>
  <si>
    <t>9780044454144</t>
  </si>
  <si>
    <t>793138115</t>
  </si>
  <si>
    <t>UA10.5 S3725 2010</t>
  </si>
  <si>
    <t>0                      UA 0010500S  3725        2010</t>
  </si>
  <si>
    <t>Securing freedom in the global commons / edited by Scott Jasper.</t>
  </si>
  <si>
    <t>Stanford, Calif. : Stanford Security Studies, 2010.</t>
  </si>
  <si>
    <t>2012-04-02</t>
  </si>
  <si>
    <t>343492773:eng</t>
  </si>
  <si>
    <t>458889992</t>
  </si>
  <si>
    <t>ocn458889992</t>
  </si>
  <si>
    <t>3103243369G</t>
  </si>
  <si>
    <t>9780804770101</t>
  </si>
  <si>
    <t>794790653</t>
  </si>
  <si>
    <t>UA10.5 T73 2012</t>
  </si>
  <si>
    <t>0                      UA 0010500T  73          2012</t>
  </si>
  <si>
    <t>Threats without threateners? : exploring intersections of threats to the global commons and national security / Gregory F. Treverton, Erik Nemeth, Sinduja Srinivasan.</t>
  </si>
  <si>
    <t>Treverton, Gregory F.</t>
  </si>
  <si>
    <t>Occasional paper ; OP-360-SGTF</t>
  </si>
  <si>
    <t>1072145561:eng</t>
  </si>
  <si>
    <t>781861986</t>
  </si>
  <si>
    <t>ocn781861986</t>
  </si>
  <si>
    <t>3103442607B</t>
  </si>
  <si>
    <t>794913382</t>
  </si>
  <si>
    <t>UA11 C575 1990</t>
  </si>
  <si>
    <t>0                      UA 0011000C  575         1990</t>
  </si>
  <si>
    <t>The Cold war and defense / edited by Keith Neilson and Ronald G. Haycock.</t>
  </si>
  <si>
    <t>New York : Praeger, 1990.</t>
  </si>
  <si>
    <t>2019-04-17</t>
  </si>
  <si>
    <t>367858198:eng</t>
  </si>
  <si>
    <t>21079985</t>
  </si>
  <si>
    <t>ocm21079985</t>
  </si>
  <si>
    <t>3100683988V</t>
  </si>
  <si>
    <t>9780275935566</t>
  </si>
  <si>
    <t>793108701</t>
  </si>
  <si>
    <t>UA11 G313</t>
  </si>
  <si>
    <t>0                      UA 0011000G  313</t>
  </si>
  <si>
    <t>The balance of terror : strategy for the nuclear age / by Pierre Gallois ; with a foreword by Raymond Aron ; translated from the French by Richard Howard.</t>
  </si>
  <si>
    <t>Gallois, Pierre M. (Pierre Marie), 1911-2010.</t>
  </si>
  <si>
    <t>Boston : Houghton Mifflin, 1961.</t>
  </si>
  <si>
    <t>2016-03-17</t>
  </si>
  <si>
    <t>588244336:eng</t>
  </si>
  <si>
    <t>1333042</t>
  </si>
  <si>
    <t>ocm01333042</t>
  </si>
  <si>
    <t>3000540426I</t>
  </si>
  <si>
    <t>791602615</t>
  </si>
  <si>
    <t>UA11 G66 2011</t>
  </si>
  <si>
    <t>0                      UA 0011000G  66          2011</t>
  </si>
  <si>
    <t>Power in uncertain times : strategy in the fog of peace / Emily O. Goldman.</t>
  </si>
  <si>
    <t>Goldman, Emily O., 1961-</t>
  </si>
  <si>
    <t>Stanford, Calif. : Stanford University Press, 2011.</t>
  </si>
  <si>
    <t>797357366:eng</t>
  </si>
  <si>
    <t>586134332</t>
  </si>
  <si>
    <t>ocn586134332</t>
  </si>
  <si>
    <t>3103324136S</t>
  </si>
  <si>
    <t>9780804757263</t>
  </si>
  <si>
    <t>794814206</t>
  </si>
  <si>
    <t>UA11 M36 2011</t>
  </si>
  <si>
    <t>0                      UA 0011000M  36          2011</t>
  </si>
  <si>
    <t>Victory in war : foundations of modern strategy / William C. Martel.</t>
  </si>
  <si>
    <t>Martel, William C.</t>
  </si>
  <si>
    <t>Cambridge ; New York : Cambridge University Press, 2011.</t>
  </si>
  <si>
    <t>Revised and expanded edition</t>
  </si>
  <si>
    <t>2013-03-05</t>
  </si>
  <si>
    <t>3859618430:eng</t>
  </si>
  <si>
    <t>681913119</t>
  </si>
  <si>
    <t>ocn681913119</t>
  </si>
  <si>
    <t>31033632487</t>
  </si>
  <si>
    <t>9781107014190</t>
  </si>
  <si>
    <t>794852446</t>
  </si>
  <si>
    <t>UA11 M4625 2013</t>
  </si>
  <si>
    <t>0                      UA 0011000M  4625        2013</t>
  </si>
  <si>
    <t>The militant face of democracy : liberal forces for good / edited by Anna Geis, Harald Müller and Niklas Schörnig.</t>
  </si>
  <si>
    <t>Cambridge : Cambridge University Press, [2013]</t>
  </si>
  <si>
    <t>1412461276:eng</t>
  </si>
  <si>
    <t>838792172</t>
  </si>
  <si>
    <t>ocn838792172</t>
  </si>
  <si>
    <t>31035047710</t>
  </si>
  <si>
    <t>9781107037403</t>
  </si>
  <si>
    <t>794945431</t>
  </si>
  <si>
    <t>UA11 S56</t>
  </si>
  <si>
    <t>0                      UA 0011000S  56</t>
  </si>
  <si>
    <t>Deterrence and defense : toward a theory of national security / by Glenn H. Snyder.</t>
  </si>
  <si>
    <t>Snyder, Glenn H. (Glenn Herald), 1924-2013.</t>
  </si>
  <si>
    <t>Princeton, N.J. : Princeton University Press, 1961.</t>
  </si>
  <si>
    <t>198297768:eng</t>
  </si>
  <si>
    <t>569796</t>
  </si>
  <si>
    <t>ocm00569796</t>
  </si>
  <si>
    <t>30002384702</t>
  </si>
  <si>
    <t>791417334</t>
  </si>
  <si>
    <t>2010-10-21</t>
  </si>
  <si>
    <t>3100250090U</t>
  </si>
  <si>
    <t>791417335</t>
  </si>
  <si>
    <t>UA11.5 U73 2012</t>
  </si>
  <si>
    <t>0                      UA 0011500U  73          2012</t>
  </si>
  <si>
    <t>The uses and limits of small-scale military interventions / prepared for the United States Army ; Stephen Watts [and others].</t>
  </si>
  <si>
    <t>1169445765:eng</t>
  </si>
  <si>
    <t>811137286</t>
  </si>
  <si>
    <t>ocn811137286</t>
  </si>
  <si>
    <t>3103483502R</t>
  </si>
  <si>
    <t>9780833076533</t>
  </si>
  <si>
    <t>794929825</t>
  </si>
  <si>
    <t>UA12 H69 2011</t>
  </si>
  <si>
    <t>0                      UA 0012000H  69          2011</t>
  </si>
  <si>
    <t>How successful are U.S. efforts to build capacity in developing countries? : a framework to assess the Global Train and Equip "1206" Program / Jennifer D.P. Moroney [and others].</t>
  </si>
  <si>
    <t>Report ; TR-1121-OSD</t>
  </si>
  <si>
    <t>948145885:eng</t>
  </si>
  <si>
    <t>742234501</t>
  </si>
  <si>
    <t>ocn742234501</t>
  </si>
  <si>
    <t>3103485047Q</t>
  </si>
  <si>
    <t>9780833053107</t>
  </si>
  <si>
    <t>794884848</t>
  </si>
  <si>
    <t>UA12 P38 2013</t>
  </si>
  <si>
    <t>0                      UA 0012000P  38          2013</t>
  </si>
  <si>
    <t>What works best when building partner capacity and under what circumstances? / Christopher Paul, Colin P. Clarke, Beth Grill, Stephanie Young, Jennifer D.P. Moroney, Joe Hogler Christine Leah.</t>
  </si>
  <si>
    <t>1203089075:eng</t>
  </si>
  <si>
    <t>824610047</t>
  </si>
  <si>
    <t>ocn824610047</t>
  </si>
  <si>
    <t>3103141574M</t>
  </si>
  <si>
    <t>9780833078506</t>
  </si>
  <si>
    <t>794938012</t>
  </si>
  <si>
    <t>UA12 S383 2010</t>
  </si>
  <si>
    <t>0                      UA 0012000S  383         2010</t>
  </si>
  <si>
    <t>Security cooperation organizations in the country team : options for success / Terrence K. Kelly [and others].</t>
  </si>
  <si>
    <t>Technical report ; TR-734-A</t>
  </si>
  <si>
    <t>502143187:eng</t>
  </si>
  <si>
    <t>502158739</t>
  </si>
  <si>
    <t>ocn502158739</t>
  </si>
  <si>
    <t>31032556016</t>
  </si>
  <si>
    <t>9780833049117</t>
  </si>
  <si>
    <t>794805507</t>
  </si>
  <si>
    <t>UA12 S67 1983</t>
  </si>
  <si>
    <t>0                      UA 0012000S  67          1983</t>
  </si>
  <si>
    <t>Arms transfers under Nixon : a policy analysis / Lewis Sorley.</t>
  </si>
  <si>
    <t>Sorley, Lewis, 1934-</t>
  </si>
  <si>
    <t>Lexington, Ky. : University Press of Kentucky, ©1983.</t>
  </si>
  <si>
    <t>2016-05-31</t>
  </si>
  <si>
    <t>367485931:eng</t>
  </si>
  <si>
    <t>8763126</t>
  </si>
  <si>
    <t>ocm08763126</t>
  </si>
  <si>
    <t>3000347572N</t>
  </si>
  <si>
    <t>9780813104041</t>
  </si>
  <si>
    <t>792639349</t>
  </si>
  <si>
    <t>UA12.5 A76 1989</t>
  </si>
  <si>
    <t>0                      UA 0012500A  76          1989</t>
  </si>
  <si>
    <t>Domestic implementation of a chemical weapons treaty / J. Aroesty, K.A. Wolf, E.C. River.</t>
  </si>
  <si>
    <t>Aroesty, J.</t>
  </si>
  <si>
    <t>Santa Monica, Calif. : Rand Corp., 1989.</t>
  </si>
  <si>
    <t>RAND ; R-3745-ACQ</t>
  </si>
  <si>
    <t>2017-03-10</t>
  </si>
  <si>
    <t>143812578:eng</t>
  </si>
  <si>
    <t>20943470</t>
  </si>
  <si>
    <t>ocm20943470</t>
  </si>
  <si>
    <t>3101909633K</t>
  </si>
  <si>
    <t>9780833009715</t>
  </si>
  <si>
    <t>793103891</t>
  </si>
  <si>
    <t>UA12.5 D68 2013</t>
  </si>
  <si>
    <t>0                      UA 0012500D  68          2013</t>
  </si>
  <si>
    <t>Forensic seismology and nuclear test bans / Alan Douglas, Atomic Weapons Establishment Blacknest, Brimpton, UK.</t>
  </si>
  <si>
    <t>Douglas, Alan, 1936-2015.</t>
  </si>
  <si>
    <t>Cambridge ; New York : Cambridge University Press, [2013]</t>
  </si>
  <si>
    <t>1357860319:eng</t>
  </si>
  <si>
    <t>812250386</t>
  </si>
  <si>
    <t>ocn812250386</t>
  </si>
  <si>
    <t>31035000564</t>
  </si>
  <si>
    <t>9781107033948</t>
  </si>
  <si>
    <t>794930762</t>
  </si>
  <si>
    <t>UA12.5 W39 2010</t>
  </si>
  <si>
    <t>0                      UA 0012500W  39          2010</t>
  </si>
  <si>
    <t>Ways to strengthen the field of verification : 20 February 2009, United Nations, New York.</t>
  </si>
  <si>
    <t>[New York] : United Nations, 2010.</t>
  </si>
  <si>
    <t>UNODA occasional papers ; no. 18</t>
  </si>
  <si>
    <t>896268316:eng</t>
  </si>
  <si>
    <t>535170053</t>
  </si>
  <si>
    <t>ocn535170053</t>
  </si>
  <si>
    <t>3102784251B</t>
  </si>
  <si>
    <t>9789211422726</t>
  </si>
  <si>
    <t>794809978</t>
  </si>
  <si>
    <t>UA13 A35 2011</t>
  </si>
  <si>
    <t>0                      UA 0013000A  35          2011</t>
  </si>
  <si>
    <t>Proxy warriors : the rise and fall of state-sponsored militias / Ariel I. Ahram.</t>
  </si>
  <si>
    <t>Ahram, Ariel I. (Ariel Ira), 1979-</t>
  </si>
  <si>
    <t>Stanford, Calif. : Stanford Security Studies, ©2011.</t>
  </si>
  <si>
    <t>2016-11-13</t>
  </si>
  <si>
    <t>502181469:eng</t>
  </si>
  <si>
    <t>640132323</t>
  </si>
  <si>
    <t>ocn640132323</t>
  </si>
  <si>
    <t>3103324510K</t>
  </si>
  <si>
    <t>9780804773584</t>
  </si>
  <si>
    <t>794827318</t>
  </si>
  <si>
    <t>UA13.5 D86 2011</t>
  </si>
  <si>
    <t>0                      UA 0013500D  86          2011</t>
  </si>
  <si>
    <t>Victory for hire : private security companies' impact on military effectiveness / Molly Dunigan.</t>
  </si>
  <si>
    <t>Dunigan, Molly.</t>
  </si>
  <si>
    <t>649646743:eng</t>
  </si>
  <si>
    <t>664258259</t>
  </si>
  <si>
    <t>ocn664258259</t>
  </si>
  <si>
    <t>31033438253</t>
  </si>
  <si>
    <t>9780804774581</t>
  </si>
  <si>
    <t>794843257</t>
  </si>
  <si>
    <t>2019-06-06</t>
  </si>
  <si>
    <t>UA15 P673 2000</t>
  </si>
  <si>
    <t>0                      UA 0015000P  673         2000</t>
  </si>
  <si>
    <t>The postmodern military : armed forces after the Cold War / edited by Charles C. Moskos, John Allen Williams, David R. Segal.</t>
  </si>
  <si>
    <t>New York : Oxford University Press, 2000.</t>
  </si>
  <si>
    <t>807375605:eng</t>
  </si>
  <si>
    <t>42437202</t>
  </si>
  <si>
    <t>ocm42437202</t>
  </si>
  <si>
    <t>3102087883E</t>
  </si>
  <si>
    <t>9780195133288</t>
  </si>
  <si>
    <t>793607661</t>
  </si>
  <si>
    <t>UA15 R93 2003</t>
  </si>
  <si>
    <t>0                      UA 0015000R  93          2003</t>
  </si>
  <si>
    <t>The encyclopedia of the world's special forces : tactics, history, strategy, weapons / Mike Ryan, Chris Mann and Alexander Stilwell ; foreword by Mike McKinney.</t>
  </si>
  <si>
    <t>Ryan, Mike, 1960-</t>
  </si>
  <si>
    <t>Staplehurst : Spellmount, 2003.</t>
  </si>
  <si>
    <t>2019-09-19</t>
  </si>
  <si>
    <t>837391450:eng</t>
  </si>
  <si>
    <t>59287189</t>
  </si>
  <si>
    <t>ocm59287189</t>
  </si>
  <si>
    <t>3102342140V</t>
  </si>
  <si>
    <t>9781862272316</t>
  </si>
  <si>
    <t>793929150</t>
  </si>
  <si>
    <t>UA15.5 H37 1989</t>
  </si>
  <si>
    <t>0                      UA 0015500H  37          1989</t>
  </si>
  <si>
    <t>Bases abroad : the global foreign military presence / Robert E. Harkavy ; SIPRI, Stockholm International Peace Research Institute.</t>
  </si>
  <si>
    <t>Harkavy, Robert E.</t>
  </si>
  <si>
    <t>Oxford ; New York : Oxford University Press, 1989.</t>
  </si>
  <si>
    <t>2018-08-17</t>
  </si>
  <si>
    <t>836898439:eng</t>
  </si>
  <si>
    <t>19669724</t>
  </si>
  <si>
    <t>ocm19669724</t>
  </si>
  <si>
    <t>3102228290A</t>
  </si>
  <si>
    <t>9780198291312</t>
  </si>
  <si>
    <t>793065469</t>
  </si>
  <si>
    <t>UA16 M67 2005</t>
  </si>
  <si>
    <t>0                      UA 0016000M  67          2005</t>
  </si>
  <si>
    <t>Military missions and their implications reconsidered : the aftermath of September 11th / edited by Giuseppe Caforio, Gerhard Kümmel.</t>
  </si>
  <si>
    <t>Amsterdam ; Boston : Elsevier, 2005.</t>
  </si>
  <si>
    <t>Contributions to conflict management, peace economics and development ; v. 2</t>
  </si>
  <si>
    <t>329376647:eng</t>
  </si>
  <si>
    <t>62325070</t>
  </si>
  <si>
    <t>ocm62325070</t>
  </si>
  <si>
    <t>3103241066X</t>
  </si>
  <si>
    <t>9780444519603</t>
  </si>
  <si>
    <t>794104956</t>
  </si>
  <si>
    <t>UA17.5 C3 B8x</t>
  </si>
  <si>
    <t>0                      UA 0017500C  3                  B  8x</t>
  </si>
  <si>
    <t>Manpower in the Canadian Army, 1939-1945. With a foreword by C.G. Power.</t>
  </si>
  <si>
    <t>Burns, E. L. M. (Eedson Louis Millard), 1897-1985.</t>
  </si>
  <si>
    <t>Toronto, Clarke, Irwin, 1956.</t>
  </si>
  <si>
    <t>1956</t>
  </si>
  <si>
    <t>1746160:eng</t>
  </si>
  <si>
    <t>728438</t>
  </si>
  <si>
    <t>ocm00728438</t>
  </si>
  <si>
    <t>30005550603</t>
  </si>
  <si>
    <t>791456517</t>
  </si>
  <si>
    <t>2009-08-28</t>
  </si>
  <si>
    <t>3101240887M</t>
  </si>
  <si>
    <t>791456518</t>
  </si>
  <si>
    <t>UA17.5 I4 K65 1990</t>
  </si>
  <si>
    <t>0                      UA 0017500I  4                  K  65          1990</t>
  </si>
  <si>
    <t>Naukar, Rajput, and sepoy : the ethnohistory of the military labour market in Hindustan, 1450-1850 / Dirk H.A. Kolff.</t>
  </si>
  <si>
    <t>Kolff, D. H. A., 1938-</t>
  </si>
  <si>
    <t>University of Cambridge oriental publications ; no. 43</t>
  </si>
  <si>
    <t>795527138:eng</t>
  </si>
  <si>
    <t>19778652</t>
  </si>
  <si>
    <t>ocm19778652</t>
  </si>
  <si>
    <t>3100485866C</t>
  </si>
  <si>
    <t>9780521381321</t>
  </si>
  <si>
    <t>793068620</t>
  </si>
  <si>
    <t>UA17.5 U5 B35 2013</t>
  </si>
  <si>
    <t>0                      UA 0017500U  5                  B  35          2013</t>
  </si>
  <si>
    <t>Measuring army deployments to Iraq and Afghanistan / Dave Baiocchi.</t>
  </si>
  <si>
    <t>Baiocchi, Dave.</t>
  </si>
  <si>
    <t>[Santa Monica, Calif.] : RAND Corporation, ©2013.</t>
  </si>
  <si>
    <t>1219489724:eng</t>
  </si>
  <si>
    <t>839397674</t>
  </si>
  <si>
    <t>ocn839397674</t>
  </si>
  <si>
    <t>3103141548S</t>
  </si>
  <si>
    <t>9780833078681</t>
  </si>
  <si>
    <t>794945681</t>
  </si>
  <si>
    <t>UA17.5 U5 P56 2012</t>
  </si>
  <si>
    <t>0                      UA 0017500U  5                  P  56          2012</t>
  </si>
  <si>
    <t>Employer partnership program analysis of alternatives / Ellen M. Pint, Amy Richardson, Bryan W. Hallmark, Scott Epstein, Albert L. Benson, Jr.</t>
  </si>
  <si>
    <t>Pint, Ellen M. (Ellen Marie), 1960-</t>
  </si>
  <si>
    <t>Santa Monica, CA : RAND ARROYO CENTER, 2012.</t>
  </si>
  <si>
    <t>Technical report ; TR-1005-A</t>
  </si>
  <si>
    <t>1178521682:eng</t>
  </si>
  <si>
    <t>816499183</t>
  </si>
  <si>
    <t>ocn816499183</t>
  </si>
  <si>
    <t>3103141581K</t>
  </si>
  <si>
    <t>9780833058928</t>
  </si>
  <si>
    <t>794933127</t>
  </si>
  <si>
    <t>UA21 H39 1989</t>
  </si>
  <si>
    <t>0                      UA 0021000H  39          1989</t>
  </si>
  <si>
    <t>Hemispheric security and U.S. Policy in Latin America / edited by Augusto Varas.</t>
  </si>
  <si>
    <t>Boulder : Westview Press, 1989.</t>
  </si>
  <si>
    <t>Westview special studies on Latin America and the Caribbean</t>
  </si>
  <si>
    <t>11634291:eng</t>
  </si>
  <si>
    <t>15793921</t>
  </si>
  <si>
    <t>ocm15793921</t>
  </si>
  <si>
    <t>31002140339</t>
  </si>
  <si>
    <t>9780813374420</t>
  </si>
  <si>
    <t>792943191</t>
  </si>
  <si>
    <t>UA22 E87 2018</t>
  </si>
  <si>
    <t>0                      UA 0022000E  87          2018</t>
  </si>
  <si>
    <t>Armies of early colonial North America 1607-1713 : history, organization and uniforms / by Gabriele Esposito.</t>
  </si>
  <si>
    <t>Esposito, Gabriele, author.</t>
  </si>
  <si>
    <t>Barnsley, South Yorkshire : Pen &amp; Sword Military, an imprint of Pen &amp; Sword Books Ltd, 2018.</t>
  </si>
  <si>
    <t>5103377689:eng</t>
  </si>
  <si>
    <t>991095840</t>
  </si>
  <si>
    <t>ocn991095840</t>
  </si>
  <si>
    <t>3103704353C</t>
  </si>
  <si>
    <t>9781526725219</t>
  </si>
  <si>
    <t>795037941</t>
  </si>
  <si>
    <t>UA22 S56 2010</t>
  </si>
  <si>
    <t>0                      UA 0022000S  56          2010</t>
  </si>
  <si>
    <t>Security and defence in the terrorist era : Canada and the United States homeland / Elinor C. Sloan.</t>
  </si>
  <si>
    <t>Sloan, Elinor C. (Elinor Camille), 1965-</t>
  </si>
  <si>
    <t>Montréal : McGill-Queen's University Press, ©2010.</t>
  </si>
  <si>
    <t>2014-01-19</t>
  </si>
  <si>
    <t>3770130285:eng</t>
  </si>
  <si>
    <t>465565901</t>
  </si>
  <si>
    <t>ocn465565901</t>
  </si>
  <si>
    <t>3103072978Y</t>
  </si>
  <si>
    <t>9780773536791</t>
  </si>
  <si>
    <t>794793997</t>
  </si>
  <si>
    <t>UA23 A4122 1977</t>
  </si>
  <si>
    <t>0                      UA 0023000A  4122        1977</t>
  </si>
  <si>
    <t>American defense policy / edited by John E. Endicott, Roy W. Stafford, Jr.</t>
  </si>
  <si>
    <t>United States Air Force Academy. Department of Political Science.</t>
  </si>
  <si>
    <t>Baltimore : Johns Hopkins University Press, 1977.</t>
  </si>
  <si>
    <t>4th ed.</t>
  </si>
  <si>
    <t>2015-10-08</t>
  </si>
  <si>
    <t>2517151122:eng</t>
  </si>
  <si>
    <t>2797842</t>
  </si>
  <si>
    <t>ocm02797842</t>
  </si>
  <si>
    <t>3000454141F</t>
  </si>
  <si>
    <t>9780801819605</t>
  </si>
  <si>
    <t>792177517</t>
  </si>
  <si>
    <t>UA23 A5235 2006</t>
  </si>
  <si>
    <t>0                      UA 0023000A  5235        2006</t>
  </si>
  <si>
    <t>Eisenhower's fine group of fellows : crafting a national security policy to uphold the great equation / Valerie L. Adams.</t>
  </si>
  <si>
    <t>Adams, Valerie L., 1970-</t>
  </si>
  <si>
    <t>Lanham, MD : Lexington Books, ©2006.</t>
  </si>
  <si>
    <t>1355820085:eng</t>
  </si>
  <si>
    <t>65521485</t>
  </si>
  <si>
    <t>ocm65521485</t>
  </si>
  <si>
    <t>3102632799R</t>
  </si>
  <si>
    <t>9780739109588</t>
  </si>
  <si>
    <t>794134978</t>
  </si>
  <si>
    <t>UA23 A57</t>
  </si>
  <si>
    <t>0                      UA 0023000A  57</t>
  </si>
  <si>
    <t>American defense policy from Eisenhower to Kennedy : the politics of changing military requirements, 1957-1961 / Richard A. Aliano.</t>
  </si>
  <si>
    <t>Aliano, Richard A.</t>
  </si>
  <si>
    <t>Athens : Ohio University Press, ©1975.</t>
  </si>
  <si>
    <t>2018-11-17</t>
  </si>
  <si>
    <t>2608524:eng</t>
  </si>
  <si>
    <t>1855984</t>
  </si>
  <si>
    <t>ocm01855984</t>
  </si>
  <si>
    <t>3000427398I</t>
  </si>
  <si>
    <t>9780821401811</t>
  </si>
  <si>
    <t>792000287</t>
  </si>
  <si>
    <t>UA23 A598 1993</t>
  </si>
  <si>
    <t>0                      UA 0023000A  598         1993</t>
  </si>
  <si>
    <t>American Cold War strategy : interpreting NSC 68 / edited with an introduction by Ernest R. May.</t>
  </si>
  <si>
    <t>Boston : Bedford Books of St. Martin's Press, ©1993.</t>
  </si>
  <si>
    <t>Bedford books in American history</t>
  </si>
  <si>
    <t>865047452:eng</t>
  </si>
  <si>
    <t>27227037</t>
  </si>
  <si>
    <t>ocm27227037</t>
  </si>
  <si>
    <t>3101226625Y</t>
  </si>
  <si>
    <t>9780312094454</t>
  </si>
  <si>
    <t>793262472</t>
  </si>
  <si>
    <t>UA23 A663527 2000</t>
  </si>
  <si>
    <t>0                      UA 0023000A  663527      2000</t>
  </si>
  <si>
    <t>America's strategic choices / edited by Michael E. Brown [and others].</t>
  </si>
  <si>
    <t>Cambridge, Mass. : MIT Press, 2000.</t>
  </si>
  <si>
    <t>411480287:eng</t>
  </si>
  <si>
    <t>42849749</t>
  </si>
  <si>
    <t>ocm42849749</t>
  </si>
  <si>
    <t>3102574551J</t>
  </si>
  <si>
    <t>9780262522748</t>
  </si>
  <si>
    <t>793615889</t>
  </si>
  <si>
    <t>UA23 A697</t>
  </si>
  <si>
    <t>0                      UA 0023000A  697</t>
  </si>
  <si>
    <t>The politics of weapons innovation : the Thor-Jupiter controversy / by Michael H. Armacost.</t>
  </si>
  <si>
    <t>Armacost, Michael H.</t>
  </si>
  <si>
    <t>New York : Columbia University Press, 1969.</t>
  </si>
  <si>
    <t>1146836:eng</t>
  </si>
  <si>
    <t>24620</t>
  </si>
  <si>
    <t>ocm00024620</t>
  </si>
  <si>
    <t>3103705945J</t>
  </si>
  <si>
    <t>9780231032063</t>
  </si>
  <si>
    <t>791232298</t>
  </si>
  <si>
    <t>UA23 A836 2010</t>
  </si>
  <si>
    <t>0                      UA 0023000A  836         2010</t>
  </si>
  <si>
    <t>U.S. military intervention in the post-Cold War era : how to win America's wars in the twenty-first century / Glenn J. Antizzo.</t>
  </si>
  <si>
    <t>Antizzo, Glenn J.</t>
  </si>
  <si>
    <t>Baton Rouge : Louisiana State University Press, ©2010.</t>
  </si>
  <si>
    <t>Political traditions in foreign policy series</t>
  </si>
  <si>
    <t>796330431:eng</t>
  </si>
  <si>
    <t>460061388</t>
  </si>
  <si>
    <t>ocn460061388</t>
  </si>
  <si>
    <t>3103239014G</t>
  </si>
  <si>
    <t>9780807136423</t>
  </si>
  <si>
    <t>794791001</t>
  </si>
  <si>
    <t>UA23 B14 2005</t>
  </si>
  <si>
    <t>0                      UA 0023000B  14          2005</t>
  </si>
  <si>
    <t>The new American militarism : how Americans are seduced by war / Andrew J. Bacevich.</t>
  </si>
  <si>
    <t>Bacevich, Andrew J.</t>
  </si>
  <si>
    <t>New York : Oxford University Press, 2005.</t>
  </si>
  <si>
    <t>2016-09-03</t>
  </si>
  <si>
    <t>131929928:eng</t>
  </si>
  <si>
    <t>56657649</t>
  </si>
  <si>
    <t>ocm56657649</t>
  </si>
  <si>
    <t>31025470276</t>
  </si>
  <si>
    <t>9780195311983</t>
  </si>
  <si>
    <t>793898500</t>
  </si>
  <si>
    <t>UA23 B337 2004</t>
  </si>
  <si>
    <t>0                      UA 0023000B  337         2004</t>
  </si>
  <si>
    <t>The Pentagon's new map : war and peace in the twenty-first century / Thomas P.M. Barnett.</t>
  </si>
  <si>
    <t>Barnett, Thomas P. M.</t>
  </si>
  <si>
    <t>New York : G.P. Putnam's Sons, 2004.</t>
  </si>
  <si>
    <t>2016-04-19</t>
  </si>
  <si>
    <t>18781123:eng</t>
  </si>
  <si>
    <t>54001606</t>
  </si>
  <si>
    <t>ocm54001606</t>
  </si>
  <si>
    <t>31028061327</t>
  </si>
  <si>
    <t>9780399151750</t>
  </si>
  <si>
    <t>793855148</t>
  </si>
  <si>
    <t>UA23 B543 1990</t>
  </si>
  <si>
    <t>0                      UA 0023000B  543         1990</t>
  </si>
  <si>
    <t>The politics of national security : Congress and U.S. defense policy / Barry M. Blechman, with the assistance of W. Philip Ellis.</t>
  </si>
  <si>
    <t>Blechman, Barry M.</t>
  </si>
  <si>
    <t>800183297:eng</t>
  </si>
  <si>
    <t>20754232</t>
  </si>
  <si>
    <t>ocm20754232</t>
  </si>
  <si>
    <t>3100878194Z</t>
  </si>
  <si>
    <t>9780195064674</t>
  </si>
  <si>
    <t>793097501</t>
  </si>
  <si>
    <t>UA23 B728</t>
  </si>
  <si>
    <t>0                      UA 0023000B  728</t>
  </si>
  <si>
    <t>The missile gap: a study of the formulation of military and political policy [by] Edgar M. Bottome.</t>
  </si>
  <si>
    <t>Bottome, Edgar M.</t>
  </si>
  <si>
    <t>Rutherford, Fairleigh Dickinson University Press [1971]</t>
  </si>
  <si>
    <t>304736066:eng</t>
  </si>
  <si>
    <t>138656</t>
  </si>
  <si>
    <t>ocm00138656</t>
  </si>
  <si>
    <t>3000560927L</t>
  </si>
  <si>
    <t>9780838677346</t>
  </si>
  <si>
    <t>791269195</t>
  </si>
  <si>
    <t>UA23 B7845 1983</t>
  </si>
  <si>
    <t>0                      UA 0023000B  7845        1983</t>
  </si>
  <si>
    <t>Thinking about national security : defense and foreign policy in a dangerous world / Harold Brown.</t>
  </si>
  <si>
    <t>Brown, Harold, 1927-2019.</t>
  </si>
  <si>
    <t>Boulder, Colo. : Westview Press ; New York : Distributed by Hearst Books, 1983.</t>
  </si>
  <si>
    <t>4896985:eng</t>
  </si>
  <si>
    <t>9110373</t>
  </si>
  <si>
    <t>ocm09110373</t>
  </si>
  <si>
    <t>30003474322</t>
  </si>
  <si>
    <t>9780865315488</t>
  </si>
  <si>
    <t>792657526</t>
  </si>
  <si>
    <t>UA23 B787 1988</t>
  </si>
  <si>
    <t>0                      UA 0023000B  787         1988</t>
  </si>
  <si>
    <t>Bureaucratic politics and national security : theory and practice / edited by David C. Kozak and James M. Keagle.</t>
  </si>
  <si>
    <t>Boulder, Colo. : L. Rienner Publishers, 1988.</t>
  </si>
  <si>
    <t>836728739:eng</t>
  </si>
  <si>
    <t>16832716</t>
  </si>
  <si>
    <t>ocm16832716</t>
  </si>
  <si>
    <t>3000639865K</t>
  </si>
  <si>
    <t>9780931477911</t>
  </si>
  <si>
    <t>792974308</t>
  </si>
  <si>
    <t>UA23 B96 2002</t>
  </si>
  <si>
    <t>0                      UA 0023000B  96          2002</t>
  </si>
  <si>
    <t>The dynamics of coercion : American foreign policy and the limits of military might / Daniel Byman, Matthew Waxman.</t>
  </si>
  <si>
    <t>Byman, Daniel, 1967-</t>
  </si>
  <si>
    <t>New York : Cambridge University Press, 2002.</t>
  </si>
  <si>
    <t>RAND studies in policy analysis</t>
  </si>
  <si>
    <t>9552560:eng</t>
  </si>
  <si>
    <t>48383440</t>
  </si>
  <si>
    <t>ocm48383440</t>
  </si>
  <si>
    <t>3102494294G</t>
  </si>
  <si>
    <t>9780521809917</t>
  </si>
  <si>
    <t>793719847</t>
  </si>
  <si>
    <t>UA23 C274 2006</t>
  </si>
  <si>
    <t>0                      UA 0023000C  274         2006</t>
  </si>
  <si>
    <t>House of war : the Pentagon and the disastrous rise of American power / James Carroll.</t>
  </si>
  <si>
    <t>Carroll, James, 1943-</t>
  </si>
  <si>
    <t>Boston : Houghton Mifflin Co., 2006.</t>
  </si>
  <si>
    <t>2017-11-01</t>
  </si>
  <si>
    <t>50636930:eng</t>
  </si>
  <si>
    <t>61353007</t>
  </si>
  <si>
    <t>ocm61353007</t>
  </si>
  <si>
    <t>3102598614Z</t>
  </si>
  <si>
    <t>9780618187805</t>
  </si>
  <si>
    <t>793951535</t>
  </si>
  <si>
    <t>UA23 C44 2014</t>
  </si>
  <si>
    <t>0                      UA 0023000C  44          2014</t>
  </si>
  <si>
    <t>Challenges in U.S. national security policy : a festschrift honoring Edward L. (Ted) Warner / David Ochmanek, Michael Sulmeyer, editors ; James M. Acton [and others], contributors.</t>
  </si>
  <si>
    <t>Santa Monica, CA : Rand Corporation, ©2014.</t>
  </si>
  <si>
    <t>1882333155:eng</t>
  </si>
  <si>
    <t>879324301</t>
  </si>
  <si>
    <t>ocn879324301</t>
  </si>
  <si>
    <t>3103564554H</t>
  </si>
  <si>
    <t>9780833084569</t>
  </si>
  <si>
    <t>794971931</t>
  </si>
  <si>
    <t>UA23 C518 2002</t>
  </si>
  <si>
    <t>0                      UA 0023000C  518         2002</t>
  </si>
  <si>
    <t>Meiguo de an quan zhan lüe yu dong Ya : Meiguo zhu ming guo ji zhan lüe zhuan jia fang tan lu / Chen zhou.</t>
  </si>
  <si>
    <t>Chen, Zhou, 1953-</t>
  </si>
  <si>
    <t>Beijing : Shi jie zhi shi chu ban she : Xin hua shu dian jing xiao, 2002.</t>
  </si>
  <si>
    <t>478438107:chi</t>
  </si>
  <si>
    <t>51920831</t>
  </si>
  <si>
    <t>ocm51920831</t>
  </si>
  <si>
    <t>31023403280</t>
  </si>
  <si>
    <t>9787501216840</t>
  </si>
  <si>
    <t>793794186</t>
  </si>
  <si>
    <t>UA23 C559 1989</t>
  </si>
  <si>
    <t>0                      UA 0023000C  559         1989</t>
  </si>
  <si>
    <t>American defense and foreign policy institutions : toward a sound foundation / Duncan L. Clarke.</t>
  </si>
  <si>
    <t>Clarke, Duncan L.</t>
  </si>
  <si>
    <t>New York : Harper &amp; Row, Ballinger Division, ©1989.</t>
  </si>
  <si>
    <t>21902183:eng</t>
  </si>
  <si>
    <t>19395576</t>
  </si>
  <si>
    <t>ocm19395576</t>
  </si>
  <si>
    <t>3100227932S</t>
  </si>
  <si>
    <t>9780887302923</t>
  </si>
  <si>
    <t>793056450</t>
  </si>
  <si>
    <t>UA23 C63</t>
  </si>
  <si>
    <t>0                      UA 0023000C  63</t>
  </si>
  <si>
    <t>American and Soviet military trends since the Cuban missile crisis / by John M. Collins ; Douglas D. Mitchell, research assistant ; with a special introduction by John B. Breckinridge.</t>
  </si>
  <si>
    <t>Collins, John M., 1921-2018.</t>
  </si>
  <si>
    <t>Washington, D.C. : Center for Strategic and International Studies, Georgetown University ; [New Brunswick, NJ] : Distributed by Transaction Books, ©1978.</t>
  </si>
  <si>
    <t>1043712087:eng</t>
  </si>
  <si>
    <t>3958385</t>
  </si>
  <si>
    <t>ocm03958385</t>
  </si>
  <si>
    <t>3000445508Z</t>
  </si>
  <si>
    <t>9780892060030</t>
  </si>
  <si>
    <t>792308607</t>
  </si>
  <si>
    <t>UA23 C673 1963</t>
  </si>
  <si>
    <t>0                      UA 0023000C  673         1963</t>
  </si>
  <si>
    <t>The warfare state / Fred J. Cook ; with a foreword by Bertrand Russell.</t>
  </si>
  <si>
    <t>Cook, Fred J.</t>
  </si>
  <si>
    <t>London : J. Cape, [1963]</t>
  </si>
  <si>
    <t>1444344:eng</t>
  </si>
  <si>
    <t>10484992</t>
  </si>
  <si>
    <t>ocm10484992</t>
  </si>
  <si>
    <t>30002510704</t>
  </si>
  <si>
    <t>792728650</t>
  </si>
  <si>
    <t>UA23 D2753 2010</t>
  </si>
  <si>
    <t>0                      UA 0023000D  2753        2010</t>
  </si>
  <si>
    <t>Lifting the fog of peace : how Americans learned to fight modern war / Janine Davidson.</t>
  </si>
  <si>
    <t>Davidson, Janine.</t>
  </si>
  <si>
    <t>Ann Arbor : University of Michigan Press, ©2010.</t>
  </si>
  <si>
    <t>2010-12-03</t>
  </si>
  <si>
    <t>796577889:eng</t>
  </si>
  <si>
    <t>540644065</t>
  </si>
  <si>
    <t>ocn540644065</t>
  </si>
  <si>
    <t>31032276219</t>
  </si>
  <si>
    <t>9780472117352</t>
  </si>
  <si>
    <t>794810679</t>
  </si>
  <si>
    <t>UA23 D2877 2012</t>
  </si>
  <si>
    <t>0                      UA 0023000D  2877        2012</t>
  </si>
  <si>
    <t>Lessons from RAND's work on planning under uncertainty for national security / Paul K. Davis.</t>
  </si>
  <si>
    <t>Santa Monica, Calif. : RAND, ©2012.</t>
  </si>
  <si>
    <t>Technical report ; TR-1249-OSD</t>
  </si>
  <si>
    <t>1126095969:eng</t>
  </si>
  <si>
    <t>800447822</t>
  </si>
  <si>
    <t>ocn800447822</t>
  </si>
  <si>
    <t>31034785630</t>
  </si>
  <si>
    <t>9780833076618</t>
  </si>
  <si>
    <t>794924574</t>
  </si>
  <si>
    <t>UA23 D596 1996</t>
  </si>
  <si>
    <t>0                      UA 0023000D  596         1996</t>
  </si>
  <si>
    <t>Eisenhower's new-look national security policy, 1953-61 / Saki Dockrill.</t>
  </si>
  <si>
    <t>Dockrill, Saki.</t>
  </si>
  <si>
    <t>Houndmills, Basingstoke, Hampshire : Macmillan Press ; New York : St. Martin's Press, 1996.</t>
  </si>
  <si>
    <t>2017-11-14</t>
  </si>
  <si>
    <t>39441100:eng</t>
  </si>
  <si>
    <t>34321108</t>
  </si>
  <si>
    <t>ocm34321108</t>
  </si>
  <si>
    <t>3101703186Q</t>
  </si>
  <si>
    <t>9780333656556</t>
  </si>
  <si>
    <t>793424209</t>
  </si>
  <si>
    <t>UA23 D6923 2014</t>
  </si>
  <si>
    <t>0                      UA 0023000D  6923        2014</t>
  </si>
  <si>
    <t>Military decision-making processes : case studies involving the preparation, commitment, application and withdrawal of force / Kevin Dougherty.</t>
  </si>
  <si>
    <t>Dougherty, Kevin.</t>
  </si>
  <si>
    <t>Jefferson, North Carolina : McFarland &amp; Company, Inc., Publishers, [2014]</t>
  </si>
  <si>
    <t>1390432879:eng</t>
  </si>
  <si>
    <t>857898100</t>
  </si>
  <si>
    <t>ocn857898100</t>
  </si>
  <si>
    <t>3103528826I</t>
  </si>
  <si>
    <t>9780786477982</t>
  </si>
  <si>
    <t>794955544</t>
  </si>
  <si>
    <t>UA23 E45 2017</t>
  </si>
  <si>
    <t>0                      UA 0023000E  45          2017</t>
  </si>
  <si>
    <t>The doomsday machine : confessions of a nuclear war planner / Daniel Ellsberg.</t>
  </si>
  <si>
    <t>Ellsberg, Daniel, author.</t>
  </si>
  <si>
    <t>New York : Bloomsbury, 2017.</t>
  </si>
  <si>
    <t>2019-08-18</t>
  </si>
  <si>
    <t>2504959148:eng</t>
  </si>
  <si>
    <t>1012402660</t>
  </si>
  <si>
    <t>on1012402660</t>
  </si>
  <si>
    <t>3103740757L</t>
  </si>
  <si>
    <t>9781608196708</t>
  </si>
  <si>
    <t>795046389</t>
  </si>
  <si>
    <t>UA23 F788 2008</t>
  </si>
  <si>
    <t>0                      UA 0023000F  788         2008</t>
  </si>
  <si>
    <t>War stars : the superweapon and the American imagination / H. Bruce Franklin.</t>
  </si>
  <si>
    <t>Franklin, H. Bruce (Howard Bruce), 1934-</t>
  </si>
  <si>
    <t>Amherst : University of Massachusetts Press, 2008.</t>
  </si>
  <si>
    <t>Rev. and expanded ed.</t>
  </si>
  <si>
    <t>2017-10-23</t>
  </si>
  <si>
    <t>117232312:eng</t>
  </si>
  <si>
    <t>189699461</t>
  </si>
  <si>
    <t>ocn189699461</t>
  </si>
  <si>
    <t>3102970815A</t>
  </si>
  <si>
    <t>9781558496514</t>
  </si>
  <si>
    <t>794295235</t>
  </si>
  <si>
    <t>UA23 F813 2014</t>
  </si>
  <si>
    <t>0                      UA 0023000F  813         2014</t>
  </si>
  <si>
    <t>Beyond air-sea battle : the debate over US military strategy in Asia / Aaron L. Friedberg.</t>
  </si>
  <si>
    <t>Friedberg, Aaron L., 1956-</t>
  </si>
  <si>
    <t>Abingdon, Oxon : Routledge, 2014.</t>
  </si>
  <si>
    <t>Adelphi series ; 444</t>
  </si>
  <si>
    <t>1922643461:eng</t>
  </si>
  <si>
    <t>880242728</t>
  </si>
  <si>
    <t>ocn880242728</t>
  </si>
  <si>
    <t>3103657689F</t>
  </si>
  <si>
    <t>9781138808324</t>
  </si>
  <si>
    <t>794972784</t>
  </si>
  <si>
    <t>UA23 G19 1985</t>
  </si>
  <si>
    <t>0                      UA 0023000G  19          1985</t>
  </si>
  <si>
    <t>Military incompetence : why the American military doesn't win / Richard A. Gabriel.</t>
  </si>
  <si>
    <t>Gabriel, Richard A.</t>
  </si>
  <si>
    <t>New York : Hill and Wang, 1985.</t>
  </si>
  <si>
    <t>2016-06-14</t>
  </si>
  <si>
    <t>913429880:eng</t>
  </si>
  <si>
    <t>12162052</t>
  </si>
  <si>
    <t>ocm12162052</t>
  </si>
  <si>
    <t>3000381503B</t>
  </si>
  <si>
    <t>9780809069286</t>
  </si>
  <si>
    <t>792804307</t>
  </si>
  <si>
    <t>UA23 G7786 1988</t>
  </si>
  <si>
    <t>0                      UA 0023000G  7786        1988</t>
  </si>
  <si>
    <t>The geopolitics of super power / Colin S. Gray.</t>
  </si>
  <si>
    <t>Lexington, Ky. : University Press of Kentucky, ©1988.</t>
  </si>
  <si>
    <t>13072653:eng</t>
  </si>
  <si>
    <t>16950456</t>
  </si>
  <si>
    <t>ocm16950456</t>
  </si>
  <si>
    <t>3000538262P</t>
  </si>
  <si>
    <t>9780813116273</t>
  </si>
  <si>
    <t>792978567</t>
  </si>
  <si>
    <t>UA23 H357</t>
  </si>
  <si>
    <t>0                      UA 0023000H  357</t>
  </si>
  <si>
    <t>National security policy-making : analyses, cases, and proposals / Morton H. Halperin.</t>
  </si>
  <si>
    <t>Halperin, Morton H.</t>
  </si>
  <si>
    <t>Lexington, Mass. : Lexington Books, [1975]</t>
  </si>
  <si>
    <t>836694467:eng</t>
  </si>
  <si>
    <t>1129995</t>
  </si>
  <si>
    <t>ocm01129995</t>
  </si>
  <si>
    <t>3000404923F</t>
  </si>
  <si>
    <t>9780669965780</t>
  </si>
  <si>
    <t>791553564</t>
  </si>
  <si>
    <t>UA23 H365 1986</t>
  </si>
  <si>
    <t>0                      UA 0023000H  365         1986</t>
  </si>
  <si>
    <t>America can win : the case for military reform / Gary Hart with William S. Lind.</t>
  </si>
  <si>
    <t>Hart, Gary, 1936-</t>
  </si>
  <si>
    <t>Bethesda, Md. : Adler &amp; Adler, ©1986.</t>
  </si>
  <si>
    <t>4936449:eng</t>
  </si>
  <si>
    <t>12215155</t>
  </si>
  <si>
    <t>ocm12215155</t>
  </si>
  <si>
    <t>3103742518T</t>
  </si>
  <si>
    <t>9780917561108</t>
  </si>
  <si>
    <t>792806184</t>
  </si>
  <si>
    <t>UA23 H45 1985</t>
  </si>
  <si>
    <t>0                      UA 0023000H  45          1985</t>
  </si>
  <si>
    <t>Counsels of war / Gregg Herken.</t>
  </si>
  <si>
    <t>Herken, Gregg, 1947-</t>
  </si>
  <si>
    <t>New York : Knopf : Distributed by Random House, 1985.</t>
  </si>
  <si>
    <t>4090074:eng</t>
  </si>
  <si>
    <t>11090858</t>
  </si>
  <si>
    <t>ocm11090858</t>
  </si>
  <si>
    <t>3103678425W</t>
  </si>
  <si>
    <t>9780394527352</t>
  </si>
  <si>
    <t>792757608</t>
  </si>
  <si>
    <t>UA23 H49</t>
  </si>
  <si>
    <t>0                      UA 0023000H  49</t>
  </si>
  <si>
    <t>The military and American society. [Compiled by] Martin B. Hickman.</t>
  </si>
  <si>
    <t>Hickman, Martin B. (Martin Berkeley), 1925-1991, compiler.</t>
  </si>
  <si>
    <t>Beverly Hills, Calif., Glencoe Press [1971]</t>
  </si>
  <si>
    <t>Glencoe Press insight series</t>
  </si>
  <si>
    <t>1504041:eng</t>
  </si>
  <si>
    <t>298345</t>
  </si>
  <si>
    <t>ocm00298345</t>
  </si>
  <si>
    <t>30005755632</t>
  </si>
  <si>
    <t>9780024747907</t>
  </si>
  <si>
    <t>791328382</t>
  </si>
  <si>
    <t>UA23 H94</t>
  </si>
  <si>
    <t>0                      UA 0023000H  94</t>
  </si>
  <si>
    <t>The common defense : strategic programs in national politics / by Samuel P. Huntington.</t>
  </si>
  <si>
    <t>Huntington, Samuel P.</t>
  </si>
  <si>
    <t>New York : Columbia University Press, 1961.</t>
  </si>
  <si>
    <t>2003-03-11</t>
  </si>
  <si>
    <t>1665027:eng</t>
  </si>
  <si>
    <t>569270</t>
  </si>
  <si>
    <t>ocm00569270</t>
  </si>
  <si>
    <t>3000519228W</t>
  </si>
  <si>
    <t>791417184</t>
  </si>
  <si>
    <t>3000238476R</t>
  </si>
  <si>
    <t>791417183</t>
  </si>
  <si>
    <t>UA23 H95</t>
  </si>
  <si>
    <t>0                      UA 0023000H  95</t>
  </si>
  <si>
    <t>The soldier and the state : the theory and politics of civil-military relations / Samuel P. Huntington.</t>
  </si>
  <si>
    <t>Cambridge : Belknap Press of Harvard University Press, 1957.</t>
  </si>
  <si>
    <t>2013-07-23</t>
  </si>
  <si>
    <t>2018-01-26</t>
  </si>
  <si>
    <t>576932:eng</t>
  </si>
  <si>
    <t>569431</t>
  </si>
  <si>
    <t>ocm00569431</t>
  </si>
  <si>
    <t>3102810440F</t>
  </si>
  <si>
    <t>9780674817364</t>
  </si>
  <si>
    <t>791417236</t>
  </si>
  <si>
    <t>3000251064$</t>
  </si>
  <si>
    <t>791417235</t>
  </si>
  <si>
    <t>3103037207W</t>
  </si>
  <si>
    <t>791417237</t>
  </si>
  <si>
    <t>2015-10-12</t>
  </si>
  <si>
    <t>3000251066W</t>
  </si>
  <si>
    <t>791417238</t>
  </si>
  <si>
    <t>UA23 I34 2005</t>
  </si>
  <si>
    <t>0                      UA 0023000I  34          2005</t>
  </si>
  <si>
    <t>In democracy's shadow : the secret world of national security / edited by Marcus G. Raskin and A. Carl LeVan.</t>
  </si>
  <si>
    <t>New York : Nation Books, ©2005.</t>
  </si>
  <si>
    <t>2016-03-10</t>
  </si>
  <si>
    <t>1960565:eng</t>
  </si>
  <si>
    <t>58654090</t>
  </si>
  <si>
    <t>ocm58654090</t>
  </si>
  <si>
    <t>3102580195Y</t>
  </si>
  <si>
    <t>9781560256960</t>
  </si>
  <si>
    <t>793923353</t>
  </si>
  <si>
    <t>UA23 I49 2008</t>
  </si>
  <si>
    <t>0                      UA 0023000I  49          2008</t>
  </si>
  <si>
    <t>Inside defense : understanding the U.S. military in the 21st century / edited by Derek S. Reveron and Judith Hicks Stiehm.</t>
  </si>
  <si>
    <t>New York : Palgrave Macmillan, 2008.</t>
  </si>
  <si>
    <t>2017-02-08</t>
  </si>
  <si>
    <t>890794594:eng</t>
  </si>
  <si>
    <t>186349146</t>
  </si>
  <si>
    <t>ocn186349146</t>
  </si>
  <si>
    <t>3102972835Z</t>
  </si>
  <si>
    <t>9780230602601</t>
  </si>
  <si>
    <t>794292659</t>
  </si>
  <si>
    <t>UA23 J5697 2004</t>
  </si>
  <si>
    <t>0                      UA 0023000J  5697        2004</t>
  </si>
  <si>
    <t>The sorrows of empire : militarism, secrecy, and the end of the Republic / Chalmers Johnson.</t>
  </si>
  <si>
    <t>Johnson, Chalmers, 1931-2010.</t>
  </si>
  <si>
    <t>New York : Metropolitan Books, 2004.</t>
  </si>
  <si>
    <t>American empire project.</t>
  </si>
  <si>
    <t>2018-03-21</t>
  </si>
  <si>
    <t>783633:eng</t>
  </si>
  <si>
    <t>52706072</t>
  </si>
  <si>
    <t>ocm52706072</t>
  </si>
  <si>
    <t>31029976605</t>
  </si>
  <si>
    <t>9780805070040</t>
  </si>
  <si>
    <t>793812225</t>
  </si>
  <si>
    <t>UA23 J66 2009</t>
  </si>
  <si>
    <t>0                      UA 0023000J  66          2009</t>
  </si>
  <si>
    <t>American national security / Amos A. Jordan [and others].</t>
  </si>
  <si>
    <t>Baltimore, Md. : Johns Hopkins University Press, ©2009.</t>
  </si>
  <si>
    <t>6th ed.</t>
  </si>
  <si>
    <t>2016-07-04</t>
  </si>
  <si>
    <t>836654722:eng</t>
  </si>
  <si>
    <t>232391920</t>
  </si>
  <si>
    <t>ocn232391920</t>
  </si>
  <si>
    <t>3103052577J</t>
  </si>
  <si>
    <t>9780801891533</t>
  </si>
  <si>
    <t>794363711</t>
  </si>
  <si>
    <t>UA23 K24 2006</t>
  </si>
  <si>
    <t>0                      UA 0023000K  24          2006</t>
  </si>
  <si>
    <t>Finding the target : the transformation of American military policy / Frederick W. Kagan.</t>
  </si>
  <si>
    <t>Kagan, Frederick W., 1970-</t>
  </si>
  <si>
    <t>New York : Encounter Books, 2006.</t>
  </si>
  <si>
    <t>2015-03-18</t>
  </si>
  <si>
    <t>288044743:eng</t>
  </si>
  <si>
    <t>67375072</t>
  </si>
  <si>
    <t>ocm67375072</t>
  </si>
  <si>
    <t>3102631331I</t>
  </si>
  <si>
    <t>9781594031502</t>
  </si>
  <si>
    <t>794140459</t>
  </si>
  <si>
    <t>UA23 K294 1987</t>
  </si>
  <si>
    <t>0                      UA 0023000K  294         1987</t>
  </si>
  <si>
    <t>To win a nuclear war : the Pentagon's secret war plans / by Michio Kaku and Daniel Axelrod.</t>
  </si>
  <si>
    <t>Kaku, Michio.</t>
  </si>
  <si>
    <t>Boston : South End Press, ©1987.</t>
  </si>
  <si>
    <t>2016-02-17</t>
  </si>
  <si>
    <t>7058304:eng</t>
  </si>
  <si>
    <t>14691711</t>
  </si>
  <si>
    <t>ocm14691711</t>
  </si>
  <si>
    <t>3103602650N</t>
  </si>
  <si>
    <t>9780896083226</t>
  </si>
  <si>
    <t>792898949</t>
  </si>
  <si>
    <t>UA23 K414 2011</t>
  </si>
  <si>
    <t>0                      UA 0023000K  414         2011</t>
  </si>
  <si>
    <t>Justifying America's wars : the conduct and practice of US military intervention / Nicholas Kerton-Johnson.</t>
  </si>
  <si>
    <t>Kerton-Johnson, Nicholas.</t>
  </si>
  <si>
    <t>London ; New York : Routledge, 2011.</t>
  </si>
  <si>
    <t>793476198:eng</t>
  </si>
  <si>
    <t>457164742</t>
  </si>
  <si>
    <t>ocn457164742</t>
  </si>
  <si>
    <t>31032311128</t>
  </si>
  <si>
    <t>9780415561686</t>
  </si>
  <si>
    <t>794790009</t>
  </si>
  <si>
    <t>UA23 K482</t>
  </si>
  <si>
    <t>0                      UA 0023000K  482</t>
  </si>
  <si>
    <t>President Eisenhower and strategy management : a study in defense politics / Douglas Kinnard.</t>
  </si>
  <si>
    <t>Kinnard, Douglas.</t>
  </si>
  <si>
    <t>Lexington : University Press of Kentucky, ©1977.</t>
  </si>
  <si>
    <t>9607768:eng</t>
  </si>
  <si>
    <t>3246381</t>
  </si>
  <si>
    <t>ocm03246381</t>
  </si>
  <si>
    <t>30004374899</t>
  </si>
  <si>
    <t>9780813113562</t>
  </si>
  <si>
    <t>792234483</t>
  </si>
  <si>
    <t>UA23 K482 1989</t>
  </si>
  <si>
    <t>0                      UA 0023000K  482         1989</t>
  </si>
  <si>
    <t>Washington : Pergamon-Brassey's, ©1989.</t>
  </si>
  <si>
    <t>An AUSA book</t>
  </si>
  <si>
    <t>19741777</t>
  </si>
  <si>
    <t>ocm19741777</t>
  </si>
  <si>
    <t>3103636055$</t>
  </si>
  <si>
    <t>9780080374345</t>
  </si>
  <si>
    <t>793067616</t>
  </si>
  <si>
    <t>UA23 K49</t>
  </si>
  <si>
    <t>0                      UA 0023000K  49</t>
  </si>
  <si>
    <t>Nuclear weapons and foreign policy / by Henry A. Kissinger ; Foreword by Gordon Dean.</t>
  </si>
  <si>
    <t>Kissinger, Henry, 1923-</t>
  </si>
  <si>
    <t>New York : Published for the Council on Foreign Relations by Harper, 1957.</t>
  </si>
  <si>
    <t>459363:eng</t>
  </si>
  <si>
    <t>1311276</t>
  </si>
  <si>
    <t>ocm01311276</t>
  </si>
  <si>
    <t>31028464699</t>
  </si>
  <si>
    <t>791597186</t>
  </si>
  <si>
    <t>3000440294G</t>
  </si>
  <si>
    <t>791597184</t>
  </si>
  <si>
    <t>UA23 K49 1969</t>
  </si>
  <si>
    <t>0                      UA 0023000K  49          1969</t>
  </si>
  <si>
    <t>Nuclear weapons and foreign policy / Henry A. Kissinger.</t>
  </si>
  <si>
    <t>New York : W.W. Norton, ©1969.</t>
  </si>
  <si>
    <t>Abridged ed.</t>
  </si>
  <si>
    <t>Books that live</t>
  </si>
  <si>
    <t>841162</t>
  </si>
  <si>
    <t>ocm00841162</t>
  </si>
  <si>
    <t>30001803981</t>
  </si>
  <si>
    <t>9780393004946</t>
  </si>
  <si>
    <t>791484010</t>
  </si>
  <si>
    <t>UA23 K627 1995</t>
  </si>
  <si>
    <t>0                      UA 0023000K  627         1995</t>
  </si>
  <si>
    <t>Rogue states and nuclear outlaws : America's search for a new foreign policy / Michael Klare.</t>
  </si>
  <si>
    <t>Klare, Michael T., 1942-</t>
  </si>
  <si>
    <t>New York : Hill and Wang, 1995.</t>
  </si>
  <si>
    <t>2017-11-24</t>
  </si>
  <si>
    <t>11041937:eng</t>
  </si>
  <si>
    <t>31753930</t>
  </si>
  <si>
    <t>ocm31753930</t>
  </si>
  <si>
    <t>3101485950F</t>
  </si>
  <si>
    <t>9780809082438</t>
  </si>
  <si>
    <t>793367189</t>
  </si>
  <si>
    <t>UA23 K628 1981</t>
  </si>
  <si>
    <t>0                      UA 0023000K  628         1981</t>
  </si>
  <si>
    <t>Supplying repression : U.S. support for authoritarian regimes abroad / Michael T. Klare, Cynthia Arnson with Delia Miller and Daniel Volman ; foreword by Richard Falk.</t>
  </si>
  <si>
    <t>Washington, D.C. : Institute for Policy Studies, [1981]</t>
  </si>
  <si>
    <t>Rev. 1st print.</t>
  </si>
  <si>
    <t>553779:eng</t>
  </si>
  <si>
    <t>7830656</t>
  </si>
  <si>
    <t>ocm07830656</t>
  </si>
  <si>
    <t>3103385891Z</t>
  </si>
  <si>
    <t>9780897580335</t>
  </si>
  <si>
    <t>792582101</t>
  </si>
  <si>
    <t>UA23 K63 1972</t>
  </si>
  <si>
    <t>0                      UA 0023000K  63          1972</t>
  </si>
  <si>
    <t>War without end: American planning for the next Vietnams, by Michael T. Klare.</t>
  </si>
  <si>
    <t>New York, Knopf, 1972.</t>
  </si>
  <si>
    <t>1382003:eng</t>
  </si>
  <si>
    <t>241589</t>
  </si>
  <si>
    <t>ocm00241589</t>
  </si>
  <si>
    <t>3000512463K</t>
  </si>
  <si>
    <t>9780394462141</t>
  </si>
  <si>
    <t>791306134</t>
  </si>
  <si>
    <t>UA23 K778 2011</t>
  </si>
  <si>
    <t>0                      UA 0023000K  778         2011</t>
  </si>
  <si>
    <t>U.S. Army doctrine : from the American Revolution to the War on Terror / Walter E. Kretchik.</t>
  </si>
  <si>
    <t>Kretchik, Walter E. (Walter Edward), 1954-</t>
  </si>
  <si>
    <t>Lawrence : University Press of Kansas, ©2011.</t>
  </si>
  <si>
    <t>2012-10-30</t>
  </si>
  <si>
    <t>1126490917:eng</t>
  </si>
  <si>
    <t>707842627</t>
  </si>
  <si>
    <t>ocn707842627</t>
  </si>
  <si>
    <t>31034082833</t>
  </si>
  <si>
    <t>9780700618064</t>
  </si>
  <si>
    <t>794868168</t>
  </si>
  <si>
    <t>UA23 L445 2007</t>
  </si>
  <si>
    <t>0                      UA 0023000L  445         2007</t>
  </si>
  <si>
    <t>Deterring international terrorism and rogue states : US national security policy after 9/11 / James H. Lebovic.</t>
  </si>
  <si>
    <t>Lebovic, James H.</t>
  </si>
  <si>
    <t>New York : Routledge, 2007.</t>
  </si>
  <si>
    <t>2017-11-28</t>
  </si>
  <si>
    <t>792614392:eng</t>
  </si>
  <si>
    <t>69331775</t>
  </si>
  <si>
    <t>ocm69331775</t>
  </si>
  <si>
    <t>31025937547</t>
  </si>
  <si>
    <t>9780415771436</t>
  </si>
  <si>
    <t>794145806</t>
  </si>
  <si>
    <t>UA23 L447 2010</t>
  </si>
  <si>
    <t>0                      UA 0023000L  447         2010</t>
  </si>
  <si>
    <t>The limits of U.S. military capability : lessons from Vietnam and Iraq / James H. Lebovic.</t>
  </si>
  <si>
    <t>Baltimore [Md.] : Johns Hopkins University Press, 2010.</t>
  </si>
  <si>
    <t>2014-01-14</t>
  </si>
  <si>
    <t>796326554:eng</t>
  </si>
  <si>
    <t>432442321</t>
  </si>
  <si>
    <t>ocn432442321</t>
  </si>
  <si>
    <t>3103240500Y</t>
  </si>
  <si>
    <t>9780801894725</t>
  </si>
  <si>
    <t>794781878</t>
  </si>
  <si>
    <t>UA23 L555 2011</t>
  </si>
  <si>
    <t>0                      UA 0023000L  555         2011</t>
  </si>
  <si>
    <t>Global demographic change and its implications for military power / Martin C. Libicki, Howard J. Shatz, Julie E. Taylor.</t>
  </si>
  <si>
    <t>905162805:eng</t>
  </si>
  <si>
    <t>727610583</t>
  </si>
  <si>
    <t>ocn727610583</t>
  </si>
  <si>
    <t>31035271492</t>
  </si>
  <si>
    <t>9780833051776</t>
  </si>
  <si>
    <t>794878231</t>
  </si>
  <si>
    <t>UA23 L695 1988</t>
  </si>
  <si>
    <t>0                      UA 0023000L  695         1988</t>
  </si>
  <si>
    <t>Low intensity warfare : counterinsurgency, proinsurgency, and antiterrorism in the eighties / Michael T. Klare, Peter Kornbluh, editors.</t>
  </si>
  <si>
    <t>New York : Pantheon Books, ©1988.</t>
  </si>
  <si>
    <t>892072791:eng</t>
  </si>
  <si>
    <t>16867686</t>
  </si>
  <si>
    <t>ocm16867686</t>
  </si>
  <si>
    <t>31027571909</t>
  </si>
  <si>
    <t>9780394555799</t>
  </si>
  <si>
    <t>792975443</t>
  </si>
  <si>
    <t>UA23 L7 1988</t>
  </si>
  <si>
    <t>0                      UA 0023000L  7           1988</t>
  </si>
  <si>
    <t>The presidency and the management of national security / Carnes Lord.</t>
  </si>
  <si>
    <t>Lord, Carnes.</t>
  </si>
  <si>
    <t>New York : Free Press ; London : Collier Macmillan, ©1988.</t>
  </si>
  <si>
    <t>17092179:eng</t>
  </si>
  <si>
    <t>18191622</t>
  </si>
  <si>
    <t>ocm18191622</t>
  </si>
  <si>
    <t>3103602528K</t>
  </si>
  <si>
    <t>9780029193419</t>
  </si>
  <si>
    <t>793017203</t>
  </si>
  <si>
    <t>UA23 L72 2004</t>
  </si>
  <si>
    <t>0                      UA 0023000L  72          2004</t>
  </si>
  <si>
    <t>Creating insecurity : realism, constructivism, and US security policy / Anthony D. Lott.</t>
  </si>
  <si>
    <t>Lott, Anthony D.</t>
  </si>
  <si>
    <t>Aldershot, Hants, England ; Burlington, VT : Ashgate, ©2004.</t>
  </si>
  <si>
    <t>Critical security series</t>
  </si>
  <si>
    <t>2018-04-05</t>
  </si>
  <si>
    <t>890758710:eng</t>
  </si>
  <si>
    <t>53462143</t>
  </si>
  <si>
    <t>ocm53462143</t>
  </si>
  <si>
    <t>3102485584A</t>
  </si>
  <si>
    <t>9780754638087</t>
  </si>
  <si>
    <t>793828893</t>
  </si>
  <si>
    <t>UA23 M17 2012</t>
  </si>
  <si>
    <t>0                      UA 0023000M  17          2012</t>
  </si>
  <si>
    <t>Drift : the unmooring of American military power / Rachel Maddow.</t>
  </si>
  <si>
    <t>Maddow, Rachel, author.</t>
  </si>
  <si>
    <t>New York : Crown, [2012]</t>
  </si>
  <si>
    <t>2012-12-10</t>
  </si>
  <si>
    <t>1083606926:eng</t>
  </si>
  <si>
    <t>765967335</t>
  </si>
  <si>
    <t>ocn765967335</t>
  </si>
  <si>
    <t>3103429452Q</t>
  </si>
  <si>
    <t>9780307460981</t>
  </si>
  <si>
    <t>794900770</t>
  </si>
  <si>
    <t>UA23 M19 2013</t>
  </si>
  <si>
    <t>0                      UA 0023000M  19          2013</t>
  </si>
  <si>
    <t>The way of the knife : the CIA, a secret army, and a war at the ends of the Earth / Mark Mazzetti.</t>
  </si>
  <si>
    <t>Mazzetti, Mark.</t>
  </si>
  <si>
    <t>New York : The Penguin Press, 2013.</t>
  </si>
  <si>
    <t>2016-05-05</t>
  </si>
  <si>
    <t>1379546101:eng</t>
  </si>
  <si>
    <t>829239596</t>
  </si>
  <si>
    <t>ocn829239596</t>
  </si>
  <si>
    <t>31035019736</t>
  </si>
  <si>
    <t>9781594204807</t>
  </si>
  <si>
    <t>794942217</t>
  </si>
  <si>
    <t>UA23 M25</t>
  </si>
  <si>
    <t>0                      UA 0023000M  25</t>
  </si>
  <si>
    <t>The essence of security; reflections in office [by] Robert S. McNamara.</t>
  </si>
  <si>
    <t>McNamara, Robert S., 1916-2009.</t>
  </si>
  <si>
    <t>New York, Harper &amp; Row [1968]</t>
  </si>
  <si>
    <t>311794607:eng</t>
  </si>
  <si>
    <t>175254</t>
  </si>
  <si>
    <t>ocm00175254</t>
  </si>
  <si>
    <t>3000555255P</t>
  </si>
  <si>
    <t>791281870</t>
  </si>
  <si>
    <t>UA23 M254 2014</t>
  </si>
  <si>
    <t>0                      UA 0023000M  254         2014</t>
  </si>
  <si>
    <t>Assessing security cooperation as a preventive tool / Michael J. McNerney, Angela O'Mahony, Thomas S. Szayna, Derek Eaton, Caroline Baxter, Colin P. Clarke, Emma Cutrufello, Michael McGee, Heather Peterson, Leslie Adrienne Payne, Calin Trenkov-Wermuth.</t>
  </si>
  <si>
    <t>McNerney, Michael J. (Michael Joseph), author.</t>
  </si>
  <si>
    <t>1785282662:eng</t>
  </si>
  <si>
    <t>870336355</t>
  </si>
  <si>
    <t>ocn870336355</t>
  </si>
  <si>
    <t>31035180456</t>
  </si>
  <si>
    <t>9780833081469</t>
  </si>
  <si>
    <t>794966421</t>
  </si>
  <si>
    <t>UA23 M277</t>
  </si>
  <si>
    <t>0                      UA 0023000M  277</t>
  </si>
  <si>
    <t>The nuclear question : the United States and nuclear weapons, 1946-1976 / Michael Mandelbaum.</t>
  </si>
  <si>
    <t>Mandelbaum, Michael.</t>
  </si>
  <si>
    <t>Cambridge ; New York : Cambridge University Press, 1979.</t>
  </si>
  <si>
    <t>2015-11-28</t>
  </si>
  <si>
    <t>504210:eng</t>
  </si>
  <si>
    <t>4638110</t>
  </si>
  <si>
    <t>ocm04638110</t>
  </si>
  <si>
    <t>3103871934W</t>
  </si>
  <si>
    <t>9780521226813</t>
  </si>
  <si>
    <t>792370192</t>
  </si>
  <si>
    <t>UA23 M28</t>
  </si>
  <si>
    <t>0                      UA 0023000M  28</t>
  </si>
  <si>
    <t>Defense, science, and public policy.</t>
  </si>
  <si>
    <t>Mansfield, Edwin.</t>
  </si>
  <si>
    <t>New York, Norton [1968]</t>
  </si>
  <si>
    <t>Problems of modern economy</t>
  </si>
  <si>
    <t>1557492:eng</t>
  </si>
  <si>
    <t>437099</t>
  </si>
  <si>
    <t>ocm00437099</t>
  </si>
  <si>
    <t>30005612625</t>
  </si>
  <si>
    <t>791378062</t>
  </si>
  <si>
    <t>UA23 M465 1988</t>
  </si>
  <si>
    <t>0                      UA 0023000M  465         1988</t>
  </si>
  <si>
    <t>Inside the National Security Council : the true story of the making and unmaking of Reagan's foreign policy / Constantine C. Menges.</t>
  </si>
  <si>
    <t>Menges, Constantine Christopher.</t>
  </si>
  <si>
    <t>New York : Simon and Schuster, ©1988.</t>
  </si>
  <si>
    <t>2015-09-30</t>
  </si>
  <si>
    <t>197073053:eng</t>
  </si>
  <si>
    <t>18105529</t>
  </si>
  <si>
    <t>ocm18105529</t>
  </si>
  <si>
    <t>3100175203D</t>
  </si>
  <si>
    <t>9780671649968</t>
  </si>
  <si>
    <t>793013867</t>
  </si>
  <si>
    <t>UA23 M5639 2010</t>
  </si>
  <si>
    <t>0                      UA 0023000M  5639        2010</t>
  </si>
  <si>
    <t>Stockpile : the story behind 10,000 strategic nuclear weapons / Jerry Miller.</t>
  </si>
  <si>
    <t>Miller, Jerry, 1919-2014.</t>
  </si>
  <si>
    <t>420232120:eng</t>
  </si>
  <si>
    <t>548555762</t>
  </si>
  <si>
    <t>ocn548555762</t>
  </si>
  <si>
    <t>31032287134</t>
  </si>
  <si>
    <t>9781591145318</t>
  </si>
  <si>
    <t>794811006</t>
  </si>
  <si>
    <t>UA23 M627 2013</t>
  </si>
  <si>
    <t>0                      UA 0023000M  627         2013</t>
  </si>
  <si>
    <t>Crisis stability and long-range strike : a comparative analysis of fighters, bombers, and missiles / Forrest E. Morgan.</t>
  </si>
  <si>
    <t>Morgan, Forrest E., author.</t>
  </si>
  <si>
    <t>Santa Monica, CA : RAND Corporation, 2013.</t>
  </si>
  <si>
    <t>1783348896:eng</t>
  </si>
  <si>
    <t>846490617</t>
  </si>
  <si>
    <t>ocn846490617</t>
  </si>
  <si>
    <t>3103518016C</t>
  </si>
  <si>
    <t>9780833078452</t>
  </si>
  <si>
    <t>794949097</t>
  </si>
  <si>
    <t>UA23 M67</t>
  </si>
  <si>
    <t>0                      UA 0023000M  67</t>
  </si>
  <si>
    <t>From superiority to parity; the United States and the strategic arms race, 1961-1971 [by] Harland B. Moulton.</t>
  </si>
  <si>
    <t>Moulton, Harland B.</t>
  </si>
  <si>
    <t>Westport, Conn., Greenwood Press [1973]</t>
  </si>
  <si>
    <t>366954366:eng</t>
  </si>
  <si>
    <t>516025</t>
  </si>
  <si>
    <t>ocm00516025</t>
  </si>
  <si>
    <t>3000561008J</t>
  </si>
  <si>
    <t>9780837158228</t>
  </si>
  <si>
    <t>791400507</t>
  </si>
  <si>
    <t>UA23 N248 1983</t>
  </si>
  <si>
    <t>0                      UA 0023000N  248         1983</t>
  </si>
  <si>
    <t>Defense planning for the 1990s and the changing international environment : based on the Tenth National Security Affairs Conference, October 7-8, 1983 / cosponsored by the National Defense University and the Office of the Assistant Secretary of Defense for International Security Affairs ; edited by William A. Buckingham, Jr.</t>
  </si>
  <si>
    <t>National Security Affairs Conference (10th : 1983 : Washington, D.C.)</t>
  </si>
  <si>
    <t>Washington, DC : National Defense University Press, Fort Lesley J. McNair : For sale by the Supt. of Docs., U.S. G.P.O., 1984.</t>
  </si>
  <si>
    <t>2019-05-27</t>
  </si>
  <si>
    <t>1972286810:eng</t>
  </si>
  <si>
    <t>11688017</t>
  </si>
  <si>
    <t>ocm11688017</t>
  </si>
  <si>
    <t>3000372562X</t>
  </si>
  <si>
    <t>792783655</t>
  </si>
  <si>
    <t>UA23 N2487 2011</t>
  </si>
  <si>
    <t>0                      UA 0023000N  2487        2011</t>
  </si>
  <si>
    <t>The national security enterprise : navigating the labyrinth / Roger Z. George and Harvey Rishikof, editors ; foreword by Brent Scowcroft.</t>
  </si>
  <si>
    <t>Washington, DC : Georgetown University Press, ©2011.</t>
  </si>
  <si>
    <t>2014-01-15</t>
  </si>
  <si>
    <t>501826053:eng</t>
  </si>
  <si>
    <t>639574034</t>
  </si>
  <si>
    <t>ocn639574034</t>
  </si>
  <si>
    <t>31033211205</t>
  </si>
  <si>
    <t>9781589016989</t>
  </si>
  <si>
    <t>794826926</t>
  </si>
  <si>
    <t>UA23 N2497 2004</t>
  </si>
  <si>
    <t>0                      UA 0023000N  2497        2004</t>
  </si>
  <si>
    <t>National security in the Information Age / editor, Emily O. Goldman.</t>
  </si>
  <si>
    <t>London ; Portland, OR : Frank Cass, 2004.</t>
  </si>
  <si>
    <t>2016-11-25</t>
  </si>
  <si>
    <t>766933652:eng</t>
  </si>
  <si>
    <t>53013060</t>
  </si>
  <si>
    <t>ocm53013060</t>
  </si>
  <si>
    <t>3102496136N</t>
  </si>
  <si>
    <t>9780714656007</t>
  </si>
  <si>
    <t>793819176</t>
  </si>
  <si>
    <t>UA23 O43 2003</t>
  </si>
  <si>
    <t>0                      UA 0023000O  43          2003</t>
  </si>
  <si>
    <t>Beginnings of the Cold War arms race : the Truman administration and the U.S. arms build-up / Raymond P. Ojserkis.</t>
  </si>
  <si>
    <t>Ojserkis, Raymond P., 1969-</t>
  </si>
  <si>
    <t>801416053:eng</t>
  </si>
  <si>
    <t>52373901</t>
  </si>
  <si>
    <t>ocm52373901</t>
  </si>
  <si>
    <t>3102336977R</t>
  </si>
  <si>
    <t>9780275980160</t>
  </si>
  <si>
    <t>793804743</t>
  </si>
  <si>
    <t>UA23 P37</t>
  </si>
  <si>
    <t>0                      UA 0023000P  37</t>
  </si>
  <si>
    <t>American military commitments abroad [by] Roland A. Paul.</t>
  </si>
  <si>
    <t>Paul, Roland A., 1937-</t>
  </si>
  <si>
    <t>New Brunswick, N.J.: Rutgers University Press, [©1972]</t>
  </si>
  <si>
    <t>2018-03-12</t>
  </si>
  <si>
    <t>474488:eng</t>
  </si>
  <si>
    <t>427860764</t>
  </si>
  <si>
    <t>ocn427860764</t>
  </si>
  <si>
    <t>3000555260W</t>
  </si>
  <si>
    <t>9780813507392</t>
  </si>
  <si>
    <t>794704064</t>
  </si>
  <si>
    <t>UA23 P49 2012</t>
  </si>
  <si>
    <t>0                      UA 0023000P  49          2012</t>
  </si>
  <si>
    <t>U.S. global defense posture, 1783/2011 / Stacie L. Pettyjohn.</t>
  </si>
  <si>
    <t>Pettyjohn, Stacie L.</t>
  </si>
  <si>
    <t>Santa Monica, California : RAND, [2012]</t>
  </si>
  <si>
    <t>1182127260:eng</t>
  </si>
  <si>
    <t>818327387</t>
  </si>
  <si>
    <t>ocn818327387</t>
  </si>
  <si>
    <t>3103141564O</t>
  </si>
  <si>
    <t>9780833076960</t>
  </si>
  <si>
    <t>794933840</t>
  </si>
  <si>
    <t>UA23 P58 2013</t>
  </si>
  <si>
    <t>0                      UA 0023000P  58          2013</t>
  </si>
  <si>
    <t>Redefining information warfare boundaries for an Army in a wireless world / Isaac R. Porche III, Christopher Paul, Michael York, Chad C. Serena, Jerry M. Sollinger, Elliot Axelband, Endy Y. Min, Bruce J. Held.</t>
  </si>
  <si>
    <t>Porche, Isaac, 1968-</t>
  </si>
  <si>
    <t>2014-01-08</t>
  </si>
  <si>
    <t>1192004878:eng</t>
  </si>
  <si>
    <t>823045478</t>
  </si>
  <si>
    <t>ocn823045478</t>
  </si>
  <si>
    <t>3103141570M</t>
  </si>
  <si>
    <t>9780833059123</t>
  </si>
  <si>
    <t>794936929</t>
  </si>
  <si>
    <t>UA23 P6824 2004</t>
  </si>
  <si>
    <t>0                      UA 0023000P  6824        2004</t>
  </si>
  <si>
    <t>John F. Kennedy and the missile gap / Christopher A. Preble.</t>
  </si>
  <si>
    <t>Preble, Christopher A.</t>
  </si>
  <si>
    <t>DeKalb : Northern Illinois University Press, ©2004.</t>
  </si>
  <si>
    <t>1033973:eng</t>
  </si>
  <si>
    <t>54529575</t>
  </si>
  <si>
    <t>ocm54529575</t>
  </si>
  <si>
    <t>3102465107B</t>
  </si>
  <si>
    <t>9780875803326</t>
  </si>
  <si>
    <t>793863884</t>
  </si>
  <si>
    <t>UA23 P6825 2009</t>
  </si>
  <si>
    <t>0                      UA 0023000P  6825        2009</t>
  </si>
  <si>
    <t>The power problem : how American military dominance makes us less safe, less prosperous, and less free / Christopher A. Preble.</t>
  </si>
  <si>
    <t>Ithaca : Cornell University Press, ©2009.</t>
  </si>
  <si>
    <t>903077542:eng</t>
  </si>
  <si>
    <t>283802750</t>
  </si>
  <si>
    <t>ocn283802750</t>
  </si>
  <si>
    <t>3103081615H</t>
  </si>
  <si>
    <t>9780801447655</t>
  </si>
  <si>
    <t>794420726</t>
  </si>
  <si>
    <t>UA23 P88</t>
  </si>
  <si>
    <t>0                      UA 0023000P  88</t>
  </si>
  <si>
    <t>The U.S.A. astride the globe [by] Merlo J. Pusey.</t>
  </si>
  <si>
    <t>Pusey, Merlo J. (Merlo John), 1902-1985.</t>
  </si>
  <si>
    <t>Boston, Houghton Mifflin, 1971.</t>
  </si>
  <si>
    <t>2015-10-29</t>
  </si>
  <si>
    <t>1275535:eng</t>
  </si>
  <si>
    <t>163484</t>
  </si>
  <si>
    <t>ocm00163484</t>
  </si>
  <si>
    <t>3000512476B</t>
  </si>
  <si>
    <t>9780395127179</t>
  </si>
  <si>
    <t>791277179</t>
  </si>
  <si>
    <t>UA23 R463 2010</t>
  </si>
  <si>
    <t>0                      UA 0023000R  463         2010</t>
  </si>
  <si>
    <t>Exporting security : international engagement, security cooperation, and the changing face of the U.S. military / Derek S. Reveron.</t>
  </si>
  <si>
    <t>Reveron, Derek S.</t>
  </si>
  <si>
    <t>Washington, D.C. : Georgetown University Press, ©2010.</t>
  </si>
  <si>
    <t>796711459:eng</t>
  </si>
  <si>
    <t>519826450</t>
  </si>
  <si>
    <t>ocn519826450</t>
  </si>
  <si>
    <t>31032269116</t>
  </si>
  <si>
    <t>9781589017085</t>
  </si>
  <si>
    <t>794808554</t>
  </si>
  <si>
    <t>UA23 R59 2016</t>
  </si>
  <si>
    <t>0                      UA 0023000R  59          2016</t>
  </si>
  <si>
    <t>The case for U.S. nuclear weapons in the 21st century / Brad Roberts.</t>
  </si>
  <si>
    <t>Roberts, Brad, author.</t>
  </si>
  <si>
    <t>Stanford, California : Stanford Security Studies, an imprint of Stanford University Press, [2016]</t>
  </si>
  <si>
    <t>2513773101:eng</t>
  </si>
  <si>
    <t>908286962</t>
  </si>
  <si>
    <t>ocn908286962</t>
  </si>
  <si>
    <t>3103697810M</t>
  </si>
  <si>
    <t>9780804796453</t>
  </si>
  <si>
    <t>794994486</t>
  </si>
  <si>
    <t>UA23 R63 1995</t>
  </si>
  <si>
    <t>0                      UA 0023000R  63          1995</t>
  </si>
  <si>
    <t>Eisenhower and the missile gap / Peter J. Roman.</t>
  </si>
  <si>
    <t>Roman, Peter J.</t>
  </si>
  <si>
    <t>Ithaca, N.Y. : Cornell University Press, 1995.</t>
  </si>
  <si>
    <t>38155834:eng</t>
  </si>
  <si>
    <t>32890835</t>
  </si>
  <si>
    <t>ocm32890835</t>
  </si>
  <si>
    <t>31015736313</t>
  </si>
  <si>
    <t>9780801427978</t>
  </si>
  <si>
    <t>793396654</t>
  </si>
  <si>
    <t>UA23 R64</t>
  </si>
  <si>
    <t>0                      UA 0023000R  64</t>
  </si>
  <si>
    <t>Decisions of Robert S. McNamara; a study of the role of the Secretary of Defense, by James M. Roherty.</t>
  </si>
  <si>
    <t>Roherty, James Michael, 1926-</t>
  </si>
  <si>
    <t>Coral Gables, Fla., University of Miami Press [1970]</t>
  </si>
  <si>
    <t>1306446:eng</t>
  </si>
  <si>
    <t>92577</t>
  </si>
  <si>
    <t>ocm00092577</t>
  </si>
  <si>
    <t>3000512481I</t>
  </si>
  <si>
    <t>9780870241512</t>
  </si>
  <si>
    <t>791253089</t>
  </si>
  <si>
    <t>UA23 R6x</t>
  </si>
  <si>
    <t>0                      UA 0023000R  6x</t>
  </si>
  <si>
    <t>Beyond conflict and containment; critical studies of military and foreign policy. Edited by Milton J. Rosenberg.</t>
  </si>
  <si>
    <t>Rosenberg, Milton J., 1925- compiler.</t>
  </si>
  <si>
    <t>New Brunswick, N.J., Transaction Books; distributed by Dutton [New York], [1972]</t>
  </si>
  <si>
    <t>Transaction/Society book series ; TA/S-26</t>
  </si>
  <si>
    <t>821338126:eng</t>
  </si>
  <si>
    <t>2780565</t>
  </si>
  <si>
    <t>ocm02780565</t>
  </si>
  <si>
    <t>3000575565Z</t>
  </si>
  <si>
    <t>9780878550388</t>
  </si>
  <si>
    <t>792175349</t>
  </si>
  <si>
    <t>UA23 S22 1983</t>
  </si>
  <si>
    <t>0                      UA 0023000S  22          1983</t>
  </si>
  <si>
    <t>Peddlers of crisis : the Committee on the Present Danger and the politics of containment / Jerry W. Sanders.</t>
  </si>
  <si>
    <t>Sanders, Jerry Wayne.</t>
  </si>
  <si>
    <t>Boston, MA : South End Press, ©1983.</t>
  </si>
  <si>
    <t>2015-02-11</t>
  </si>
  <si>
    <t>350990311:eng</t>
  </si>
  <si>
    <t>9967880</t>
  </si>
  <si>
    <t>ocm09967880</t>
  </si>
  <si>
    <t>3000354935M</t>
  </si>
  <si>
    <t>9780896081819</t>
  </si>
  <si>
    <t>792702633</t>
  </si>
  <si>
    <t>UA23 S275 1995</t>
  </si>
  <si>
    <t>0                      UA 0023000S  275         1995</t>
  </si>
  <si>
    <t>U.S. national security : policymakers, processes, and politics / Sam C. Sarkesian.</t>
  </si>
  <si>
    <t>Sarkesian, Sam C. (Sam Charles), 1927-</t>
  </si>
  <si>
    <t>Boulder, Colo. : L. Rienner, 1995.</t>
  </si>
  <si>
    <t>197792411:eng</t>
  </si>
  <si>
    <t>30516399</t>
  </si>
  <si>
    <t>ocm30516399</t>
  </si>
  <si>
    <t>3101444263Q</t>
  </si>
  <si>
    <t>9781555874117</t>
  </si>
  <si>
    <t>793337677</t>
  </si>
  <si>
    <t>UA23 S36 1987</t>
  </si>
  <si>
    <t>0                      UA 0023000S  36          1987</t>
  </si>
  <si>
    <t>National security and United States policy toward Latin America / Lars Schoultz.</t>
  </si>
  <si>
    <t>Schoultz, Lars.</t>
  </si>
  <si>
    <t>Princeton, N.J. : Princeton University Press, ©1987.</t>
  </si>
  <si>
    <t>Princeton legacy library</t>
  </si>
  <si>
    <t>2019-01-22</t>
  </si>
  <si>
    <t>8510191:eng</t>
  </si>
  <si>
    <t>15163168</t>
  </si>
  <si>
    <t>ocm15163168</t>
  </si>
  <si>
    <t>3000527099L</t>
  </si>
  <si>
    <t>9780691077413</t>
  </si>
  <si>
    <t>792922272</t>
  </si>
  <si>
    <t>UA23 S368 1991</t>
  </si>
  <si>
    <t>0                      UA 0023000S  368         1991</t>
  </si>
  <si>
    <t>American counterinsurgency doctrine and El Salvador : the frustrations of reform and the illusions of nation building / Benjamin C. Schwarz.</t>
  </si>
  <si>
    <t>Schwarz, Benjamin C.</t>
  </si>
  <si>
    <t>2017-01-31</t>
  </si>
  <si>
    <t>196053661:eng</t>
  </si>
  <si>
    <t>25259718</t>
  </si>
  <si>
    <t>ocm25259718</t>
  </si>
  <si>
    <t>31019093220</t>
  </si>
  <si>
    <t>9780833012180</t>
  </si>
  <si>
    <t>793215407</t>
  </si>
  <si>
    <t>UA23 S47 1977</t>
  </si>
  <si>
    <t>0                      UA 0023000S  47          1977</t>
  </si>
  <si>
    <t>Preparing for the next war : American plans for postwar defense, 1941-45 / Michael S. Sherry.</t>
  </si>
  <si>
    <t>Sherry, Michael S., 1945-</t>
  </si>
  <si>
    <t>Yale historical publications : Miscellany ; 114</t>
  </si>
  <si>
    <t>2017-10-16</t>
  </si>
  <si>
    <t>808522456:eng</t>
  </si>
  <si>
    <t>2388131</t>
  </si>
  <si>
    <t>ocm02388131</t>
  </si>
  <si>
    <t>30004185413</t>
  </si>
  <si>
    <t>9780300020311</t>
  </si>
  <si>
    <t>792114545</t>
  </si>
  <si>
    <t>UA23 S5226 2011</t>
  </si>
  <si>
    <t>0                      UA 0023000S  5226        2011</t>
  </si>
  <si>
    <t>The sovereignty solution : a commonsense approach to global security / Anna Simons, Joe McGraw, and Duane Lauchengco.</t>
  </si>
  <si>
    <t>Simons, Anna.</t>
  </si>
  <si>
    <t>Annapolis, MD : Naval Institute Press, ©2011.</t>
  </si>
  <si>
    <t>900798500:eng</t>
  </si>
  <si>
    <t>724704486</t>
  </si>
  <si>
    <t>ocn724704486</t>
  </si>
  <si>
    <t>3103395876Y</t>
  </si>
  <si>
    <t>9781612510507</t>
  </si>
  <si>
    <t>794876743</t>
  </si>
  <si>
    <t>UA23 S52626 2005</t>
  </si>
  <si>
    <t>0                      UA 0023000S  52626       2005</t>
  </si>
  <si>
    <t>The superpower myth : the use and misuse of American might / Nancy Soderberg.</t>
  </si>
  <si>
    <t>Soderberg, Nancy E., 1958-</t>
  </si>
  <si>
    <t>Hoboken, N.J. : John Wiley, ©2005.</t>
  </si>
  <si>
    <t>2018-10-18</t>
  </si>
  <si>
    <t>15763539:eng</t>
  </si>
  <si>
    <t>56066367</t>
  </si>
  <si>
    <t>ocm56066367</t>
  </si>
  <si>
    <t>3102479944W</t>
  </si>
  <si>
    <t>9780471656838</t>
  </si>
  <si>
    <t>793887005</t>
  </si>
  <si>
    <t>UA23 S77 2012</t>
  </si>
  <si>
    <t>0                      UA 0023000S  77          2012</t>
  </si>
  <si>
    <t>A strategy-based framework for accommodating reductions in the defense budget / Stuart E. Johnson [and others].</t>
  </si>
  <si>
    <t>Santa Monica, CA : Rand Corporation, 2012.</t>
  </si>
  <si>
    <t>RAND Corporation occasional paper series ; OP-379-OSD</t>
  </si>
  <si>
    <t>1173376644:eng</t>
  </si>
  <si>
    <t>813541087</t>
  </si>
  <si>
    <t>ocn813541087</t>
  </si>
  <si>
    <t>3103482648K</t>
  </si>
  <si>
    <t>9780833076861</t>
  </si>
  <si>
    <t>794931756</t>
  </si>
  <si>
    <t>UA23 S8283 1990</t>
  </si>
  <si>
    <t>0                      UA 0023000S  8283        1990</t>
  </si>
  <si>
    <t>Strategic power : USA/USSR / edited by Carl G. Jacobsen ; assisting editorial board : Ken Booth, Bill Kincade, David R. Jones.</t>
  </si>
  <si>
    <t>Basingstoke : Macmillan, 1990.</t>
  </si>
  <si>
    <t>141475518:eng</t>
  </si>
  <si>
    <t>20217690</t>
  </si>
  <si>
    <t>ocm20217690</t>
  </si>
  <si>
    <t>3100574582U</t>
  </si>
  <si>
    <t>9780333525661</t>
  </si>
  <si>
    <t>793080842</t>
  </si>
  <si>
    <t>UA23 S838 2013</t>
  </si>
  <si>
    <t>0                      UA 0023000S  838         2013</t>
  </si>
  <si>
    <t>Developing and assessing options for the global SOF network / Thomas S. Szayna, William Welser IV.</t>
  </si>
  <si>
    <t>Szayna, Thomas S., 1960- author.</t>
  </si>
  <si>
    <t>[Santa Monica] : Rand Corporation, [2013]</t>
  </si>
  <si>
    <t>1403327538:eng</t>
  </si>
  <si>
    <t>860908300</t>
  </si>
  <si>
    <t>ocn860908300</t>
  </si>
  <si>
    <t>31035180524</t>
  </si>
  <si>
    <t>9780833080899</t>
  </si>
  <si>
    <t>794958600</t>
  </si>
  <si>
    <t>UA23 T3125 2005</t>
  </si>
  <si>
    <t>0                      UA 0023000T  3125        2005</t>
  </si>
  <si>
    <t>The nuclear taboo : the United States and the non-use of nuclear weapons since 1945 / Nina Tannenwald.</t>
  </si>
  <si>
    <t>Tannenwald, Nina.</t>
  </si>
  <si>
    <t>Cambridge : Cambridge University Press, 2005.</t>
  </si>
  <si>
    <t>Cambridge studies in international relations ; no. 87</t>
  </si>
  <si>
    <t>2017-04-05</t>
  </si>
  <si>
    <t>802007726:eng</t>
  </si>
  <si>
    <t>60741710</t>
  </si>
  <si>
    <t>ocm60741710</t>
  </si>
  <si>
    <t>31028518906</t>
  </si>
  <si>
    <t>9780521818865</t>
  </si>
  <si>
    <t>793942937</t>
  </si>
  <si>
    <t>UA23 T33</t>
  </si>
  <si>
    <t>0                      UA 0023000T  33</t>
  </si>
  <si>
    <t>The uncertain trumpet / Maxwell D. Taylor.</t>
  </si>
  <si>
    <t>Taylor, Maxwell D. (Maxwell Davenport), 1901-1987.</t>
  </si>
  <si>
    <t>New York : Harper, 1960.</t>
  </si>
  <si>
    <t>2019-11-12</t>
  </si>
  <si>
    <t>1899599:eng</t>
  </si>
  <si>
    <t>1225668</t>
  </si>
  <si>
    <t>ocm01225668</t>
  </si>
  <si>
    <t>3000556893P</t>
  </si>
  <si>
    <t>791577274</t>
  </si>
  <si>
    <t>UA23 T44 2007</t>
  </si>
  <si>
    <t>0                      UA 0023000T  44          2007</t>
  </si>
  <si>
    <t>American policy toward Israel : the power and limits of beliefs / Michael Thomas.</t>
  </si>
  <si>
    <t>Thomas, Michael Tracy.</t>
  </si>
  <si>
    <t>LSE international studies series ; 1</t>
  </si>
  <si>
    <t>797235656:eng</t>
  </si>
  <si>
    <t>74029289</t>
  </si>
  <si>
    <t>ocm74029289</t>
  </si>
  <si>
    <t>3102639342L</t>
  </si>
  <si>
    <t>9780415771467</t>
  </si>
  <si>
    <t>794171862</t>
  </si>
  <si>
    <t>UA23 T648 2007</t>
  </si>
  <si>
    <t>0                      UA 0023000T  648         2007</t>
  </si>
  <si>
    <t>U.S. defense strategy from Vietnam to Operation Iraqi Freedom : military innovation and the new American way of war, 1973- 2003 / Robert R. Tomes.</t>
  </si>
  <si>
    <t>Tomes, Robert R.</t>
  </si>
  <si>
    <t>Milton Park, Abington, Oxon ; New York, NY : Routledge, 2007.</t>
  </si>
  <si>
    <t>Strategy and history, 1473-6403 ; 19</t>
  </si>
  <si>
    <t>2016-07-27</t>
  </si>
  <si>
    <t>51593972:eng</t>
  </si>
  <si>
    <t>68221299</t>
  </si>
  <si>
    <t>ocm68221299</t>
  </si>
  <si>
    <t>3102569049L</t>
  </si>
  <si>
    <t>9780415770743</t>
  </si>
  <si>
    <t>794142914</t>
  </si>
  <si>
    <t>UA23 U464 2012</t>
  </si>
  <si>
    <t>0                      UA 0023000U  464         2012</t>
  </si>
  <si>
    <t>The emergency state : America's pursuit of absolute security at all costs / David C. Unger.</t>
  </si>
  <si>
    <t>Unger, David C.</t>
  </si>
  <si>
    <t>New York : Penguin Press, 2012.</t>
  </si>
  <si>
    <t>1061421893:eng</t>
  </si>
  <si>
    <t>733230707</t>
  </si>
  <si>
    <t>ocn733230707</t>
  </si>
  <si>
    <t>31034119767</t>
  </si>
  <si>
    <t>9781594203244</t>
  </si>
  <si>
    <t>794881806</t>
  </si>
  <si>
    <t>UA23 V44 2007</t>
  </si>
  <si>
    <t>0                      UA 0023000V  44          2007</t>
  </si>
  <si>
    <t>Vietnam in Iraq : tactics, lessons, legacies and ghosts / edited by John Dumbrell and David Ryan.</t>
  </si>
  <si>
    <t>London ; New York : Routledge/Taylor &amp; Francis Group, 2007.</t>
  </si>
  <si>
    <t>802276760:eng</t>
  </si>
  <si>
    <t>69594019</t>
  </si>
  <si>
    <t>ocm69594019</t>
  </si>
  <si>
    <t>31026328201</t>
  </si>
  <si>
    <t>9780415405621</t>
  </si>
  <si>
    <t>794146253</t>
  </si>
  <si>
    <t>UA23 W3697 1990</t>
  </si>
  <si>
    <t>0                      UA 0023000W  3697        1990</t>
  </si>
  <si>
    <t>Fighting for peace : seven critical years at the Pentagon / Caspar Weinberger.</t>
  </si>
  <si>
    <t>Weinberger, Caspar W.</t>
  </si>
  <si>
    <t>London : Joseph, 1990.</t>
  </si>
  <si>
    <t>2015-04-01</t>
  </si>
  <si>
    <t>22503565:eng</t>
  </si>
  <si>
    <t>21872066</t>
  </si>
  <si>
    <t>ocm21872066</t>
  </si>
  <si>
    <t>3102767571X</t>
  </si>
  <si>
    <t>9780718132620</t>
  </si>
  <si>
    <t>793128725</t>
  </si>
  <si>
    <t>UA23 W3698 2014</t>
  </si>
  <si>
    <t>0                      UA 0023000W  3698        2014</t>
  </si>
  <si>
    <t>Waging war : alliances, coalitions, and institutions of interstate violence / Patricia A. Weitsman.</t>
  </si>
  <si>
    <t>Weitsman, Patricia A., author.</t>
  </si>
  <si>
    <t>Stanford, California : Stanford Security Studies, an imprint of Stanford University, 2014.</t>
  </si>
  <si>
    <t>2015-12-08</t>
  </si>
  <si>
    <t>1781966280:eng</t>
  </si>
  <si>
    <t>842330087</t>
  </si>
  <si>
    <t>ocn842330087</t>
  </si>
  <si>
    <t>31035327321</t>
  </si>
  <si>
    <t>9780804787994</t>
  </si>
  <si>
    <t>794947431</t>
  </si>
  <si>
    <t>UA23 W376 1997</t>
  </si>
  <si>
    <t>0                      UA 0023000W  376         1997</t>
  </si>
  <si>
    <t>Living with peril : Eisenhower, Kennedy, and nuclear weapons / Andreas Wenger.</t>
  </si>
  <si>
    <t>Wenger, Andreas.</t>
  </si>
  <si>
    <t>Lanham, Md. : Rowman &amp; Littlefield Publishers, ©1997.</t>
  </si>
  <si>
    <t>634554:eng</t>
  </si>
  <si>
    <t>36246022</t>
  </si>
  <si>
    <t>ocm36246022</t>
  </si>
  <si>
    <t>3101841370C</t>
  </si>
  <si>
    <t>9780847685141</t>
  </si>
  <si>
    <t>793470378</t>
  </si>
  <si>
    <t>UA23 W42 2012</t>
  </si>
  <si>
    <t>0                      UA 0023000W  42          2012</t>
  </si>
  <si>
    <t>Weapons of mass destruction and the new strategic environment / edited by Jean-François Bélanger and David A. Beitelman.</t>
  </si>
  <si>
    <t>Halifax, Nova Scotia, Canada : Centre for Foreign Policy Studies, Dalhousie University, [2012]</t>
  </si>
  <si>
    <t>New issues in security ; #8</t>
  </si>
  <si>
    <t>1378882552:eng</t>
  </si>
  <si>
    <t>814661650</t>
  </si>
  <si>
    <t>ocn814661650</t>
  </si>
  <si>
    <t>3103403665F</t>
  </si>
  <si>
    <t>9781896440705</t>
  </si>
  <si>
    <t>794932283</t>
  </si>
  <si>
    <t>UA23 W4593 1993</t>
  </si>
  <si>
    <t>0                      UA 0023000W  4593        1993</t>
  </si>
  <si>
    <t>The origins of U.S. nuclear strategy, 1945-1953 / Samuel R. Williamson, Jr. and Steven L. Rearden.</t>
  </si>
  <si>
    <t>Williamson, Samuel R.</t>
  </si>
  <si>
    <t>New York : St. Martin's Press, 1993.</t>
  </si>
  <si>
    <t>[The Franklin and Eleanor Roosevelt Institute series on diplomatic and economic history]</t>
  </si>
  <si>
    <t>28617617:eng</t>
  </si>
  <si>
    <t>26402525</t>
  </si>
  <si>
    <t>ocm26402525</t>
  </si>
  <si>
    <t>3101270657L</t>
  </si>
  <si>
    <t>9780312089641</t>
  </si>
  <si>
    <t>793244310</t>
  </si>
  <si>
    <t>UA23 W4596 2010</t>
  </si>
  <si>
    <t>0                      UA 0023000W  4596        2010</t>
  </si>
  <si>
    <t>Bomb power : the modern presidency and the national security state / Garry Wills.</t>
  </si>
  <si>
    <t>Wills, Garry, 1934-</t>
  </si>
  <si>
    <t>New York : Penguin Press, 2010.</t>
  </si>
  <si>
    <t>2013-11-19</t>
  </si>
  <si>
    <t>796515256:eng</t>
  </si>
  <si>
    <t>428731352</t>
  </si>
  <si>
    <t>ocn428731352</t>
  </si>
  <si>
    <t>31032438465</t>
  </si>
  <si>
    <t>9781594202407</t>
  </si>
  <si>
    <t>794778732</t>
  </si>
  <si>
    <t>UA23 W48 1989</t>
  </si>
  <si>
    <t>0                      UA 0023000W  48          1989</t>
  </si>
  <si>
    <t>Windows of opportunity : from cold war to peaceful competition in U.S.-Soviet relations / edited by Graham T. Allison and William L. Ury with Bruce J. Allyn.</t>
  </si>
  <si>
    <t>Cambridge, Mass. : Ballinger Pub. Co., 1989.</t>
  </si>
  <si>
    <t>864087051:eng</t>
  </si>
  <si>
    <t>18948187</t>
  </si>
  <si>
    <t>ocm18948187</t>
  </si>
  <si>
    <t>3100657368M</t>
  </si>
  <si>
    <t>9780887303791</t>
  </si>
  <si>
    <t>793042065</t>
  </si>
  <si>
    <t>UA23 W49 2010</t>
  </si>
  <si>
    <t>0                      UA 0023000W  49          2010</t>
  </si>
  <si>
    <t>Irrational security : the politics of defense from Reagan to Obama / Daniel Wirls.</t>
  </si>
  <si>
    <t>Wirls, Daniel, 1960-</t>
  </si>
  <si>
    <t>Baltimore, Md. : Johns Hopkins University Press, 2010.</t>
  </si>
  <si>
    <t>2015-10-26</t>
  </si>
  <si>
    <t>793025256:eng</t>
  </si>
  <si>
    <t>421949881</t>
  </si>
  <si>
    <t>ocn421949881</t>
  </si>
  <si>
    <t>3103239886F</t>
  </si>
  <si>
    <t>9780801894381</t>
  </si>
  <si>
    <t>794505018</t>
  </si>
  <si>
    <t>UA23 Y678 2012</t>
  </si>
  <si>
    <t>0                      UA 0023000Y  678         2012</t>
  </si>
  <si>
    <t>Reagan on war : a reappraisal of the Weinberger doctrine, 1980-1984 / Gail E.S. Yoshitani.</t>
  </si>
  <si>
    <t>Yoshitani, Gail E. S., 1968-</t>
  </si>
  <si>
    <t>College Station : Texas A &amp; M University Press, ©2012.</t>
  </si>
  <si>
    <t>Foreign relations and the presidency ; no. 10</t>
  </si>
  <si>
    <t>2013-02-15</t>
  </si>
  <si>
    <t>899559369:eng</t>
  </si>
  <si>
    <t>723529703</t>
  </si>
  <si>
    <t>ocn723529703</t>
  </si>
  <si>
    <t>3103396424F</t>
  </si>
  <si>
    <t>9781603442596</t>
  </si>
  <si>
    <t>794876026</t>
  </si>
  <si>
    <t>UA23 Z44 2010</t>
  </si>
  <si>
    <t>0                      UA 0023000Z  44          2010</t>
  </si>
  <si>
    <t>Arsenal of democracy : the politics of national security-- from World War II to the War on Terrorism / Julian E. Zelizer.</t>
  </si>
  <si>
    <t>Zelizer, Julian E.</t>
  </si>
  <si>
    <t>New York, N.Y. : Basic Books, ©2010.</t>
  </si>
  <si>
    <t>2014-11-28</t>
  </si>
  <si>
    <t>794251416:eng</t>
  </si>
  <si>
    <t>209637631</t>
  </si>
  <si>
    <t>ocn209637631</t>
  </si>
  <si>
    <t>3103243818B</t>
  </si>
  <si>
    <t>9780465015078</t>
  </si>
  <si>
    <t>794305198</t>
  </si>
  <si>
    <t>UA23 Z446 2010</t>
  </si>
  <si>
    <t>0                      UA 0023000Z  446         2010</t>
  </si>
  <si>
    <t>Between threats and war : U.S. discrete military operations in the post-Cold War world / Micah Zenko.</t>
  </si>
  <si>
    <t>Zenko, Micah.</t>
  </si>
  <si>
    <t>Stanford, Calif. : Stanford Security Series, ©2010.</t>
  </si>
  <si>
    <t>793475230:eng</t>
  </si>
  <si>
    <t>642824466</t>
  </si>
  <si>
    <t>ocn642824466</t>
  </si>
  <si>
    <t>3103227356C</t>
  </si>
  <si>
    <t>9780804771900</t>
  </si>
  <si>
    <t>794828418</t>
  </si>
  <si>
    <t>UA23.15 B87 2009</t>
  </si>
  <si>
    <t>0                      UA 0023150B  87          2009</t>
  </si>
  <si>
    <t>Honest broker? : the national security advisor and presidential decision making / John P. Burke.</t>
  </si>
  <si>
    <t>Burke, John P., 1953-</t>
  </si>
  <si>
    <t>College Station : Texas A &amp; M University Press, ©2009.</t>
  </si>
  <si>
    <t>Joseph V. Hughes Jr. and Holly O. Hughes series on the presidency and leadership</t>
  </si>
  <si>
    <t>795072808:eng</t>
  </si>
  <si>
    <t>252918415</t>
  </si>
  <si>
    <t>ocn252918415</t>
  </si>
  <si>
    <t>3103135295G</t>
  </si>
  <si>
    <t>9781603440981</t>
  </si>
  <si>
    <t>794389631</t>
  </si>
  <si>
    <t>UA23.15 F38 2004</t>
  </si>
  <si>
    <t>0                      UA 0023150F  38          2004</t>
  </si>
  <si>
    <t>Fateful decisions : inside the National Security Council / edited, with introductions, by Karl F. Inderfurth, Loch K. Johnson.</t>
  </si>
  <si>
    <t>New York : Oxford University Press, 2004.</t>
  </si>
  <si>
    <t>905403198:eng</t>
  </si>
  <si>
    <t>52334910</t>
  </si>
  <si>
    <t>ocm52334910</t>
  </si>
  <si>
    <t>3102353944Z</t>
  </si>
  <si>
    <t>9780195159653</t>
  </si>
  <si>
    <t>793803807</t>
  </si>
  <si>
    <t>UA23.15 P73 1991</t>
  </si>
  <si>
    <t>0                      UA 0023150P  73          1991</t>
  </si>
  <si>
    <t>Keepers of the keys : a history of the National Security Council from Truman to Bush / John Prados.</t>
  </si>
  <si>
    <t>Prados, John.</t>
  </si>
  <si>
    <t>New York : Morrow, ©1991.</t>
  </si>
  <si>
    <t>24010928:eng</t>
  </si>
  <si>
    <t>22906312</t>
  </si>
  <si>
    <t>ocm22906312</t>
  </si>
  <si>
    <t>3100991284D</t>
  </si>
  <si>
    <t>9780688073978</t>
  </si>
  <si>
    <t>793156490</t>
  </si>
  <si>
    <t>UA23.15 R68 2005</t>
  </si>
  <si>
    <t>0                      UA 0023150R  68          2005</t>
  </si>
  <si>
    <t>Running the world : the inside story of the National Security Council and the architects of American power / David J. Rothkopf.</t>
  </si>
  <si>
    <t>Rothkopf, David J. (David Jochanan), 1955-</t>
  </si>
  <si>
    <t>New York : PublicAffairs, ©2005.</t>
  </si>
  <si>
    <t>918864991:eng</t>
  </si>
  <si>
    <t>58546552</t>
  </si>
  <si>
    <t>ocm58546552</t>
  </si>
  <si>
    <t>3102589856M</t>
  </si>
  <si>
    <t>9781586482480</t>
  </si>
  <si>
    <t>793922407</t>
  </si>
  <si>
    <t>UA23.15 S49 1991</t>
  </si>
  <si>
    <t>0                      UA 0023150S  49          1991</t>
  </si>
  <si>
    <t>The NSC staff : counseling the council / Christopher C. Shoemaker.</t>
  </si>
  <si>
    <t>Shoemaker, Christopher C.</t>
  </si>
  <si>
    <t>Boulder, Colo. : Westview Press, 1991.</t>
  </si>
  <si>
    <t>21023015:eng</t>
  </si>
  <si>
    <t>21561339</t>
  </si>
  <si>
    <t>ocm21561339</t>
  </si>
  <si>
    <t>3101015605S</t>
  </si>
  <si>
    <t>9780813379227</t>
  </si>
  <si>
    <t>793122706</t>
  </si>
  <si>
    <t>UA23.3 G66 2010</t>
  </si>
  <si>
    <t>0                      UA 0023300G  66          2010</t>
  </si>
  <si>
    <t>Are law and policy clear and consistent? : roles and responsibilities of the defense acquisition executive and the chief information officer / Daniel Gonzales [and others].</t>
  </si>
  <si>
    <t>Santa Monica : RAND Corporation, 2010.</t>
  </si>
  <si>
    <t>766273932:eng</t>
  </si>
  <si>
    <t>655250818</t>
  </si>
  <si>
    <t>ocn655250818</t>
  </si>
  <si>
    <t>31032995354</t>
  </si>
  <si>
    <t>9780833049704</t>
  </si>
  <si>
    <t>794834240</t>
  </si>
  <si>
    <t>UA23.3 I47 2010</t>
  </si>
  <si>
    <t>0                      UA 0023300I  47          2010</t>
  </si>
  <si>
    <t>Implications of aggregated DoD information systems for information assurance certification and accreditation / Eric Landree [and others].</t>
  </si>
  <si>
    <t>392070806:eng</t>
  </si>
  <si>
    <t>519832778</t>
  </si>
  <si>
    <t>ocn519832778</t>
  </si>
  <si>
    <t>3103255598S</t>
  </si>
  <si>
    <t>9780833049483</t>
  </si>
  <si>
    <t>794808564</t>
  </si>
  <si>
    <t>UA23.6 K75 2015</t>
  </si>
  <si>
    <t>0                      UA 0023600K  75          2015</t>
  </si>
  <si>
    <t>The last warrior : Andrew Marshall and the shaping of modern American defense strategy / Andrew Krepinevich and Barry Watts ; foreword by Robert M. Gates.</t>
  </si>
  <si>
    <t>Krepinevich, Andrew F., author.</t>
  </si>
  <si>
    <t>New York : Basic Books, [2015]</t>
  </si>
  <si>
    <t>1840321397:eng</t>
  </si>
  <si>
    <t>902618092</t>
  </si>
  <si>
    <t>ocn902618092</t>
  </si>
  <si>
    <t>3103608349R</t>
  </si>
  <si>
    <t>9780465030002</t>
  </si>
  <si>
    <t>794988278</t>
  </si>
  <si>
    <t>UA23.6 S74 2006</t>
  </si>
  <si>
    <t>0                      UA 0023600S  74          2006</t>
  </si>
  <si>
    <t>SECDEF : the nearly impossible job of Secretary of Defense / Charles A. Stevenson.</t>
  </si>
  <si>
    <t>Stevenson, Charles A.</t>
  </si>
  <si>
    <t>Washington, D.C. : Potomac Books, ©2006.</t>
  </si>
  <si>
    <t>2019-05-28</t>
  </si>
  <si>
    <t>795527080:eng</t>
  </si>
  <si>
    <t>62084318</t>
  </si>
  <si>
    <t>ocm62084318</t>
  </si>
  <si>
    <t>3102635264$</t>
  </si>
  <si>
    <t>9781574887945</t>
  </si>
  <si>
    <t>794099669</t>
  </si>
  <si>
    <t>UA25 A68</t>
  </si>
  <si>
    <t>0                      UA 0025000A  68</t>
  </si>
  <si>
    <t>The military and American society; essays &amp; readings. Edited by Stephen E. Ambrose [and] James A. Barber, Jr.</t>
  </si>
  <si>
    <t>Ambrose, Stephen E., compiler.</t>
  </si>
  <si>
    <t>New York, Free Press [1972]</t>
  </si>
  <si>
    <t>1422520:eng</t>
  </si>
  <si>
    <t>279118</t>
  </si>
  <si>
    <t>ocm00279118</t>
  </si>
  <si>
    <t>3000556896J</t>
  </si>
  <si>
    <t>791321531</t>
  </si>
  <si>
    <t>UA25 P36 2013</t>
  </si>
  <si>
    <t>0                      UA 0025000P  36          2013</t>
  </si>
  <si>
    <t>Readiness reporting for an adaptive army / Christopher G. Pernin, Dwayne M. Butler, Louay Constant, Lily Geyer, Duncan Long, Dan Madden, John E. Peters, Jim Powers, Michael Shurkin.</t>
  </si>
  <si>
    <t>Pernin, Christopher G., 1973-</t>
  </si>
  <si>
    <t>1749218714:eng</t>
  </si>
  <si>
    <t>858975689</t>
  </si>
  <si>
    <t>ocn858975689</t>
  </si>
  <si>
    <t>3103564541J</t>
  </si>
  <si>
    <t>9780833080325</t>
  </si>
  <si>
    <t>794957277</t>
  </si>
  <si>
    <t>UA25 R46 2011</t>
  </si>
  <si>
    <t>0                      UA 0025000R  46          2011</t>
  </si>
  <si>
    <t>Reshaping the Army's active and reserve components / Michael L. Hansen [and others].</t>
  </si>
  <si>
    <t>Santa Monica, CA : RAND Corp., 2011.</t>
  </si>
  <si>
    <t>Rand Corporation monograph series ; MG-961-OSD</t>
  </si>
  <si>
    <t>1044966079:eng</t>
  </si>
  <si>
    <t>761538191</t>
  </si>
  <si>
    <t>ocn761538191</t>
  </si>
  <si>
    <t>31035247250</t>
  </si>
  <si>
    <t>9780833050380</t>
  </si>
  <si>
    <t>794899492</t>
  </si>
  <si>
    <t>UA25 R48 2011</t>
  </si>
  <si>
    <t>0                      UA 0025000R  48          2011</t>
  </si>
  <si>
    <t>A review of the Army's modular force structure / Stuart E. Johnson [and others].</t>
  </si>
  <si>
    <t>Technical report ; TR-927-1-OSD</t>
  </si>
  <si>
    <t>908479411:eng</t>
  </si>
  <si>
    <t>729347950</t>
  </si>
  <si>
    <t>ocn729347950</t>
  </si>
  <si>
    <t>31026693426</t>
  </si>
  <si>
    <t>9780833051301</t>
  </si>
  <si>
    <t>794879377</t>
  </si>
  <si>
    <t>UA25 W4</t>
  </si>
  <si>
    <t>0                      UA 0025000W  4</t>
  </si>
  <si>
    <t>Towards an American army : military thought from Washington to Marshall / Russell F. Weigley.</t>
  </si>
  <si>
    <t>New York ; London : Columbia University Press, 1962.</t>
  </si>
  <si>
    <t>2018-11-23</t>
  </si>
  <si>
    <t>1666075:eng</t>
  </si>
  <si>
    <t>569536</t>
  </si>
  <si>
    <t>ocm00569536</t>
  </si>
  <si>
    <t>3100250093O</t>
  </si>
  <si>
    <t>791417279</t>
  </si>
  <si>
    <t>UA25.5 W54 2011</t>
  </si>
  <si>
    <t>0                      UA 0025500W  54          2011</t>
  </si>
  <si>
    <t>Where might the U.S. Army budget go, and how might it get there? / Carter C. Price [and others].</t>
  </si>
  <si>
    <t>Occasional paper ; OP-331-A</t>
  </si>
  <si>
    <t>1031027213:eng</t>
  </si>
  <si>
    <t>758244216</t>
  </si>
  <si>
    <t>ocn758244216</t>
  </si>
  <si>
    <t>3103527179X</t>
  </si>
  <si>
    <t>9780833052346</t>
  </si>
  <si>
    <t>794896094</t>
  </si>
  <si>
    <t>UA26 A2 B35 2004</t>
  </si>
  <si>
    <t>0                      UA 0026000A  2                  B  35          2004</t>
  </si>
  <si>
    <t>American soldiers overseas : the global military presence / Anni P. Baker.</t>
  </si>
  <si>
    <t>Baker, Anni P.</t>
  </si>
  <si>
    <t>Westport, Conn. : Praeger, 2004.</t>
  </si>
  <si>
    <t>Perspectives on the twentieth century, 1538-9626</t>
  </si>
  <si>
    <t>995752:eng</t>
  </si>
  <si>
    <t>55700346</t>
  </si>
  <si>
    <t>ocm55700346</t>
  </si>
  <si>
    <t>3102405730H</t>
  </si>
  <si>
    <t>9780275973544</t>
  </si>
  <si>
    <t>793881374</t>
  </si>
  <si>
    <t>UA26 A2 B37 2009</t>
  </si>
  <si>
    <t>0                      UA 0026000A  2                  B  37          2009</t>
  </si>
  <si>
    <t>The bases of empire : the global struggle against U.S. military posts / edited by Catherine Lutz.</t>
  </si>
  <si>
    <t>Washington Square, N.Y. : New York University Press, ©2009.</t>
  </si>
  <si>
    <t>1064380187:eng</t>
  </si>
  <si>
    <t>237048416</t>
  </si>
  <si>
    <t>ocn237048416</t>
  </si>
  <si>
    <t>3103867243Z</t>
  </si>
  <si>
    <t>9780814752432</t>
  </si>
  <si>
    <t>794371843</t>
  </si>
  <si>
    <t>UA26 A2 C67 2008</t>
  </si>
  <si>
    <t>0                      UA 0026000A  2                  C  67          2008</t>
  </si>
  <si>
    <t>Base politics : democratic change and the U.S. military overseas / Alexander Cooley.</t>
  </si>
  <si>
    <t>Cooley, Alexander, 1972-</t>
  </si>
  <si>
    <t>2019-03-31</t>
  </si>
  <si>
    <t>856505353:eng</t>
  </si>
  <si>
    <t>174138973</t>
  </si>
  <si>
    <t>ocn174138973</t>
  </si>
  <si>
    <t>31028814845</t>
  </si>
  <si>
    <t>9780801446054</t>
  </si>
  <si>
    <t>794273705</t>
  </si>
  <si>
    <t>UA26 A2 L67 2013</t>
  </si>
  <si>
    <t>0                      UA 0026000A  2                  L  67          2013</t>
  </si>
  <si>
    <t>Overseas basing of U.S. military forces : an assessment of relative costs and strategic benefits / Michael J. Lostumbo, Michael J. McNerney, Eric Peltz, Derek Eaton, David R. Frelinger, Victoria A. Greenfield, John Halliday, Patrick Mills, Bruce R. Nardulli, Stacie L. Pettyjohn, Jerry M. Sollinger, Stephen M. Worman.</t>
  </si>
  <si>
    <t>Lostumbo, Michael.</t>
  </si>
  <si>
    <t>1218328404:eng</t>
  </si>
  <si>
    <t>835118379</t>
  </si>
  <si>
    <t>ocn835118379</t>
  </si>
  <si>
    <t>3103564559H</t>
  </si>
  <si>
    <t>9780833079145</t>
  </si>
  <si>
    <t>794944552</t>
  </si>
  <si>
    <t>UA26 A2 O94 2010</t>
  </si>
  <si>
    <t>0                      UA 0026000A  2                  O  94          2010</t>
  </si>
  <si>
    <t>Over there : living with the U.S. military empire from World War Two to the present / edited by Maria Höhn and Seungsook Moon.</t>
  </si>
  <si>
    <t>Durham [N.C.] : Duke University Press, 2010.</t>
  </si>
  <si>
    <t>2019-04-09</t>
  </si>
  <si>
    <t>1064550522:eng</t>
  </si>
  <si>
    <t>643082332</t>
  </si>
  <si>
    <t>ocn643082332</t>
  </si>
  <si>
    <t>31033121560</t>
  </si>
  <si>
    <t>9780822348184</t>
  </si>
  <si>
    <t>794828699</t>
  </si>
  <si>
    <t>UA26 A2 U75 2012</t>
  </si>
  <si>
    <t>0                      UA 0026000A  2                  U  75          2012</t>
  </si>
  <si>
    <t>U.S. overseas military presence : what are the strategic choices? / Lynn E. Davis [and others].</t>
  </si>
  <si>
    <t>1150626628:eng</t>
  </si>
  <si>
    <t>805701811</t>
  </si>
  <si>
    <t>ocn805701811</t>
  </si>
  <si>
    <t>3103441018V</t>
  </si>
  <si>
    <t>9780833073402</t>
  </si>
  <si>
    <t>794926398</t>
  </si>
  <si>
    <t>UA26 A2 Y46 2011</t>
  </si>
  <si>
    <t>0                      UA 0026000A  2                  Y  46          2011</t>
  </si>
  <si>
    <t>Activists, alliances, and anti-U.S. base protests / Andrew Yeo.</t>
  </si>
  <si>
    <t>Yeo, Andrew, 1978-</t>
  </si>
  <si>
    <t>Cambridge studies in contentious politics</t>
  </si>
  <si>
    <t>2017-10-18</t>
  </si>
  <si>
    <t>762048117:eng</t>
  </si>
  <si>
    <t>688559403</t>
  </si>
  <si>
    <t>ocn688559403</t>
  </si>
  <si>
    <t>31033640409</t>
  </si>
  <si>
    <t>9781107002470</t>
  </si>
  <si>
    <t>794854438</t>
  </si>
  <si>
    <t>UA26 A34 1990</t>
  </si>
  <si>
    <t>0                      UA 0026000A  34          1990</t>
  </si>
  <si>
    <t>U.S. bases overseas : negotiations with Spain, Greece, and the Philippines / edited by John W. McDonald, Jr. and Diane Bendahmane ; with a foreword by I. William Zartman.</t>
  </si>
  <si>
    <t>Boulder, Colo. : Westview Press, 1990.</t>
  </si>
  <si>
    <t>422864460:eng</t>
  </si>
  <si>
    <t>20932925</t>
  </si>
  <si>
    <t>ocm20932925</t>
  </si>
  <si>
    <t>3100879265X</t>
  </si>
  <si>
    <t>9780813378817</t>
  </si>
  <si>
    <t>793103470</t>
  </si>
  <si>
    <t>UA26 A6 C67</t>
  </si>
  <si>
    <t>0                      UA 0026000A  6                  C  67</t>
  </si>
  <si>
    <t>U.S. overseas bases : problems of projecting American military power abroad / Alvin J. Cottrell, Thomas H. Moorer.</t>
  </si>
  <si>
    <t>Cottrell, Alvin J.</t>
  </si>
  <si>
    <t>Beverly Hills [Calif.] : [Published for the Center for Strategic and International Studies, Georgetown University by] Sage Publications, ©1977.</t>
  </si>
  <si>
    <t>The Washington papers ; vol. V, 47</t>
  </si>
  <si>
    <t>2018-04-01</t>
  </si>
  <si>
    <t>836701585:eng</t>
  </si>
  <si>
    <t>3547296</t>
  </si>
  <si>
    <t>ocm03547296</t>
  </si>
  <si>
    <t>3102810165K</t>
  </si>
  <si>
    <t>9780803909526</t>
  </si>
  <si>
    <t>792267142</t>
  </si>
  <si>
    <t>UA26 A745 V64 2007</t>
  </si>
  <si>
    <t>0                      UA 0026000A  745                V  64          2007</t>
  </si>
  <si>
    <t>The Pentagon : a history : the untold story of the wartime race to build the Pentagon--and to restore it sixty years later / Steve Vogel.</t>
  </si>
  <si>
    <t>Vogel, Steve, 1960-</t>
  </si>
  <si>
    <t>New York : Random House, ©2007.</t>
  </si>
  <si>
    <t>197516540:eng</t>
  </si>
  <si>
    <t>74354090</t>
  </si>
  <si>
    <t>ocm74354090</t>
  </si>
  <si>
    <t>3102641149H</t>
  </si>
  <si>
    <t>9781400063031</t>
  </si>
  <si>
    <t>794172404</t>
  </si>
  <si>
    <t>UA26 E9 D85 1989</t>
  </si>
  <si>
    <t>0                      UA 0026000E  9                  D  85          1989</t>
  </si>
  <si>
    <t>United States military forces and installations in Europe / Simon Duke.</t>
  </si>
  <si>
    <t>Duke, Simon.</t>
  </si>
  <si>
    <t>21818185:eng</t>
  </si>
  <si>
    <t>20090314</t>
  </si>
  <si>
    <t>ocm20090314</t>
  </si>
  <si>
    <t>31037353115</t>
  </si>
  <si>
    <t>9780198291329</t>
  </si>
  <si>
    <t>793077108</t>
  </si>
  <si>
    <t>UA26 E9 E93 1990</t>
  </si>
  <si>
    <t>0                      UA 0026000E  9                  E  93          1990</t>
  </si>
  <si>
    <t>Europe after an American withdrawal : economic and military issues / edited by Jane M.O. Sharp.</t>
  </si>
  <si>
    <t>Oxford ; New York, N.Y. : Oxford University Press, 1990.</t>
  </si>
  <si>
    <t>SIPRI monograph</t>
  </si>
  <si>
    <t>2017-02-09</t>
  </si>
  <si>
    <t>165273385:eng</t>
  </si>
  <si>
    <t>25247824</t>
  </si>
  <si>
    <t>ocm25247824</t>
  </si>
  <si>
    <t>3100576559F</t>
  </si>
  <si>
    <t>9780198278368</t>
  </si>
  <si>
    <t>793215294</t>
  </si>
  <si>
    <t>UA26 E9 T73 2008</t>
  </si>
  <si>
    <t>0                      UA 0026000E  9                  T  73          2008</t>
  </si>
  <si>
    <t>The Cold War U.S. Army : building deterrence for limited war / Ingo Trauschweizer.</t>
  </si>
  <si>
    <t>Trauschweizer, Ingo.</t>
  </si>
  <si>
    <t>Lawrence, Kan. : University Press of Kansas, ©2008.</t>
  </si>
  <si>
    <t>866258231:eng</t>
  </si>
  <si>
    <t>180756981</t>
  </si>
  <si>
    <t>ocn180756981</t>
  </si>
  <si>
    <t>3102970702F</t>
  </si>
  <si>
    <t>9780700615780</t>
  </si>
  <si>
    <t>794280487</t>
  </si>
  <si>
    <t>UA26 G3 N45 1987</t>
  </si>
  <si>
    <t>0                      UA 0026000G  3                  N  45          1987</t>
  </si>
  <si>
    <t>A history of U.S. military forces in Germany / Daniel J. Nelson.</t>
  </si>
  <si>
    <t>Nelson, Daniel J.</t>
  </si>
  <si>
    <t>Boulder : Westview Press, 1987.</t>
  </si>
  <si>
    <t>Westview special studies in military affairs</t>
  </si>
  <si>
    <t>8179069:eng</t>
  </si>
  <si>
    <t>14212730</t>
  </si>
  <si>
    <t>ocm14212730</t>
  </si>
  <si>
    <t>3000525536Z</t>
  </si>
  <si>
    <t>9780813373331</t>
  </si>
  <si>
    <t>792882062</t>
  </si>
  <si>
    <t>UA26 J3 N57 2010</t>
  </si>
  <si>
    <t>0                      UA 0026000J  3                  N  57          2010</t>
  </si>
  <si>
    <t>Kimitsu o kaijiseyo : sabakareru Okinawa mitsuyaku / Nishiyama Takichi.</t>
  </si>
  <si>
    <t>Nishiyama, Takichi, 1931-</t>
  </si>
  <si>
    <t>Tōkyō : Iwanami Shoten, 2010.</t>
  </si>
  <si>
    <t>960183046:jpn</t>
  </si>
  <si>
    <t>704371319</t>
  </si>
  <si>
    <t>ocn704371319</t>
  </si>
  <si>
    <t>3103333285E</t>
  </si>
  <si>
    <t>9784000225809</t>
  </si>
  <si>
    <t>794865495</t>
  </si>
  <si>
    <t>UA26 L4 S35 2010</t>
  </si>
  <si>
    <t>0                      UA 0026000L  4                  S  35          2010</t>
  </si>
  <si>
    <t>America's school for war : Fort Leavenworth, officer education, and victory in World War II / Peter J. Schifferle.</t>
  </si>
  <si>
    <t>Schifferle, Peter J.</t>
  </si>
  <si>
    <t>Lawrence : University Press of Kansas, ©2010.</t>
  </si>
  <si>
    <t>796096972:eng</t>
  </si>
  <si>
    <t>461324087</t>
  </si>
  <si>
    <t>ocn461324087</t>
  </si>
  <si>
    <t>3103243876$</t>
  </si>
  <si>
    <t>9780700617142</t>
  </si>
  <si>
    <t>794791479</t>
  </si>
  <si>
    <t>UA26 O53 I56 2007</t>
  </si>
  <si>
    <t>0                      UA 0026000O  53                 I  56          2007</t>
  </si>
  <si>
    <t>Okinawa and the U.S. military : identity making in the Age of Globalization / Masamichi S. Inoue.</t>
  </si>
  <si>
    <t>Inoue, Masamichi S., 1962-</t>
  </si>
  <si>
    <t>52000687:eng</t>
  </si>
  <si>
    <t>68693981</t>
  </si>
  <si>
    <t>ocm68693981</t>
  </si>
  <si>
    <t>3102595976Q</t>
  </si>
  <si>
    <t>9780231138901</t>
  </si>
  <si>
    <t>794143836</t>
  </si>
  <si>
    <t>UA26 O53 K66 2010</t>
  </si>
  <si>
    <t>0                      UA 0026000O  53                 K  66          2010</t>
  </si>
  <si>
    <t>Nichi-Bei Anpo saihen to Okinawa : saishin Okinawa, Anpo, Jieitai jōhō / Konishi Makoto.</t>
  </si>
  <si>
    <t>Konishi, Makoto, 1949-</t>
  </si>
  <si>
    <t>Tōkyō : Shakai Hihyōsha, 2010.</t>
  </si>
  <si>
    <t>476033608:jpn</t>
  </si>
  <si>
    <t>606746630</t>
  </si>
  <si>
    <t>ocn606746630</t>
  </si>
  <si>
    <t>3103289848Z</t>
  </si>
  <si>
    <t>9784916117878</t>
  </si>
  <si>
    <t>794817129</t>
  </si>
  <si>
    <t>UA30 J532 2011</t>
  </si>
  <si>
    <t>0                      UA 0030000J  532         2011</t>
  </si>
  <si>
    <t>Heavy armor in the future security environment / David E. Johnson.</t>
  </si>
  <si>
    <t>Johnson, David E. (David Eugene), 1950-</t>
  </si>
  <si>
    <t>Occasional paper ; OP-334-A</t>
  </si>
  <si>
    <t>1056452094:eng</t>
  </si>
  <si>
    <t>765410045</t>
  </si>
  <si>
    <t>ocn765410045</t>
  </si>
  <si>
    <t>3103485133P</t>
  </si>
  <si>
    <t>9780833059703</t>
  </si>
  <si>
    <t>794900629</t>
  </si>
  <si>
    <t>UA34 S64 H64 2011</t>
  </si>
  <si>
    <t>0                      UA 0034000S  64                 H  64          2011</t>
  </si>
  <si>
    <t>The quiet professional : Major Richard J. Meadows of the U.S. Army special forces / Alan Hoe ; foreword by General Peter J. Schoomaker.</t>
  </si>
  <si>
    <t>Hoe, Alan.</t>
  </si>
  <si>
    <t>Lexington : University Press of Kentucky, ©2011.</t>
  </si>
  <si>
    <t>American warriors</t>
  </si>
  <si>
    <t>2012-01-10</t>
  </si>
  <si>
    <t>999711437:eng</t>
  </si>
  <si>
    <t>724674517</t>
  </si>
  <si>
    <t>ocn724674517</t>
  </si>
  <si>
    <t>3103383622Q</t>
  </si>
  <si>
    <t>9780813133997</t>
  </si>
  <si>
    <t>794876710</t>
  </si>
  <si>
    <t>UA34 S64 K43 2013</t>
  </si>
  <si>
    <t>0                      UA 0034000S  64                 K  43          2013</t>
  </si>
  <si>
    <t>An assessment of the Army's Tactical Human Optimization, Rapid Rehabilitation and Reconditioning program / Terrence K. Kelly, Ralph Masi, Brittian A. Walker, Steven A. Knapp, Kristin J. Leuschner ; prepared for the United States Army.</t>
  </si>
  <si>
    <t>Kelly, Terrence K.</t>
  </si>
  <si>
    <t>Technical report ; TR-1309-A</t>
  </si>
  <si>
    <t>1322128323:eng</t>
  </si>
  <si>
    <t>843228800</t>
  </si>
  <si>
    <t>ocn843228800</t>
  </si>
  <si>
    <t>3103518087Z</t>
  </si>
  <si>
    <t>9780833078346</t>
  </si>
  <si>
    <t>794948007</t>
  </si>
  <si>
    <t>UA42 A728 2013</t>
  </si>
  <si>
    <t>0                      UA 0042000A  728         2013</t>
  </si>
  <si>
    <t>A policy analysis of reserve retirement reform / Beth J. Asch, James Hosek, Michael G. Mattock.</t>
  </si>
  <si>
    <t>Asch, Beth J.</t>
  </si>
  <si>
    <t>Santa Monica : RAND, [2013]</t>
  </si>
  <si>
    <t>1203089995:eng</t>
  </si>
  <si>
    <t>824610054</t>
  </si>
  <si>
    <t>ocn824610054</t>
  </si>
  <si>
    <t>3103141580K</t>
  </si>
  <si>
    <t>9780833078094</t>
  </si>
  <si>
    <t>794938013</t>
  </si>
  <si>
    <t>UA42 C74 2012</t>
  </si>
  <si>
    <t>0                      UA 0042000C  74          2012</t>
  </si>
  <si>
    <t>A cost-benefit analysis of the National Guard Youth ChalleNGe Program / Francisco Perez-Arce [and others].</t>
  </si>
  <si>
    <t>RAND Corporation technical report series</t>
  </si>
  <si>
    <t>1080516472:eng</t>
  </si>
  <si>
    <t>777251279</t>
  </si>
  <si>
    <t>ocn777251279</t>
  </si>
  <si>
    <t>3103527186V</t>
  </si>
  <si>
    <t>9780833060303</t>
  </si>
  <si>
    <t>794908614</t>
  </si>
  <si>
    <t>UA42 L54 2010</t>
  </si>
  <si>
    <t>0                      UA 0042000L  54          2010</t>
  </si>
  <si>
    <t>Reserve component unit stability : effects on deployability and training / Thomas F. Lippiatt, J. Michael Polich.</t>
  </si>
  <si>
    <t>Lippiatt, Thomas F., 1940-</t>
  </si>
  <si>
    <t>506717597:eng</t>
  </si>
  <si>
    <t>645790031</t>
  </si>
  <si>
    <t>ocn645790031</t>
  </si>
  <si>
    <t>31032995472</t>
  </si>
  <si>
    <t>9780833049629</t>
  </si>
  <si>
    <t>794829841</t>
  </si>
  <si>
    <t>UA42 M39 2012</t>
  </si>
  <si>
    <t>0                      UA 0042000M  39          2012</t>
  </si>
  <si>
    <t>Reserve participation and cost under a new approach to reserve compensation / Michael G. Mattock, James Hosek, Beth J. Asch ; prepared for the Office of the Secretary of Defense.</t>
  </si>
  <si>
    <t>Mattock, Michael G., 1961-</t>
  </si>
  <si>
    <t>Santa Monica, CA : Rand Corporation, ©2012.</t>
  </si>
  <si>
    <t>1122325278:eng</t>
  </si>
  <si>
    <t>800042990</t>
  </si>
  <si>
    <t>ocn800042990</t>
  </si>
  <si>
    <t>31034678630</t>
  </si>
  <si>
    <t>9780833058942</t>
  </si>
  <si>
    <t>794924485</t>
  </si>
  <si>
    <t>UA42 P48 2012</t>
  </si>
  <si>
    <t>0                      UA 0042000P  48          2012</t>
  </si>
  <si>
    <t>National Guard Special Forces : enhancing the contributions of Reserve Component Army Special Operations Forces / John E. Peters, Brian Shannon, Matthew E. Boyer.</t>
  </si>
  <si>
    <t>Peters, John E., 1947-</t>
  </si>
  <si>
    <t>Technical report ; TR-1199-A</t>
  </si>
  <si>
    <t>1166610173:eng</t>
  </si>
  <si>
    <t>809250639</t>
  </si>
  <si>
    <t>ocn809250639</t>
  </si>
  <si>
    <t>3103484420M</t>
  </si>
  <si>
    <t>9780833060129</t>
  </si>
  <si>
    <t>794928221</t>
  </si>
  <si>
    <t>UA70 B37 1982</t>
  </si>
  <si>
    <t>0                      UA 0070000B  37          1982</t>
  </si>
  <si>
    <t>Army, aristocracy, monarchy : essays on war, society, and government in Austria, 1618-1780 / Thomas M. Barker.</t>
  </si>
  <si>
    <t>Barker, Thomas Mack.</t>
  </si>
  <si>
    <t>Boulder : Social Science Monographs ; New York : Distributed by Columbia University Press, 1982.</t>
  </si>
  <si>
    <t>East European monographs ; no. 106</t>
  </si>
  <si>
    <t>807398420:eng</t>
  </si>
  <si>
    <t>8727283</t>
  </si>
  <si>
    <t>ocm08727283</t>
  </si>
  <si>
    <t>3102740153D</t>
  </si>
  <si>
    <t>9780930888145</t>
  </si>
  <si>
    <t>792637728</t>
  </si>
  <si>
    <t>UA565 W6 M67 1990</t>
  </si>
  <si>
    <t>0                      UA 0565000W  6                  M  67          1990</t>
  </si>
  <si>
    <t>The Women's Army Corps, 1945-1978 / by Bettie J. Morden.</t>
  </si>
  <si>
    <t>Morden, Bettie J., 1921-</t>
  </si>
  <si>
    <t>Washington, D.C. : Center of Military History, U.S. Army : For sale by the Supt. of Docs., U.S. G.P.O., 1990.</t>
  </si>
  <si>
    <t>Army historical series</t>
  </si>
  <si>
    <t>2017-01-17</t>
  </si>
  <si>
    <t>17703159:eng</t>
  </si>
  <si>
    <t>20055841</t>
  </si>
  <si>
    <t>ocm20055841</t>
  </si>
  <si>
    <t>3101184321Z</t>
  </si>
  <si>
    <t>9780160020025</t>
  </si>
  <si>
    <t>793076114</t>
  </si>
  <si>
    <t>UA583 I8 S419 1998</t>
  </si>
  <si>
    <t>0                      UA 0583000I  8                  S  419         1998</t>
  </si>
  <si>
    <t>Security concerns : insights from the Israeli experience / edited by Daniel Bar-Tal, Dan Jacobson, and Aharon Klieman.</t>
  </si>
  <si>
    <t>Stamford, Conn. : JAI Press, ©1998.</t>
  </si>
  <si>
    <t>Contemporary studies in sociology ; v. 17</t>
  </si>
  <si>
    <t>837037512:eng</t>
  </si>
  <si>
    <t>40589249</t>
  </si>
  <si>
    <t>ocm40589249</t>
  </si>
  <si>
    <t>3101950493P</t>
  </si>
  <si>
    <t>9780762304684</t>
  </si>
  <si>
    <t>793570501</t>
  </si>
  <si>
    <t>UA600 B425 2005</t>
  </si>
  <si>
    <t>0                      UA 0600000B  425         2005</t>
  </si>
  <si>
    <t>Professional ideology and the profession of arms in Canada / Bill Bentley.</t>
  </si>
  <si>
    <t>Bentley, Bill, 1947-</t>
  </si>
  <si>
    <t>Toronto : Canadian Institute of Strategic Studies, ©2005.</t>
  </si>
  <si>
    <t>19929229:eng</t>
  </si>
  <si>
    <t>58728962</t>
  </si>
  <si>
    <t>ocm58728962</t>
  </si>
  <si>
    <t>3102502257Y</t>
  </si>
  <si>
    <t>9781894736077</t>
  </si>
  <si>
    <t>793923711</t>
  </si>
  <si>
    <t>UA600 B43 1996</t>
  </si>
  <si>
    <t>0                      UA 0600000B  43          1996</t>
  </si>
  <si>
    <t>Significant incident : Canada's army, the Airborne, and the murder in Somalia / David Bercuson.</t>
  </si>
  <si>
    <t>Bercuson, David Jay, 1945-</t>
  </si>
  <si>
    <t>Toronto : M&amp;S, c1996.</t>
  </si>
  <si>
    <t>41253566:eng</t>
  </si>
  <si>
    <t>35978181</t>
  </si>
  <si>
    <t>ocm35978181</t>
  </si>
  <si>
    <t>31029449352</t>
  </si>
  <si>
    <t>9780771011139</t>
  </si>
  <si>
    <t>793463131</t>
  </si>
  <si>
    <t>UA600 B489 2016</t>
  </si>
  <si>
    <t>0                      UA 0600000B  489         2016</t>
  </si>
  <si>
    <t>Beyond Afghanistan : an international security agenda for Canada / edited by James Fergusson and Francis Furtado.</t>
  </si>
  <si>
    <t>2018-07-11</t>
  </si>
  <si>
    <t>2957770673:eng</t>
  </si>
  <si>
    <t>933273547</t>
  </si>
  <si>
    <t>ocn933273547</t>
  </si>
  <si>
    <t>3103645801Q</t>
  </si>
  <si>
    <t>9780774831987</t>
  </si>
  <si>
    <t>795008966</t>
  </si>
  <si>
    <t>UA600 B543 2011</t>
  </si>
  <si>
    <t>0                      UA 0600000B  543         2011</t>
  </si>
  <si>
    <t>Let sleeping dogs lie : the influence of external studies and reports on National Defence policy -- 2000 to 2006 / Douglas L. Bland, Richard Shimooka.</t>
  </si>
  <si>
    <t>Bland, Douglas.</t>
  </si>
  <si>
    <t>Kingston, Ont. : Defence Management Studies Program, School of Policy Studies, Queen's University, c2011.</t>
  </si>
  <si>
    <t>The Claxton papers, 1491-137X ; 15</t>
  </si>
  <si>
    <t>902768800:eng</t>
  </si>
  <si>
    <t>726556386</t>
  </si>
  <si>
    <t>ocn726556386</t>
  </si>
  <si>
    <t>3103326027P</t>
  </si>
  <si>
    <t>9781553393146</t>
  </si>
  <si>
    <t>794877201</t>
  </si>
  <si>
    <t>UA600 C23 1990</t>
  </si>
  <si>
    <t>0                      UA 0600000C  23          1990</t>
  </si>
  <si>
    <t>Arctic leverage : Canadian sovereignty and security / Nathaniel French Caldwell, Jr. ; foreword by Robert Hofford.</t>
  </si>
  <si>
    <t>Caldwell, Nathaniel French.</t>
  </si>
  <si>
    <t>2567188:eng</t>
  </si>
  <si>
    <t>21081102</t>
  </si>
  <si>
    <t>ocm21081102</t>
  </si>
  <si>
    <t>3100708364B</t>
  </si>
  <si>
    <t>9780275934538</t>
  </si>
  <si>
    <t>793108803</t>
  </si>
  <si>
    <t>UA600 C343 2013</t>
  </si>
  <si>
    <t>0                      UA 0600000C  343         2013</t>
  </si>
  <si>
    <t>Unlikely diplomats : the Canadian brigade in Germany, 1951-64 / Isabel Campbell.</t>
  </si>
  <si>
    <t>Campbell, Isabel (Historian), author.</t>
  </si>
  <si>
    <t>Vancouver, British Columbia : UBC Press, [2013]</t>
  </si>
  <si>
    <t>1744411636:eng</t>
  </si>
  <si>
    <t>858117357</t>
  </si>
  <si>
    <t>ocn858117357</t>
  </si>
  <si>
    <t>3103493521I</t>
  </si>
  <si>
    <t>9780774825634</t>
  </si>
  <si>
    <t>794955822</t>
  </si>
  <si>
    <t>UA600 C344 2004</t>
  </si>
  <si>
    <t>0                      UA 0600000C  344         2004</t>
  </si>
  <si>
    <t>Canada without armed forces? / edited by Douglas L. Bland.</t>
  </si>
  <si>
    <t>Montreal : Published for the School of Policy Studies, Queen's University by McGill-Queen's University Press, ©2004.</t>
  </si>
  <si>
    <t>Queen's policy studies</t>
  </si>
  <si>
    <t>2015-04-10</t>
  </si>
  <si>
    <t>354995767:eng</t>
  </si>
  <si>
    <t>54415688</t>
  </si>
  <si>
    <t>ocm54415688</t>
  </si>
  <si>
    <t>31024462446</t>
  </si>
  <si>
    <t>9781553390374</t>
  </si>
  <si>
    <t>793861340</t>
  </si>
  <si>
    <t>UA600 C3455 2012</t>
  </si>
  <si>
    <t>0                      UA 0600000C  3455        2012</t>
  </si>
  <si>
    <t>Canada's national security in the post-9/11 world : strategy, interests, and threats / edited by David S. McDonough.</t>
  </si>
  <si>
    <t>Toronto ; Burfalo : University of Toronto Press, ©2012.</t>
  </si>
  <si>
    <t>1048951875:eng</t>
  </si>
  <si>
    <t>762958654</t>
  </si>
  <si>
    <t>ocn762958654</t>
  </si>
  <si>
    <t>3103326950T</t>
  </si>
  <si>
    <t>9781442641358</t>
  </si>
  <si>
    <t>794900062</t>
  </si>
  <si>
    <t>UA600 C354 2002</t>
  </si>
  <si>
    <t>0                      UA 0600000C  354         2002</t>
  </si>
  <si>
    <t>The Canadian Forces and interoperability : panacea or perdition? / edited by Ann L. Griffiths.</t>
  </si>
  <si>
    <t>Halifax, N.S. : Centre for Foreign Policy Studies, Dalhousie University, 2002.</t>
  </si>
  <si>
    <t>2017-12-01</t>
  </si>
  <si>
    <t>896307634:eng</t>
  </si>
  <si>
    <t>51203462</t>
  </si>
  <si>
    <t>ocm51203462</t>
  </si>
  <si>
    <t>3102629736G</t>
  </si>
  <si>
    <t>9781896440408</t>
  </si>
  <si>
    <t>793780265</t>
  </si>
  <si>
    <t>UA600 C368 2006</t>
  </si>
  <si>
    <t>0                      UA 0600000C  368         2006</t>
  </si>
  <si>
    <t>The Canadian way of war : serving the national interest / edited by Bernd Horn.</t>
  </si>
  <si>
    <t>Toronto : Dundurn Press, ©2006.</t>
  </si>
  <si>
    <t>867060713:eng</t>
  </si>
  <si>
    <t>71243517</t>
  </si>
  <si>
    <t>ocm71243517</t>
  </si>
  <si>
    <t>31025527132</t>
  </si>
  <si>
    <t>9781550026122</t>
  </si>
  <si>
    <t>794164107</t>
  </si>
  <si>
    <t>UA600 C7</t>
  </si>
  <si>
    <t>0                      UA 0600000C  7</t>
  </si>
  <si>
    <t>An introduction to Canadian defence policy / by Brian Crane.</t>
  </si>
  <si>
    <t>Crane, Brian.</t>
  </si>
  <si>
    <t>Toronto : Canadian Institute of International Affairs, [1964]</t>
  </si>
  <si>
    <t>2016-03-08</t>
  </si>
  <si>
    <t>14802940:eng</t>
  </si>
  <si>
    <t>4558023</t>
  </si>
  <si>
    <t>ocm04558023</t>
  </si>
  <si>
    <t>30001663616</t>
  </si>
  <si>
    <t>792362550</t>
  </si>
  <si>
    <t>30003622933</t>
  </si>
  <si>
    <t>792362549</t>
  </si>
  <si>
    <t>UA600 C76 1998</t>
  </si>
  <si>
    <t>0                      UA 0600000C  76          1998</t>
  </si>
  <si>
    <t>Dilemmas in defence decision-making : constructing Canada's role in NORAD, 1958-96 / Ann Denholm Crosby.</t>
  </si>
  <si>
    <t>Crosby, Ann Denholm, 1943-</t>
  </si>
  <si>
    <t>Basingstoke [England] : Macmillan Press, 1998.</t>
  </si>
  <si>
    <t>International political economy series</t>
  </si>
  <si>
    <t>837005543:eng</t>
  </si>
  <si>
    <t>145428662</t>
  </si>
  <si>
    <t>ocn145428662</t>
  </si>
  <si>
    <t>3101898271N</t>
  </si>
  <si>
    <t>9780333689479</t>
  </si>
  <si>
    <t>794239648</t>
  </si>
  <si>
    <t>UA600 D493</t>
  </si>
  <si>
    <t>0                      UA 0600000D  493</t>
  </si>
  <si>
    <t>A study of Canadian-American defence policy, 1945-1975 : northern issues and strategic resources / by R.J. Diubaldo and S.J. Scheinberg.</t>
  </si>
  <si>
    <t>Diubaldo, Richard J.</t>
  </si>
  <si>
    <t>Ottawa, Canada : Operational Research and Analysis Establishment, Dept. of National Defence, [1978]</t>
  </si>
  <si>
    <t>ORAE extra-mural paper ; no. 6</t>
  </si>
  <si>
    <t>2018-11-07</t>
  </si>
  <si>
    <t>224933205:eng</t>
  </si>
  <si>
    <t>10245416</t>
  </si>
  <si>
    <t>ocm10245416</t>
  </si>
  <si>
    <t>3000315013D</t>
  </si>
  <si>
    <t>792716231</t>
  </si>
  <si>
    <t>UA600 E54 2004</t>
  </si>
  <si>
    <t>0                      UA 0600000E  54          2004</t>
  </si>
  <si>
    <t>Understanding military culture : a Canadian perspective / Allan D. English.</t>
  </si>
  <si>
    <t>English, Allan D. (Allan Douglas), 1949-</t>
  </si>
  <si>
    <t>Montreal : McGill-Queen's University Press, ©2004.</t>
  </si>
  <si>
    <t>2015-10-23</t>
  </si>
  <si>
    <t>793980833:eng</t>
  </si>
  <si>
    <t>52920276</t>
  </si>
  <si>
    <t>ocm52920276</t>
  </si>
  <si>
    <t>3102997527G</t>
  </si>
  <si>
    <t>9780773526648</t>
  </si>
  <si>
    <t>793817243</t>
  </si>
  <si>
    <t>UA600 E96 2011</t>
  </si>
  <si>
    <t>0                      UA 0600000E  96          2011</t>
  </si>
  <si>
    <t>Evolving transnational threats and border security / edited by Christian Leuprecht, Todd Hataley, Kim Richard Nossal.</t>
  </si>
  <si>
    <t>Kingston, Ont. : Centre for International and Defence Policy, Queen's University, 2012.</t>
  </si>
  <si>
    <t>Martello paper series, 1183-3661 ; 37</t>
  </si>
  <si>
    <t>1120948684:eng</t>
  </si>
  <si>
    <t>781556156</t>
  </si>
  <si>
    <t>ocn781556156</t>
  </si>
  <si>
    <t>31035247270</t>
  </si>
  <si>
    <t>9781553393542</t>
  </si>
  <si>
    <t>794912881</t>
  </si>
  <si>
    <t>UA600 E97 1981</t>
  </si>
  <si>
    <t>0                      UA 0600000E  97          1981</t>
  </si>
  <si>
    <t>Custos borealis : the military in the Canadian North / by Kenneth Charles Eyre.</t>
  </si>
  <si>
    <t>Eyre, Kenneth Charles.</t>
  </si>
  <si>
    <t>[London, England] : [publisher not identified], 1981.</t>
  </si>
  <si>
    <t>2016-04-11</t>
  </si>
  <si>
    <t>197480445:eng</t>
  </si>
  <si>
    <t>61592586</t>
  </si>
  <si>
    <t>ocm61592586</t>
  </si>
  <si>
    <t>3103636157S</t>
  </si>
  <si>
    <t>Book_thsis</t>
  </si>
  <si>
    <t>794031775</t>
  </si>
  <si>
    <t>UA600 F673 2015</t>
  </si>
  <si>
    <t>0                      UA 0600000F  673         2015</t>
  </si>
  <si>
    <t>Un Canada errant sur le sentier de la guerre / Martin Forgues.</t>
  </si>
  <si>
    <t>Forgues, Martin, 1980-</t>
  </si>
  <si>
    <t>Montréal, Québec : Poètes de brousse, [2015]</t>
  </si>
  <si>
    <t>Essai libre</t>
  </si>
  <si>
    <t>2882128754:fre</t>
  </si>
  <si>
    <t>928986401</t>
  </si>
  <si>
    <t>ocn928986401</t>
  </si>
  <si>
    <t>3103644553O</t>
  </si>
  <si>
    <t>9782923338910</t>
  </si>
  <si>
    <t>795006432</t>
  </si>
  <si>
    <t>UA600 G63 2014</t>
  </si>
  <si>
    <t>0                      UA 0600000G  63          2014</t>
  </si>
  <si>
    <t>In peace prepared : innovation and adaptation in Canada's Cold War army / Andrew B. Godefroy.</t>
  </si>
  <si>
    <t>Godefroy, Andrew B., 1972- author.</t>
  </si>
  <si>
    <t>Vancouver, BC : UBC Press, [2014]</t>
  </si>
  <si>
    <t>1415554118:eng</t>
  </si>
  <si>
    <t>862781681</t>
  </si>
  <si>
    <t>ocn862781681</t>
  </si>
  <si>
    <t>3103495228J</t>
  </si>
  <si>
    <t>9780774827027</t>
  </si>
  <si>
    <t>794960574</t>
  </si>
  <si>
    <t>UA600 G7 2011</t>
  </si>
  <si>
    <t>0                      UA 0600000G  7           2011</t>
  </si>
  <si>
    <t>Canada's army : waging war and keeping the peace / J.L. Granatstein.</t>
  </si>
  <si>
    <t>Granatstein, J. L.</t>
  </si>
  <si>
    <t>Toronto ; Buffalo : University of Toronto Press, 2011.</t>
  </si>
  <si>
    <t>838319996:eng</t>
  </si>
  <si>
    <t>687885926</t>
  </si>
  <si>
    <t>ocn687885926</t>
  </si>
  <si>
    <t>3103267720N</t>
  </si>
  <si>
    <t>9781442611788</t>
  </si>
  <si>
    <t>794854210</t>
  </si>
  <si>
    <t>UA600 G73 2004</t>
  </si>
  <si>
    <t>0                      UA 0600000G  73          2004</t>
  </si>
  <si>
    <t>Canada's army : waging war and keeping the peace / J.L. Granatstein ; with a new introduction.</t>
  </si>
  <si>
    <t>Toronto ; Buffalo : University of Toronto Press, ©2004.</t>
  </si>
  <si>
    <t>2016-03-09</t>
  </si>
  <si>
    <t>56011480</t>
  </si>
  <si>
    <t>ocm56011480</t>
  </si>
  <si>
    <t>3102689618U</t>
  </si>
  <si>
    <t>9780802086969</t>
  </si>
  <si>
    <t>793885792</t>
  </si>
  <si>
    <t>UA600 G732 2004</t>
  </si>
  <si>
    <t>0                      UA 0600000G  732         2004</t>
  </si>
  <si>
    <t>Who killed the Canadian military? / J.L. Granatstein.</t>
  </si>
  <si>
    <t>Toronto : HarperFlamingoCanada, c2004.</t>
  </si>
  <si>
    <t>2019-12-03</t>
  </si>
  <si>
    <t>721396:eng</t>
  </si>
  <si>
    <t>53162897</t>
  </si>
  <si>
    <t>ocm53162897</t>
  </si>
  <si>
    <t>3102784977N</t>
  </si>
  <si>
    <t>9780002006750</t>
  </si>
  <si>
    <t>793822862</t>
  </si>
  <si>
    <t>2018-05-18</t>
  </si>
  <si>
    <t>31023616686</t>
  </si>
  <si>
    <t>793822863</t>
  </si>
  <si>
    <t>UA600 G86 1984</t>
  </si>
  <si>
    <t>0                      UA 0600000G  86          1984</t>
  </si>
  <si>
    <t>Guns and butter : defence and the Canadian economy / edited by Brian Macdonald.</t>
  </si>
  <si>
    <t>Toronto, Canada : Canadian Institute of Strategic Studies, ©1984.</t>
  </si>
  <si>
    <t>Proceedings ; Spring 1984</t>
  </si>
  <si>
    <t>894522518:eng</t>
  </si>
  <si>
    <t>11930402</t>
  </si>
  <si>
    <t>ocm11930402</t>
  </si>
  <si>
    <t>3000376359A</t>
  </si>
  <si>
    <t>9780919769182</t>
  </si>
  <si>
    <t>792794154</t>
  </si>
  <si>
    <t>UA600 H665 2015</t>
  </si>
  <si>
    <t>0                      UA 0600000H  665         2015</t>
  </si>
  <si>
    <t>Forced to change : crisis and reform in the Canadian armed forces / Colonel Bernd Horn, Dr. Bill Bentley ; foreword by Lieutenant-General (ret) Romeo Dallaire.</t>
  </si>
  <si>
    <t>Horn, Bernd, 1959- author.</t>
  </si>
  <si>
    <t>Toronto : Dundurn, 2015.</t>
  </si>
  <si>
    <t>2251691462:eng</t>
  </si>
  <si>
    <t>879246396</t>
  </si>
  <si>
    <t>ocn879246396</t>
  </si>
  <si>
    <t>3103644925D</t>
  </si>
  <si>
    <t>9781459727847</t>
  </si>
  <si>
    <t>794971838</t>
  </si>
  <si>
    <t>UA600 I568 2010</t>
  </si>
  <si>
    <t>0                      UA 0600000I  568         2010</t>
  </si>
  <si>
    <t>Integrated capstone concept.</t>
  </si>
  <si>
    <t>Ottawa, Ontario : Chief of Force Development, National Defense Headquarters, ©2010.</t>
  </si>
  <si>
    <t>770202533:eng</t>
  </si>
  <si>
    <t>699809626</t>
  </si>
  <si>
    <t>ocn699809626</t>
  </si>
  <si>
    <t>3103256305B</t>
  </si>
  <si>
    <t>9781100164564</t>
  </si>
  <si>
    <t>794861630</t>
  </si>
  <si>
    <t>UA600 I8 2011</t>
  </si>
  <si>
    <t>0                      UA 0600000I  8           2011</t>
  </si>
  <si>
    <t>Is there life abroad after Afghanistan? : the future of Canadian expeditionary operations / edited by Ann L. Griffiths.</t>
  </si>
  <si>
    <t>Halifax, N.S. : Centre for Foreign Policy Studies, Dalhousie University, c2011.</t>
  </si>
  <si>
    <t>896355748:eng</t>
  </si>
  <si>
    <t>720811187</t>
  </si>
  <si>
    <t>ocn720811187</t>
  </si>
  <si>
    <t>3103325507I</t>
  </si>
  <si>
    <t>9781896440651</t>
  </si>
  <si>
    <t>794875174</t>
  </si>
  <si>
    <t>UA600 J43 2015</t>
  </si>
  <si>
    <t>0                      UA 0600000J  43          2015</t>
  </si>
  <si>
    <t>Counterterrorism and identities : Canadian viewpoints / Jack Jedwab.</t>
  </si>
  <si>
    <t>Jedwab, Jack, 1958- author.</t>
  </si>
  <si>
    <t>Westmount, QC : Linda Leith Publishing, [2015]</t>
  </si>
  <si>
    <t>2535602020:eng</t>
  </si>
  <si>
    <t>910531025</t>
  </si>
  <si>
    <t>ocn910531025</t>
  </si>
  <si>
    <t>3103496917X</t>
  </si>
  <si>
    <t>9781927535868</t>
  </si>
  <si>
    <t>794996280</t>
  </si>
  <si>
    <t>UA600 J623 2007</t>
  </si>
  <si>
    <t>0                      UA 0600000J  623         2007</t>
  </si>
  <si>
    <t>Canada in NORAD, 1957-2007 : a history / Joseph T. Jockel.</t>
  </si>
  <si>
    <t>Jockel, Joseph T., 1952-</t>
  </si>
  <si>
    <t>Montreal : Published for Queen's Centre for International Relations &amp; the Queen's Defence Management Program by McGill-Queen's University Press, c2007.</t>
  </si>
  <si>
    <t>196602526:eng</t>
  </si>
  <si>
    <t>166687888</t>
  </si>
  <si>
    <t>ocn166687888</t>
  </si>
  <si>
    <t>31027051837</t>
  </si>
  <si>
    <t>9781553391340</t>
  </si>
  <si>
    <t>794262047</t>
  </si>
  <si>
    <t>UA600 L38 1990</t>
  </si>
  <si>
    <t>0                      UA 0600000L  38          1990</t>
  </si>
  <si>
    <t>Changing the guard : Canada's defence in a world in transition / Howard Peter Langille.</t>
  </si>
  <si>
    <t>Langille, Howard Peter.</t>
  </si>
  <si>
    <t>Toronto ; Buffalo : University of Toronto Press, ©1990.</t>
  </si>
  <si>
    <t>284996537:eng</t>
  </si>
  <si>
    <t>21910985</t>
  </si>
  <si>
    <t>ocm21910985</t>
  </si>
  <si>
    <t>3100486491O</t>
  </si>
  <si>
    <t>9780802058706</t>
  </si>
  <si>
    <t>793130171</t>
  </si>
  <si>
    <t>UA600 L68 1999</t>
  </si>
  <si>
    <t>0                      UA 0600000L  68          1999</t>
  </si>
  <si>
    <t>A call to arms : the organization and administration of Canada's military in World War One / David William Love.</t>
  </si>
  <si>
    <t>Love, David W. (David William)</t>
  </si>
  <si>
    <t>Winnipeg : Bunker to Bunker Books, 1999.</t>
  </si>
  <si>
    <t>1811054245:eng</t>
  </si>
  <si>
    <t>46769775</t>
  </si>
  <si>
    <t>ocm46769775</t>
  </si>
  <si>
    <t>3101982799A</t>
  </si>
  <si>
    <t>9781894255035</t>
  </si>
  <si>
    <t>793690965</t>
  </si>
  <si>
    <t>UA600 L687 2012</t>
  </si>
  <si>
    <t>0                      UA 0600000L  687         2012</t>
  </si>
  <si>
    <t>A nation in making : the organization and administration of Canada's military in World War One / David W. Love.</t>
  </si>
  <si>
    <t>Ottawa : Service Publications, 2012.</t>
  </si>
  <si>
    <t>1120945520:eng</t>
  </si>
  <si>
    <t>700677991</t>
  </si>
  <si>
    <t>ocn700677991</t>
  </si>
  <si>
    <t>B001496085</t>
  </si>
  <si>
    <t>9781894581721</t>
  </si>
  <si>
    <t>794862161</t>
  </si>
  <si>
    <t>B001483646</t>
  </si>
  <si>
    <t>794862162</t>
  </si>
  <si>
    <t>UA600 M25 2005</t>
  </si>
  <si>
    <t>0                      UA 0600000M  25          2005</t>
  </si>
  <si>
    <t>The roots of soft power : the Trudeau government, de-NATOization, and denuclearization, 1967-1970 / Sean M. Maloney.</t>
  </si>
  <si>
    <t>Maloney, Sean M., 1967-</t>
  </si>
  <si>
    <t>Kingston, Ont. : Centre for International Relations, Queen's University, 2005.</t>
  </si>
  <si>
    <t>Martello papers ; 27</t>
  </si>
  <si>
    <t>2017-01-09</t>
  </si>
  <si>
    <t>20381796:eng</t>
  </si>
  <si>
    <t>59338839</t>
  </si>
  <si>
    <t>ocm59338839</t>
  </si>
  <si>
    <t>3102523640A</t>
  </si>
  <si>
    <t>9781553390831</t>
  </si>
  <si>
    <t>793929308</t>
  </si>
  <si>
    <t>2009-04-01</t>
  </si>
  <si>
    <t>3102511792A</t>
  </si>
  <si>
    <t>793929309</t>
  </si>
  <si>
    <t>UA600 M29 1992</t>
  </si>
  <si>
    <t>0                      UA 0600000M  29          1992</t>
  </si>
  <si>
    <t>We stand on guard : an illustrated history of the Canadian Army / by John Marteinson ; with Brereton Greenhous [and others].</t>
  </si>
  <si>
    <t>Marteinson, J. K., 1938-</t>
  </si>
  <si>
    <t>Montreal, Canada : Ovale, ©1992.</t>
  </si>
  <si>
    <t>2018-01-25</t>
  </si>
  <si>
    <t>2233098878:eng</t>
  </si>
  <si>
    <t>30547639</t>
  </si>
  <si>
    <t>ocm30547639</t>
  </si>
  <si>
    <t>3100996319W</t>
  </si>
  <si>
    <t>9782894290439</t>
  </si>
  <si>
    <t>793338612</t>
  </si>
  <si>
    <t>UA600 M64 2011</t>
  </si>
  <si>
    <t>0                      UA 0600000M  64          2011</t>
  </si>
  <si>
    <t>Canadian Forces : an historical salute to those on the front line / Art Montague.</t>
  </si>
  <si>
    <t>Montague, Art.</t>
  </si>
  <si>
    <t>Lunenburg, N.S. : MacIntyre Purcell Pub., ©2011.</t>
  </si>
  <si>
    <t>2012-03-24</t>
  </si>
  <si>
    <t>908581044:eng</t>
  </si>
  <si>
    <t>729990842</t>
  </si>
  <si>
    <t>ocn729990842</t>
  </si>
  <si>
    <t>3103326110O</t>
  </si>
  <si>
    <t>9781926916095</t>
  </si>
  <si>
    <t>794879777</t>
  </si>
  <si>
    <t>UA600 N482 2004</t>
  </si>
  <si>
    <t>0                      UA 0600000N  482         2004</t>
  </si>
  <si>
    <t>The new security environment : is the Canadian military up to the challenge? / edited by David Rudd, David S. McDonough.</t>
  </si>
  <si>
    <t>Toronto : Canadian Institute of Strategic Studies, ©2004.</t>
  </si>
  <si>
    <t>Canadian strategic forecast ; 2004</t>
  </si>
  <si>
    <t>145596153:eng</t>
  </si>
  <si>
    <t>54460896</t>
  </si>
  <si>
    <t>ocm54460896</t>
  </si>
  <si>
    <t>31023897550</t>
  </si>
  <si>
    <t>9781894736053</t>
  </si>
  <si>
    <t>793862281</t>
  </si>
  <si>
    <t>UA600 O96 1991</t>
  </si>
  <si>
    <t>0                      UA 0600000O  96          1991</t>
  </si>
  <si>
    <t>Abandoned military installations of Canada / [Paul Ozorak].</t>
  </si>
  <si>
    <t>Ozorak, Paul.</t>
  </si>
  <si>
    <t>[Ottawa] : P. Ozorak, &lt;©1998-&gt;</t>
  </si>
  <si>
    <t>2011-03-24</t>
  </si>
  <si>
    <t>2015-08-12</t>
  </si>
  <si>
    <t>8909054967:eng</t>
  </si>
  <si>
    <t>41531133</t>
  </si>
  <si>
    <t>ocm41531133</t>
  </si>
  <si>
    <t>3102910757Z</t>
  </si>
  <si>
    <t>9780969512721</t>
  </si>
  <si>
    <t>793593541</t>
  </si>
  <si>
    <t>3101894683K</t>
  </si>
  <si>
    <t>793593540</t>
  </si>
  <si>
    <t>UA600 P53 2010</t>
  </si>
  <si>
    <t>0                      UA 0600000P  53          2010</t>
  </si>
  <si>
    <t>The politics of procurement : military acquisition in Canada and the Sea King helicopter / Aaron Plamondon.</t>
  </si>
  <si>
    <t>Plamondon, Aaron, 1975-</t>
  </si>
  <si>
    <t>Vancouver : UBC Press, ©2010.</t>
  </si>
  <si>
    <t>2017-02-01</t>
  </si>
  <si>
    <t>330520273:eng</t>
  </si>
  <si>
    <t>445229890</t>
  </si>
  <si>
    <t>ocn445229890</t>
  </si>
  <si>
    <t>3103072266K</t>
  </si>
  <si>
    <t>9780774817141</t>
  </si>
  <si>
    <t>794787163</t>
  </si>
  <si>
    <t>UA600 P83 2009</t>
  </si>
  <si>
    <t>0                      UA 0600000P  83          2009</t>
  </si>
  <si>
    <t>Public management of defence in Canada / edited by Craig Stone.</t>
  </si>
  <si>
    <t>Toronto : Breakout Educational Network in association with the School of Policy Studies, Queen's University, 2009.</t>
  </si>
  <si>
    <t>2017-05-02</t>
  </si>
  <si>
    <t>1220231123:eng</t>
  </si>
  <si>
    <t>316666818</t>
  </si>
  <si>
    <t>ocn316666818</t>
  </si>
  <si>
    <t>3102709409Z</t>
  </si>
  <si>
    <t>9780978169367</t>
  </si>
  <si>
    <t>794449301</t>
  </si>
  <si>
    <t>UA600 R519 2012</t>
  </si>
  <si>
    <t>0                      UA 0600000R  519         2012</t>
  </si>
  <si>
    <t>What we talk about when we talk about war / Noah Richler.</t>
  </si>
  <si>
    <t>Richler, Noah.</t>
  </si>
  <si>
    <t>Fredericton, N.B. : Goose Lane Editions, c2012.</t>
  </si>
  <si>
    <t>The Antonine Maillet-Northrop Frye lecture</t>
  </si>
  <si>
    <t>767216579:eng</t>
  </si>
  <si>
    <t>694678327</t>
  </si>
  <si>
    <t>ocn694678327</t>
  </si>
  <si>
    <t>31034957410</t>
  </si>
  <si>
    <t>9780864926227</t>
  </si>
  <si>
    <t>794857848</t>
  </si>
  <si>
    <t>UA600 S24 2011</t>
  </si>
  <si>
    <t>0                      UA 0600000S  24          2011</t>
  </si>
  <si>
    <t>"A safe and secure Canada" : politique et enjeux sécuritaires au Canada depuis le 11 septembre 2001 / Eric Tabuteau et Sandrine Tolazzi (dirs.).</t>
  </si>
  <si>
    <t>Brussels ; New York : P.I.E. Peter Lang, ©2011.</t>
  </si>
  <si>
    <t>Canadian studies ; no. 22 = Études canadiennes ; no. 22</t>
  </si>
  <si>
    <t>796369323:fre</t>
  </si>
  <si>
    <t>705717134</t>
  </si>
  <si>
    <t>ocn705717134</t>
  </si>
  <si>
    <t>3103363044D</t>
  </si>
  <si>
    <t>9789052017150</t>
  </si>
  <si>
    <t>794866336</t>
  </si>
  <si>
    <t>UA600 S43 2011</t>
  </si>
  <si>
    <t>0                      UA 0600000S  43          2011</t>
  </si>
  <si>
    <t>Security operations in the 21st century : Canadian perspectives on the comprehensive approach / edited by Michael Rostek and Peter Gizewski.</t>
  </si>
  <si>
    <t>Kingston, Ont. : Queen's Centre for International Relations, c2011.</t>
  </si>
  <si>
    <t>2012-03-10</t>
  </si>
  <si>
    <t>812120000:eng</t>
  </si>
  <si>
    <t>706910337</t>
  </si>
  <si>
    <t>ocn706910337</t>
  </si>
  <si>
    <t>3103325435F</t>
  </si>
  <si>
    <t>9781553393511</t>
  </si>
  <si>
    <t>794867250</t>
  </si>
  <si>
    <t>UA600 V36 1988</t>
  </si>
  <si>
    <t>0                      UA 0600000V  36          1988</t>
  </si>
  <si>
    <t>Canada : the strategic and military pawn / Gerard S. Vano.</t>
  </si>
  <si>
    <t>Vano, Gerard S., 1943-</t>
  </si>
  <si>
    <t>New York : Praeger, 1988.</t>
  </si>
  <si>
    <t>2564469:eng</t>
  </si>
  <si>
    <t>16712069</t>
  </si>
  <si>
    <t>ocm16712069</t>
  </si>
  <si>
    <t>30005345228</t>
  </si>
  <si>
    <t>9780275928766</t>
  </si>
  <si>
    <t>792969636</t>
  </si>
  <si>
    <t>- Binding and Repair</t>
  </si>
  <si>
    <t>UA600 W3x</t>
  </si>
  <si>
    <t>0                      UA 0600000W  3x</t>
  </si>
  <si>
    <t>Partner to behemoth; the military policy of a satellite Canada [by] John W. Warnock.</t>
  </si>
  <si>
    <t>Warnock, John W., 1933-</t>
  </si>
  <si>
    <t>Toronto, Chicago, New Press [1970]</t>
  </si>
  <si>
    <t>2003-11-10</t>
  </si>
  <si>
    <t>2019-08-20</t>
  </si>
  <si>
    <t>196509950:eng</t>
  </si>
  <si>
    <t>119636</t>
  </si>
  <si>
    <t>ocm00119636</t>
  </si>
  <si>
    <t>3100844880J</t>
  </si>
  <si>
    <t>9780887700651</t>
  </si>
  <si>
    <t>791262866</t>
  </si>
  <si>
    <t>2012-03-30</t>
  </si>
  <si>
    <t>30002510518</t>
  </si>
  <si>
    <t>791262864</t>
  </si>
  <si>
    <t>3000251050A</t>
  </si>
  <si>
    <t>791262865</t>
  </si>
  <si>
    <t>UA600.6 A7 C36 2010</t>
  </si>
  <si>
    <t>0                      UA 0600600A  7                  C  36          2010</t>
  </si>
  <si>
    <t>The Canadian Forces and Arctic sovereignty : debating roles, interests, and requirements, 1968-1974 / compiled and introduced by P. Whitney Lackenbauer and Peter Kikkert.</t>
  </si>
  <si>
    <t>Waterloo, Ont. : Laurier Centre for Military Strategic and Disarmament Studies, ©2010.</t>
  </si>
  <si>
    <t>379676320:eng</t>
  </si>
  <si>
    <t>507352272</t>
  </si>
  <si>
    <t>ocn507352272</t>
  </si>
  <si>
    <t>3103073017W</t>
  </si>
  <si>
    <t>9781926804002</t>
  </si>
  <si>
    <t>794807834</t>
  </si>
  <si>
    <t>UA601.2 S46</t>
  </si>
  <si>
    <t>0                      UA 0601200S  46</t>
  </si>
  <si>
    <t>British regulars in Montreal : an imperial garrison, 1832-1854 / Elinor Kyte Senior.</t>
  </si>
  <si>
    <t>Senior, Elinor Kyte.</t>
  </si>
  <si>
    <t>Montreal : McGill-Queen's University Press, 1981.</t>
  </si>
  <si>
    <t>2016-04-01</t>
  </si>
  <si>
    <t>196729100:eng</t>
  </si>
  <si>
    <t>7832450</t>
  </si>
  <si>
    <t>ocm07832450</t>
  </si>
  <si>
    <t>3000318327C</t>
  </si>
  <si>
    <t>9780773503724</t>
  </si>
  <si>
    <t>792582163</t>
  </si>
  <si>
    <t>3102934289I</t>
  </si>
  <si>
    <t>792582162</t>
  </si>
  <si>
    <t>UA601.2 S49</t>
  </si>
  <si>
    <t>0                      UA 0601200S  49</t>
  </si>
  <si>
    <t>Roots of the Canadian Army : Montreal District, 1846-1870 / Elinor Kyte Senior.</t>
  </si>
  <si>
    <t>Montreal, Quebec : Historical Publications, Society of the Montreal Military &amp; Maritime Museum, ©1981.</t>
  </si>
  <si>
    <t>2014-10-12</t>
  </si>
  <si>
    <t>2016-02-13</t>
  </si>
  <si>
    <t>309181661:eng</t>
  </si>
  <si>
    <t>9197718</t>
  </si>
  <si>
    <t>ocm09197718</t>
  </si>
  <si>
    <t>3000327976B</t>
  </si>
  <si>
    <t>9780969095118</t>
  </si>
  <si>
    <t>792663521</t>
  </si>
  <si>
    <t>3102767839W</t>
  </si>
  <si>
    <t>792663522</t>
  </si>
  <si>
    <t>UA602 B54 C437 2012</t>
  </si>
  <si>
    <t>0                      UA 0602000B  54                 C  437         2012</t>
  </si>
  <si>
    <t>Canada's Black Watch, 1862-2012 : legacies of gallantry and service / Earl John Chapman.</t>
  </si>
  <si>
    <t>Chapman, Earl John, author.</t>
  </si>
  <si>
    <t>[Ottawa] : Royal Highlanders of Canada, [2012]</t>
  </si>
  <si>
    <t>2016-02-18</t>
  </si>
  <si>
    <t>1413274850:eng</t>
  </si>
  <si>
    <t>862074094</t>
  </si>
  <si>
    <t>ocn862074094</t>
  </si>
  <si>
    <t>3103514929$</t>
  </si>
  <si>
    <t>9780978250737</t>
  </si>
  <si>
    <t>794959965</t>
  </si>
  <si>
    <t>UA602 B54 H8</t>
  </si>
  <si>
    <t>0                      UA 0602000B  54                 H  8</t>
  </si>
  <si>
    <t>Canada's Black Watch : the first hundred years, 1862-1962.</t>
  </si>
  <si>
    <t>Hutchison, Paul P. (Paul Phelps), 1895-1978.</t>
  </si>
  <si>
    <t>Montreal : Black Watch (R.H.R.) of Canada, [©1962]</t>
  </si>
  <si>
    <t>2010-04-13</t>
  </si>
  <si>
    <t>2018-05-30</t>
  </si>
  <si>
    <t>11573482:eng</t>
  </si>
  <si>
    <t>18674563</t>
  </si>
  <si>
    <t>ocm18674563</t>
  </si>
  <si>
    <t>31002123078</t>
  </si>
  <si>
    <t>793033025</t>
  </si>
  <si>
    <t>3103147150E</t>
  </si>
  <si>
    <t>793033024</t>
  </si>
  <si>
    <t>UA602 B59 H88 2011</t>
  </si>
  <si>
    <t>0                      UA 0602000B  59                 H  88          2011</t>
  </si>
  <si>
    <t>The 73rd Battalion : Royal Highlanders of Canada, 1915-1917 / by Colonel Paul P. Hutchison.</t>
  </si>
  <si>
    <t>Montreal : Royal Highlanders of Canada, 2011.</t>
  </si>
  <si>
    <t>4133304488:eng</t>
  </si>
  <si>
    <t>842836963</t>
  </si>
  <si>
    <t>ocn842836963</t>
  </si>
  <si>
    <t>3103481160Z</t>
  </si>
  <si>
    <t>9780978250720</t>
  </si>
  <si>
    <t>794947577</t>
  </si>
  <si>
    <t>UA602 C175 R49 2011</t>
  </si>
  <si>
    <t>0                      UA 0602000C  175                R  49          2011</t>
  </si>
  <si>
    <t>Capital soldiers : the history of the Cameron Highlanders of Ottawa / Kenneth W. Reynolds.</t>
  </si>
  <si>
    <t>Reynolds, Kenneth W. (Kenneth William), 1967-</t>
  </si>
  <si>
    <t>Ottawa : Cameron Highlanders of Ottawa, 2011.</t>
  </si>
  <si>
    <t>1009022334:eng</t>
  </si>
  <si>
    <t>751635114</t>
  </si>
  <si>
    <t>ocn751635114</t>
  </si>
  <si>
    <t>3103402741K</t>
  </si>
  <si>
    <t>9780987755902</t>
  </si>
  <si>
    <t>794890495</t>
  </si>
  <si>
    <t>UA602 C27 P38 2009</t>
  </si>
  <si>
    <t>0                      UA 0602000C  27                 P  38          2009</t>
  </si>
  <si>
    <t>Soldiers of the Queen : the Canadian Grenadier Guards of Montreal, 1859-2009 / William J. Patterson.</t>
  </si>
  <si>
    <t>Patterson, William J. (William John), 1930-</t>
  </si>
  <si>
    <t>[Montréal] : Canadian Grenadier Guards Corp., c2009.</t>
  </si>
  <si>
    <t>330520552:eng</t>
  </si>
  <si>
    <t>445230183</t>
  </si>
  <si>
    <t>ocn445230183</t>
  </si>
  <si>
    <t>3103326003T</t>
  </si>
  <si>
    <t>9780981359601</t>
  </si>
  <si>
    <t>794787170</t>
  </si>
  <si>
    <t>UA602 C29454 L33 2013</t>
  </si>
  <si>
    <t>0                      UA 0602000C  29454              L  33          2013</t>
  </si>
  <si>
    <t>The Canadian Rangers : a living history / P. Whitney Lackenbauer.</t>
  </si>
  <si>
    <t>Lackenbauer, P. Whitney, author.</t>
  </si>
  <si>
    <t>Vancouver ; Toronto : UBC Press, [2013]</t>
  </si>
  <si>
    <t>Studies in Canadian military history series, 1499-6251</t>
  </si>
  <si>
    <t>1204228948:eng</t>
  </si>
  <si>
    <t>825161146</t>
  </si>
  <si>
    <t>ocn825161146</t>
  </si>
  <si>
    <t>3103423637B</t>
  </si>
  <si>
    <t>9780774824521</t>
  </si>
  <si>
    <t>794938515</t>
  </si>
  <si>
    <t>UA602 C295 C65 1983</t>
  </si>
  <si>
    <t>0                      UA 0602000C  295                C  65          1983</t>
  </si>
  <si>
    <t>Athene goddess of war : the Canadian Women's Army Corps, their story / W. Hugh Conrod ; with a foreword by Margaret (Eaton) Dunn.</t>
  </si>
  <si>
    <t>Conrod, W. Hugh.</t>
  </si>
  <si>
    <t>Dartmouth, N.S. : Writing &amp; Editorial Services, 1983.</t>
  </si>
  <si>
    <t>2017-03-09</t>
  </si>
  <si>
    <t>1027256801:eng</t>
  </si>
  <si>
    <t>10613062</t>
  </si>
  <si>
    <t>ocm10613062</t>
  </si>
  <si>
    <t>3102721244I</t>
  </si>
  <si>
    <t>9780969149200</t>
  </si>
  <si>
    <t>792734423</t>
  </si>
  <si>
    <t>UA602 C355 J27 2016</t>
  </si>
  <si>
    <t>0                      UA 0602000C  355                J  27          2016</t>
  </si>
  <si>
    <t>Letters from Beauly : Pat Hennessy and the Canadian Forestry Corps in Scotland, 1940-1945 / Melynda Jarratt.</t>
  </si>
  <si>
    <t>Jarratt, Melynda.</t>
  </si>
  <si>
    <t>Fredericton, New Brunswick : Goose Lane Editions and the Gregg Centre for the Study of War and Society, [2016]</t>
  </si>
  <si>
    <t>New Brunswick Military Heritage Series ; v. 23</t>
  </si>
  <si>
    <t>3897037390:eng</t>
  </si>
  <si>
    <t>928577271</t>
  </si>
  <si>
    <t>ocn928577271</t>
  </si>
  <si>
    <t>31036462976</t>
  </si>
  <si>
    <t>9780864928931</t>
  </si>
  <si>
    <t>795006254</t>
  </si>
  <si>
    <t>UA602 C36 C365 2013</t>
  </si>
  <si>
    <t>0                      UA 0602000C  36                 C  365         2013</t>
  </si>
  <si>
    <t>Canada's Rangers : selected stories, 1942-2012 / compiled and introduced by P. Whitney Lackenbauer.</t>
  </si>
  <si>
    <t>Kingston, Ont. : Canadian Defence Academy Press, ©2013.</t>
  </si>
  <si>
    <t>1414769462:eng</t>
  </si>
  <si>
    <t>827828680</t>
  </si>
  <si>
    <t>ocn827828680</t>
  </si>
  <si>
    <t>31035137317</t>
  </si>
  <si>
    <t>9781100215709</t>
  </si>
  <si>
    <t>794940297</t>
  </si>
  <si>
    <t>UA602 C68 R83 1986</t>
  </si>
  <si>
    <t>0                      UA 0602000C  68                 R  83          1986</t>
  </si>
  <si>
    <t>Canada's Black Battalion : No. 2 Construction, 1916-1920 / by Calvin W. Ruck.</t>
  </si>
  <si>
    <t>Ruck, Calvin W. (Calvin Woodrow), 1925-</t>
  </si>
  <si>
    <t>Halifax, N.S. : Society for the Protection and Preservation of Black Culture in N.S., 1986.</t>
  </si>
  <si>
    <t>9762913:eng</t>
  </si>
  <si>
    <t>15300950</t>
  </si>
  <si>
    <t>ocm15300950</t>
  </si>
  <si>
    <t>3000485575X</t>
  </si>
  <si>
    <t>9780921201007</t>
  </si>
  <si>
    <t>792927325</t>
  </si>
  <si>
    <t>UA602 F57 B4</t>
  </si>
  <si>
    <t>0                      UA 0602000F  57                 B  4</t>
  </si>
  <si>
    <t>Canada in Flanders / by Sir Max Aitken, M.P. ; with a preface by the Rt. Hon. A Bonar Law and introd. by the Rt. Hon. Sir Robert Borden.</t>
  </si>
  <si>
    <t>Beaverbrook, Lord, 1879-1964.</t>
  </si>
  <si>
    <t>London ; Toronto : Hodder and Stoughton, 1916-1918.</t>
  </si>
  <si>
    <t>1916</t>
  </si>
  <si>
    <t>The Official story of the Canadian expeditionary force ; vol. 1-3</t>
  </si>
  <si>
    <t>2136329:eng</t>
  </si>
  <si>
    <t>221299004</t>
  </si>
  <si>
    <t>ocn221299004</t>
  </si>
  <si>
    <t>3100844882F</t>
  </si>
  <si>
    <t>794325781</t>
  </si>
  <si>
    <t>2009-01-19</t>
  </si>
  <si>
    <t>3100213807K</t>
  </si>
  <si>
    <t>794325785</t>
  </si>
  <si>
    <t>2006-03-26</t>
  </si>
  <si>
    <t>3100844883D</t>
  </si>
  <si>
    <t>794325783</t>
  </si>
  <si>
    <t>3100136221U</t>
  </si>
  <si>
    <t>794325782</t>
  </si>
  <si>
    <t>UA602 G7 B7x</t>
  </si>
  <si>
    <t>0                      UA 0602000G  7                  B  7x</t>
  </si>
  <si>
    <t>A brief outline of the story of the Canadian Grenadier Guards and the first months of the Royal Montreal Regiment in the Great War; told in an anthology of verse and prose. Comp. by an officer of the Guards ...</t>
  </si>
  <si>
    <t>Canada. Canadian Army. Canadian Grenadier Guards.</t>
  </si>
  <si>
    <t>[Montreal], [Gazette Print. Co.], [1926]</t>
  </si>
  <si>
    <t>2003-11-18</t>
  </si>
  <si>
    <t>38290900:eng</t>
  </si>
  <si>
    <t>26092170</t>
  </si>
  <si>
    <t>ocm26092170</t>
  </si>
  <si>
    <t>30005569154</t>
  </si>
  <si>
    <t>793237028</t>
  </si>
  <si>
    <t>31017032441</t>
  </si>
  <si>
    <t>793237029</t>
  </si>
  <si>
    <t>UA602 P75 B47 2001</t>
  </si>
  <si>
    <t>0                      UA 0602000P  75                 B  47          2001</t>
  </si>
  <si>
    <t>The Patricias : the proud history of a fighting regiment / David J. Bercuson.</t>
  </si>
  <si>
    <t>Bercuson, David Jay.</t>
  </si>
  <si>
    <t>Toronto : Stoddart, ©2001.</t>
  </si>
  <si>
    <t>9826986809:eng</t>
  </si>
  <si>
    <t>46620380</t>
  </si>
  <si>
    <t>ocm46620380</t>
  </si>
  <si>
    <t>3102150417F</t>
  </si>
  <si>
    <t>9780773732988</t>
  </si>
  <si>
    <t>793687590</t>
  </si>
  <si>
    <t>UA602 Q42 B87 2010</t>
  </si>
  <si>
    <t>0                      UA 0602000Q  42                 B  87          2010</t>
  </si>
  <si>
    <t>Winnipeg's ladies from hell : how the Queen's Own Cameron Highlanders of Canada fought, remembered and grew in the regiment's first century of war and peace / Murray Burt.</t>
  </si>
  <si>
    <t>Burt, Murray.</t>
  </si>
  <si>
    <t>[Winnipeg : The Queen's Own Cameron Highlanders of Canada Centenary, 2010]</t>
  </si>
  <si>
    <t>2012-02-24</t>
  </si>
  <si>
    <t>448850380:eng</t>
  </si>
  <si>
    <t>578105332</t>
  </si>
  <si>
    <t>ocn578105332</t>
  </si>
  <si>
    <t>3103325701C</t>
  </si>
  <si>
    <t>9780969224716</t>
  </si>
  <si>
    <t>794814063</t>
  </si>
  <si>
    <t>UA602 R52 M37 2000</t>
  </si>
  <si>
    <t>0                      UA 0602000R  52                 M  37          2000</t>
  </si>
  <si>
    <t>The Royal Canadian Armoured Corps : an illustrated history / John Marteinson &amp; Michael R. McNorgan ; with Sean Maloney ; foreword by Desmond Morton ; maps and drawings by Christopher Johnson.</t>
  </si>
  <si>
    <t>Marteinson, J. K. (John Kristjan), 1939-</t>
  </si>
  <si>
    <t>Toronto : Robin Brass Studio, 2000.</t>
  </si>
  <si>
    <t>34354241:eng</t>
  </si>
  <si>
    <t>44905970</t>
  </si>
  <si>
    <t>ocm44905970</t>
  </si>
  <si>
    <t>3102106040$</t>
  </si>
  <si>
    <t>9781896941172</t>
  </si>
  <si>
    <t>793660245</t>
  </si>
  <si>
    <t>UA602 R55 K4</t>
  </si>
  <si>
    <t>0                      UA 0602000R  55                 K  4</t>
  </si>
  <si>
    <t>The history of the Corps of Royal Canadian Engineers, by A.J. Kerry and W.A. McDill. Maps drawn by P. Heinrichs.</t>
  </si>
  <si>
    <t>Kerry, Armine John, 1905-</t>
  </si>
  <si>
    <t>Ottawa, Military Engineers Association of Canada, 1962-66.</t>
  </si>
  <si>
    <t>2019-04-15</t>
  </si>
  <si>
    <t>9116433:eng</t>
  </si>
  <si>
    <t>3226041</t>
  </si>
  <si>
    <t>ocm03226041</t>
  </si>
  <si>
    <t>3100844884B</t>
  </si>
  <si>
    <t>9780968206300</t>
  </si>
  <si>
    <t>792232111</t>
  </si>
  <si>
    <t>3100250186H</t>
  </si>
  <si>
    <t>792232112</t>
  </si>
  <si>
    <t>UA602 R58 H673 2011</t>
  </si>
  <si>
    <t>0                      UA 0602000R  58                 H  673         2011</t>
  </si>
  <si>
    <t>From Cold War to New Millennium : the history of the Royal Canadian Regiment, 1953-2008 / Bernd Horn ; foreword by Tom de Faye.</t>
  </si>
  <si>
    <t>Horn, Bernd, 1959-</t>
  </si>
  <si>
    <t>Toronto : Dundurn Press, c2011.</t>
  </si>
  <si>
    <t>755843128:eng</t>
  </si>
  <si>
    <t>681501264</t>
  </si>
  <si>
    <t>ocn681501264</t>
  </si>
  <si>
    <t>3103325356E</t>
  </si>
  <si>
    <t>9781554888955</t>
  </si>
  <si>
    <t>794852187</t>
  </si>
  <si>
    <t>UA602 R59 G74 2012</t>
  </si>
  <si>
    <t>0                      UA 0602000R  59                 G  74          2012</t>
  </si>
  <si>
    <t>The fighting Rileys : 150 years service to Canada : the history of the Royal Hamilton Light Infantry (Wentworth Regiment) 1862-2012 / revised and edited by Shelagh Whitaker ; new materials provided by David Kielstra MA (chapters 20-25), Prof. Terry Copp (chapters 14 &amp; 16), Maj Mike Rehill CD (The regimental music).</t>
  </si>
  <si>
    <t>Whitaker, Shelagh, author, editor.</t>
  </si>
  <si>
    <t>[Waterloo, Ontario] : Laurier Centre for Military Strategic and Disarmament Studies ; Hamilton, Ontario, Canada : The RHLI Regimental Senate, [2012]</t>
  </si>
  <si>
    <t>1184564342:eng</t>
  </si>
  <si>
    <t>819846476</t>
  </si>
  <si>
    <t>ocn819846476</t>
  </si>
  <si>
    <t>3103494039R</t>
  </si>
  <si>
    <t>9781926804125</t>
  </si>
  <si>
    <t>794934914</t>
  </si>
  <si>
    <t>UA602 R6 F35 2008</t>
  </si>
  <si>
    <t>0                      UA 0602000R  6                  F  35          2008</t>
  </si>
  <si>
    <t>Canada's Black Watch : an illustrated history of the Regular Force battalions, 1951-1970 / by Simon Falconer.</t>
  </si>
  <si>
    <t>Falconer, Simon.</t>
  </si>
  <si>
    <t>Fredericton, N.B. : Goose Lane Editions, ©2008.</t>
  </si>
  <si>
    <t>138963431:eng</t>
  </si>
  <si>
    <t>232131201</t>
  </si>
  <si>
    <t>ocn232131201</t>
  </si>
  <si>
    <t>3103032883I</t>
  </si>
  <si>
    <t>9780864925213</t>
  </si>
  <si>
    <t>794359519</t>
  </si>
  <si>
    <t>UA602 R6 P4</t>
  </si>
  <si>
    <t>0                      UA 0602000R  6                  P  4</t>
  </si>
  <si>
    <t>Royal Rifles of Canada, "able and willing" since 1862 : a short history / by Arthur G. Penny.</t>
  </si>
  <si>
    <t>Penny, Arthur Guy, 1886-</t>
  </si>
  <si>
    <t>[Quebec] : [Royal Rifles of Canada], [1962]</t>
  </si>
  <si>
    <t>27185706:eng</t>
  </si>
  <si>
    <t>41779977</t>
  </si>
  <si>
    <t>ocm41779977</t>
  </si>
  <si>
    <t>3000728620H</t>
  </si>
  <si>
    <t>793597370</t>
  </si>
  <si>
    <t>UA602 R66 S59 2011</t>
  </si>
  <si>
    <t>0                      UA 0602000R  66                 S  59          2011</t>
  </si>
  <si>
    <t>6e Bataillon, Royal 22e Régiment, 1956-2006 / rédaction des textes, Pierre Carpentier [and 3 others].</t>
  </si>
  <si>
    <t>Carpentier, Pierre, author.</t>
  </si>
  <si>
    <t>[Saint-Hyacinthe, Québec?] : Corporation de l'arsenal inc., [2011]</t>
  </si>
  <si>
    <t>1169835319:fre</t>
  </si>
  <si>
    <t>877972732</t>
  </si>
  <si>
    <t>ocn877972732</t>
  </si>
  <si>
    <t>31035166270</t>
  </si>
  <si>
    <t>9782981217301</t>
  </si>
  <si>
    <t>794971168</t>
  </si>
  <si>
    <t>UA602 R66 S8x</t>
  </si>
  <si>
    <t>0                      UA 0602000R  66                 S  8x</t>
  </si>
  <si>
    <t>The Royal Canadian Regiment.</t>
  </si>
  <si>
    <t>Montreal : Gazette Printing Co., 1936-1967.</t>
  </si>
  <si>
    <t>1936</t>
  </si>
  <si>
    <t>10412093:eng</t>
  </si>
  <si>
    <t>61587367</t>
  </si>
  <si>
    <t>ocm61587367</t>
  </si>
  <si>
    <t>3000557430N</t>
  </si>
  <si>
    <t>794025124</t>
  </si>
  <si>
    <t>UA602 R67 R44 2010</t>
  </si>
  <si>
    <t>0                      UA 0602000R  67                 R  44          2010</t>
  </si>
  <si>
    <t>Named by the enemy : a history of the Royal Winnipeg Rifles / Brian A. Reid.</t>
  </si>
  <si>
    <t>Reid, Brian A.</t>
  </si>
  <si>
    <t>[Montréal] : Published for the Royal Winnipeg Rifles by R. Brass Studio, c2010.</t>
  </si>
  <si>
    <t>900779514:eng</t>
  </si>
  <si>
    <t>468102783</t>
  </si>
  <si>
    <t>ocn468102783</t>
  </si>
  <si>
    <t>3103267396L</t>
  </si>
  <si>
    <t>9781896941608</t>
  </si>
  <si>
    <t>794795291</t>
  </si>
  <si>
    <t>UA602.13 B43 C425 2006</t>
  </si>
  <si>
    <t>0                      UA 0602130B  43                 C  425         2006</t>
  </si>
  <si>
    <t>The black Watch of Canada : the early years, 1862-1878 / Earl John Chapman.</t>
  </si>
  <si>
    <t>Chapman, Earl John.</t>
  </si>
  <si>
    <t>Montréal : Black Watch (Royal Highland Regiment), 2006.</t>
  </si>
  <si>
    <t>Heritage series ; no. 1</t>
  </si>
  <si>
    <t>378586400:eng</t>
  </si>
  <si>
    <t>506121988</t>
  </si>
  <si>
    <t>ocn506121988</t>
  </si>
  <si>
    <t>3103300129J</t>
  </si>
  <si>
    <t>794807690</t>
  </si>
  <si>
    <t>UA602.13 B43 C43 2008</t>
  </si>
  <si>
    <t>0                      UA 0602130B  43                 C  43          2008</t>
  </si>
  <si>
    <t>Not every one a castle : regimental homes of Canada's Black Watch, 1862-1906 / Earl John Chapman.</t>
  </si>
  <si>
    <t>Montréal : Regimental Museum and Archives, Black Watch of Canada Foundation, 2008.</t>
  </si>
  <si>
    <t>Heritage series ; no. 2</t>
  </si>
  <si>
    <t>194001447:eng</t>
  </si>
  <si>
    <t>316162042</t>
  </si>
  <si>
    <t>ocn316162042</t>
  </si>
  <si>
    <t>31033779530</t>
  </si>
  <si>
    <t>9780978250706</t>
  </si>
  <si>
    <t>794445725</t>
  </si>
  <si>
    <t>UA602.3 L37 1986</t>
  </si>
  <si>
    <t>0                      UA 0602300L  37          1986</t>
  </si>
  <si>
    <t>The Latin American military institution / edited by Robert Wesson ; co-authors, Gene E. Bigler [and others].</t>
  </si>
  <si>
    <t>New York : Praeger, 1986.</t>
  </si>
  <si>
    <t>Praeger special studies Praeger scientific</t>
  </si>
  <si>
    <t>430781111:eng</t>
  </si>
  <si>
    <t>12943506</t>
  </si>
  <si>
    <t>ocm12943506</t>
  </si>
  <si>
    <t>30005254249</t>
  </si>
  <si>
    <t>9780275920845</t>
  </si>
  <si>
    <t>792833927</t>
  </si>
  <si>
    <t>UA602.3 P64</t>
  </si>
  <si>
    <t>0                      UA 0602300P  64</t>
  </si>
  <si>
    <t>The Politics of antipolitics : the military in Latin America / edited by Brian Loveman and Thomas M. Davies, Jr.</t>
  </si>
  <si>
    <t>Lincoln : University of Nebraska Press, ©1978.</t>
  </si>
  <si>
    <t>2018-03-10</t>
  </si>
  <si>
    <t>5612773999:eng</t>
  </si>
  <si>
    <t>3481265</t>
  </si>
  <si>
    <t>ocm03481265</t>
  </si>
  <si>
    <t>3103336492V</t>
  </si>
  <si>
    <t>9780803209541</t>
  </si>
  <si>
    <t>792259775</t>
  </si>
  <si>
    <t>31026407591</t>
  </si>
  <si>
    <t>792259774</t>
  </si>
  <si>
    <t>3102640764$</t>
  </si>
  <si>
    <t>792259773</t>
  </si>
  <si>
    <t>UA605 M55 V56 2001</t>
  </si>
  <si>
    <t>0                      UA 0605000M  55                 V  56          2001</t>
  </si>
  <si>
    <t>Bearing arms for his majesty : the free-colored militia in colonial Mexico / Ben Vinson III.</t>
  </si>
  <si>
    <t>Vinson, Ben, III.</t>
  </si>
  <si>
    <t>Stanford, Calif. : Stanford University Press, 2001.</t>
  </si>
  <si>
    <t>35081313:eng</t>
  </si>
  <si>
    <t>46402081</t>
  </si>
  <si>
    <t>ocm46402081</t>
  </si>
  <si>
    <t>3102823718W</t>
  </si>
  <si>
    <t>9780804742290</t>
  </si>
  <si>
    <t>793684118</t>
  </si>
  <si>
    <t>UA625 R33 2001</t>
  </si>
  <si>
    <t>0                      UA 0625000R  33          2001</t>
  </si>
  <si>
    <t>Colombian labyrinth : the synergy of drugs and insurgency and its implications for regional stability / Angel Rabasa, Peter Chalk.</t>
  </si>
  <si>
    <t>Santa Monica, CA : Rand, 2001.</t>
  </si>
  <si>
    <t>2018-11-20</t>
  </si>
  <si>
    <t>429989:eng</t>
  </si>
  <si>
    <t>46809621</t>
  </si>
  <si>
    <t>ocm46809621</t>
  </si>
  <si>
    <t>31021554015</t>
  </si>
  <si>
    <t>9780585388687</t>
  </si>
  <si>
    <t>793691925</t>
  </si>
  <si>
    <t>UA646 B375 2010</t>
  </si>
  <si>
    <t>0                      UA 0646000B  375         2010</t>
  </si>
  <si>
    <t>The EU and the European security order : interfacing security actors / Rikard Bengtsson.</t>
  </si>
  <si>
    <t>Bengtsson, Rikard.</t>
  </si>
  <si>
    <t>London ; New York : Routledge, 2010.</t>
  </si>
  <si>
    <t>802369316:eng</t>
  </si>
  <si>
    <t>311036609</t>
  </si>
  <si>
    <t>ocn311036609</t>
  </si>
  <si>
    <t>3102859602Z</t>
  </si>
  <si>
    <t>9780415497237</t>
  </si>
  <si>
    <t>794435867</t>
  </si>
  <si>
    <t>UA646 B765 2000</t>
  </si>
  <si>
    <t>0                      UA 0646000B  765         2000</t>
  </si>
  <si>
    <t>European security into the twenty-first century : beyond traditional theories of international relations / Adam Bronstone.</t>
  </si>
  <si>
    <t>Bronstone, Adam, 1969-</t>
  </si>
  <si>
    <t>Aldershot, Hants, England ; Brookfield, Vt. : Ashgate, ©2000.</t>
  </si>
  <si>
    <t>2018-05-19</t>
  </si>
  <si>
    <t>203082054:eng</t>
  </si>
  <si>
    <t>45358084</t>
  </si>
  <si>
    <t>ocm45358084</t>
  </si>
  <si>
    <t>3102088239$</t>
  </si>
  <si>
    <t>9781840147520</t>
  </si>
  <si>
    <t>793670015</t>
  </si>
  <si>
    <t>UA646 B87 2011</t>
  </si>
  <si>
    <t>0                      UA 0646000B  87          2011</t>
  </si>
  <si>
    <t>The ethical subject of security : geopolitical reason and the threat against Europe / J. Peter Burgess.</t>
  </si>
  <si>
    <t>Burgess, J. Peter.</t>
  </si>
  <si>
    <t>Milton Park, Abingdon, Oxon ; New York : Routledge, 2011.</t>
  </si>
  <si>
    <t>PRIO new security studies</t>
  </si>
  <si>
    <t>634461047:eng</t>
  </si>
  <si>
    <t>663773481</t>
  </si>
  <si>
    <t>ocn663773481</t>
  </si>
  <si>
    <t>3103233384H</t>
  </si>
  <si>
    <t>9780415499828</t>
  </si>
  <si>
    <t>794842717</t>
  </si>
  <si>
    <t>UA646 C4785 2007</t>
  </si>
  <si>
    <t>0                      UA 0646000C  4785        2007</t>
  </si>
  <si>
    <t>The changing politics of European security : Europe alone? / edited by Stefan Gänzle and Allen G. Sens.</t>
  </si>
  <si>
    <t>Hampshire, Eng. ; New York : Palgrave Macmillan, 2007.</t>
  </si>
  <si>
    <t>865180775:eng</t>
  </si>
  <si>
    <t>72161953</t>
  </si>
  <si>
    <t>ocm72161953</t>
  </si>
  <si>
    <t>3102598853L</t>
  </si>
  <si>
    <t>9780230019942</t>
  </si>
  <si>
    <t>794169787</t>
  </si>
  <si>
    <t>UA646 C6813</t>
  </si>
  <si>
    <t>0                      UA 0646000C  6813</t>
  </si>
  <si>
    <t>Armies and societies in Europe, 1494-1789 / André Corvisier ; translated by Abigail T. Siddall.</t>
  </si>
  <si>
    <t>Corvisier, André.</t>
  </si>
  <si>
    <t>Bloomington : Indiana University Press, ©1979.</t>
  </si>
  <si>
    <t>5371821:eng</t>
  </si>
  <si>
    <t>4491001</t>
  </si>
  <si>
    <t>ocm04491001</t>
  </si>
  <si>
    <t>30001524213</t>
  </si>
  <si>
    <t>9780253129857</t>
  </si>
  <si>
    <t>792354230</t>
  </si>
  <si>
    <t>UA646 E92315 2008</t>
  </si>
  <si>
    <t>0                      UA 0646000E  92315       2008</t>
  </si>
  <si>
    <t>L'Europe de la défense : acteurs, enjeux et processus / sous la direction de Chantal Lavallée ; avant-propos de John Crowley.</t>
  </si>
  <si>
    <t>Paris : Documentation française, 2008.</t>
  </si>
  <si>
    <t>Les Champs de Mars ; no 19</t>
  </si>
  <si>
    <t>2018-12-01</t>
  </si>
  <si>
    <t>890752123:fre</t>
  </si>
  <si>
    <t>335013734</t>
  </si>
  <si>
    <t>ocn335013734</t>
  </si>
  <si>
    <t>3103304250V</t>
  </si>
  <si>
    <t>9782110069856</t>
  </si>
  <si>
    <t>794490851</t>
  </si>
  <si>
    <t>UA646 E92349 2007</t>
  </si>
  <si>
    <t>0                      UA 0646000E  92349       2007</t>
  </si>
  <si>
    <t>European integration and the Cold War : Ostpolitik-Westpolitik, 1965-1973 / edited by N. Piers Ludlow.</t>
  </si>
  <si>
    <t>Cold War history series ; 16</t>
  </si>
  <si>
    <t>801118703:eng</t>
  </si>
  <si>
    <t>74915766</t>
  </si>
  <si>
    <t>ocm74915766</t>
  </si>
  <si>
    <t>3102639265K</t>
  </si>
  <si>
    <t>9780415421096</t>
  </si>
  <si>
    <t>794173869</t>
  </si>
  <si>
    <t>UA646 E935 2011</t>
  </si>
  <si>
    <t>0                      UA 0646000E  935         2011</t>
  </si>
  <si>
    <t>European security since the fall of the Berlin Wall / edited by Frédéric Mérand, Martial Foucault, and Bastien Irondelle.</t>
  </si>
  <si>
    <t>Toronto ; Buffalo : University of Toronto Press, ©2011.</t>
  </si>
  <si>
    <t>European Union studies</t>
  </si>
  <si>
    <t>2014-05-12</t>
  </si>
  <si>
    <t>366797060:eng</t>
  </si>
  <si>
    <t>491895016</t>
  </si>
  <si>
    <t>ocn491895016</t>
  </si>
  <si>
    <t>31032681132</t>
  </si>
  <si>
    <t>9781442642409</t>
  </si>
  <si>
    <t>794800719</t>
  </si>
  <si>
    <t>UA646 E97 2014</t>
  </si>
  <si>
    <t>0                      UA 0646000E  97          2014</t>
  </si>
  <si>
    <t>European peace and security policy: transnational risks of violence / Michael Brzoska (ed.).</t>
  </si>
  <si>
    <t>Baden-Baden : Nomos ; [London] : Bloomsbury, 2014.</t>
  </si>
  <si>
    <t>1. edition.</t>
  </si>
  <si>
    <t>Demokratie, Sicherheit, Frieden ; volume 214</t>
  </si>
  <si>
    <t>2279528879:eng</t>
  </si>
  <si>
    <t>899260285</t>
  </si>
  <si>
    <t>ocn899260285</t>
  </si>
  <si>
    <t>3103652847B</t>
  </si>
  <si>
    <t>9783848718399</t>
  </si>
  <si>
    <t>794986790</t>
  </si>
  <si>
    <t>UA646 H48 1997</t>
  </si>
  <si>
    <t>0                      UA 0646000H  48          1997</t>
  </si>
  <si>
    <t>NATO, Britain, France, and the FRG : nuclear strategies and forces for Europe, 1949-2000 / Beatrice Heuser.</t>
  </si>
  <si>
    <t>New York : St. Martin's Press, 1997.</t>
  </si>
  <si>
    <t>807166609:eng</t>
  </si>
  <si>
    <t>36430580</t>
  </si>
  <si>
    <t>ocm36430580</t>
  </si>
  <si>
    <t>3101866851X</t>
  </si>
  <si>
    <t>9780312174989</t>
  </si>
  <si>
    <t>793475082</t>
  </si>
  <si>
    <t>UA646 I575 1991</t>
  </si>
  <si>
    <t>0                      UA 0646000I  575         1991</t>
  </si>
  <si>
    <t>Integration and security in western Europe : inside the European pillar / edited by Mathias Jopp, Reinhardt Rummel and Peter Schmidt.</t>
  </si>
  <si>
    <t>Boulder : Westview Press, 1991.</t>
  </si>
  <si>
    <t>Westview special studies in international security</t>
  </si>
  <si>
    <t>889933141:eng</t>
  </si>
  <si>
    <t>23355972</t>
  </si>
  <si>
    <t>ocm23355972</t>
  </si>
  <si>
    <t>31011499074</t>
  </si>
  <si>
    <t>9780813383279</t>
  </si>
  <si>
    <t>793168237</t>
  </si>
  <si>
    <t>UA646 K47 2011</t>
  </si>
  <si>
    <t>0                      UA 0646000K  47          2011</t>
  </si>
  <si>
    <t>The transformation of Europe's armed forces : from the Rhine to Afghanistan / Anthony King.</t>
  </si>
  <si>
    <t>King, Anthony, 1967-</t>
  </si>
  <si>
    <t>796114224:eng</t>
  </si>
  <si>
    <t>651153744</t>
  </si>
  <si>
    <t>ocn651153744</t>
  </si>
  <si>
    <t>31032330261</t>
  </si>
  <si>
    <t>9780521760942</t>
  </si>
  <si>
    <t>794832918</t>
  </si>
  <si>
    <t>UA646 L56 2007</t>
  </si>
  <si>
    <t>0                      UA 0646000L  56          2007</t>
  </si>
  <si>
    <t>A chronology of European security &amp; defence, 1945-2007 / Julian Lindley-French.</t>
  </si>
  <si>
    <t>Lindley-French, Julian.</t>
  </si>
  <si>
    <t>104738779:eng</t>
  </si>
  <si>
    <t>155129712</t>
  </si>
  <si>
    <t>ocn155129712</t>
  </si>
  <si>
    <t>3102573862C</t>
  </si>
  <si>
    <t>9780199214327</t>
  </si>
  <si>
    <t>794253282</t>
  </si>
  <si>
    <t>UA646 M644 1999</t>
  </si>
  <si>
    <t>0                      UA 0646000M  644         1999</t>
  </si>
  <si>
    <t>The cold war : a military history / David Miller.</t>
  </si>
  <si>
    <t>Miller, David (David M. O.)</t>
  </si>
  <si>
    <t>New York : Thomas Dunne Books, St. Martin's Press, 1999.</t>
  </si>
  <si>
    <t>1115666:eng</t>
  </si>
  <si>
    <t>42397689</t>
  </si>
  <si>
    <t>ocm42397689</t>
  </si>
  <si>
    <t>3102011013S</t>
  </si>
  <si>
    <t>9780312241834</t>
  </si>
  <si>
    <t>793606607</t>
  </si>
  <si>
    <t>UA646 N635 2013</t>
  </si>
  <si>
    <t>0                      UA 0646000N  635         2013</t>
  </si>
  <si>
    <t>The European Union and military force : governance and strategy / Per M. Norheim-Martinsen.</t>
  </si>
  <si>
    <t>Norheim-Martinsen, Per M.</t>
  </si>
  <si>
    <t>1182577000:eng</t>
  </si>
  <si>
    <t>794922740</t>
  </si>
  <si>
    <t>ocn794922740</t>
  </si>
  <si>
    <t>31034329115</t>
  </si>
  <si>
    <t>9781107028906</t>
  </si>
  <si>
    <t>794920625</t>
  </si>
  <si>
    <t>UA646 P47 2011</t>
  </si>
  <si>
    <t>0                      UA 0646000P  47          2011</t>
  </si>
  <si>
    <t>Perspectives for a European security strategy towards Asia : views from Asia, Europe and the US / Gustaaf Geeraerts and Eva Gross (eds.).</t>
  </si>
  <si>
    <t>Brussels : VUBPRESS, Brussels University Press, [2011]</t>
  </si>
  <si>
    <t>Institute for European studies publication series ; nr. 18</t>
  </si>
  <si>
    <t>1102135191:eng</t>
  </si>
  <si>
    <t>786439287</t>
  </si>
  <si>
    <t>ocn786439287</t>
  </si>
  <si>
    <t>3103411178V</t>
  </si>
  <si>
    <t>9789054877769</t>
  </si>
  <si>
    <t>794916050</t>
  </si>
  <si>
    <t>UA646 P65 2004</t>
  </si>
  <si>
    <t>0                      UA 0646000P  65          2004</t>
  </si>
  <si>
    <t>La politique européenne de sécurité et de défense : l'UE peut-elle gérer les crises? / Centre Morris Janowitz, Forces armées et sécurité ; sous la direction de Fabien Terpan.</t>
  </si>
  <si>
    <t>Toulouse : Presses de l'institut d'études politiques de Toulouse, ©2004.</t>
  </si>
  <si>
    <t>891512256:fre</t>
  </si>
  <si>
    <t>163632098</t>
  </si>
  <si>
    <t>ocn163632098</t>
  </si>
  <si>
    <t>3102828866$</t>
  </si>
  <si>
    <t>9782909628950</t>
  </si>
  <si>
    <t>794258502</t>
  </si>
  <si>
    <t>UA646 Q84 1993</t>
  </si>
  <si>
    <t>0                      UA 0646000Q  84          1993</t>
  </si>
  <si>
    <t>The Quest for stability : problems of West European security, 1918-1957 / edited by R. Ahmann, A.M. Birke, and M. Howard.</t>
  </si>
  <si>
    <t>London : German Historical Institute London ; Oxford ; New York : Oxford University Press, 1993.</t>
  </si>
  <si>
    <t>Studies of the German Historical Institute London</t>
  </si>
  <si>
    <t>2016-03-31</t>
  </si>
  <si>
    <t>836735749:eng</t>
  </si>
  <si>
    <t>26352774</t>
  </si>
  <si>
    <t>ocm26352774</t>
  </si>
  <si>
    <t>3103467603I</t>
  </si>
  <si>
    <t>9780199205035</t>
  </si>
  <si>
    <t>793243041</t>
  </si>
  <si>
    <t>UA646 R896 2000</t>
  </si>
  <si>
    <t>0                      UA 0646000R  896         2000</t>
  </si>
  <si>
    <t>The rise and fall of the European Defence Community : Anglo-American relations and the crisis of European defence, 1950-55 / Kevin Ruane.</t>
  </si>
  <si>
    <t>Ruane, Kevin.</t>
  </si>
  <si>
    <t>Houndmills, Basingstoke, Hampshire [England] : Macmillan Press ; New York : St. Martin's Press, 2000.</t>
  </si>
  <si>
    <t>Cold War history series</t>
  </si>
  <si>
    <t>793092848:eng</t>
  </si>
  <si>
    <t>43569331</t>
  </si>
  <si>
    <t>ocm43569331</t>
  </si>
  <si>
    <t>31027685262</t>
  </si>
  <si>
    <t>9780333913192</t>
  </si>
  <si>
    <t>793629873</t>
  </si>
  <si>
    <t>UA646 S329 2011</t>
  </si>
  <si>
    <t>0                      UA 0646000S  329         2011</t>
  </si>
  <si>
    <t>The organization of European security governance : internal and external security in transition / Ursula C. Schroeder.</t>
  </si>
  <si>
    <t>Schroeder, Ursula C.</t>
  </si>
  <si>
    <t>Abingdon, Oxon ; New York : Routledge, 2011.</t>
  </si>
  <si>
    <t>Security and governance series</t>
  </si>
  <si>
    <t>2014-07-24</t>
  </si>
  <si>
    <t>865544493:eng</t>
  </si>
  <si>
    <t>641535779</t>
  </si>
  <si>
    <t>ocn641535779</t>
  </si>
  <si>
    <t>3103341279J</t>
  </si>
  <si>
    <t>9780415601597</t>
  </si>
  <si>
    <t>794827666</t>
  </si>
  <si>
    <t>UA646 T728 2010</t>
  </si>
  <si>
    <t>0                      UA 0646000T  728         2010</t>
  </si>
  <si>
    <t>A transformation gap? : American innovations and European military change / edited by Terry Terriff, Frans Osinga, and Theo Farrell.</t>
  </si>
  <si>
    <t>901248866:eng</t>
  </si>
  <si>
    <t>454375290</t>
  </si>
  <si>
    <t>ocn454375290</t>
  </si>
  <si>
    <t>3103241168U</t>
  </si>
  <si>
    <t>9780804763776</t>
  </si>
  <si>
    <t>794787931</t>
  </si>
  <si>
    <t>UA646 U5 1901</t>
  </si>
  <si>
    <t>0                      UA 0646000U  5           1901</t>
  </si>
  <si>
    <t>Colonial army systems of the Netherlands, Great Britain, France, Germany, Portugal, Italy, and Belgium / compiled by Captain J.S. Herron. November, 1901.</t>
  </si>
  <si>
    <t>United States. Adjutant-General's Office. Military Information Division.</t>
  </si>
  <si>
    <t>Washington : U.S. Gov't Print. Off., 1901.</t>
  </si>
  <si>
    <t>1901</t>
  </si>
  <si>
    <t>Document / War Department, Adjutant-General's Office, Military Information Division ; no. 149</t>
  </si>
  <si>
    <t>2017-06-21</t>
  </si>
  <si>
    <t>119117672:eng</t>
  </si>
  <si>
    <t>6209451</t>
  </si>
  <si>
    <t>ocm06209451</t>
  </si>
  <si>
    <t>31030603163</t>
  </si>
  <si>
    <t>792483198</t>
  </si>
  <si>
    <t>UA646 U8 1993</t>
  </si>
  <si>
    <t>0                      UA 0646000U  8           1993</t>
  </si>
  <si>
    <t>U.S. Military Forces in Europe : The Early Years, 1945-1970 / edited by Simon W. Duke and Wolfgang Krieger.</t>
  </si>
  <si>
    <t>Boulder : Westview Press, 1993.</t>
  </si>
  <si>
    <t>889796165:eng</t>
  </si>
  <si>
    <t>25164865</t>
  </si>
  <si>
    <t>ocm25164865</t>
  </si>
  <si>
    <t>3101449618R</t>
  </si>
  <si>
    <t>9780813384054</t>
  </si>
  <si>
    <t>793213597</t>
  </si>
  <si>
    <t>UA646 W333 2011</t>
  </si>
  <si>
    <t>0                      UA 0646000W  333         2011</t>
  </si>
  <si>
    <t>Transaction costs and security institutions : unravelling the ESDP / Moritz Weiss.</t>
  </si>
  <si>
    <t>Weiss, Moritz.</t>
  </si>
  <si>
    <t>Houndmills, Basingstoke, Hampshire ; New York : Palgrave Macmillan, 2011.</t>
  </si>
  <si>
    <t>Transformations of the state</t>
  </si>
  <si>
    <t>776069000:eng</t>
  </si>
  <si>
    <t>682892238</t>
  </si>
  <si>
    <t>ocn682892238</t>
  </si>
  <si>
    <t>31033640753</t>
  </si>
  <si>
    <t>9780230280120</t>
  </si>
  <si>
    <t>794853001</t>
  </si>
  <si>
    <t>UA646.3 A55</t>
  </si>
  <si>
    <t>0                      UA 0646300A  55</t>
  </si>
  <si>
    <t>NATO, the first five years 1949-1954 / by Lord Ismay.</t>
  </si>
  <si>
    <t>Ismay, Hastings Lionel Ismay, Baron, 1887-1965.</t>
  </si>
  <si>
    <t>[Paris] : [North Atlantic Treaty Organization], [1955?]</t>
  </si>
  <si>
    <t>2015-02-26</t>
  </si>
  <si>
    <t>1666175:eng</t>
  </si>
  <si>
    <t>154240377</t>
  </si>
  <si>
    <t>ocn154240377</t>
  </si>
  <si>
    <t>3000692016R</t>
  </si>
  <si>
    <t>794251410</t>
  </si>
  <si>
    <t>UA646.3 A82 2002</t>
  </si>
  <si>
    <t>0                      UA 0646300A  82          2002</t>
  </si>
  <si>
    <t>Opening NATO's door : how the alliance remade itself for a new era / Ronald D. Asmus.</t>
  </si>
  <si>
    <t>Asmus, Ronald D.</t>
  </si>
  <si>
    <t>New York : Columbia University Press, ©2002.</t>
  </si>
  <si>
    <t>56824549:eng</t>
  </si>
  <si>
    <t>50041403</t>
  </si>
  <si>
    <t>ocm50041403</t>
  </si>
  <si>
    <t>31023121891</t>
  </si>
  <si>
    <t>9780231127769</t>
  </si>
  <si>
    <t>793754281</t>
  </si>
  <si>
    <t>UA646.3 B39</t>
  </si>
  <si>
    <t>0                      UA 0646300B  39</t>
  </si>
  <si>
    <t>Integration and disintegration in NATO; processes of alliance cohesion and prospects for Atlantic community [by] Francis A. Beer.</t>
  </si>
  <si>
    <t>Beer, Francis A.</t>
  </si>
  <si>
    <t>[Columbus] : Ohio State University Press, [1969]</t>
  </si>
  <si>
    <t>2003-10-17</t>
  </si>
  <si>
    <t>1144944:eng</t>
  </si>
  <si>
    <t>22737</t>
  </si>
  <si>
    <t>ocm00022737</t>
  </si>
  <si>
    <t>3000512527K</t>
  </si>
  <si>
    <t>791231402</t>
  </si>
  <si>
    <t>3103349269Q</t>
  </si>
  <si>
    <t>791231401</t>
  </si>
  <si>
    <t>UA646.3 C478 2010</t>
  </si>
  <si>
    <t>0                      UA 0646300C  478         2010</t>
  </si>
  <si>
    <t>Security in an uncertain world : a Canadian perspective on NATO's new strategic concept / [by Paul Chapin in collaboration with John Anderson et al.].</t>
  </si>
  <si>
    <t>Ottawa : Conference of Defence Associations Institute, c2010.</t>
  </si>
  <si>
    <t>2011-11-21</t>
  </si>
  <si>
    <t>862913416:eng</t>
  </si>
  <si>
    <t>521745102</t>
  </si>
  <si>
    <t>ocn521745102</t>
  </si>
  <si>
    <t>3103266860G</t>
  </si>
  <si>
    <t>9780986536205</t>
  </si>
  <si>
    <t>794808786</t>
  </si>
  <si>
    <t>UA646.3 C4947 2010</t>
  </si>
  <si>
    <t>0                      UA 0646300C  4947        2010</t>
  </si>
  <si>
    <t>Multinational military intervention : NATO policy, strategy and burden sharing / Stephen J. Cimbala, Peter K. Forster.</t>
  </si>
  <si>
    <t>Farnham, England ; Burlington, VT : Ashgate Pub. Co., ©2010.</t>
  </si>
  <si>
    <t>793236123:eng</t>
  </si>
  <si>
    <t>457010504</t>
  </si>
  <si>
    <t>ocn457010504</t>
  </si>
  <si>
    <t>31031330473</t>
  </si>
  <si>
    <t>9781409402282</t>
  </si>
  <si>
    <t>794789516</t>
  </si>
  <si>
    <t>UA646.3 D35 2011</t>
  </si>
  <si>
    <t>0                      UA 0646300D  35          2011</t>
  </si>
  <si>
    <t>America's allies and war : Kosovo, Afghanistan, and Iraq / Jason W. Davidson.</t>
  </si>
  <si>
    <t>Davidson, Jason.</t>
  </si>
  <si>
    <t>916953121:eng</t>
  </si>
  <si>
    <t>369141287</t>
  </si>
  <si>
    <t>ocn369141287</t>
  </si>
  <si>
    <t>3103341183K</t>
  </si>
  <si>
    <t>9780230614826</t>
  </si>
  <si>
    <t>794494286</t>
  </si>
  <si>
    <t>UA646.3 D817 1995</t>
  </si>
  <si>
    <t>0                      UA 0646300D  817         1995</t>
  </si>
  <si>
    <t>Power rules : the evolution of NATO's conventional force posture / John S. Duffield.</t>
  </si>
  <si>
    <t>Duffield, John S.</t>
  </si>
  <si>
    <t>Stanford, Calif. : Stanford University Press, ©1995.</t>
  </si>
  <si>
    <t>836885617:eng</t>
  </si>
  <si>
    <t>30666465</t>
  </si>
  <si>
    <t>ocm30666465</t>
  </si>
  <si>
    <t>3102768552X</t>
  </si>
  <si>
    <t>9780804723961</t>
  </si>
  <si>
    <t>793341517</t>
  </si>
  <si>
    <t>UA646.3 D818 2000</t>
  </si>
  <si>
    <t>0                      UA 0646300D  818         2000</t>
  </si>
  <si>
    <t>NATO : its past, present, and future / Peter Duignan.</t>
  </si>
  <si>
    <t>Duignan, Peter.</t>
  </si>
  <si>
    <t>Stanford, Calif. : Hoover Institution Press, 2000.</t>
  </si>
  <si>
    <t>Hoover Institution Press publication ; no. 470</t>
  </si>
  <si>
    <t>308261618:eng</t>
  </si>
  <si>
    <t>43648687</t>
  </si>
  <si>
    <t>ocm43648687</t>
  </si>
  <si>
    <t>3102576116V</t>
  </si>
  <si>
    <t>9780817997823</t>
  </si>
  <si>
    <t>793631758</t>
  </si>
  <si>
    <t>UA646.3 G313 2005</t>
  </si>
  <si>
    <t>0                      UA 0646300G  313         2005</t>
  </si>
  <si>
    <t>NATO's secret armies : operation Gladio and terrorism in Western Europe / Daniele Ganser.</t>
  </si>
  <si>
    <t>Ganser, Daniele.</t>
  </si>
  <si>
    <t>351789929:eng</t>
  </si>
  <si>
    <t>54966165</t>
  </si>
  <si>
    <t>ocm54966165</t>
  </si>
  <si>
    <t>3102503486I</t>
  </si>
  <si>
    <t>9780714656076</t>
  </si>
  <si>
    <t>793871303</t>
  </si>
  <si>
    <t>UA646.3 G53 2005</t>
  </si>
  <si>
    <t>0                      UA 0646300G  53          2005</t>
  </si>
  <si>
    <t>NATO in the "new Europe" : the politics of international socialization after the Cold War / Alexandra Gheciu.</t>
  </si>
  <si>
    <t>Gheciu, Alexandra.</t>
  </si>
  <si>
    <t>Stanford, Calif. : Stanford University Press, ©2005.</t>
  </si>
  <si>
    <t>2017-09-13</t>
  </si>
  <si>
    <t>793971372:eng</t>
  </si>
  <si>
    <t>57594115</t>
  </si>
  <si>
    <t>ocm57594115</t>
  </si>
  <si>
    <t>3102497345B</t>
  </si>
  <si>
    <t>9780804751612</t>
  </si>
  <si>
    <t>793916174</t>
  </si>
  <si>
    <t>UA646.3 G635 2010</t>
  </si>
  <si>
    <t>0                      UA 0646300G  635         2010</t>
  </si>
  <si>
    <t>The Future of NATO / James M. Goldgeier.</t>
  </si>
  <si>
    <t>Goldgeier, James M.</t>
  </si>
  <si>
    <t>New York : Council on Foreign Relations, 2010.</t>
  </si>
  <si>
    <t>Council special report ; no. 51</t>
  </si>
  <si>
    <t>2012-02-02</t>
  </si>
  <si>
    <t>407551634:eng</t>
  </si>
  <si>
    <t>491904352</t>
  </si>
  <si>
    <t>ocn491904352</t>
  </si>
  <si>
    <t>3103232061Y</t>
  </si>
  <si>
    <t>9780876094679</t>
  </si>
  <si>
    <t>794800764</t>
  </si>
  <si>
    <t>UA646.3 G74 1996</t>
  </si>
  <si>
    <t>0                      UA 0646300G  74          1996</t>
  </si>
  <si>
    <t>Nuclear command and control in NATO : nuclear weapons operations and the strategy of flexible response / Shaun R. Gregory.</t>
  </si>
  <si>
    <t>Gregory, Shaun.</t>
  </si>
  <si>
    <t>2018-11-18</t>
  </si>
  <si>
    <t>837005375:eng</t>
  </si>
  <si>
    <t>33244915</t>
  </si>
  <si>
    <t>ocm33244915</t>
  </si>
  <si>
    <t>3101537959A</t>
  </si>
  <si>
    <t>9780333646977</t>
  </si>
  <si>
    <t>793405189</t>
  </si>
  <si>
    <t>UA646.3 H22 1996</t>
  </si>
  <si>
    <t>0                      UA 0646300H  22          1996</t>
  </si>
  <si>
    <t>NATO and the nuclear revolution : a crisis of credibility, 1966-1967 / Helga Haftendorn.</t>
  </si>
  <si>
    <t>Haftendorn, Helga.</t>
  </si>
  <si>
    <t>Nuclear history program ; 5</t>
  </si>
  <si>
    <t>837012718:eng</t>
  </si>
  <si>
    <t>33359496</t>
  </si>
  <si>
    <t>ocm33359496</t>
  </si>
  <si>
    <t>3102570805$</t>
  </si>
  <si>
    <t>9780198280033</t>
  </si>
  <si>
    <t>793407763</t>
  </si>
  <si>
    <t>UA646.3 H35 1983</t>
  </si>
  <si>
    <t>0                      UA 0646300H  35          1983</t>
  </si>
  <si>
    <t>The birth of NATO / Sir Nicholas Henderson.</t>
  </si>
  <si>
    <t>Henderson, Nicholas, 1919-2009.</t>
  </si>
  <si>
    <t>Boulder, Colo. : Westview Press, 1983.</t>
  </si>
  <si>
    <t>194130489:eng</t>
  </si>
  <si>
    <t>8552371</t>
  </si>
  <si>
    <t>ocm08552371</t>
  </si>
  <si>
    <t>31027685154</t>
  </si>
  <si>
    <t>9780865314665</t>
  </si>
  <si>
    <t>792626679</t>
  </si>
  <si>
    <t>UA646.3 H56 2001</t>
  </si>
  <si>
    <t>0                      UA 0646300H  56          2001</t>
  </si>
  <si>
    <t>A history of NATO : the first fifty years / edited by Gustav Schmidt.</t>
  </si>
  <si>
    <t>Houndsmills, Basingstoke, Hampshire ; New York : Palgrave, 2001.</t>
  </si>
  <si>
    <t>4160016993:eng</t>
  </si>
  <si>
    <t>46937581</t>
  </si>
  <si>
    <t>ocm46937581</t>
  </si>
  <si>
    <t>3102153804U</t>
  </si>
  <si>
    <t>9780333962770</t>
  </si>
  <si>
    <t>793694960</t>
  </si>
  <si>
    <t>2010-03-30</t>
  </si>
  <si>
    <t>3102153802Y</t>
  </si>
  <si>
    <t>793694962</t>
  </si>
  <si>
    <t>2012-11-25</t>
  </si>
  <si>
    <t>3102153806Q</t>
  </si>
  <si>
    <t>793694961</t>
  </si>
  <si>
    <t>UA646.3 H59 2010</t>
  </si>
  <si>
    <t>0                      UA 0646300H  59          2010</t>
  </si>
  <si>
    <t>Risking NATO : testing the limits of the alliance in Afghanistan / Andrew R. Hoehn, Sarah Harting.</t>
  </si>
  <si>
    <t>Hoehn, Andrew R.</t>
  </si>
  <si>
    <t>793966928:eng</t>
  </si>
  <si>
    <t>674933184</t>
  </si>
  <si>
    <t>ocn674933184</t>
  </si>
  <si>
    <t>31033466051</t>
  </si>
  <si>
    <t>9780833050113</t>
  </si>
  <si>
    <t>794849628</t>
  </si>
  <si>
    <t>UA646.3 J5685 2005</t>
  </si>
  <si>
    <t>0                      UA 0646300J  5685        2005</t>
  </si>
  <si>
    <t>Hegemony and culture in the origins of NATO nuclear first-use, 1945-1955 / Andrew M. Johnston.</t>
  </si>
  <si>
    <t>Johnston, Andrew M., 1963-</t>
  </si>
  <si>
    <t>New York : Palgrave Macmillan, 2005.</t>
  </si>
  <si>
    <t>20290838:eng</t>
  </si>
  <si>
    <t>58789131</t>
  </si>
  <si>
    <t>ocm58789131</t>
  </si>
  <si>
    <t>3102494379H</t>
  </si>
  <si>
    <t>9781403970244</t>
  </si>
  <si>
    <t>793924164</t>
  </si>
  <si>
    <t>UA646.3 J5688 2017</t>
  </si>
  <si>
    <t>0                      UA 0646300J  5688        2017</t>
  </si>
  <si>
    <t>How NATO adapts : strategy and organization in the Atlantic Alliance since 1950 / Seth A. Johnston ; US Military Academy, West Point.</t>
  </si>
  <si>
    <t>Johnston, Seth A. (Seth Allen), 1981- author.</t>
  </si>
  <si>
    <t>Baltimore : Johns Hopkins University Press, [2017]</t>
  </si>
  <si>
    <t>Johns Hopkins University studies in historical and political science ; 132nd series (2017) 1</t>
  </si>
  <si>
    <t>3695400378:eng</t>
  </si>
  <si>
    <t>954038027</t>
  </si>
  <si>
    <t>ocn954038027</t>
  </si>
  <si>
    <t>31036466807</t>
  </si>
  <si>
    <t>9781421421988</t>
  </si>
  <si>
    <t>795019553</t>
  </si>
  <si>
    <t>UA646.3 J58 2002</t>
  </si>
  <si>
    <t>0                      UA 0646300J  58          2002</t>
  </si>
  <si>
    <t>Fools' crusade : Yugoslavia, NATO, and Western delusions / Diana Johnstone.</t>
  </si>
  <si>
    <t>Johnstone, Diana, 1934-</t>
  </si>
  <si>
    <t>New York : Monthly Review Press, ©2002.</t>
  </si>
  <si>
    <t>2019-10-16</t>
  </si>
  <si>
    <t>1057516:eng</t>
  </si>
  <si>
    <t>51259805</t>
  </si>
  <si>
    <t>ocm51259805</t>
  </si>
  <si>
    <t>31027999690</t>
  </si>
  <si>
    <t>9781583670842</t>
  </si>
  <si>
    <t>793781619</t>
  </si>
  <si>
    <t>UA646.3 K365 2007</t>
  </si>
  <si>
    <t>0                      UA 0646300K  365         2007</t>
  </si>
  <si>
    <t>NATO 1948 : the birth of the transatlantic Alliance / Lawrence S. Kaplan ; with the assistance of Morris Honick.</t>
  </si>
  <si>
    <t>Kaplan, Lawrence S.</t>
  </si>
  <si>
    <t>Lanham, Md. : Rowman &amp; Littlefield, ©2007.</t>
  </si>
  <si>
    <t>320820414:eng</t>
  </si>
  <si>
    <t>76901996</t>
  </si>
  <si>
    <t>ocm76901996</t>
  </si>
  <si>
    <t>31026440850</t>
  </si>
  <si>
    <t>9780742539167</t>
  </si>
  <si>
    <t>794178898</t>
  </si>
  <si>
    <t>UA646.3 K37</t>
  </si>
  <si>
    <t>0                      UA 0646300K  37</t>
  </si>
  <si>
    <t>The rationale for NATO: European collective security--past and future [by] Morton A. Kaplan.</t>
  </si>
  <si>
    <t>Kaplan, Morton A.</t>
  </si>
  <si>
    <t>Washington, American Enterprise Institute for Public Policy Research [1973]</t>
  </si>
  <si>
    <t>AEI-Hoover policy studies, 8</t>
  </si>
  <si>
    <t>1676720:eng</t>
  </si>
  <si>
    <t>714558</t>
  </si>
  <si>
    <t>ocm00714558</t>
  </si>
  <si>
    <t>3102768553X</t>
  </si>
  <si>
    <t>9780844731070</t>
  </si>
  <si>
    <t>791453596</t>
  </si>
  <si>
    <t>UA646.3 K49 2010</t>
  </si>
  <si>
    <t>0                      UA 0646300K  49          2010</t>
  </si>
  <si>
    <t>The globalization of NATO : intervention, security and identity / Veronica M. Kitchen.</t>
  </si>
  <si>
    <t>Kitchen, Veronica M.</t>
  </si>
  <si>
    <t>Routledge global security studies ; 17</t>
  </si>
  <si>
    <t>2013-01-04</t>
  </si>
  <si>
    <t>793278094:eng</t>
  </si>
  <si>
    <t>432998203</t>
  </si>
  <si>
    <t>ocn432998203</t>
  </si>
  <si>
    <t>31031339609</t>
  </si>
  <si>
    <t>9780415570176</t>
  </si>
  <si>
    <t>794782228</t>
  </si>
  <si>
    <t>UA646.3 L4</t>
  </si>
  <si>
    <t>0                      UA 0646300L  4</t>
  </si>
  <si>
    <t>La communauté européenne de défense : étude analytique du traité du 27 Mai 1952 / Jean Legaret, E. Martin-Dumesnil.</t>
  </si>
  <si>
    <t>Legaret, Jean, 1913-1976.</t>
  </si>
  <si>
    <t>Paris : J. Vrin, 1953.</t>
  </si>
  <si>
    <t>808047493:fre</t>
  </si>
  <si>
    <t>3773347</t>
  </si>
  <si>
    <t>ocm03773347</t>
  </si>
  <si>
    <t>30004461704</t>
  </si>
  <si>
    <t>792289754</t>
  </si>
  <si>
    <t>UA646.3 M243 1983</t>
  </si>
  <si>
    <t>0                      UA 0646300M  243         1983</t>
  </si>
  <si>
    <t>U.S. ground forces and the defense of Central Europe / William P. Mako.</t>
  </si>
  <si>
    <t>Mako, William P., 1954-</t>
  </si>
  <si>
    <t>Washington, D.C. : Brookings Institution, ©1983.</t>
  </si>
  <si>
    <t>Studies in defense policy</t>
  </si>
  <si>
    <t>2018-03-17</t>
  </si>
  <si>
    <t>42901530:eng</t>
  </si>
  <si>
    <t>9323841</t>
  </si>
  <si>
    <t>ocm09323841</t>
  </si>
  <si>
    <t>31002489355</t>
  </si>
  <si>
    <t>9780815754435</t>
  </si>
  <si>
    <t>792670066</t>
  </si>
  <si>
    <t>UA646.3 M244 1995</t>
  </si>
  <si>
    <t>0                      UA 0646300M  244         1995</t>
  </si>
  <si>
    <t>Securing command of the sea : NATO naval planning, 1948-1954 / Sean M. Maloney.</t>
  </si>
  <si>
    <t>Annapolis, Md. : Naval Institute Press, ©1995.</t>
  </si>
  <si>
    <t>141722955:eng</t>
  </si>
  <si>
    <t>30594008</t>
  </si>
  <si>
    <t>ocm30594008</t>
  </si>
  <si>
    <t>3101300016K</t>
  </si>
  <si>
    <t>9781557505620</t>
  </si>
  <si>
    <t>793339730</t>
  </si>
  <si>
    <t>UA646.3 M37 2008</t>
  </si>
  <si>
    <t>0                      UA 0646300M  37          2008</t>
  </si>
  <si>
    <t>European defence policy : beyond the nation state / Frederic Merand.</t>
  </si>
  <si>
    <t>Mérand, Frédéric.</t>
  </si>
  <si>
    <t>New York : Oxford University Press, 2008.</t>
  </si>
  <si>
    <t>323082934:eng</t>
  </si>
  <si>
    <t>229445926</t>
  </si>
  <si>
    <t>ocn229445926</t>
  </si>
  <si>
    <t>3102973740W</t>
  </si>
  <si>
    <t>9780199533244</t>
  </si>
  <si>
    <t>794353893</t>
  </si>
  <si>
    <t>UA646.3 N2273 2012</t>
  </si>
  <si>
    <t>0                      UA 0646300N  2273        2012</t>
  </si>
  <si>
    <t>NATO after sixty years : a stable crisis / edited by James Sperling and S. Victor Papacosma.</t>
  </si>
  <si>
    <t>Kent, Ohio : Kent State University Press, ©2012.</t>
  </si>
  <si>
    <t>New studies in U.S. foreign relations</t>
  </si>
  <si>
    <t>1779830272:eng</t>
  </si>
  <si>
    <t>791490433</t>
  </si>
  <si>
    <t>ocn791490433</t>
  </si>
  <si>
    <t>3103429165X</t>
  </si>
  <si>
    <t>9781606351352</t>
  </si>
  <si>
    <t>794916808</t>
  </si>
  <si>
    <t>UA646.3 N2288 2012</t>
  </si>
  <si>
    <t>0                      UA 0646300N  2288        2012</t>
  </si>
  <si>
    <t>NATO and the challenges of austerity / F. Stephen Larrabee [and others].</t>
  </si>
  <si>
    <t>Monograph / Rand Corporation</t>
  </si>
  <si>
    <t>2014-10-28</t>
  </si>
  <si>
    <t>1171670406:eng</t>
  </si>
  <si>
    <t>812531808</t>
  </si>
  <si>
    <t>ocn812531808</t>
  </si>
  <si>
    <t>3103483504R</t>
  </si>
  <si>
    <t>9780833068477</t>
  </si>
  <si>
    <t>794931043</t>
  </si>
  <si>
    <t>UA646.3 N2294 2008</t>
  </si>
  <si>
    <t>0                      UA 0646300N  2294        2008</t>
  </si>
  <si>
    <t>NATO and the Warsaw Pact : intrabloc conflicts / edited by Mary Ann Heiss and S. Victor Papacosma.</t>
  </si>
  <si>
    <t>Kent, Ohio : Kent State University Press, ©2008.</t>
  </si>
  <si>
    <t>852771163:eng</t>
  </si>
  <si>
    <t>190876862</t>
  </si>
  <si>
    <t>ocn190876862</t>
  </si>
  <si>
    <t>3102884668S</t>
  </si>
  <si>
    <t>9780873389365</t>
  </si>
  <si>
    <t>794296424</t>
  </si>
  <si>
    <t>UA646.3 N24638 1992</t>
  </si>
  <si>
    <t>0                      UA 0646300N  24638       1992</t>
  </si>
  <si>
    <t>NATO : the founding of the Atlantic Alliance and the integration of Europe / edited by Francis H. Heller and John R. Gillingham.</t>
  </si>
  <si>
    <t>New York : St. Martin's Press, 1992.</t>
  </si>
  <si>
    <t>The Franklin and Eleanor Roosevelt Institute series on diplomatic and economic history ; 2</t>
  </si>
  <si>
    <t>499699047:eng</t>
  </si>
  <si>
    <t>24319100</t>
  </si>
  <si>
    <t>ocm24319100</t>
  </si>
  <si>
    <t>31012102618</t>
  </si>
  <si>
    <t>9780312065850</t>
  </si>
  <si>
    <t>793195316</t>
  </si>
  <si>
    <t>UA646.3 N38 2010</t>
  </si>
  <si>
    <t>0                      UA 0646300N  38          2010</t>
  </si>
  <si>
    <t>NATO in search of a vision / Gülnur Aybet and Rebecca R. Moore, editors ; foreword by Lawrence Freedman.</t>
  </si>
  <si>
    <t>2012-01-30</t>
  </si>
  <si>
    <t>308666229:eng</t>
  </si>
  <si>
    <t>421532200</t>
  </si>
  <si>
    <t>ocn421532200</t>
  </si>
  <si>
    <t>31032321282</t>
  </si>
  <si>
    <t>9781589016309</t>
  </si>
  <si>
    <t>794503973</t>
  </si>
  <si>
    <t>UA646.3 O8</t>
  </si>
  <si>
    <t>0                      UA 0646300O  8</t>
  </si>
  <si>
    <t>NATO, the entangling alliance.</t>
  </si>
  <si>
    <t>Osgood, Robert Endicott.</t>
  </si>
  <si>
    <t>[Chicago] : University Press, [1962]</t>
  </si>
  <si>
    <t>2017-03-04</t>
  </si>
  <si>
    <t>1666328:eng</t>
  </si>
  <si>
    <t>289644115</t>
  </si>
  <si>
    <t>ocn289644115</t>
  </si>
  <si>
    <t>3102768554X</t>
  </si>
  <si>
    <t>794422601</t>
  </si>
  <si>
    <t>UA646.3 R96 2005</t>
  </si>
  <si>
    <t>0                      UA 0646300R  96          2005</t>
  </si>
  <si>
    <t>NATO renewed : the power and purpose of transatlantic cooperation / Sten Rynning.</t>
  </si>
  <si>
    <t>Rynning, Sten, 1967-</t>
  </si>
  <si>
    <t>802577186:eng</t>
  </si>
  <si>
    <t>60550476</t>
  </si>
  <si>
    <t>ocm60550476</t>
  </si>
  <si>
    <t>3102497111N</t>
  </si>
  <si>
    <t>9781403970657</t>
  </si>
  <si>
    <t>793939492</t>
  </si>
  <si>
    <t>UA646.3 S584 1985</t>
  </si>
  <si>
    <t>0                      UA 0646300S  584         1985</t>
  </si>
  <si>
    <t>Nato's future : toward a new transatlantic bargain / Stanley R. Sloan.</t>
  </si>
  <si>
    <t>Sloan, Stanley R.</t>
  </si>
  <si>
    <t>Washington, DC : National Defense University Press : Supt. of Docs., U.S. G.P.O. [distributor], 1985.</t>
  </si>
  <si>
    <t>4285766:eng</t>
  </si>
  <si>
    <t>11950857</t>
  </si>
  <si>
    <t>ocm11950857</t>
  </si>
  <si>
    <t>30004738742</t>
  </si>
  <si>
    <t>792794603</t>
  </si>
  <si>
    <t>UA646.3 S586 2010</t>
  </si>
  <si>
    <t>0                      UA 0646300S  586         2010</t>
  </si>
  <si>
    <t>Permanent alliance? : NATO and the transatlantic bargain from Truman to Obama / by Stanley R. Sloan ; foreword by the honorable Lee H. Hamilton.</t>
  </si>
  <si>
    <t>New York : Continuum, 2010.</t>
  </si>
  <si>
    <t>796443758:eng</t>
  </si>
  <si>
    <t>495475332</t>
  </si>
  <si>
    <t>ocn495475332</t>
  </si>
  <si>
    <t>31032282619</t>
  </si>
  <si>
    <t>9781441151261</t>
  </si>
  <si>
    <t>794801735</t>
  </si>
  <si>
    <t>UA646.3 S775 1988</t>
  </si>
  <si>
    <t>0                      UA 0646300S  775         1988</t>
  </si>
  <si>
    <t>The origins of flexible response : NATO's debate over strategy in the 1960s / Jane E. Stromseth ; foreword by Denis Healey.</t>
  </si>
  <si>
    <t>Stromseth, Jane E., 1956-</t>
  </si>
  <si>
    <t>Basingstoke : Macmillan [for] St Anthony's College, Oxford, 1988.</t>
  </si>
  <si>
    <t>St Antony's / Macmillan series</t>
  </si>
  <si>
    <t>198677194:eng</t>
  </si>
  <si>
    <t>59096230</t>
  </si>
  <si>
    <t>ocm59096230</t>
  </si>
  <si>
    <t>31037734546</t>
  </si>
  <si>
    <t>9780333407776</t>
  </si>
  <si>
    <t>793927302</t>
  </si>
  <si>
    <t>UA646.3 T45 2006</t>
  </si>
  <si>
    <t>0                      UA 0646300T  45          2006</t>
  </si>
  <si>
    <t>Nato and weapons of mass destruction : regional alliance, global threats / Eric Terzuolo.</t>
  </si>
  <si>
    <t>Terzuolo, Eric R.</t>
  </si>
  <si>
    <t>London : Routledge, 2006.</t>
  </si>
  <si>
    <t>478130652:eng</t>
  </si>
  <si>
    <t>61440747</t>
  </si>
  <si>
    <t>ocm61440747</t>
  </si>
  <si>
    <t>31024895108</t>
  </si>
  <si>
    <t>9780415379632</t>
  </si>
  <si>
    <t>793952748</t>
  </si>
  <si>
    <t>UA646.3 U33 2013</t>
  </si>
  <si>
    <t>0                      UA 0646300U  33          2013</t>
  </si>
  <si>
    <t>Understanding NATO in the 21st century : alliance strategies, security and global governance / edited by Graeme P. Herd and John Kriendler.</t>
  </si>
  <si>
    <t>London ; New York, NY : Routledge, ©2013.</t>
  </si>
  <si>
    <t>2014-02-13</t>
  </si>
  <si>
    <t>1203180081:eng</t>
  </si>
  <si>
    <t>166383057</t>
  </si>
  <si>
    <t>ocn166383057</t>
  </si>
  <si>
    <t>31034329341</t>
  </si>
  <si>
    <t>9780415436335</t>
  </si>
  <si>
    <t>794261150</t>
  </si>
  <si>
    <t>UA646.3 Y674 1998</t>
  </si>
  <si>
    <t>0                      UA 0646300Y  674         1998</t>
  </si>
  <si>
    <t>NATO transformed : the Alliance's new roles in international security / David S. Yost.</t>
  </si>
  <si>
    <t>Washington, DC : United States Institute of Peace Press, 1998.</t>
  </si>
  <si>
    <t>807011571:eng</t>
  </si>
  <si>
    <t>40043529</t>
  </si>
  <si>
    <t>ocm40043529</t>
  </si>
  <si>
    <t>3102356872K</t>
  </si>
  <si>
    <t>9781878379818</t>
  </si>
  <si>
    <t>793558735</t>
  </si>
  <si>
    <t>UA646.5 C2 C36 1990</t>
  </si>
  <si>
    <t>0                      UA 0646500C  2                  C  36          1990</t>
  </si>
  <si>
    <t>Canada and NATO : uneasy past, uncertain future / edited by Margaret O. Macmillan and David S. Sorenson in association with the Lyman L. Lemnitzer Center for NATO Studies and Centre on Foreign Policy and Federalism.</t>
  </si>
  <si>
    <t>Waterloo, Ont., Canada : University of Waterloo Press, ©1990.</t>
  </si>
  <si>
    <t>29308160:eng</t>
  </si>
  <si>
    <t>26809873</t>
  </si>
  <si>
    <t>ocm26809873</t>
  </si>
  <si>
    <t>3103009568I</t>
  </si>
  <si>
    <t>9780888981011</t>
  </si>
  <si>
    <t>793252372</t>
  </si>
  <si>
    <t>UA646.5 C2 H64 1987</t>
  </si>
  <si>
    <t>0                      UA 0646500C  2                  H  64          1987</t>
  </si>
  <si>
    <t>Canada, NATO and arms control / contributions by John W. Holmes, Malcolm N. Bow, John G.H. Halstead ; edited by Shannon Selin.</t>
  </si>
  <si>
    <t>Holmes, John W., 1910-1988.</t>
  </si>
  <si>
    <t>Ottawa : Canadian Centre for Arms Control and Disarmament, 1987.</t>
  </si>
  <si>
    <t>Issue brief, 0827-9659 ; no. 6</t>
  </si>
  <si>
    <t>430792027:eng</t>
  </si>
  <si>
    <t>16179610</t>
  </si>
  <si>
    <t>ocm16179610</t>
  </si>
  <si>
    <t>3101419345H</t>
  </si>
  <si>
    <t>9780920357088</t>
  </si>
  <si>
    <t>792957288</t>
  </si>
  <si>
    <t>UA646.5 C2 J63 1986</t>
  </si>
  <si>
    <t>0                      UA 0646500C  2                  J  63          1986</t>
  </si>
  <si>
    <t>Canada and collective security : odd man out / Joseph T. Jockel, Joel J. Sokolsky ; foreword by John G.H. Halstead.</t>
  </si>
  <si>
    <t>Jockel, Joseph T.</t>
  </si>
  <si>
    <t>The Washington papers, 0278-937X ; 121</t>
  </si>
  <si>
    <t>836627294:eng</t>
  </si>
  <si>
    <t>13358061</t>
  </si>
  <si>
    <t>ocm13358061</t>
  </si>
  <si>
    <t>3000529352P</t>
  </si>
  <si>
    <t>9780275922177</t>
  </si>
  <si>
    <t>792849808</t>
  </si>
  <si>
    <t>UA646.5 C3 K42 1988</t>
  </si>
  <si>
    <t>0                      UA 0646500C  3                  K  42          1988</t>
  </si>
  <si>
    <t>Canada, NATO, and the bomb : the Western Alliance in crisis / Tom Keating and Larry Pratt.</t>
  </si>
  <si>
    <t>Keating, Thomas F.</t>
  </si>
  <si>
    <t>Edmonton, Alta. : Hurtig Publishers, ©1988.</t>
  </si>
  <si>
    <t>937576417:eng</t>
  </si>
  <si>
    <t>19886773</t>
  </si>
  <si>
    <t>ocm19886773</t>
  </si>
  <si>
    <t>3000588548E</t>
  </si>
  <si>
    <t>9780888303325</t>
  </si>
  <si>
    <t>793071432</t>
  </si>
  <si>
    <t>UA646.5 C3 S545 2001</t>
  </si>
  <si>
    <t>0                      UA 0646500C  3                  S  545         2001</t>
  </si>
  <si>
    <t>NATO and the bomb : Canadian defenders confront critics / Erika Simpson.</t>
  </si>
  <si>
    <t>Simpson, Erika, 1962-</t>
  </si>
  <si>
    <t>Montreal : McGill-Queen's University Press, ©2001.</t>
  </si>
  <si>
    <t>793028654:eng</t>
  </si>
  <si>
    <t>43846989</t>
  </si>
  <si>
    <t>ocm43846989</t>
  </si>
  <si>
    <t>3102094980P</t>
  </si>
  <si>
    <t>9780773521186</t>
  </si>
  <si>
    <t>793636712</t>
  </si>
  <si>
    <t>UA646.5 U5 R42</t>
  </si>
  <si>
    <t>0                      UA 0646500U  5                  R  42</t>
  </si>
  <si>
    <t>U.S. nuclear weapons in Europe : issues and alternatives / Jeffrey Record ; with the assistance of Thomas I. Anderson.</t>
  </si>
  <si>
    <t>Record, Jeffrey.</t>
  </si>
  <si>
    <t>Washington : Brookings Institution, [1974]</t>
  </si>
  <si>
    <t>890431024:eng</t>
  </si>
  <si>
    <t>1088715</t>
  </si>
  <si>
    <t>ocm01088715</t>
  </si>
  <si>
    <t>3000419557K</t>
  </si>
  <si>
    <t>9780815773658</t>
  </si>
  <si>
    <t>791544037</t>
  </si>
  <si>
    <t>UA646.53 M66 2007</t>
  </si>
  <si>
    <t>0                      UA 0646530M  66          2007</t>
  </si>
  <si>
    <t>Thinking peaceful change : Baltic security policies and security community building / Frank Möller.</t>
  </si>
  <si>
    <t>Möller, Frank, 1963-</t>
  </si>
  <si>
    <t>Syracuse, N.Y. : Syracuse University Press, 2007.</t>
  </si>
  <si>
    <t>Syracuse studies on peace and conflict resolution</t>
  </si>
  <si>
    <t>2019-01-21</t>
  </si>
  <si>
    <t>481273076:eng</t>
  </si>
  <si>
    <t>71800668</t>
  </si>
  <si>
    <t>ocm71800668</t>
  </si>
  <si>
    <t>3102637504V</t>
  </si>
  <si>
    <t>9780815631088</t>
  </si>
  <si>
    <t>794168362</t>
  </si>
  <si>
    <t>UA646.8 C37 2005</t>
  </si>
  <si>
    <t>0                      UA 0646800C  37          2005</t>
  </si>
  <si>
    <t>A cardboard castle? : an inside history of the Warsaw Pact, 1955-1991 / edited by Vojtech Mastny and Malcolm Byrne ; editorial assistant Magdalena Klotzbach.</t>
  </si>
  <si>
    <t>New York : Central European University Press, 2005.</t>
  </si>
  <si>
    <t>National Security Archive Cold War readers</t>
  </si>
  <si>
    <t>793975104:eng</t>
  </si>
  <si>
    <t>57594878</t>
  </si>
  <si>
    <t>ocm57594878</t>
  </si>
  <si>
    <t>31024987171</t>
  </si>
  <si>
    <t>9789637326080</t>
  </si>
  <si>
    <t>793916238</t>
  </si>
  <si>
    <t>UA646.8 E89 1982</t>
  </si>
  <si>
    <t>0                      UA 0646800E  89          1982</t>
  </si>
  <si>
    <t>East Central European society and war in the prerevolutionary eighteenth century / Gunther E. Rothenberg, Béla K. Király and Peter F. Sugar, editors.</t>
  </si>
  <si>
    <t>East European monographs ; no. 122</t>
  </si>
  <si>
    <t>2009-04-27</t>
  </si>
  <si>
    <t>2015-09-10</t>
  </si>
  <si>
    <t>443064808:eng</t>
  </si>
  <si>
    <t>8535954</t>
  </si>
  <si>
    <t>ocm08535954</t>
  </si>
  <si>
    <t>30001589592</t>
  </si>
  <si>
    <t>9780930888190</t>
  </si>
  <si>
    <t>792625882</t>
  </si>
  <si>
    <t>3103635665E</t>
  </si>
  <si>
    <t>792625881</t>
  </si>
  <si>
    <t>UA646.8 N487 2002</t>
  </si>
  <si>
    <t>0                      UA 0646800N  487         2002</t>
  </si>
  <si>
    <t>New security challenges in postcommunist Europe : securing Europe's east / edited by Andrew Cottey and Derek Averre.</t>
  </si>
  <si>
    <t>Manchester ; New York : Manchester University Press ; New York : Distributed exclusively in the USA by Palgrave, 2002.</t>
  </si>
  <si>
    <t>795412897:eng</t>
  </si>
  <si>
    <t>52511536</t>
  </si>
  <si>
    <t>ocm52511536</t>
  </si>
  <si>
    <t>3102245247M</t>
  </si>
  <si>
    <t>9780719061318</t>
  </si>
  <si>
    <t>793808247</t>
  </si>
  <si>
    <t>UA647 A65 2011</t>
  </si>
  <si>
    <t>0                      UA 0647000A  65          2011</t>
  </si>
  <si>
    <t>A question of security : the British defence review in an age of austerity / edited by Michael Codner and Michael Clarke ; foreword by Lord Hutton of Furness.</t>
  </si>
  <si>
    <t>New York, NY : I.B. Tauris &amp; Co Ltd ; New York : Distributed in the United States and Canada exclusively by Palgrave Macmillan ; London : in association with RUSI, 2011.</t>
  </si>
  <si>
    <t>RUSI Defence and Security Studies series ; 1</t>
  </si>
  <si>
    <t>2012-02-03</t>
  </si>
  <si>
    <t>9021133831:eng</t>
  </si>
  <si>
    <t>609541215</t>
  </si>
  <si>
    <t>ocn609541215</t>
  </si>
  <si>
    <t>3103321782C</t>
  </si>
  <si>
    <t>9781848856059</t>
  </si>
  <si>
    <t>794820139</t>
  </si>
  <si>
    <t>UA647 D48 2010</t>
  </si>
  <si>
    <t>0                      UA 0647000D  48          2010</t>
  </si>
  <si>
    <t>The development of British defence policy : Blair, Brown and beyond / edited by David Brown.</t>
  </si>
  <si>
    <t>Farnham, Surrey, England ; Burlington, VT : Ashgate, ©2010.</t>
  </si>
  <si>
    <t>1073649942:eng</t>
  </si>
  <si>
    <t>553364956</t>
  </si>
  <si>
    <t>ocn553364956</t>
  </si>
  <si>
    <t>31032282933</t>
  </si>
  <si>
    <t>9780754674894</t>
  </si>
  <si>
    <t>794811887</t>
  </si>
  <si>
    <t>UA647 F37 2013</t>
  </si>
  <si>
    <t>0                      UA 0647000F  37          2013</t>
  </si>
  <si>
    <t>Churchill's bomb : how the United States overtook Britain in the first nuclear arms race / Graham Farmelo.</t>
  </si>
  <si>
    <t>Farmelo, Graham.</t>
  </si>
  <si>
    <t>New York : Basic Books, a member of the Perseus Books Group, 2013.</t>
  </si>
  <si>
    <t>2018-01-10</t>
  </si>
  <si>
    <t>3945285429:eng</t>
  </si>
  <si>
    <t>858935268</t>
  </si>
  <si>
    <t>ocn858935268</t>
  </si>
  <si>
    <t>3103502610N</t>
  </si>
  <si>
    <t>9780465021956</t>
  </si>
  <si>
    <t>794957173</t>
  </si>
  <si>
    <t>UA647 G68 1996</t>
  </si>
  <si>
    <t>0                      UA 0647000G  68          1996</t>
  </si>
  <si>
    <t>Government and the armed forces in Britain, 1856-1990 / edited by Paul Smith.</t>
  </si>
  <si>
    <t>London ; Rio Grande, Ohio : Hambledon Press, ©1996.</t>
  </si>
  <si>
    <t>2019-11-22</t>
  </si>
  <si>
    <t>865634463:eng</t>
  </si>
  <si>
    <t>34517173</t>
  </si>
  <si>
    <t>ocm34517173</t>
  </si>
  <si>
    <t>3101732290I</t>
  </si>
  <si>
    <t>9781852851446</t>
  </si>
  <si>
    <t>793428671</t>
  </si>
  <si>
    <t>UA647 H536 2003</t>
  </si>
  <si>
    <t>0                      UA 0647000H  536         2003</t>
  </si>
  <si>
    <t>The secret state : Whitehall and the Cold War / Peter Hennessy.</t>
  </si>
  <si>
    <t>Hennessy, Peter, 1947-</t>
  </si>
  <si>
    <t>London : Penguin, 2003.</t>
  </si>
  <si>
    <t>7081108:eng</t>
  </si>
  <si>
    <t>51108776</t>
  </si>
  <si>
    <t>ocm51108776</t>
  </si>
  <si>
    <t>3102362612C</t>
  </si>
  <si>
    <t>9780141008356</t>
  </si>
  <si>
    <t>793779160</t>
  </si>
  <si>
    <t>UA647 H536 2010</t>
  </si>
  <si>
    <t>0                      UA 0647000H  536         2010</t>
  </si>
  <si>
    <t>The secret state : preparing for the worst 1945-2010 / Peter Hennessy.</t>
  </si>
  <si>
    <t>London ; New York : Penguin Books, 2010.</t>
  </si>
  <si>
    <t>864128083:eng</t>
  </si>
  <si>
    <t>667248128</t>
  </si>
  <si>
    <t>ocn667248128</t>
  </si>
  <si>
    <t>3103235160J</t>
  </si>
  <si>
    <t>9780141044699</t>
  </si>
  <si>
    <t>794845498</t>
  </si>
  <si>
    <t>UA647 I35 2008</t>
  </si>
  <si>
    <t>0                      UA 0647000I  35          2008</t>
  </si>
  <si>
    <t>Imperial defence : the old world order 1856-1956 / edited by Greg Kennedy.</t>
  </si>
  <si>
    <t>London ; New York : Routledge, 2008.</t>
  </si>
  <si>
    <t>Cass military studies</t>
  </si>
  <si>
    <t>2016-10-14</t>
  </si>
  <si>
    <t>865024262:eng</t>
  </si>
  <si>
    <t>191872967</t>
  </si>
  <si>
    <t>ocn191872967</t>
  </si>
  <si>
    <t>3102651235B</t>
  </si>
  <si>
    <t>9780415355957</t>
  </si>
  <si>
    <t>794301661</t>
  </si>
  <si>
    <t>UA647 L5 1939</t>
  </si>
  <si>
    <t>0                      UA 0647000L  5           1939</t>
  </si>
  <si>
    <t>The defence of Britain, by Liddell Hart.</t>
  </si>
  <si>
    <t>New York, Random House, 1939.</t>
  </si>
  <si>
    <t>446166:eng</t>
  </si>
  <si>
    <t>691544</t>
  </si>
  <si>
    <t>ocm00691544</t>
  </si>
  <si>
    <t>31002489444</t>
  </si>
  <si>
    <t>791447268</t>
  </si>
  <si>
    <t>UA647 M66 2010</t>
  </si>
  <si>
    <t>0                      UA 0647000M  66          2010</t>
  </si>
  <si>
    <t>Nuclear illusion, nuclear reality : Britain, the United States and nuclear weapons, 1958-64 / Richard Moore.</t>
  </si>
  <si>
    <t>Moore, Richard, 1968-</t>
  </si>
  <si>
    <t>Houndmills, Basingstoke, Hampshire ; New York : Palgrave Macmillan, 2010.</t>
  </si>
  <si>
    <t>796298732:eng</t>
  </si>
  <si>
    <t>428030700</t>
  </si>
  <si>
    <t>ocn428030700</t>
  </si>
  <si>
    <t>3103134069W</t>
  </si>
  <si>
    <t>9780230230675</t>
  </si>
  <si>
    <t>794756330</t>
  </si>
  <si>
    <t>UA647 O94 2014</t>
  </si>
  <si>
    <t>0                      UA 0647000O  94          2014</t>
  </si>
  <si>
    <t>The hidden perspective : the military conversations 1906-1914 / David Owen.</t>
  </si>
  <si>
    <t>Owen, David, 1938- author.</t>
  </si>
  <si>
    <t>London : Haus Publishing Ltd., 2014.</t>
  </si>
  <si>
    <t>1778101695:eng</t>
  </si>
  <si>
    <t>868380566</t>
  </si>
  <si>
    <t>ocn868380566</t>
  </si>
  <si>
    <t>3103530531F</t>
  </si>
  <si>
    <t>9781908323668</t>
  </si>
  <si>
    <t>794964686</t>
  </si>
  <si>
    <t>UA647 R53 2012</t>
  </si>
  <si>
    <t>0                      UA 0647000R  53          2012</t>
  </si>
  <si>
    <t>A guide to national security : threats, responses and strategies / Julian Richards.</t>
  </si>
  <si>
    <t>Richards, Julian (Julian James)</t>
  </si>
  <si>
    <t>1067740777:eng</t>
  </si>
  <si>
    <t>769471066</t>
  </si>
  <si>
    <t>ocn769471066</t>
  </si>
  <si>
    <t>3103429929H</t>
  </si>
  <si>
    <t>9780199655069</t>
  </si>
  <si>
    <t>794903434</t>
  </si>
  <si>
    <t>UA647 S182 1995</t>
  </si>
  <si>
    <t>0                      UA 0647000S  182         1995</t>
  </si>
  <si>
    <t>Command or control? : command, training, and tactics in the British and German armies, 1888-1918 / Martin Samuels.</t>
  </si>
  <si>
    <t>Samuels, Martin.</t>
  </si>
  <si>
    <t>London ; Portland, OR : Frank Cass, 1995.</t>
  </si>
  <si>
    <t>2019-10-31</t>
  </si>
  <si>
    <t>2699840:eng</t>
  </si>
  <si>
    <t>32090471</t>
  </si>
  <si>
    <t>ocm32090471</t>
  </si>
  <si>
    <t>3101874454A</t>
  </si>
  <si>
    <t>9780714645704</t>
  </si>
  <si>
    <t>793375488</t>
  </si>
  <si>
    <t>UA647 S25 1995</t>
  </si>
  <si>
    <t>0                      UA 0647000S  25          1995</t>
  </si>
  <si>
    <t>3101597395V</t>
  </si>
  <si>
    <t>793375487</t>
  </si>
  <si>
    <t>UA647 S37</t>
  </si>
  <si>
    <t>0                      UA 0647000S  37</t>
  </si>
  <si>
    <t>British rearmament in the thirties : politics and profits / Robert Paul Shay, Jr.</t>
  </si>
  <si>
    <t>Shay, Robert Paul, 1947-</t>
  </si>
  <si>
    <t>Princeton, N.J. : Princeton University Press, ©1977.</t>
  </si>
  <si>
    <t>146930584:eng</t>
  </si>
  <si>
    <t>2645722</t>
  </si>
  <si>
    <t>ocm02645722</t>
  </si>
  <si>
    <t>3102749865S</t>
  </si>
  <si>
    <t>9780691052489</t>
  </si>
  <si>
    <t>792157392</t>
  </si>
  <si>
    <t>UA649 B66</t>
  </si>
  <si>
    <t>0                      UA 0649000B  66</t>
  </si>
  <si>
    <t>British military policy between the two world wars / by Brian Bond.</t>
  </si>
  <si>
    <t>Bond, Brian.</t>
  </si>
  <si>
    <t>Oxford : Clarendon Press ; New York : Oxford University Press, 1980.</t>
  </si>
  <si>
    <t>416005:eng</t>
  </si>
  <si>
    <t>6142431</t>
  </si>
  <si>
    <t>ocm06142431</t>
  </si>
  <si>
    <t>3000311948F</t>
  </si>
  <si>
    <t>9780198224648</t>
  </si>
  <si>
    <t>792477874</t>
  </si>
  <si>
    <t>UA649 B69 2012</t>
  </si>
  <si>
    <t>0                      UA 0649000B  69          2012</t>
  </si>
  <si>
    <t>The Edwardian Army : recruiting, training, and deploying the British Army 1902-1914 / Timothy Bowman and Mark Connelly.</t>
  </si>
  <si>
    <t>Bowman, Timothy.</t>
  </si>
  <si>
    <t>Oxford, United Kingdom : Oxford University Press, 2012.</t>
  </si>
  <si>
    <t>2014-02-19</t>
  </si>
  <si>
    <t>1138817506:eng</t>
  </si>
  <si>
    <t>773428571</t>
  </si>
  <si>
    <t>ocn773428571</t>
  </si>
  <si>
    <t>31034229336</t>
  </si>
  <si>
    <t>9780199542789</t>
  </si>
  <si>
    <t>794905598</t>
  </si>
  <si>
    <t>UA649 G53</t>
  </si>
  <si>
    <t>0                      UA 0649000G  53</t>
  </si>
  <si>
    <t>Wellington's army in the Peninsula, 1808-1814 / Michael Glover.</t>
  </si>
  <si>
    <t>Glover, Michael, 1922-1990, author.</t>
  </si>
  <si>
    <t>New York : Hippocrene Books, 1977.</t>
  </si>
  <si>
    <t>Historic armies and navies</t>
  </si>
  <si>
    <t>347762827:eng</t>
  </si>
  <si>
    <t>2346727</t>
  </si>
  <si>
    <t>ocm02346727</t>
  </si>
  <si>
    <t>3103488138D</t>
  </si>
  <si>
    <t>9780882544137</t>
  </si>
  <si>
    <t>792107280</t>
  </si>
  <si>
    <t>UA649 S54 2013</t>
  </si>
  <si>
    <t>0                      UA 0649000S  54          2013</t>
  </si>
  <si>
    <t>Setting priorities in the age of austerity : British, French, and German experiences / Michael Shurkin.</t>
  </si>
  <si>
    <t>Shurkin, Michael Robert.</t>
  </si>
  <si>
    <t>1270456530:eng</t>
  </si>
  <si>
    <t>841206083</t>
  </si>
  <si>
    <t>ocn841206083</t>
  </si>
  <si>
    <t>31035180496</t>
  </si>
  <si>
    <t>9780833080394</t>
  </si>
  <si>
    <t>794946724</t>
  </si>
  <si>
    <t>UA649 S84 1984</t>
  </si>
  <si>
    <t>0                      UA 0649000S  84          1984</t>
  </si>
  <si>
    <t>Wellington's legacy : the reform of the British Army, 1830-54 / Hew Strachan.</t>
  </si>
  <si>
    <t>Strachan, Hew.</t>
  </si>
  <si>
    <t>Manchester [Greater Manchester] ; Dover, N.H., U.S.A. : Manchester University Press, ©1984.</t>
  </si>
  <si>
    <t>472546094:eng</t>
  </si>
  <si>
    <t>10323262</t>
  </si>
  <si>
    <t>ocm10323262</t>
  </si>
  <si>
    <t>3000365770H</t>
  </si>
  <si>
    <t>9780719009945</t>
  </si>
  <si>
    <t>792719929</t>
  </si>
  <si>
    <t>UA649 S94 1984</t>
  </si>
  <si>
    <t>0                      UA 0649000S  94          1984</t>
  </si>
  <si>
    <t>War and administration : the significance of the Crimean War for the British Army / John Sweetman.</t>
  </si>
  <si>
    <t>Sweetman, John, 1935-</t>
  </si>
  <si>
    <t>Edinburgh : Scottish Academic Press, 1984.</t>
  </si>
  <si>
    <t>4196491:eng</t>
  </si>
  <si>
    <t>11534782</t>
  </si>
  <si>
    <t>ocm11534782</t>
  </si>
  <si>
    <t>3000369614B</t>
  </si>
  <si>
    <t>9780707303321</t>
  </si>
  <si>
    <t>792777344</t>
  </si>
  <si>
    <t>UA649.32 I4 H43 1995</t>
  </si>
  <si>
    <t>0                      UA 0649320I  4                  H  43          1995</t>
  </si>
  <si>
    <t>The military in British India : the development of British land forces in South Asia, 1600-1947 / T.A. Heathcote.</t>
  </si>
  <si>
    <t>Heathcote, T. A.</t>
  </si>
  <si>
    <t>Manchester ; New York : Manchester University Press ; New York : Distributed exclusively in the USA and Canada by St. Martin's Press, ©1995.</t>
  </si>
  <si>
    <t>Manchester history of the British Army</t>
  </si>
  <si>
    <t>2015-10-28</t>
  </si>
  <si>
    <t>24229659:eng</t>
  </si>
  <si>
    <t>30518757</t>
  </si>
  <si>
    <t>ocm30518757</t>
  </si>
  <si>
    <t>31014455574</t>
  </si>
  <si>
    <t>9780719035708</t>
  </si>
  <si>
    <t>793337878</t>
  </si>
  <si>
    <t>UA649.32 I4 S73 1998</t>
  </si>
  <si>
    <t>0                      UA 0649320I  4                  S  73          1998</t>
  </si>
  <si>
    <t>White mutiny : British military culture in India / Peter Stanley.</t>
  </si>
  <si>
    <t>Stanley, Peter, 1956-</t>
  </si>
  <si>
    <t>New York : New York University Press, 1998.</t>
  </si>
  <si>
    <t>2015-01-17</t>
  </si>
  <si>
    <t>916837195:eng</t>
  </si>
  <si>
    <t>36284300</t>
  </si>
  <si>
    <t>ocm36284300</t>
  </si>
  <si>
    <t>3101887630W</t>
  </si>
  <si>
    <t>9780814780831</t>
  </si>
  <si>
    <t>793471605</t>
  </si>
  <si>
    <t>UA652 F7 A45 2015</t>
  </si>
  <si>
    <t>0                      UA 0652000F  7                  A  45          2015</t>
  </si>
  <si>
    <t>Driv'n by fortune : the scots march to modernity in america, 1745-1812.</t>
  </si>
  <si>
    <t>Frye, Northrop.</t>
  </si>
  <si>
    <t>[Place of publication not identified] : Dundurn Group Ltd, 2014.</t>
  </si>
  <si>
    <t>3137450805:eng</t>
  </si>
  <si>
    <t>866857097</t>
  </si>
  <si>
    <t>ocn866857097</t>
  </si>
  <si>
    <t>3103496963N</t>
  </si>
  <si>
    <t>9781459722033</t>
  </si>
  <si>
    <t>794963668</t>
  </si>
  <si>
    <t>UA652 F7 H3</t>
  </si>
  <si>
    <t>0                      UA 0652000F  7                  H  3</t>
  </si>
  <si>
    <t>78th Fighting Frasers in Canada; a short history of the old 78th Regiment or Fraser's Highlanders, 1757-1763, by J.R. Harper.</t>
  </si>
  <si>
    <t>Harper, J. Ralph.</t>
  </si>
  <si>
    <t>Chomeday, Que., Dev-Sco Publications, 1966.</t>
  </si>
  <si>
    <t>2019-02-19</t>
  </si>
  <si>
    <t>14310046:eng</t>
  </si>
  <si>
    <t>4089336</t>
  </si>
  <si>
    <t>ocm04089336</t>
  </si>
  <si>
    <t>3000381979$</t>
  </si>
  <si>
    <t>792320607</t>
  </si>
  <si>
    <t>UA652 R826 N5</t>
  </si>
  <si>
    <t>0                      UA 0652000R  826                N  5</t>
  </si>
  <si>
    <t>The fighting Newfoundlander; a history of the Royal Newfoundland Regiment, by G.W.L. Nicholson. Maps drawn by E.H. Ellwand.</t>
  </si>
  <si>
    <t>[Ottawa] Govt. of Newfoundland [1964]</t>
  </si>
  <si>
    <t>2019-09-30</t>
  </si>
  <si>
    <t>19851549:eng</t>
  </si>
  <si>
    <t>75426</t>
  </si>
  <si>
    <t>ocm00075426</t>
  </si>
  <si>
    <t>3103601807L</t>
  </si>
  <si>
    <t>791247165</t>
  </si>
  <si>
    <t>UA654 B34 2008</t>
  </si>
  <si>
    <t>0                      UA 0654000B  34          2008</t>
  </si>
  <si>
    <t>Doctrine and reform in the British cavalry 1880-1918 / Stephen Badsey.</t>
  </si>
  <si>
    <t>Badsey, Stephen.</t>
  </si>
  <si>
    <t>Aldershot, England ; Burlington, VT : Ashgate Pub., ©2008.</t>
  </si>
  <si>
    <t>Birmingham studies in First World War history</t>
  </si>
  <si>
    <t>2019-10-26</t>
  </si>
  <si>
    <t>116250523:eng</t>
  </si>
  <si>
    <t>180690059</t>
  </si>
  <si>
    <t>ocn180690059</t>
  </si>
  <si>
    <t>3102974821T</t>
  </si>
  <si>
    <t>9780754664673</t>
  </si>
  <si>
    <t>794280190</t>
  </si>
  <si>
    <t>UA661 B64 1945</t>
  </si>
  <si>
    <t>0                      UA 0661000B  64          1945</t>
  </si>
  <si>
    <t>Britain's Home guard, a character study by John Brophy, portrayed in colour by Eric Kennington, with a foreword by Sir James Grigg ...</t>
  </si>
  <si>
    <t>Brophy, John, 1899-1965.</t>
  </si>
  <si>
    <t>London, Toronto [etc] G.G. Harrap &amp; Co. [1945]</t>
  </si>
  <si>
    <t>1945</t>
  </si>
  <si>
    <t>2686803:eng</t>
  </si>
  <si>
    <t>1730475</t>
  </si>
  <si>
    <t>ocm01730475</t>
  </si>
  <si>
    <t>3101221901O</t>
  </si>
  <si>
    <t>791855991</t>
  </si>
  <si>
    <t>UA661 S86 2007</t>
  </si>
  <si>
    <t>0                      UA 0661000S  86          2007</t>
  </si>
  <si>
    <t>Contesting home defence : men, women and the Home Guard in the Second World War / Penny Summerfield &amp; Corinna Peniston-Bird.</t>
  </si>
  <si>
    <t>Summerfield, Penny.</t>
  </si>
  <si>
    <t>Cultural history of modern war</t>
  </si>
  <si>
    <t>314195717:eng</t>
  </si>
  <si>
    <t>72868353</t>
  </si>
  <si>
    <t>ocm72868353</t>
  </si>
  <si>
    <t>3102641839Z</t>
  </si>
  <si>
    <t>9780719062018</t>
  </si>
  <si>
    <t>794170699</t>
  </si>
  <si>
    <t>UA664 K45 2015</t>
  </si>
  <si>
    <t>0                      UA 0664000K  45          2015</t>
  </si>
  <si>
    <t>Echoes of success : identity and the Highland Regiments / by Ian Stuart Kelly.</t>
  </si>
  <si>
    <t>Kelly, Ian Stuart.</t>
  </si>
  <si>
    <t>Boston : Brill, [2015]</t>
  </si>
  <si>
    <t>History of warfare ; volume 104</t>
  </si>
  <si>
    <t>2484617444:eng</t>
  </si>
  <si>
    <t>904036895</t>
  </si>
  <si>
    <t>ocn904036895</t>
  </si>
  <si>
    <t>3103610770H</t>
  </si>
  <si>
    <t>9789004292185</t>
  </si>
  <si>
    <t>794989972</t>
  </si>
  <si>
    <t>UA672 D84 1977</t>
  </si>
  <si>
    <t>0                      UA 0672000D  84          1977</t>
  </si>
  <si>
    <t>The army of Maria Theresa : the Armed Forces of Imperial Austria, 1740-1780 / Christopher Duffy.</t>
  </si>
  <si>
    <t>836716565:eng</t>
  </si>
  <si>
    <t>3003581</t>
  </si>
  <si>
    <t>ocm03003581</t>
  </si>
  <si>
    <t>31035777250</t>
  </si>
  <si>
    <t>9780882544274</t>
  </si>
  <si>
    <t>792205290</t>
  </si>
  <si>
    <t>UA672 L33 1995</t>
  </si>
  <si>
    <t>0                      UA 0672000L  33          1995</t>
  </si>
  <si>
    <t>The rebirth of the Habsburg army : Friedrich Beck and the rise of the general staff / Scott W. Lackey.</t>
  </si>
  <si>
    <t>Lackey, Scott W.</t>
  </si>
  <si>
    <t>Westport, Conn. : Greenwood Press, 1995.</t>
  </si>
  <si>
    <t>Contributions in military studies, 0883-6884 ; no. 161</t>
  </si>
  <si>
    <t>2627299:eng</t>
  </si>
  <si>
    <t>32130668</t>
  </si>
  <si>
    <t>ocm32130668</t>
  </si>
  <si>
    <t>31015113940</t>
  </si>
  <si>
    <t>9780313293610</t>
  </si>
  <si>
    <t>793376357</t>
  </si>
  <si>
    <t>UA672 L82 1987</t>
  </si>
  <si>
    <t>0                      UA 0672000L  82          1987</t>
  </si>
  <si>
    <t>Fighting troops of the Austro-Hungarían army, 1868-1914 / James Lucas.</t>
  </si>
  <si>
    <t>Lucas, James Sidney.</t>
  </si>
  <si>
    <t>New York : Hippocrene Books, ©1987.</t>
  </si>
  <si>
    <t>510967422:eng</t>
  </si>
  <si>
    <t>16654333</t>
  </si>
  <si>
    <t>ocm16654333</t>
  </si>
  <si>
    <t>31032910688</t>
  </si>
  <si>
    <t>9780870523625</t>
  </si>
  <si>
    <t>792967956</t>
  </si>
  <si>
    <t>UA672 R66</t>
  </si>
  <si>
    <t>0                      UA 0672000R  66</t>
  </si>
  <si>
    <t>The army of Francis Joseph / by Gunther E. Rothenberg.</t>
  </si>
  <si>
    <t>West Lafayette, Ind. : Purdue University Press, 1976.</t>
  </si>
  <si>
    <t>584572:eng</t>
  </si>
  <si>
    <t>2296764</t>
  </si>
  <si>
    <t>ocm02296764</t>
  </si>
  <si>
    <t>3000422274O</t>
  </si>
  <si>
    <t>9780911198416</t>
  </si>
  <si>
    <t>792099684</t>
  </si>
  <si>
    <t>UA680 E77 2014</t>
  </si>
  <si>
    <t>0                      UA 0680000E  77          2014</t>
  </si>
  <si>
    <t>Belgium's dilemma : the formation of the Belgian defense policy, 1932-1940 / by Jonathan A. Epstein.</t>
  </si>
  <si>
    <t>Epstein, Jonathan A., author.</t>
  </si>
  <si>
    <t>Leiden ; Boston : Brill, [2014]</t>
  </si>
  <si>
    <t>History of warfare, 1385-7827 ; volume 96</t>
  </si>
  <si>
    <t>2014-10-10</t>
  </si>
  <si>
    <t>1856182081:eng</t>
  </si>
  <si>
    <t>868225796</t>
  </si>
  <si>
    <t>ocn868225796</t>
  </si>
  <si>
    <t>3103531349F</t>
  </si>
  <si>
    <t>9789004254671</t>
  </si>
  <si>
    <t>794964547</t>
  </si>
  <si>
    <t>UA680 S74 1990</t>
  </si>
  <si>
    <t>0                      UA 0680000S  74          1990</t>
  </si>
  <si>
    <t>Benelux security cooperation : a new European defense community? / George J. Stein.</t>
  </si>
  <si>
    <t>Stein, George J.</t>
  </si>
  <si>
    <t>Studies in global security</t>
  </si>
  <si>
    <t>367764906:eng</t>
  </si>
  <si>
    <t>20932994</t>
  </si>
  <si>
    <t>ocm20932994</t>
  </si>
  <si>
    <t>3100657381U</t>
  </si>
  <si>
    <t>9780813379623</t>
  </si>
  <si>
    <t>793103483</t>
  </si>
  <si>
    <t>UA700 A8 1985</t>
  </si>
  <si>
    <t>0                      UA 0700000A  8           1985</t>
  </si>
  <si>
    <t>L'Aventure de la bombe : de Gaulle et la dissuasion nucléaire, 1958-1969 : colloque / organisé à Arc-et-Senans par l'Université de Franche-Comté et l'Institut Charles-de-Gaulle les 27, 28 et 29 septembre 1984.</t>
  </si>
  <si>
    <t>Paris : Plon, ©1985.</t>
  </si>
  <si>
    <t>Collection Espoir</t>
  </si>
  <si>
    <t>193546524:fre</t>
  </si>
  <si>
    <t>13899070</t>
  </si>
  <si>
    <t>ocm13899070</t>
  </si>
  <si>
    <t>3000379598E</t>
  </si>
  <si>
    <t>9782259013635</t>
  </si>
  <si>
    <t>792871081</t>
  </si>
  <si>
    <t>UA700 C5 1965</t>
  </si>
  <si>
    <t>0                      UA 0700000C  5           1965</t>
  </si>
  <si>
    <t>The French theory of the nation in arms, 1866-1939 / . by Richard D. Challener.</t>
  </si>
  <si>
    <t>Challener, Richard D.</t>
  </si>
  <si>
    <t>New York : Russell &amp; Russell, 1965.</t>
  </si>
  <si>
    <t>Columbia studies in the social sciences ; no. 579</t>
  </si>
  <si>
    <t>257267534:eng</t>
  </si>
  <si>
    <t>243420544</t>
  </si>
  <si>
    <t>ocn243420544</t>
  </si>
  <si>
    <t>3000224895X</t>
  </si>
  <si>
    <t>794376538</t>
  </si>
  <si>
    <t>3000512552L</t>
  </si>
  <si>
    <t>794376539</t>
  </si>
  <si>
    <t>UA700 C533 2008</t>
  </si>
  <si>
    <t>0                      UA 0700000C  533         2008</t>
  </si>
  <si>
    <t>France and the new imperialism : security policy in Sub-Saharan Africa / Bruno Charbonneau.</t>
  </si>
  <si>
    <t>Charbonneau, Bruno.</t>
  </si>
  <si>
    <t>Aldershot, England ; Burlington, VT : Ashgate, ©2008.</t>
  </si>
  <si>
    <t>2017-11-19</t>
  </si>
  <si>
    <t>855402767:eng</t>
  </si>
  <si>
    <t>153773502</t>
  </si>
  <si>
    <t>ocn153773502</t>
  </si>
  <si>
    <t>31028845380</t>
  </si>
  <si>
    <t>9780754672852</t>
  </si>
  <si>
    <t>794250309</t>
  </si>
  <si>
    <t>UA700 C67 1985</t>
  </si>
  <si>
    <t>0                      UA 0700000C  67          1985</t>
  </si>
  <si>
    <t>Les hommes, la guerre et la mort / André Corvisier.</t>
  </si>
  <si>
    <t>Paris : Economica, ©1985.</t>
  </si>
  <si>
    <t>Histoire</t>
  </si>
  <si>
    <t>348634853:fre</t>
  </si>
  <si>
    <t>15100227</t>
  </si>
  <si>
    <t>ocm15100227</t>
  </si>
  <si>
    <t>3000478709T</t>
  </si>
  <si>
    <t>9782717809688</t>
  </si>
  <si>
    <t>792919967</t>
  </si>
  <si>
    <t>UA700 G38 1940</t>
  </si>
  <si>
    <t>0                      UA 0700000G  38          1940</t>
  </si>
  <si>
    <t>The army of the future / by Charles de Gaulle.</t>
  </si>
  <si>
    <t>London : Hutchinson, [1940]</t>
  </si>
  <si>
    <t>1940</t>
  </si>
  <si>
    <t>501042:eng</t>
  </si>
  <si>
    <t>427537980</t>
  </si>
  <si>
    <t>ocn427537980</t>
  </si>
  <si>
    <t>30007273686</t>
  </si>
  <si>
    <t>9780837175256</t>
  </si>
  <si>
    <t>794679686</t>
  </si>
  <si>
    <t>UA700 G87 2016</t>
  </si>
  <si>
    <t>0                      UA 0700000G  87          2016</t>
  </si>
  <si>
    <t>Le Président et la bombe : Jupiter à l'Élysée / Jean Guisnel, Bruno Tertrais.</t>
  </si>
  <si>
    <t>Guisnel, Jean, 1951- author.</t>
  </si>
  <si>
    <t>Paris : Odile Jacob, [2016]</t>
  </si>
  <si>
    <t>2016-10-24</t>
  </si>
  <si>
    <t>3020143128:fre</t>
  </si>
  <si>
    <t>949927555</t>
  </si>
  <si>
    <t>ocn949927555</t>
  </si>
  <si>
    <t>31036991778</t>
  </si>
  <si>
    <t>9782738133878</t>
  </si>
  <si>
    <t>795016419</t>
  </si>
  <si>
    <t>UA700 J3813 1972</t>
  </si>
  <si>
    <t>0                      UA 0700000J  3813        1972</t>
  </si>
  <si>
    <t>Democracy and military service; an abbreviated translation of L'armée nouvelle. Edited by G.G. Coulton, with a pref. by Pierre Renaudel. With a new introd. for the Garland ed. by Dennis Sherman.</t>
  </si>
  <si>
    <t>Jaurès, Jean, 1859-1914.</t>
  </si>
  <si>
    <t>New York, Garland Pub., 1972.</t>
  </si>
  <si>
    <t>365052724:eng</t>
  </si>
  <si>
    <t>319845</t>
  </si>
  <si>
    <t>ocm00319845</t>
  </si>
  <si>
    <t>3000555892W</t>
  </si>
  <si>
    <t>9780824004675</t>
  </si>
  <si>
    <t>791335683</t>
  </si>
  <si>
    <t>UA700 K4</t>
  </si>
  <si>
    <t>0                      UA 0700000K  4</t>
  </si>
  <si>
    <t>The French armies in the Seven Years' War : a study in military organization and administration / Lee Kennett.</t>
  </si>
  <si>
    <t>Kennett, Lee B.</t>
  </si>
  <si>
    <t>Durham, N.C. : Duke University Press, 1967.</t>
  </si>
  <si>
    <t>2015-04-08</t>
  </si>
  <si>
    <t>39894409:eng</t>
  </si>
  <si>
    <t>1619267</t>
  </si>
  <si>
    <t>ocm01619267</t>
  </si>
  <si>
    <t>30005569332</t>
  </si>
  <si>
    <t>9780822307372</t>
  </si>
  <si>
    <t>791793026</t>
  </si>
  <si>
    <t>UA700 K54 1997</t>
  </si>
  <si>
    <t>0                      UA 0700000K  54          1997</t>
  </si>
  <si>
    <t>Imagining war : French and British military doctrine between the wars / Elizabeth Kier.</t>
  </si>
  <si>
    <t>Kier, Elizabeth, 1958-</t>
  </si>
  <si>
    <t>Princeton, N.J. : Princeton University Press, ©1997.</t>
  </si>
  <si>
    <t>795302663:eng</t>
  </si>
  <si>
    <t>35714701</t>
  </si>
  <si>
    <t>ocm35714701</t>
  </si>
  <si>
    <t>3102944526G</t>
  </si>
  <si>
    <t>9780691011912</t>
  </si>
  <si>
    <t>793455605</t>
  </si>
  <si>
    <t>UA700 M95 1973</t>
  </si>
  <si>
    <t>0                      UA 0700000M  95          1973</t>
  </si>
  <si>
    <t>Anatomie d'une défaite : cinq études sur les origines profondes de l'effondrement militaire français, 1919-1939.</t>
  </si>
  <si>
    <t>Mysyrowicz, Ladislas.</t>
  </si>
  <si>
    <t>Lausanne : En vente aux Editions de l'age d'homme, 1973.</t>
  </si>
  <si>
    <t>27470521:fre</t>
  </si>
  <si>
    <t>123273400</t>
  </si>
  <si>
    <t>ocn123273400</t>
  </si>
  <si>
    <t>3100413274F</t>
  </si>
  <si>
    <t>794225913</t>
  </si>
  <si>
    <t>UA700 R95 2002</t>
  </si>
  <si>
    <t>0                      UA 0700000R  95          2002</t>
  </si>
  <si>
    <t>Changing military doctrine : presidents and military power in Fifth Republic France, 1958-2000 / Sten Rynning ; foreword by Pierre Marie Gallois.</t>
  </si>
  <si>
    <t>Westport, Conn. : Praeger, 2001.</t>
  </si>
  <si>
    <t>2018-01-11</t>
  </si>
  <si>
    <t>2586185:eng</t>
  </si>
  <si>
    <t>45890421</t>
  </si>
  <si>
    <t>ocm45890421</t>
  </si>
  <si>
    <t>31024981699</t>
  </si>
  <si>
    <t>9780275972868</t>
  </si>
  <si>
    <t>793680662</t>
  </si>
  <si>
    <t>UA700 S78 1995</t>
  </si>
  <si>
    <t>0                      UA 0700000S  78          1995</t>
  </si>
  <si>
    <t>Strategic views from the second tier : the nuclear weapons policies of France, Britain, and China / edited by John C. Hopkins and Weixing Hu.</t>
  </si>
  <si>
    <t>New Brunswick, N.J., U.S.A. : Transaction Publishers, ©1995.</t>
  </si>
  <si>
    <t>763554828:eng</t>
  </si>
  <si>
    <t>31374108</t>
  </si>
  <si>
    <t>ocm31374108</t>
  </si>
  <si>
    <t>3101488117U</t>
  </si>
  <si>
    <t>9781560007906</t>
  </si>
  <si>
    <t>793359699</t>
  </si>
  <si>
    <t>UA702 C53 1984</t>
  </si>
  <si>
    <t>0                      UA 0702000C  53          1984</t>
  </si>
  <si>
    <t>The French soldier in colonial America / by René Chartrand.</t>
  </si>
  <si>
    <t>Chartrand, René.</t>
  </si>
  <si>
    <t>[Bloomfield, Ont.] : Museum Restoration Service, ©1984</t>
  </si>
  <si>
    <t>Historical arms series ; no. 18</t>
  </si>
  <si>
    <t>2018-11-28</t>
  </si>
  <si>
    <t>4770401:eng</t>
  </si>
  <si>
    <t>12150594</t>
  </si>
  <si>
    <t>ocm12150594</t>
  </si>
  <si>
    <t>30003648952</t>
  </si>
  <si>
    <t>9780919316188</t>
  </si>
  <si>
    <t>792803863</t>
  </si>
  <si>
    <t>UA702 C6</t>
  </si>
  <si>
    <t>0                      UA 0702000C  6</t>
  </si>
  <si>
    <t>L'armée française de la fin du XVIIe siècle au ministère de Choiseul. Le soldat.</t>
  </si>
  <si>
    <t>Paris, Presses universitaires de France, 1964.</t>
  </si>
  <si>
    <t>Publications de la Faculté des lettres et sciences humaines de Paris. Série "Recherches," t. 14-15</t>
  </si>
  <si>
    <t>2017-02-22</t>
  </si>
  <si>
    <t>2017-03-01</t>
  </si>
  <si>
    <t>5481492222:fre</t>
  </si>
  <si>
    <t>237889</t>
  </si>
  <si>
    <t>ocm00237889</t>
  </si>
  <si>
    <t>3000727327K</t>
  </si>
  <si>
    <t>791304833</t>
  </si>
  <si>
    <t>3102785681Q</t>
  </si>
  <si>
    <t>791304832</t>
  </si>
  <si>
    <t>UA702 D68 1985</t>
  </si>
  <si>
    <t>0                      UA 0702000D  68          1985</t>
  </si>
  <si>
    <t>The seeds of disaster : the development of French Army doctrine, 1919-1939 / Robert Allan Doughty.</t>
  </si>
  <si>
    <t>Doughty, Robert A.</t>
  </si>
  <si>
    <t>Hamden, Conn. : Archon Books, 1985.</t>
  </si>
  <si>
    <t>4902993:eng</t>
  </si>
  <si>
    <t>12555177</t>
  </si>
  <si>
    <t>ocm12555177</t>
  </si>
  <si>
    <t>3103467601I</t>
  </si>
  <si>
    <t>9780208020963</t>
  </si>
  <si>
    <t>792818775</t>
  </si>
  <si>
    <t>UA702 L2613</t>
  </si>
  <si>
    <t>0                      UA 0702000L  2613</t>
  </si>
  <si>
    <t>The French Army : a military-political history / Paul Marie de La Gorce ; Translated by Kenneth Douglas.</t>
  </si>
  <si>
    <t>La Gorce, Paul Marie de.</t>
  </si>
  <si>
    <t>New York : G. Braziller, 1963.</t>
  </si>
  <si>
    <t>2003-03-26</t>
  </si>
  <si>
    <t>2015-09-11</t>
  </si>
  <si>
    <t>1862327460:eng</t>
  </si>
  <si>
    <t>1315629</t>
  </si>
  <si>
    <t>ocm01315629</t>
  </si>
  <si>
    <t>3100223005D</t>
  </si>
  <si>
    <t>791598008</t>
  </si>
  <si>
    <t>3100223004F</t>
  </si>
  <si>
    <t>791598009</t>
  </si>
  <si>
    <t>UA702 L95 1984</t>
  </si>
  <si>
    <t>0                      UA 0702000L  95          1984</t>
  </si>
  <si>
    <t>The bayonets of the Republic : motivation and tactics in the army of Revolutionary France, 1791-94 / John A. Lynn.</t>
  </si>
  <si>
    <t>Urbana : University of Illinois Press, ©1984.</t>
  </si>
  <si>
    <t>2019-12-11</t>
  </si>
  <si>
    <t>836991139:eng</t>
  </si>
  <si>
    <t>9686952</t>
  </si>
  <si>
    <t>ocm09686952</t>
  </si>
  <si>
    <t>3102809122Y</t>
  </si>
  <si>
    <t>9780252010910</t>
  </si>
  <si>
    <t>792688948</t>
  </si>
  <si>
    <t>UA702 L9523 1997</t>
  </si>
  <si>
    <t>0                      UA 0702000L  9523        1997</t>
  </si>
  <si>
    <t>Giant of the grand siècle : the French Army, 1610-1715 / John A. Lynn.</t>
  </si>
  <si>
    <t>Cambridge ; New York : Cambridge University Press, 1997.</t>
  </si>
  <si>
    <t>807375544:eng</t>
  </si>
  <si>
    <t>34839687</t>
  </si>
  <si>
    <t>ocm34839687</t>
  </si>
  <si>
    <t>3101919507J</t>
  </si>
  <si>
    <t>9780521572736</t>
  </si>
  <si>
    <t>793437076</t>
  </si>
  <si>
    <t>UA702 P67</t>
  </si>
  <si>
    <t>0                      UA 0702000P  67</t>
  </si>
  <si>
    <t>The march to the Marne : the French army, 1871-1914 / Douglas Porch.</t>
  </si>
  <si>
    <t>Cambridge ; New York : Cambridge University Press, 1981.</t>
  </si>
  <si>
    <t>838686332:eng</t>
  </si>
  <si>
    <t>7571697</t>
  </si>
  <si>
    <t>ocm07571697</t>
  </si>
  <si>
    <t>3000322103L</t>
  </si>
  <si>
    <t>9780521238830</t>
  </si>
  <si>
    <t>792566534</t>
  </si>
  <si>
    <t>UA702 R63 2002</t>
  </si>
  <si>
    <t>0                      UA 0702000R  63          2002</t>
  </si>
  <si>
    <t>The dynastic state and the army under Louis XIV : royal service and private interest, 1661-1701 / Guy Rowlands.</t>
  </si>
  <si>
    <t>Rowlands, Guy.</t>
  </si>
  <si>
    <t>Cambridge ; New York : Cambridge University Press, 2002.</t>
  </si>
  <si>
    <t>Cambridge studies in early modern history</t>
  </si>
  <si>
    <t>2018-07-07</t>
  </si>
  <si>
    <t>793935893:eng</t>
  </si>
  <si>
    <t>49942318</t>
  </si>
  <si>
    <t>ocm49942318</t>
  </si>
  <si>
    <t>3102251073X</t>
  </si>
  <si>
    <t>9780521641241</t>
  </si>
  <si>
    <t>793751115</t>
  </si>
  <si>
    <t>UA702 S39</t>
  </si>
  <si>
    <t>0                      UA 0702000S  39</t>
  </si>
  <si>
    <t>The response of the Royal Army to the French Revolution : the role and development of the Line Army, 1787-93 / by Samuel F. Scott.</t>
  </si>
  <si>
    <t>Scott, Samuel F.</t>
  </si>
  <si>
    <t>Oxford [England] : Clarendon Press, 1978.</t>
  </si>
  <si>
    <t>874830720:eng</t>
  </si>
  <si>
    <t>3186224</t>
  </si>
  <si>
    <t>ocm03186224</t>
  </si>
  <si>
    <t>30004150997</t>
  </si>
  <si>
    <t>9780198225348</t>
  </si>
  <si>
    <t>792227022</t>
  </si>
  <si>
    <t>UA703 L5 P5 1991</t>
  </si>
  <si>
    <t>0                      UA 0703000L  5                  P  5           1991</t>
  </si>
  <si>
    <t>The French foreign legion / Douglas Porch.</t>
  </si>
  <si>
    <t>New York, NY : HarperCollins, 1991.</t>
  </si>
  <si>
    <t>2017-10-27</t>
  </si>
  <si>
    <t>24247533:eng</t>
  </si>
  <si>
    <t>59976208</t>
  </si>
  <si>
    <t>ocm59976208</t>
  </si>
  <si>
    <t>3101023715P</t>
  </si>
  <si>
    <t>9780060166526</t>
  </si>
  <si>
    <t>793933021</t>
  </si>
  <si>
    <t>UA703 T725 E28 1991</t>
  </si>
  <si>
    <t>0                      UA 0703000T  725                E  28          1991</t>
  </si>
  <si>
    <t>Colonial conscripts : the Tirailleurs Sénégalais in French West Africa, 1857-1960 / Myron Echenberg.</t>
  </si>
  <si>
    <t>Echenberg, Myron J.</t>
  </si>
  <si>
    <t>Portsmouth, NH : Heinemann ; London : J. Currey, 1991.</t>
  </si>
  <si>
    <t>Social history of Africa</t>
  </si>
  <si>
    <t>2019-11-26</t>
  </si>
  <si>
    <t>807191571:eng</t>
  </si>
  <si>
    <t>22313436</t>
  </si>
  <si>
    <t>ocm22313436</t>
  </si>
  <si>
    <t>3102734350X</t>
  </si>
  <si>
    <t>9780435080488</t>
  </si>
  <si>
    <t>793140486</t>
  </si>
  <si>
    <t>2018-05-01</t>
  </si>
  <si>
    <t>3101445786Q</t>
  </si>
  <si>
    <t>793140487</t>
  </si>
  <si>
    <t>UA703 T725 E2814 2009</t>
  </si>
  <si>
    <t>0                      UA 0703000T  725                E  2814        2009</t>
  </si>
  <si>
    <t>Les tirailleurs sénégalais en Afrique occidentale française, 1857-1960 / Myron Echenberg ; préface de Marc Michel.</t>
  </si>
  <si>
    <t>Paris : Karthala ; Dakar : CREPOS, ©2009.</t>
  </si>
  <si>
    <t>Hommes et sociétés</t>
  </si>
  <si>
    <t>338135:fre</t>
  </si>
  <si>
    <t>492092247</t>
  </si>
  <si>
    <t>ocn492092247</t>
  </si>
  <si>
    <t>3103301983G</t>
  </si>
  <si>
    <t>9782811102975</t>
  </si>
  <si>
    <t>794800994</t>
  </si>
  <si>
    <t>UA704 A6 C36 2002</t>
  </si>
  <si>
    <t>0                      UA 0704000A  6                  C  36          2002</t>
  </si>
  <si>
    <t>Le colonel de Gaulle et son régiment : de la théorie à la pratique, 507e régiment de chars de combat / mémoire de maîtrise Joël Cambre ; sous la direction de M. Baechler.</t>
  </si>
  <si>
    <t>Cambre, Joël.</t>
  </si>
  <si>
    <t>Paris : Fondation Charles de Gaulle, 2002.</t>
  </si>
  <si>
    <t>Cahiers de la Fondation Charles de Gaulle, 1266-2437 ; cahier no 11</t>
  </si>
  <si>
    <t>365988508:fre</t>
  </si>
  <si>
    <t>52772452</t>
  </si>
  <si>
    <t>ocm52772452</t>
  </si>
  <si>
    <t>31023986620</t>
  </si>
  <si>
    <t>793813640</t>
  </si>
  <si>
    <t>UA709 A6 B6 1950z</t>
  </si>
  <si>
    <t>0                      UA 0709000A  6                  B  6           1950z</t>
  </si>
  <si>
    <t>Peaux noires, coeurs blancs.</t>
  </si>
  <si>
    <t>Boisboissel, Yves Marie Jacques Guillaume de.</t>
  </si>
  <si>
    <t>Paris, L. Fournier [195-?]</t>
  </si>
  <si>
    <t>Collection de l'ancre</t>
  </si>
  <si>
    <t>15495622:fre</t>
  </si>
  <si>
    <t>17556508</t>
  </si>
  <si>
    <t>ocm17556508</t>
  </si>
  <si>
    <t>3101384279V</t>
  </si>
  <si>
    <t>792995724</t>
  </si>
  <si>
    <t>UA709 A6 D3 1970</t>
  </si>
  <si>
    <t>0                      UA 0709000A  6                  D  3           1970</t>
  </si>
  <si>
    <t>Reservoirs of men: a history of the Black troops of French West Africa.</t>
  </si>
  <si>
    <t>Davis, Shelby Cullom, 1909-1994.</t>
  </si>
  <si>
    <t>Westport, Conn., Negro Universities Press [1970]</t>
  </si>
  <si>
    <t>196188253:eng</t>
  </si>
  <si>
    <t>89162</t>
  </si>
  <si>
    <t>ocm00089162</t>
  </si>
  <si>
    <t>30005580786</t>
  </si>
  <si>
    <t>9780837137766</t>
  </si>
  <si>
    <t>791251608</t>
  </si>
  <si>
    <t>UA710 A594215 1989</t>
  </si>
  <si>
    <t>0                      UA 0710000A  594215      1989</t>
  </si>
  <si>
    <t>Bundeswehr und Tradition : die Suche nach dem gültigen Erbe des deutschen Soldaten / von Donald Abenheim ; mit einem Vorwort von Gordon A. Craig.</t>
  </si>
  <si>
    <t>Abenheim, Donald, 1953-</t>
  </si>
  <si>
    <t>München : Oldenbourg, 1989.</t>
  </si>
  <si>
    <t>Beiträge zur Militärgeschichte ; Bd. 27</t>
  </si>
  <si>
    <t>1812695603:ger</t>
  </si>
  <si>
    <t>20955210</t>
  </si>
  <si>
    <t>ocm20955210</t>
  </si>
  <si>
    <t>31008779689</t>
  </si>
  <si>
    <t>9783486553710</t>
  </si>
  <si>
    <t>793104102</t>
  </si>
  <si>
    <t>UA710 A76 1999</t>
  </si>
  <si>
    <t>0                      UA 0710000A  76          1999</t>
  </si>
  <si>
    <t>Anticipating total war : the German and American experiences, 1871-1914 / edited by Manfred F. Boemeke, Roger Chickering, and Stig Förster.</t>
  </si>
  <si>
    <t>Washington, D.C. German Historical Institute ; Cambridge, U.K. ; New York : Cambridge University Press, 1999.</t>
  </si>
  <si>
    <t>Publications of the German Historical Institute</t>
  </si>
  <si>
    <t>836971749:eng</t>
  </si>
  <si>
    <t>39545620</t>
  </si>
  <si>
    <t>ocm39545620</t>
  </si>
  <si>
    <t>3101985076Z</t>
  </si>
  <si>
    <t>9780521622943</t>
  </si>
  <si>
    <t>793548393</t>
  </si>
  <si>
    <t>UA710 B34 2005</t>
  </si>
  <si>
    <t>0                      UA 0710000B  34          2005</t>
  </si>
  <si>
    <t>Die Bundeswehr : eine kritische Geschichte,1955-2005 / Detlef Bald.</t>
  </si>
  <si>
    <t>Bald, Detlef.</t>
  </si>
  <si>
    <t>München : C.H. Beck, ©2005.</t>
  </si>
  <si>
    <t>Originalausg.</t>
  </si>
  <si>
    <t>Beck'sche Reihe ; 1622</t>
  </si>
  <si>
    <t>2019-03-12</t>
  </si>
  <si>
    <t>892088791:ger</t>
  </si>
  <si>
    <t>58549267</t>
  </si>
  <si>
    <t>ocm58549267</t>
  </si>
  <si>
    <t>31026586602</t>
  </si>
  <si>
    <t>9783406527920</t>
  </si>
  <si>
    <t>793922508</t>
  </si>
  <si>
    <t>UA710 B494 1998</t>
  </si>
  <si>
    <t>0                      UA 0710000B  494         1998</t>
  </si>
  <si>
    <t>Cultures of antimilitarism : national security in Germany and Japan / Thomas U. Berger.</t>
  </si>
  <si>
    <t>Berger, Thomas U.</t>
  </si>
  <si>
    <t>Baltimore, Md. ; London : Johns Hopkins University Press, 2003.</t>
  </si>
  <si>
    <t>2015-12-01</t>
  </si>
  <si>
    <t>837027409:eng</t>
  </si>
  <si>
    <t>52196197</t>
  </si>
  <si>
    <t>ocm52196197</t>
  </si>
  <si>
    <t>31024002649</t>
  </si>
  <si>
    <t>9780801872389</t>
  </si>
  <si>
    <t>793800652</t>
  </si>
  <si>
    <t>UA710 C54 1988</t>
  </si>
  <si>
    <t>0                      UA 0710000C  54          1988</t>
  </si>
  <si>
    <t>Pax atomica : the nuclear defense debate in West Germany during the Adenauer era / Mark Cioc.</t>
  </si>
  <si>
    <t>Cioc, Mark.</t>
  </si>
  <si>
    <t>New York : Columbia University Press, 1988.</t>
  </si>
  <si>
    <t>2016-02-26</t>
  </si>
  <si>
    <t>198140260:eng</t>
  </si>
  <si>
    <t>17106238</t>
  </si>
  <si>
    <t>ocm17106238</t>
  </si>
  <si>
    <t>3000537504W</t>
  </si>
  <si>
    <t>9780231065900</t>
  </si>
  <si>
    <t>792982443</t>
  </si>
  <si>
    <t>UA710 C55 1987</t>
  </si>
  <si>
    <t>0                      UA 0710000C  55          1987</t>
  </si>
  <si>
    <t>The evolution of blitzkrieg tactics : Germany defends itself against Poland, 1918-1933 / Robert M. Citino.</t>
  </si>
  <si>
    <t>New York : Greenwood Press, 1987.</t>
  </si>
  <si>
    <t>Contributions in military studies, 0883-6884 ; no. 61</t>
  </si>
  <si>
    <t>2018-12-10</t>
  </si>
  <si>
    <t>836169100:eng</t>
  </si>
  <si>
    <t>15108592</t>
  </si>
  <si>
    <t>ocm15108592</t>
  </si>
  <si>
    <t>3000537261W</t>
  </si>
  <si>
    <t>9780313256318</t>
  </si>
  <si>
    <t>792920451</t>
  </si>
  <si>
    <t>UA710 G432 1985</t>
  </si>
  <si>
    <t>0                      UA 0710000G  432         1985</t>
  </si>
  <si>
    <t>The German military in the age of total war / edited by Wilhelm Deist ; with a foreword by Paul Kennedy.</t>
  </si>
  <si>
    <t>Leamington Spa, Warwickshire, UK ; Dover, N.H. : Berg Publishers, 1985.</t>
  </si>
  <si>
    <t>2016-09-26</t>
  </si>
  <si>
    <t>4421399:eng</t>
  </si>
  <si>
    <t>11815563</t>
  </si>
  <si>
    <t>ocm11815563</t>
  </si>
  <si>
    <t>3000471592M</t>
  </si>
  <si>
    <t>9780907582144</t>
  </si>
  <si>
    <t>792789338</t>
  </si>
  <si>
    <t>UA710 L27 1996</t>
  </si>
  <si>
    <t>0                      UA 0710000L  27          1996</t>
  </si>
  <si>
    <t>Germans to the front : West German rearmament in the Adenauer era / David Clay Large.</t>
  </si>
  <si>
    <t>Large, David Clay.</t>
  </si>
  <si>
    <t>Chapel Hill : University of North Carolina Press, ©1996.</t>
  </si>
  <si>
    <t>2019-09-04</t>
  </si>
  <si>
    <t>799538577:eng</t>
  </si>
  <si>
    <t>31971329</t>
  </si>
  <si>
    <t>ocm31971329</t>
  </si>
  <si>
    <t>3101546961M</t>
  </si>
  <si>
    <t>9780807822357</t>
  </si>
  <si>
    <t>793372535</t>
  </si>
  <si>
    <t>UA710 R372 2011</t>
  </si>
  <si>
    <t>0                      UA 0710000R  372         2011</t>
  </si>
  <si>
    <t>Rearming Germany / edited by James S. Corum.</t>
  </si>
  <si>
    <t>Leiden ; Boston : Brill, 2011.</t>
  </si>
  <si>
    <t>History of warfare, 1385-7827 ; v. 64</t>
  </si>
  <si>
    <t>771818242:eng</t>
  </si>
  <si>
    <t>697979539</t>
  </si>
  <si>
    <t>ocn697979539</t>
  </si>
  <si>
    <t>31033618045</t>
  </si>
  <si>
    <t>9789004203174</t>
  </si>
  <si>
    <t>794860500</t>
  </si>
  <si>
    <t>UA710 S355 2003</t>
  </si>
  <si>
    <t>0                      UA 0710000S  355         2003</t>
  </si>
  <si>
    <t>Wehrmacht generals, West German society, and the debate on rearmament, 1949-1959 / Alaric Searle.</t>
  </si>
  <si>
    <t>Searle, Alaric, 1962-</t>
  </si>
  <si>
    <t>670096:eng</t>
  </si>
  <si>
    <t>51306153</t>
  </si>
  <si>
    <t>ocm51306153</t>
  </si>
  <si>
    <t>3102325414Q</t>
  </si>
  <si>
    <t>9780275979683</t>
  </si>
  <si>
    <t>793782780</t>
  </si>
  <si>
    <t>UA710 W52 1984</t>
  </si>
  <si>
    <t>0                      UA 0710000W  52          1984</t>
  </si>
  <si>
    <t>Covert German rearmament, 1919-1939 : deception and misperception / Barton Whaley.</t>
  </si>
  <si>
    <t>Whaley, Barton.</t>
  </si>
  <si>
    <t>Frederick, Md. : University Publications of America, ©1984.</t>
  </si>
  <si>
    <t>Foreign intelligence book series</t>
  </si>
  <si>
    <t>796589865:eng</t>
  </si>
  <si>
    <t>10799019</t>
  </si>
  <si>
    <t>ocm10799019</t>
  </si>
  <si>
    <t>3000361092I</t>
  </si>
  <si>
    <t>9780890935422</t>
  </si>
  <si>
    <t>792744164</t>
  </si>
  <si>
    <t>UA712 A593</t>
  </si>
  <si>
    <t>0                      UA 0712000A  593</t>
  </si>
  <si>
    <t>Die Wehrmacht im Dritten Reich.</t>
  </si>
  <si>
    <t>Absolon, Rudolf.</t>
  </si>
  <si>
    <t>Boppard am Rhein, H. Boldt, 1969-1995.</t>
  </si>
  <si>
    <t>Schriften des Bundesarchivs, 16</t>
  </si>
  <si>
    <t>2018-07-27</t>
  </si>
  <si>
    <t>8847668891:ger</t>
  </si>
  <si>
    <t>663863</t>
  </si>
  <si>
    <t>ocm00663863</t>
  </si>
  <si>
    <t>3000302945M</t>
  </si>
  <si>
    <t>9783764610692</t>
  </si>
  <si>
    <t>791440750</t>
  </si>
  <si>
    <t>3100256318X</t>
  </si>
  <si>
    <t>791440749</t>
  </si>
  <si>
    <t>Bd.5</t>
  </si>
  <si>
    <t>31033882954</t>
  </si>
  <si>
    <t>791440746</t>
  </si>
  <si>
    <t>2014-10-01</t>
  </si>
  <si>
    <t>31002563403</t>
  </si>
  <si>
    <t>791440747</t>
  </si>
  <si>
    <t>3103871933Y</t>
  </si>
  <si>
    <t>791440748</t>
  </si>
  <si>
    <t>Bd.6</t>
  </si>
  <si>
    <t>3101519153J</t>
  </si>
  <si>
    <t>791440745</t>
  </si>
  <si>
    <t>UA712 B76 2001</t>
  </si>
  <si>
    <t>0                      UA 0712000B  76          2001</t>
  </si>
  <si>
    <t>The Kaiser's army : the politics of military technology in Germany during the Machine Age, 1870-1918 / Eric Dorn Brose.</t>
  </si>
  <si>
    <t>Brose, Eric Dorn, 1948-</t>
  </si>
  <si>
    <t>New York : Oxford University Press, 2001.</t>
  </si>
  <si>
    <t>2018-05-05</t>
  </si>
  <si>
    <t>797217405:eng</t>
  </si>
  <si>
    <t>44775443</t>
  </si>
  <si>
    <t>ocm44775443</t>
  </si>
  <si>
    <t>3102168411I</t>
  </si>
  <si>
    <t>9780195143355</t>
  </si>
  <si>
    <t>793657795</t>
  </si>
  <si>
    <t>UA712 D45</t>
  </si>
  <si>
    <t>0                      UA 0712000D  45</t>
  </si>
  <si>
    <t>The Wehrmacht and German rearmament / by Wilhelm Deist ; foreword by A.J. Nicholls ; [translated by Eveline Traynor.].</t>
  </si>
  <si>
    <t>Deist, Wilhelm.</t>
  </si>
  <si>
    <t>London : Macmillan Press, 1981.</t>
  </si>
  <si>
    <t>St. Antony's/Macmillan series (London, England)</t>
  </si>
  <si>
    <t>11713130:eng</t>
  </si>
  <si>
    <t>7759886</t>
  </si>
  <si>
    <t>ocm07759886</t>
  </si>
  <si>
    <t>31027898834</t>
  </si>
  <si>
    <t>9780333264621</t>
  </si>
  <si>
    <t>792578344</t>
  </si>
  <si>
    <t>UA712 K57 2001</t>
  </si>
  <si>
    <t>0                      UA 0712000K  57          2001</t>
  </si>
  <si>
    <t>The German offensives of 1918 / Martin Kitchen.</t>
  </si>
  <si>
    <t>Kitchen, Martin.</t>
  </si>
  <si>
    <t>Stroud, Gloustershire ; Charleston, SC : Tempus, 2001.</t>
  </si>
  <si>
    <t>Battles &amp; campaigns</t>
  </si>
  <si>
    <t>896744:eng</t>
  </si>
  <si>
    <t>59501964</t>
  </si>
  <si>
    <t>ocm59501964</t>
  </si>
  <si>
    <t>31021996724</t>
  </si>
  <si>
    <t>9780752417998</t>
  </si>
  <si>
    <t>793930285</t>
  </si>
  <si>
    <t>UA712 M43</t>
  </si>
  <si>
    <t>0                      UA 0712000M  43</t>
  </si>
  <si>
    <t>Die Wehrmacht im NS-Staat; Zeit der Indoktrination. Mit einer Einleitung von Johann Adolf Graf Kielmansegg.</t>
  </si>
  <si>
    <t>Messerschmidt, Manfred.</t>
  </si>
  <si>
    <t>Hamburg, R. v. Decker [1969]</t>
  </si>
  <si>
    <t>Soldatische Menschenführung in der deutschen Militärgeschichte</t>
  </si>
  <si>
    <t>2019-03-04</t>
  </si>
  <si>
    <t>809442749:ger</t>
  </si>
  <si>
    <t>602274</t>
  </si>
  <si>
    <t>ocm00602274</t>
  </si>
  <si>
    <t>3103487697R</t>
  </si>
  <si>
    <t>9783768522687</t>
  </si>
  <si>
    <t>791425823</t>
  </si>
  <si>
    <t>UA712 M8</t>
  </si>
  <si>
    <t>0                      UA 0712000M  8</t>
  </si>
  <si>
    <t>Das Heer 1933-1945; Entwicklung des organisatorischen Aufbaues.</t>
  </si>
  <si>
    <t>Mueller-Hillebrand, Burkhart, 1904-</t>
  </si>
  <si>
    <t>Darmstadt, E.S. Mittler, [1954]-</t>
  </si>
  <si>
    <t>8960878360:ger</t>
  </si>
  <si>
    <t>3923177</t>
  </si>
  <si>
    <t>ocm03923177</t>
  </si>
  <si>
    <t>3100588958M</t>
  </si>
  <si>
    <t>792305399</t>
  </si>
  <si>
    <t>3103371310D</t>
  </si>
  <si>
    <t>792305400</t>
  </si>
  <si>
    <t>3000517170A</t>
  </si>
  <si>
    <t>792305398</t>
  </si>
  <si>
    <t>UA712 S47 1982</t>
  </si>
  <si>
    <t>0                      UA 0712000S  47          1982</t>
  </si>
  <si>
    <t>The German Army, 1933-45 / Albert Seaton.</t>
  </si>
  <si>
    <t>Seaton, Albert, 1921-</t>
  </si>
  <si>
    <t>London : Weidenfeld and Nicolson, ©1982.</t>
  </si>
  <si>
    <t>442549:eng</t>
  </si>
  <si>
    <t>8321435</t>
  </si>
  <si>
    <t>ocm08321435</t>
  </si>
  <si>
    <t>30003345808</t>
  </si>
  <si>
    <t>9780297780328</t>
  </si>
  <si>
    <t>792612254</t>
  </si>
  <si>
    <t>UA712 S72</t>
  </si>
  <si>
    <t>0                      UA 0712000S  72</t>
  </si>
  <si>
    <t>Die Wehrmacht-Elite : Rang- und Herkunftsstruktur der deutschen Generale und Admirale 1933-1945 / Reinhard Stumpf.</t>
  </si>
  <si>
    <t>Stumpf, Reinhard.</t>
  </si>
  <si>
    <t>Boppard am Rhein : H. Boldt, ©1982.</t>
  </si>
  <si>
    <t>Wehrwissenschaftliche Forschungen. Abteilung Militärgeschichtliche Studien ; 29</t>
  </si>
  <si>
    <t>2017-02-07</t>
  </si>
  <si>
    <t>366069128:ger</t>
  </si>
  <si>
    <t>8830903</t>
  </si>
  <si>
    <t>ocm08830903</t>
  </si>
  <si>
    <t>3000337141J</t>
  </si>
  <si>
    <t>9783764618155</t>
  </si>
  <si>
    <t>792643379</t>
  </si>
  <si>
    <t>UA712 S77 2011</t>
  </si>
  <si>
    <t>0                      UA 0712000S  77          2011</t>
  </si>
  <si>
    <t>The German army and the defence of the Reich : military doctrine and the conduct of the defensive battle, 1918-1939 / Matthias Strohn.</t>
  </si>
  <si>
    <t>Strohn, Matthias, 1976-</t>
  </si>
  <si>
    <t>Cambridge military histories</t>
  </si>
  <si>
    <t>796238137:eng</t>
  </si>
  <si>
    <t>651077835</t>
  </si>
  <si>
    <t>ocn651077835</t>
  </si>
  <si>
    <t>3103229805$</t>
  </si>
  <si>
    <t>9780521191999</t>
  </si>
  <si>
    <t>794832814</t>
  </si>
  <si>
    <t>UA712 V256 1982</t>
  </si>
  <si>
    <t>0                      UA 0712000V  256         1982</t>
  </si>
  <si>
    <t>Fighting power : German and US Army performance, 1939-1945 / Martin van Creveld.</t>
  </si>
  <si>
    <t>Westport, Conn. : Greenwood Press, 1982.</t>
  </si>
  <si>
    <t>Contributions in military history, 0084-9251 ; no. 32</t>
  </si>
  <si>
    <t>2017-07-08</t>
  </si>
  <si>
    <t>119734230:eng</t>
  </si>
  <si>
    <t>8115198</t>
  </si>
  <si>
    <t>ocm08115198</t>
  </si>
  <si>
    <t>3102788675G</t>
  </si>
  <si>
    <t>9780313233333</t>
  </si>
  <si>
    <t>792599728</t>
  </si>
  <si>
    <t>UA714 D67 2012</t>
  </si>
  <si>
    <t>0                      UA 0714000D  67          2012</t>
  </si>
  <si>
    <t>Riders of the apocalypse : German cavalry and modern warfare, 1870-1945 / David R. Dorondo.</t>
  </si>
  <si>
    <t>Dorondo, D. R., 1957-</t>
  </si>
  <si>
    <t>Annapolis, MD : Naval Institute Press, ©2012.</t>
  </si>
  <si>
    <t>1171190505:eng</t>
  </si>
  <si>
    <t>773666397</t>
  </si>
  <si>
    <t>ocn773666397</t>
  </si>
  <si>
    <t>3103455568M</t>
  </si>
  <si>
    <t>9781612510866</t>
  </si>
  <si>
    <t>794905812</t>
  </si>
  <si>
    <t>UA714 W45 1984</t>
  </si>
  <si>
    <t>0                      UA 0714000W  45          1984</t>
  </si>
  <si>
    <t>Unser Regiment : Reiter-Regiment 2, Panzer-Regiment 24 / Gert-Axel Weidemann.</t>
  </si>
  <si>
    <t>Weidemann, Gert-Axel.</t>
  </si>
  <si>
    <t>Gross-Umstad : Ernst J. Dohany, 1984.</t>
  </si>
  <si>
    <t>3. unveränd. Aufl.</t>
  </si>
  <si>
    <t>2015-04-30</t>
  </si>
  <si>
    <t>46128104:ger</t>
  </si>
  <si>
    <t>61555729</t>
  </si>
  <si>
    <t>ocm61555729</t>
  </si>
  <si>
    <t>3103599607G</t>
  </si>
  <si>
    <t>793988302</t>
  </si>
  <si>
    <t>UA717 T4713 1987</t>
  </si>
  <si>
    <t>0                      UA 0717000T  4713        1987</t>
  </si>
  <si>
    <t>Male fantasies / Klaus Theweleit ; translated by Stephen Conway in collaboration with Erica Carter and Chris Turner ; foreword by Barbara Ehrenreich.</t>
  </si>
  <si>
    <t>Theweleit, Klaus.</t>
  </si>
  <si>
    <t>Minneapolis : University of Minnesota Press, ©1987-©1989.</t>
  </si>
  <si>
    <t>Theory and history of literature ; v. 22-23</t>
  </si>
  <si>
    <t>2019-09-20</t>
  </si>
  <si>
    <t>2019-10-30</t>
  </si>
  <si>
    <t>3768410958:eng</t>
  </si>
  <si>
    <t>14818459</t>
  </si>
  <si>
    <t>ocm14818459</t>
  </si>
  <si>
    <t>3103050894E</t>
  </si>
  <si>
    <t>9780816614486</t>
  </si>
  <si>
    <t>792908332</t>
  </si>
  <si>
    <t>3103050899E</t>
  </si>
  <si>
    <t>792908331</t>
  </si>
  <si>
    <t>UA718 P9 B813 1997</t>
  </si>
  <si>
    <t>0                      UA 0718000P  9                  B  813         1997</t>
  </si>
  <si>
    <t>Military system and social life in old regime Prussia, 1713-1807 : the beginning of the social militarization of Prusso-German society / Otto Büsch ; translated by John G. Gagliardo.</t>
  </si>
  <si>
    <t>Büsch, Otto, 1928-</t>
  </si>
  <si>
    <t>Atlantic Highlands, N.J. : Humanities Press, 1997.</t>
  </si>
  <si>
    <t>Studies in Central European histories ; [v. 17]</t>
  </si>
  <si>
    <t>3372764631:eng</t>
  </si>
  <si>
    <t>34150812</t>
  </si>
  <si>
    <t>ocm34150812</t>
  </si>
  <si>
    <t>31018456765</t>
  </si>
  <si>
    <t>9780391039841</t>
  </si>
  <si>
    <t>793420350</t>
  </si>
  <si>
    <t>UA718 P9 S29 2016</t>
  </si>
  <si>
    <t>0                      UA 0718000P  9                  S  29          2016</t>
  </si>
  <si>
    <t>Einrichtung des Krieges-Wesens für die Preussische Infanterie zu Friedens-Zeiten (1773) / Friedrich Wilhelm Carl von Schmettau ; bearbeitet und eingeleitet von Martin Winter.</t>
  </si>
  <si>
    <t>Schmettau, Friedrich Wilhelm Karl, Graf von, 1742-1806.</t>
  </si>
  <si>
    <t>Berlin : Duncker &amp; Humblot, [2016].</t>
  </si>
  <si>
    <t>Veröffentlichungen aus den Archiven Preussischer Kulturbesitz. Quellen, 0930-8849 ; Band 70</t>
  </si>
  <si>
    <t>3983983149:ger</t>
  </si>
  <si>
    <t>965794862</t>
  </si>
  <si>
    <t>ocn965794862</t>
  </si>
  <si>
    <t>3103710242Z</t>
  </si>
  <si>
    <t>9783428149230</t>
  </si>
  <si>
    <t>795025926</t>
  </si>
  <si>
    <t>3103710237S</t>
  </si>
  <si>
    <t>795025927</t>
  </si>
  <si>
    <t>UA718 P9 W5 1996</t>
  </si>
  <si>
    <t>0                      UA 0718000P  9                  W  5           1996</t>
  </si>
  <si>
    <t>The Prussian Army, 1640-1871 / Jonathan R. White.</t>
  </si>
  <si>
    <t>White, Jonathan Randall.</t>
  </si>
  <si>
    <t>Lanham : University Press of America, ©1996.</t>
  </si>
  <si>
    <t>38065234:eng</t>
  </si>
  <si>
    <t>33334009</t>
  </si>
  <si>
    <t>ocm33334009</t>
  </si>
  <si>
    <t>3101569958L</t>
  </si>
  <si>
    <t>9780761802051</t>
  </si>
  <si>
    <t>793407059</t>
  </si>
  <si>
    <t>UA719 B944 2011</t>
  </si>
  <si>
    <t>0                      UA 0719000B  944         2011</t>
  </si>
  <si>
    <t>Die Kaiserliche Schutztruppe für Deutsch-Ostafrika : koloniale Sicherheitspolitik und transkulturelle Kriegführung, 1885 bis 1918 / von Tanja Bührer.</t>
  </si>
  <si>
    <t>Bührer, Tanja.</t>
  </si>
  <si>
    <t>München : Oldenbourg Verlag, 2011.</t>
  </si>
  <si>
    <t>Beiträge zur Militärgeschichte ; Band 70</t>
  </si>
  <si>
    <t>865056538:ger</t>
  </si>
  <si>
    <t>757733915</t>
  </si>
  <si>
    <t>ocn757733915</t>
  </si>
  <si>
    <t>3103426834U</t>
  </si>
  <si>
    <t>9783486704426</t>
  </si>
  <si>
    <t>794895672</t>
  </si>
  <si>
    <t>UA719.3 H45 2011</t>
  </si>
  <si>
    <t>0                      UA 0719300H  45          2011</t>
  </si>
  <si>
    <t>Die DDR und ihr Militär / Winfried Heinemann.</t>
  </si>
  <si>
    <t>Heinemann, Winfried, author.</t>
  </si>
  <si>
    <t>München : Oldenbourg Verlag, 2011, ©2011.</t>
  </si>
  <si>
    <t>Beiträge zur Militärgeschichte. Militärgeschichte Kompakt ; Band 3</t>
  </si>
  <si>
    <t>815140190:ger</t>
  </si>
  <si>
    <t>758005119</t>
  </si>
  <si>
    <t>ocn758005119</t>
  </si>
  <si>
    <t>31034521639</t>
  </si>
  <si>
    <t>9783486704433</t>
  </si>
  <si>
    <t>794895978</t>
  </si>
  <si>
    <t>UA719.3 M38 2012</t>
  </si>
  <si>
    <t>0                      UA 0719300M  38          2012</t>
  </si>
  <si>
    <t>Nationale Volksarmee : Militärpolitik und politisches Militär in sozialistischer Verteidigungskoalition 1955/56 bis 1989/90 / Marco Metzler.</t>
  </si>
  <si>
    <t>Metzler, Marco.</t>
  </si>
  <si>
    <t>Baden-Baden : Nomos, 2012.</t>
  </si>
  <si>
    <t>1. Aufl.</t>
  </si>
  <si>
    <t>1008434795:ger</t>
  </si>
  <si>
    <t>788214790</t>
  </si>
  <si>
    <t>ocn788214790</t>
  </si>
  <si>
    <t>3103354949O</t>
  </si>
  <si>
    <t>9783832966690</t>
  </si>
  <si>
    <t>794916188</t>
  </si>
  <si>
    <t>UA719.3 S362 1996</t>
  </si>
  <si>
    <t>0                      UA 0719300S  362         1996</t>
  </si>
  <si>
    <t>Two armies and one fatherland : the end of the Nationale Volksarmee / Jörg Schönbohm ; translated from the German by Peter and Elfi Johnson.</t>
  </si>
  <si>
    <t>Schönbohm, Jörg, 1937-</t>
  </si>
  <si>
    <t>Providence : Berghahn Books, 1996.</t>
  </si>
  <si>
    <t>478339719:eng</t>
  </si>
  <si>
    <t>33078580</t>
  </si>
  <si>
    <t>ocm33078580</t>
  </si>
  <si>
    <t>3101594571F</t>
  </si>
  <si>
    <t>9781571810694</t>
  </si>
  <si>
    <t>793401194</t>
  </si>
  <si>
    <t>UA740 M37</t>
  </si>
  <si>
    <t>0                      UA 0740000M  37</t>
  </si>
  <si>
    <t>Bianco, rosso e grigioverde : struttura e ideologia delle forze armate italiane / Giulio Massobrio ; con un saggio introduttivo di Sandro Canestrini ; appendice, Regolamento di disciplina militare.</t>
  </si>
  <si>
    <t>Massobrio, Giulio.</t>
  </si>
  <si>
    <t>Verona : Bertani, [1974]</t>
  </si>
  <si>
    <t>Manifesti della lotta di classe ; 15</t>
  </si>
  <si>
    <t>2019-11-24</t>
  </si>
  <si>
    <t>346773746:ita</t>
  </si>
  <si>
    <t>1452890</t>
  </si>
  <si>
    <t>ocm01452890</t>
  </si>
  <si>
    <t>30003891806</t>
  </si>
  <si>
    <t>791629140</t>
  </si>
  <si>
    <t>UA742 W44 1977b</t>
  </si>
  <si>
    <t>0                      UA 0742000W  44          1977b</t>
  </si>
  <si>
    <t>The politics of the Italian Army, 1861-1918 / John Whittam.</t>
  </si>
  <si>
    <t>Whittam, John.</t>
  </si>
  <si>
    <t>London : Croom Helm ; Hamden, Conn. : Archon Books, 1977.</t>
  </si>
  <si>
    <t>4752293:eng</t>
  </si>
  <si>
    <t>2373034</t>
  </si>
  <si>
    <t>ocm02373034</t>
  </si>
  <si>
    <t>3000431616L</t>
  </si>
  <si>
    <t>9780208015976</t>
  </si>
  <si>
    <t>792111343</t>
  </si>
  <si>
    <t>UA749.5 A48 2011</t>
  </si>
  <si>
    <t>0                      UA 0749500A  48          2011</t>
  </si>
  <si>
    <t>The pope's soldiers : a military history of the modern Vatican / David Alvarez.</t>
  </si>
  <si>
    <t>Alvarez, David J.</t>
  </si>
  <si>
    <t>2018-09-20</t>
  </si>
  <si>
    <t>755817817:eng</t>
  </si>
  <si>
    <t>681500334</t>
  </si>
  <si>
    <t>ocn681500334</t>
  </si>
  <si>
    <t>31033642541</t>
  </si>
  <si>
    <t>9780700617708</t>
  </si>
  <si>
    <t>794852152</t>
  </si>
  <si>
    <t>UA770 A57 2010</t>
  </si>
  <si>
    <t>0                      UA 0770000A  57          2010</t>
  </si>
  <si>
    <t>The culture of military innovation : the impact of cultural factors on the Revolution in Military Affairs in Russia, the US, and Israel / Dima Adamsky.</t>
  </si>
  <si>
    <t>Adamsky, Dima.</t>
  </si>
  <si>
    <t>Stanford, Calif. : Stanford University Press, 2010.</t>
  </si>
  <si>
    <t>793236127:eng</t>
  </si>
  <si>
    <t>361947908</t>
  </si>
  <si>
    <t>ocn361947908</t>
  </si>
  <si>
    <t>31030980004</t>
  </si>
  <si>
    <t>9780804769518</t>
  </si>
  <si>
    <t>794492395</t>
  </si>
  <si>
    <t>UA770 B592 1992</t>
  </si>
  <si>
    <t>0                      UA 0770000B  592         1992</t>
  </si>
  <si>
    <t>Soviet strategic arms policy before SALT / Christoph Bluth.</t>
  </si>
  <si>
    <t>Bluth, Christoph.</t>
  </si>
  <si>
    <t>Cambridge [England] ; New York : Cambridge University Press, 1992.</t>
  </si>
  <si>
    <t>Soviet and East European studies ; 83</t>
  </si>
  <si>
    <t>2018-01-22</t>
  </si>
  <si>
    <t>1025044:eng</t>
  </si>
  <si>
    <t>23584478</t>
  </si>
  <si>
    <t>ocm23584478</t>
  </si>
  <si>
    <t>3100982599Q</t>
  </si>
  <si>
    <t>9780521403726</t>
  </si>
  <si>
    <t>793177189</t>
  </si>
  <si>
    <t>UA770 C58 1996</t>
  </si>
  <si>
    <t>0                      UA 0770000C  58          1996</t>
  </si>
  <si>
    <t>Civil-military relations in the Soviet and Yugoslav successor states / edited by Constantine P. Danopoulos and Daniel Zirker ; foreword by Philippe C. Schmitter.</t>
  </si>
  <si>
    <t>2018-03-01</t>
  </si>
  <si>
    <t>350019504:eng</t>
  </si>
  <si>
    <t>33078268</t>
  </si>
  <si>
    <t>ocm33078268</t>
  </si>
  <si>
    <t>31015735074</t>
  </si>
  <si>
    <t>9780813388465</t>
  </si>
  <si>
    <t>793401136</t>
  </si>
  <si>
    <t>UA770 C686 2012</t>
  </si>
  <si>
    <t>0                      UA 0770000C  686         2012</t>
  </si>
  <si>
    <t>Conflict in the former USSR / edited by Matthew Sussex.</t>
  </si>
  <si>
    <t>815121813:eng</t>
  </si>
  <si>
    <t>779264849</t>
  </si>
  <si>
    <t>ocn779264849</t>
  </si>
  <si>
    <t>3103433310J</t>
  </si>
  <si>
    <t>9780521763103</t>
  </si>
  <si>
    <t>794910780</t>
  </si>
  <si>
    <t>UA770 D475 1992</t>
  </si>
  <si>
    <t>0                      UA 0770000D  475         1992</t>
  </si>
  <si>
    <t>Fashistskiĭ mech kovalsi︠a︡ v SSSR : Krasnai︠a︡ Armii︠a︡ i Reĭkhsver : taĭnoe sotrudnichestvo, 1922-1933 : neizvestnye dokumenty / I︠U︡.L. Dʹi︠a︡kov, T.S. Bushueva.</t>
  </si>
  <si>
    <t>Dʹi︠a︡kov, I︠U︡. L. (I︠U︡riĭ Leontʹevich)</t>
  </si>
  <si>
    <t>Moskva : Sov. Rossii︠a︡, 1992.</t>
  </si>
  <si>
    <t>Rossii︠a︡ v lit︠s︡akh, dokumentakh, dnevnikakh</t>
  </si>
  <si>
    <t>3901311943:rus</t>
  </si>
  <si>
    <t>28184549</t>
  </si>
  <si>
    <t>ocm28184549</t>
  </si>
  <si>
    <t>3101272457J</t>
  </si>
  <si>
    <t>9785268014877</t>
  </si>
  <si>
    <t>793282169</t>
  </si>
  <si>
    <t>UA770 D47513 1995</t>
  </si>
  <si>
    <t>0                      UA 0770000D  47513       1995</t>
  </si>
  <si>
    <t>The Red Army and the Wehrmacht : how the Soviets militarized Germany, 1922-33, and paved the way for Fascism / Yuri Dyakov &amp; Tatyana Bushuyeva.</t>
  </si>
  <si>
    <t>Dʹi︠a︡kov, I︠U︡. L. (I︠U︡riĭ Leontʹevich), author.</t>
  </si>
  <si>
    <t>Amherst, N.Y. : Prometheus Books, 1995.</t>
  </si>
  <si>
    <t>From the secret archives of the former Soviet Union</t>
  </si>
  <si>
    <t>2019-01-24</t>
  </si>
  <si>
    <t>33411439:eng</t>
  </si>
  <si>
    <t>31376603</t>
  </si>
  <si>
    <t>ocm31376603</t>
  </si>
  <si>
    <t>3101465511G</t>
  </si>
  <si>
    <t>9780879759377</t>
  </si>
  <si>
    <t>793359929</t>
  </si>
  <si>
    <t>UA770 F467 1998</t>
  </si>
  <si>
    <t>0                      UA 0770000F  467         1998</t>
  </si>
  <si>
    <t>Soviet defense spending : a history of CIA estimates, 1950-1990 / Noel E. Firth and James H. Noren.</t>
  </si>
  <si>
    <t>Firth, Noel E., 1933-</t>
  </si>
  <si>
    <t>College Station : Texas A &amp; M University Press, ©1998.</t>
  </si>
  <si>
    <t>Texas A &amp; M University military history series ; 58</t>
  </si>
  <si>
    <t>138845187:eng</t>
  </si>
  <si>
    <t>38010661</t>
  </si>
  <si>
    <t>ocm38010661</t>
  </si>
  <si>
    <t>3101894899Y</t>
  </si>
  <si>
    <t>9780890968055</t>
  </si>
  <si>
    <t>793512754</t>
  </si>
  <si>
    <t>UA770 F692 1977</t>
  </si>
  <si>
    <t>0                      UA 0770000F  692         1977</t>
  </si>
  <si>
    <t>Izbrannye proizvedenii︠a︡ / M.V. Frunze ; [predisl. gen.-leĭt. M. Gareeva].</t>
  </si>
  <si>
    <t>Frunze, M. V. (Mikhail Vasilʹevich), 1885-1925.</t>
  </si>
  <si>
    <t>Moskva : Voenizdat, 1977.</t>
  </si>
  <si>
    <t>9907000671:rus</t>
  </si>
  <si>
    <t>11329600</t>
  </si>
  <si>
    <t>ocm11329600</t>
  </si>
  <si>
    <t>3000311868D</t>
  </si>
  <si>
    <t>792768869</t>
  </si>
  <si>
    <t>UA770 G295</t>
  </si>
  <si>
    <t>0                      UA 0770000G  295</t>
  </si>
  <si>
    <t>Soviet military policy; a historical analysis [by] Raymond L. Garthoff.</t>
  </si>
  <si>
    <t>Garthoff, Raymond L.</t>
  </si>
  <si>
    <t>New York, Praeger [1966]</t>
  </si>
  <si>
    <t>Praeger publications in Russian history and world communism, no. 170</t>
  </si>
  <si>
    <t>2018-12-05</t>
  </si>
  <si>
    <t>1669574:eng</t>
  </si>
  <si>
    <t>570329</t>
  </si>
  <si>
    <t>ocm00570329</t>
  </si>
  <si>
    <t>3103386170J</t>
  </si>
  <si>
    <t>791417477</t>
  </si>
  <si>
    <t>UA770 G55 1992</t>
  </si>
  <si>
    <t>0                      UA 0770000G  55          1992</t>
  </si>
  <si>
    <t>The military strategy of the Soviet Union : a history / David M. Glantz.</t>
  </si>
  <si>
    <t>Glantz, David M.</t>
  </si>
  <si>
    <t>London, England ; Portland, Or. : F. Cass, 1992.</t>
  </si>
  <si>
    <t>Cass series on Soviet military theory and practice ; 5</t>
  </si>
  <si>
    <t>2699023:eng</t>
  </si>
  <si>
    <t>25008850</t>
  </si>
  <si>
    <t>ocm25008850</t>
  </si>
  <si>
    <t>3101239758V</t>
  </si>
  <si>
    <t>9780714634357</t>
  </si>
  <si>
    <t>793209782</t>
  </si>
  <si>
    <t>UA770 G735 1987</t>
  </si>
  <si>
    <t>0                      UA 0770000G  735         1987</t>
  </si>
  <si>
    <t>Soviet nuclear weapons policy : a research and bibliographic guide / William C. Green.</t>
  </si>
  <si>
    <t>Green, William C., 1956-</t>
  </si>
  <si>
    <t>Westview special studies in national security and defense policy</t>
  </si>
  <si>
    <t>906839828:eng</t>
  </si>
  <si>
    <t>10123499</t>
  </si>
  <si>
    <t>ocm10123499</t>
  </si>
  <si>
    <t>3102803116N</t>
  </si>
  <si>
    <t>9780865318175</t>
  </si>
  <si>
    <t>792710231</t>
  </si>
  <si>
    <t>UA770 H32 2004</t>
  </si>
  <si>
    <t>0                      UA 0770000H  32          2004</t>
  </si>
  <si>
    <t>Russian security and air power, 1992-2002 : the development of Russian security thinking under Yeltsin and Putin and its consequences for the air forces / Marcel de Haas.</t>
  </si>
  <si>
    <t>Haas, M. de (Marcel), 1961-</t>
  </si>
  <si>
    <t>London ; New York : Frank Cass, 2004.</t>
  </si>
  <si>
    <t>Cass series on Soviet (Russian) military theory and practice, 1462-0936 ; 9</t>
  </si>
  <si>
    <t>2016-11-07</t>
  </si>
  <si>
    <t>940563:eng</t>
  </si>
  <si>
    <t>54974500</t>
  </si>
  <si>
    <t>ocm54974500</t>
  </si>
  <si>
    <t>3102433069P</t>
  </si>
  <si>
    <t>9780714656083</t>
  </si>
  <si>
    <t>793871690</t>
  </si>
  <si>
    <t>UA770 H63 1984</t>
  </si>
  <si>
    <t>0                      UA 0770000H  63          1984</t>
  </si>
  <si>
    <t>The Soviet Union and the arms race / David Holloway.</t>
  </si>
  <si>
    <t>Holloway, David, 1943-</t>
  </si>
  <si>
    <t>New Haven : Yale University Press, 1984.</t>
  </si>
  <si>
    <t>20928293:eng</t>
  </si>
  <si>
    <t>11219279</t>
  </si>
  <si>
    <t>ocm11219279</t>
  </si>
  <si>
    <t>30001658019</t>
  </si>
  <si>
    <t>9780300032802</t>
  </si>
  <si>
    <t>792763579</t>
  </si>
  <si>
    <t>UA770 H632 1994</t>
  </si>
  <si>
    <t>0                      UA 0770000H  632         1994</t>
  </si>
  <si>
    <t>Stalin and the bomb : the Soviet Union and atomic energy, 1939-56 / David Holloway.</t>
  </si>
  <si>
    <t>New Haven ; London : Yale University Press, 1994.</t>
  </si>
  <si>
    <t>27043168:eng</t>
  </si>
  <si>
    <t>191730513</t>
  </si>
  <si>
    <t>ocn191730513</t>
  </si>
  <si>
    <t>3102823771K</t>
  </si>
  <si>
    <t>9780300060560</t>
  </si>
  <si>
    <t>794300679</t>
  </si>
  <si>
    <t>UA770 K28</t>
  </si>
  <si>
    <t>0                      UA 0770000K  28</t>
  </si>
  <si>
    <t>Diplomacy of power : Soviet Armed Forces as a political instrument / Stephen S. Kaplan ; with Michel Tatu [and others].</t>
  </si>
  <si>
    <t>Kaplan, Stephen S.</t>
  </si>
  <si>
    <t>Washington, D.C. : Brookings Institution, ©1981.</t>
  </si>
  <si>
    <t>2018-11-27</t>
  </si>
  <si>
    <t>889308739:eng</t>
  </si>
  <si>
    <t>6891397</t>
  </si>
  <si>
    <t>ocm06891397</t>
  </si>
  <si>
    <t>3103743480N</t>
  </si>
  <si>
    <t>9780815748243</t>
  </si>
  <si>
    <t>792529068</t>
  </si>
  <si>
    <t>UA770 K568 1995</t>
  </si>
  <si>
    <t>0                      UA 0770000K  568         1995</t>
  </si>
  <si>
    <t>Armii︠a︡ i politika : sovetskai︠a︡ voenno-politicheskai︠a︡ i voenno-strategicheskai︠a︡ myslʹ, 1918-1991 gody / A.A. Kokoshin.</t>
  </si>
  <si>
    <t>Kokoshin, A. A. (Andreĭ Afanasʹevich)</t>
  </si>
  <si>
    <t>Moskva : "Mezhdunar. otnoshenii︠a︡", 1995.</t>
  </si>
  <si>
    <t>2018-03-09</t>
  </si>
  <si>
    <t>3901708026:rus</t>
  </si>
  <si>
    <t>34406477</t>
  </si>
  <si>
    <t>ocm34406477</t>
  </si>
  <si>
    <t>31017068245</t>
  </si>
  <si>
    <t>9785713308575</t>
  </si>
  <si>
    <t>793425850</t>
  </si>
  <si>
    <t>UA770 K6</t>
  </si>
  <si>
    <t>0                      UA 0770000K  6</t>
  </si>
  <si>
    <t>The Soviet military and the Communist Party / by Roman Kolkowicz.</t>
  </si>
  <si>
    <t>Kolkowicz, Roman.</t>
  </si>
  <si>
    <t>Princeton, N.J. : Princeton University Press, 1967.</t>
  </si>
  <si>
    <t>1693685:eng</t>
  </si>
  <si>
    <t>573405</t>
  </si>
  <si>
    <t>ocm00573405</t>
  </si>
  <si>
    <t>3000251033A</t>
  </si>
  <si>
    <t>791418344</t>
  </si>
  <si>
    <t>UA770 L963 2000</t>
  </si>
  <si>
    <t>0                      UA 0770000L  963         2000</t>
  </si>
  <si>
    <t>Russian peacekeeping strategies in the CIS : the cases of Moldova, Georgia and Tajikistan / Dov Lynch.</t>
  </si>
  <si>
    <t>Lynch, Dov, 1970-</t>
  </si>
  <si>
    <t>Houndmills, Basingstoke, Hampshire : MacMillan Press, 2000.</t>
  </si>
  <si>
    <t>2015-02-20</t>
  </si>
  <si>
    <t>793023232:eng</t>
  </si>
  <si>
    <t>44397501</t>
  </si>
  <si>
    <t>ocm44397501</t>
  </si>
  <si>
    <t>3102508669X</t>
  </si>
  <si>
    <t>9780333744758</t>
  </si>
  <si>
    <t>793645319</t>
  </si>
  <si>
    <t>UA770 M467 1992</t>
  </si>
  <si>
    <t>0                      UA 0770000M  467         1992</t>
  </si>
  <si>
    <t>Bayonets before bullets : the Imperial Russian Army, 1861-1914 / Bruce W. Menning.</t>
  </si>
  <si>
    <t>Menning, Bruce, author.</t>
  </si>
  <si>
    <t>Bloomington : Indiana University Press, ©1992.</t>
  </si>
  <si>
    <t>Indiana-Michigan series in Russian and East European studies</t>
  </si>
  <si>
    <t>795668054:eng</t>
  </si>
  <si>
    <t>25547079</t>
  </si>
  <si>
    <t>ocm25547079</t>
  </si>
  <si>
    <t>3102091426T</t>
  </si>
  <si>
    <t>9780253337450</t>
  </si>
  <si>
    <t>793224428</t>
  </si>
  <si>
    <t>UA770 P4</t>
  </si>
  <si>
    <t>0                      UA 0770000P  4</t>
  </si>
  <si>
    <t>KPSS--rukovoditelʹ i vospitatelʹ Krasnoĭ Armii; 1918-1920 gg.</t>
  </si>
  <si>
    <t>Petrov, I︠U︡. P. (I︠U︡riĭ Petrovich)</t>
  </si>
  <si>
    <t>Moskva, Voen., izd-vo, 1961.</t>
  </si>
  <si>
    <t>9322771767:rus</t>
  </si>
  <si>
    <t>31111813</t>
  </si>
  <si>
    <t>ocm31111813</t>
  </si>
  <si>
    <t>3103644238W</t>
  </si>
  <si>
    <t>793353565</t>
  </si>
  <si>
    <t>UA770 P65 2010</t>
  </si>
  <si>
    <t>0                      UA 0770000P  65          2010</t>
  </si>
  <si>
    <t>The politics of security in modern Russia / edited by Mark Galeotti.</t>
  </si>
  <si>
    <t>Farnham, Surrey, England ; Burlington, VT : Ashgate Pub. Co., ©2010.</t>
  </si>
  <si>
    <t>Post-soviet politics</t>
  </si>
  <si>
    <t>1076826346:eng</t>
  </si>
  <si>
    <t>432444291</t>
  </si>
  <si>
    <t>ocn432444291</t>
  </si>
  <si>
    <t>3103132534V</t>
  </si>
  <si>
    <t>9780754674085</t>
  </si>
  <si>
    <t>794781901</t>
  </si>
  <si>
    <t>UA770 P664 2007</t>
  </si>
  <si>
    <t>0                      UA 0770000P  664         2007</t>
  </si>
  <si>
    <t>Russia, NATO and cooperative security : bridging the gap / Lionel Ponsard.</t>
  </si>
  <si>
    <t>Ponsard, Lionel,</t>
  </si>
  <si>
    <t>London ; New York : Routledge, Taylor &amp; Francis Group, 2007.</t>
  </si>
  <si>
    <t>793334121:eng</t>
  </si>
  <si>
    <t>64511012</t>
  </si>
  <si>
    <t>ocm64511012</t>
  </si>
  <si>
    <t>3102632883Q</t>
  </si>
  <si>
    <t>9780415407236</t>
  </si>
  <si>
    <t>794129848</t>
  </si>
  <si>
    <t>UA770 Q56 2011</t>
  </si>
  <si>
    <t>0                      UA 0770000Q  56          2011</t>
  </si>
  <si>
    <t>Nuclear Deterrence in Europe : Russian Approaches to a New Environment and Implications for the United States / James T. Quinlivan, Olga Oliker.</t>
  </si>
  <si>
    <t>Quinlivan, J. T.</t>
  </si>
  <si>
    <t>Project Air Force</t>
  </si>
  <si>
    <t>999989225:eng</t>
  </si>
  <si>
    <t>746835026</t>
  </si>
  <si>
    <t>ocn746835026</t>
  </si>
  <si>
    <t>3103524732Z</t>
  </si>
  <si>
    <t>9780833052148</t>
  </si>
  <si>
    <t>794887447</t>
  </si>
  <si>
    <t>UA770 R27</t>
  </si>
  <si>
    <t>0                      UA 0770000R  27</t>
  </si>
  <si>
    <t>The USSR arms the third world; case studies in Soviet foreign policy.</t>
  </si>
  <si>
    <t>Ra'anan, Uri, 1926-</t>
  </si>
  <si>
    <t>Cambridge, Mass., M.I.T. Press [1969]</t>
  </si>
  <si>
    <t>2019-03-18</t>
  </si>
  <si>
    <t>836626529:eng</t>
  </si>
  <si>
    <t>30459</t>
  </si>
  <si>
    <t>ocm00030459</t>
  </si>
  <si>
    <t>3000224913K</t>
  </si>
  <si>
    <t>9780262180337</t>
  </si>
  <si>
    <t>791233986</t>
  </si>
  <si>
    <t>UA770 R8184 2012</t>
  </si>
  <si>
    <t>0                      UA 0770000R  8184        2012</t>
  </si>
  <si>
    <t>The Russian armed forces in transition : economic, geopolitical and institutional uncertainties / edited by Roger N. McDermott, Bertil Nygren and Carolina Vendil Pallin.</t>
  </si>
  <si>
    <t>London ; New York : Routledge, 2012.</t>
  </si>
  <si>
    <t>Routledge contemporary Russia and Eastern Europe series ; 30</t>
  </si>
  <si>
    <t>762670816:eng</t>
  </si>
  <si>
    <t>690084925</t>
  </si>
  <si>
    <t>ocn690084925</t>
  </si>
  <si>
    <t>3103382264Y</t>
  </si>
  <si>
    <t>9780415667562</t>
  </si>
  <si>
    <t>794855156</t>
  </si>
  <si>
    <t>UA770 R843 2004</t>
  </si>
  <si>
    <t>0                      UA 0770000R  843         2004</t>
  </si>
  <si>
    <t>The Russian military : power and policy / Steven E. Miller and Dmitri Trenin, editors.</t>
  </si>
  <si>
    <t>Cambridge, Mass. : American Academy of Arts and Sciences ; London, England : MIT Press, ©2004.</t>
  </si>
  <si>
    <t>American Academy studies in global security</t>
  </si>
  <si>
    <t>801387996:eng</t>
  </si>
  <si>
    <t>55488179</t>
  </si>
  <si>
    <t>ocm55488179</t>
  </si>
  <si>
    <t>3102405675C</t>
  </si>
  <si>
    <t>9780262633055</t>
  </si>
  <si>
    <t>793877029</t>
  </si>
  <si>
    <t>UA770 R847 2001</t>
  </si>
  <si>
    <t>0                      UA 0770000R  847         2001</t>
  </si>
  <si>
    <t>The Russian military into the twenty-first century / edited by Stephen J. Cimbala.</t>
  </si>
  <si>
    <t>London ; Portland, OR : Frank Cass, 2001.</t>
  </si>
  <si>
    <t>Cass series on Soviet (Russian) military theory and practice, 1462-0936</t>
  </si>
  <si>
    <t>9592887774:eng</t>
  </si>
  <si>
    <t>45630574</t>
  </si>
  <si>
    <t>ocm45630574</t>
  </si>
  <si>
    <t>31021920996</t>
  </si>
  <si>
    <t>9780714650807</t>
  </si>
  <si>
    <t>793675180</t>
  </si>
  <si>
    <t>UA770 S3284 1994</t>
  </si>
  <si>
    <t>0                      UA 0770000S  3284        1994</t>
  </si>
  <si>
    <t>The structure of strategic revolution : total war and the roots of the Soviet warfare state / James J. Schneider.</t>
  </si>
  <si>
    <t>Schneider, James J. (James Joseph), 1947-</t>
  </si>
  <si>
    <t>Novato, CA : Presidio, ©1994.</t>
  </si>
  <si>
    <t>1102858160:eng</t>
  </si>
  <si>
    <t>30545522</t>
  </si>
  <si>
    <t>ocm30545522</t>
  </si>
  <si>
    <t>3101470472J</t>
  </si>
  <si>
    <t>9780891415220</t>
  </si>
  <si>
    <t>793338467</t>
  </si>
  <si>
    <t>UA770 S658 1984</t>
  </si>
  <si>
    <t>0                      UA 0770000S  658         1984</t>
  </si>
  <si>
    <t>Soviet decisionmaking for national security / edited by Jiri Valenta, William C. Potter.</t>
  </si>
  <si>
    <t>London ; Boston : G. Allen &amp; Unwin, 1984.</t>
  </si>
  <si>
    <t>2018-12-08</t>
  </si>
  <si>
    <t>350169449:eng</t>
  </si>
  <si>
    <t>10072268</t>
  </si>
  <si>
    <t>ocm10072268</t>
  </si>
  <si>
    <t>3000166162C</t>
  </si>
  <si>
    <t>9780043510636</t>
  </si>
  <si>
    <t>792707522</t>
  </si>
  <si>
    <t>UA770 S66194 1992</t>
  </si>
  <si>
    <t>0                      UA 0770000S  66194       1992</t>
  </si>
  <si>
    <t>Soviet military doctrine from Lenin to Gorbachev, 1915-1991 / edited by Willard C. Frank, Jr., and Philip S. Gillette.</t>
  </si>
  <si>
    <t>Westport, Conn. : Greenwood Press, 1992.</t>
  </si>
  <si>
    <t>Contributions in military studies, 0883-6884 ; no. 125</t>
  </si>
  <si>
    <t>349994490:eng</t>
  </si>
  <si>
    <t>24629562</t>
  </si>
  <si>
    <t>ocm24629562</t>
  </si>
  <si>
    <t>31012085148</t>
  </si>
  <si>
    <t>9780313277139</t>
  </si>
  <si>
    <t>793202662</t>
  </si>
  <si>
    <t>UA770 S669 1992</t>
  </si>
  <si>
    <t>0                      UA 0770000S  669         1992</t>
  </si>
  <si>
    <t>Soviet strategy and new military thinking / edited by Derek Leebaert and Timothy Dickinson.</t>
  </si>
  <si>
    <t>New York : Cambridge University Press, 1992.</t>
  </si>
  <si>
    <t>2015-11-12</t>
  </si>
  <si>
    <t>917504081:eng</t>
  </si>
  <si>
    <t>22706716</t>
  </si>
  <si>
    <t>ocm22706716</t>
  </si>
  <si>
    <t>3101187635Y</t>
  </si>
  <si>
    <t>9780521404297</t>
  </si>
  <si>
    <t>793151542</t>
  </si>
  <si>
    <t>UA770 V35 1990</t>
  </si>
  <si>
    <t>0                      UA 0770000V  35          1990</t>
  </si>
  <si>
    <t>Russian imperial military doctrine and education, 1832-1914 / Carl Van Dyke.</t>
  </si>
  <si>
    <t>Van Dyke, Carl.</t>
  </si>
  <si>
    <t>New York : Greenwood Press, 1990.</t>
  </si>
  <si>
    <t>Contributions in military studies, 0883-6884 ; no. 105</t>
  </si>
  <si>
    <t>2619786:eng</t>
  </si>
  <si>
    <t>21520835</t>
  </si>
  <si>
    <t>ocm21520835</t>
  </si>
  <si>
    <t>3101115734A</t>
  </si>
  <si>
    <t>9780313272493</t>
  </si>
  <si>
    <t>793121255</t>
  </si>
  <si>
    <t>UA770 V5474 1986</t>
  </si>
  <si>
    <t>0                      UA 0770000V  5474        1986</t>
  </si>
  <si>
    <t>Voennye organizat︠s︡ii partii bolʹshevikov v 1917 godu / otvetstvennyĭ redaktor I︠U︡.I. Korablev.</t>
  </si>
  <si>
    <t>Moskva : "Nauka", 1986.</t>
  </si>
  <si>
    <t>9164820018:rus</t>
  </si>
  <si>
    <t>14984478</t>
  </si>
  <si>
    <t>ocm14984478</t>
  </si>
  <si>
    <t>3000486779C</t>
  </si>
  <si>
    <t>792915849</t>
  </si>
  <si>
    <t>UA770 Z44 1993</t>
  </si>
  <si>
    <t>0                      UA 0770000Z  44          1993</t>
  </si>
  <si>
    <t>Reichswehr und Rote Armee, 1920-1933 : Wege und Stationen einer ungewöhnlichen Zusammenarbeit / von Manfred Zeidler.</t>
  </si>
  <si>
    <t>Zeidler, Manfred.</t>
  </si>
  <si>
    <t>München : R. Oldenbourg, 1993.</t>
  </si>
  <si>
    <t>Beiträge zur Militärgeschichte ; Bd. 36</t>
  </si>
  <si>
    <t>199113623:ger</t>
  </si>
  <si>
    <t>28569971</t>
  </si>
  <si>
    <t>ocm28569971</t>
  </si>
  <si>
    <t>3101406295R</t>
  </si>
  <si>
    <t>9783486559668</t>
  </si>
  <si>
    <t>793291097</t>
  </si>
  <si>
    <t>UA772 B38613 1988</t>
  </si>
  <si>
    <t>0                      UA 0772000B  38613       1988</t>
  </si>
  <si>
    <t>The Bolsheviks and the Red Army, 1918-1922 / Francesco Benvenuti ; translated from the Italian by Christopher Woodall.</t>
  </si>
  <si>
    <t>Benvenuti, Francesco.</t>
  </si>
  <si>
    <t>Soviet and East European studies</t>
  </si>
  <si>
    <t>13641666:eng</t>
  </si>
  <si>
    <t>16873812</t>
  </si>
  <si>
    <t>ocm16873812</t>
  </si>
  <si>
    <t>3000587392O</t>
  </si>
  <si>
    <t>9780521257718</t>
  </si>
  <si>
    <t>792975951</t>
  </si>
  <si>
    <t>UA772 B417 1986</t>
  </si>
  <si>
    <t>0                      UA 0772000B  417         1986</t>
  </si>
  <si>
    <t>Armii︠a︡ i flot Rossii v nachale XX v. : ocherki voenno-ėkonomicheskogo potent︠s︡iala / L.G. Beskrovnyĭ ; otvetstvennyĭ redaktor A.L. Narochnit︠s︡kiĭ.</t>
  </si>
  <si>
    <t>Beskrovnyĭ, L. G. (Li︠u︡bomir Grigorʹevich)</t>
  </si>
  <si>
    <t>2015-08-19</t>
  </si>
  <si>
    <t>3855918005:rus</t>
  </si>
  <si>
    <t>16638403</t>
  </si>
  <si>
    <t>ocm16638403</t>
  </si>
  <si>
    <t>30005260680</t>
  </si>
  <si>
    <t>792967268</t>
  </si>
  <si>
    <t>UA772 B68</t>
  </si>
  <si>
    <t>0                      UA 0772000B  68</t>
  </si>
  <si>
    <t>Rozhdenie Krasnoĭ Armii / V.V. Britov.</t>
  </si>
  <si>
    <t>Britov, V. V.</t>
  </si>
  <si>
    <t>Moskva : Gos. uchebno-pedaror., ©1961.</t>
  </si>
  <si>
    <t>3855450353:rus</t>
  </si>
  <si>
    <t>13533578</t>
  </si>
  <si>
    <t>ocm13533578</t>
  </si>
  <si>
    <t>3000726094M</t>
  </si>
  <si>
    <t>792856948</t>
  </si>
  <si>
    <t>UA772 B8</t>
  </si>
  <si>
    <t>0                      UA 0772000B  8</t>
  </si>
  <si>
    <t>O Krasnoĭ Armii.</t>
  </si>
  <si>
    <t>Bubnov, A. (Andreĭ), 1884-1940.</t>
  </si>
  <si>
    <t>Moskva : [publisher not identified], 1958.</t>
  </si>
  <si>
    <t>8907054247:rus</t>
  </si>
  <si>
    <t>427537402</t>
  </si>
  <si>
    <t>ocn427537402</t>
  </si>
  <si>
    <t>3000726095K</t>
  </si>
  <si>
    <t>794679389</t>
  </si>
  <si>
    <t>UA772 B87 1985</t>
  </si>
  <si>
    <t>0                      UA 0772000B  87          1985</t>
  </si>
  <si>
    <t>Mutiny amid repression : Russian soldiers in the Revolution of 1905-1906 / John Bushnell.</t>
  </si>
  <si>
    <t>Bushnell, John, 1945-</t>
  </si>
  <si>
    <t>Bloomington : Indiana University Press, ©1985.</t>
  </si>
  <si>
    <t>3932751:eng</t>
  </si>
  <si>
    <t>11468561</t>
  </si>
  <si>
    <t>ocm11468561</t>
  </si>
  <si>
    <t>3103002058Q</t>
  </si>
  <si>
    <t>9780253339607</t>
  </si>
  <si>
    <t>792774653</t>
  </si>
  <si>
    <t>UA772 D85 1994</t>
  </si>
  <si>
    <t>0                      UA 0772000D  85          1994</t>
  </si>
  <si>
    <t>Hitler's nemesis : the Red Army, 1930-1945 / Walter S. Dunn, Jr. ; foreword by David Glantz.</t>
  </si>
  <si>
    <t>Dunn, Walter S. (Walter Scott), 1928-</t>
  </si>
  <si>
    <t>Westport, Conn. : Praeger, 1994.</t>
  </si>
  <si>
    <t>836773610:eng</t>
  </si>
  <si>
    <t>30034276</t>
  </si>
  <si>
    <t>ocm30034276</t>
  </si>
  <si>
    <t>3101488772Z</t>
  </si>
  <si>
    <t>9780275948948</t>
  </si>
  <si>
    <t>793327469</t>
  </si>
  <si>
    <t>UA772 E7 2001</t>
  </si>
  <si>
    <t>0                      UA 0772000E  7           2001</t>
  </si>
  <si>
    <t>The Soviet high command : a military-political history, 1918-1941 / John Erickson.</t>
  </si>
  <si>
    <t>Erickson, John, 1929-2002.</t>
  </si>
  <si>
    <t>Portland, OR : Frank Cass, 2001.</t>
  </si>
  <si>
    <t>Cass series on Soviet (Russian) military institutions, 1462-1835 ; 3</t>
  </si>
  <si>
    <t>366169806:eng</t>
  </si>
  <si>
    <t>46703451</t>
  </si>
  <si>
    <t>ocm46703451</t>
  </si>
  <si>
    <t>3102133331M</t>
  </si>
  <si>
    <t>9780714651781</t>
  </si>
  <si>
    <t>793689928</t>
  </si>
  <si>
    <t>UA772 I7 1960</t>
  </si>
  <si>
    <t>0                      UA 0772000I  7           1960</t>
  </si>
  <si>
    <t>Borʹba KPSS za sozdanie voennykh kadrov.</t>
  </si>
  <si>
    <t>Iovlev, A. M. (Alekseĭ Mikhaĭlovich)</t>
  </si>
  <si>
    <t>Moskva, Voen. izd-vo, 1960.</t>
  </si>
  <si>
    <t>2-oe., isp. i dop. izd.</t>
  </si>
  <si>
    <t>140573177:rus</t>
  </si>
  <si>
    <t>19134263</t>
  </si>
  <si>
    <t>ocm19134263</t>
  </si>
  <si>
    <t>30007018631</t>
  </si>
  <si>
    <t>793048368</t>
  </si>
  <si>
    <t>UA772 I85</t>
  </si>
  <si>
    <t>0                      UA 0772000I  85</t>
  </si>
  <si>
    <t>Istorii︠a︡ Uralʹskogo voennogo okruga. [Redakt︠s︡ionnai︠a︡ kollegii︠a︡: A.A. Egorovskiĭ i dr.].</t>
  </si>
  <si>
    <t>Moskva, Voen. izd-vo, 1970.</t>
  </si>
  <si>
    <t>53857649:rus</t>
  </si>
  <si>
    <t>9566164</t>
  </si>
  <si>
    <t>ocm09566164</t>
  </si>
  <si>
    <t>3000570134D</t>
  </si>
  <si>
    <t>792682350</t>
  </si>
  <si>
    <t>UA772 K24 1999</t>
  </si>
  <si>
    <t>0                      UA 0772000K  24          1999</t>
  </si>
  <si>
    <t>The military reforms of Nicholas I : the origins of the modern Russian army / Frederick W. Kagan.</t>
  </si>
  <si>
    <t>New York : St. Martin's Press, 1999.</t>
  </si>
  <si>
    <t>793037732:eng</t>
  </si>
  <si>
    <t>40113408</t>
  </si>
  <si>
    <t>ocm40113408</t>
  </si>
  <si>
    <t>31019525779</t>
  </si>
  <si>
    <t>9780312219284</t>
  </si>
  <si>
    <t>793559885</t>
  </si>
  <si>
    <t>UA772 K32 1958</t>
  </si>
  <si>
    <t>0                      UA 0772000K  32          1958</t>
  </si>
  <si>
    <t>O sovetskoĭ armii : sbornik stateĭ i recheĭ.</t>
  </si>
  <si>
    <t>Kalinin, M. I. (Mikhail Ivanovich), 1875-1946.</t>
  </si>
  <si>
    <t>Moskva : Voen. izd. min. oborony SSSR, 1958.</t>
  </si>
  <si>
    <t>1812313785:rus</t>
  </si>
  <si>
    <t>427573133</t>
  </si>
  <si>
    <t>ocn427573133</t>
  </si>
  <si>
    <t>3103095661N</t>
  </si>
  <si>
    <t>794692235</t>
  </si>
  <si>
    <t>UA772 M3x</t>
  </si>
  <si>
    <t>0                      UA 0772000M  3x</t>
  </si>
  <si>
    <t>An army in transition : the Russian High Command, Oct. 1917-May 1918 / by Matitiahu Mayzel.</t>
  </si>
  <si>
    <t>Mayzel, Matitiahu, 1940-</t>
  </si>
  <si>
    <t>Tel Aviv : Russian and East European Research Center, Tel Aviv University, 1976.</t>
  </si>
  <si>
    <t>Slavic and Soviet series ; no. 5</t>
  </si>
  <si>
    <t>2015-10-09</t>
  </si>
  <si>
    <t>292404107:eng</t>
  </si>
  <si>
    <t>61548597</t>
  </si>
  <si>
    <t>ocm61548597</t>
  </si>
  <si>
    <t>30004068069</t>
  </si>
  <si>
    <t>793980249</t>
  </si>
  <si>
    <t>UA772 M64 1997</t>
  </si>
  <si>
    <t>0                      UA 0772000M  64          1997</t>
  </si>
  <si>
    <t>Krasnai︠a︡ Armii︠a︡ : rozhdenie i stanovlenie, 1917-1920 gg. / M.A. Molodt︠s︡ygin.</t>
  </si>
  <si>
    <t>Molodt︠s︡ygin, M. A. (Mark Andreevich)</t>
  </si>
  <si>
    <t>Moskva : IRI RAN, 1997.</t>
  </si>
  <si>
    <t>2452614089:rus</t>
  </si>
  <si>
    <t>38201799</t>
  </si>
  <si>
    <t>ocm38201799</t>
  </si>
  <si>
    <t>3101827808G</t>
  </si>
  <si>
    <t>9785201006068</t>
  </si>
  <si>
    <t>793518653</t>
  </si>
  <si>
    <t>UA772 R443 2004</t>
  </si>
  <si>
    <t>0                      UA 0772000R  443         2004</t>
  </si>
  <si>
    <t>Reforming the Tsar's army : military innovation in Imperial Russia from Peter the Great to the Revolution / edited by David Schimmelpenninck van der Oye, Bruce W. Menning.</t>
  </si>
  <si>
    <t>Washington, D.C. : Woodrow Wilson Center Press ; Cambridge, U.K. ; New York : Cambridge University Press, 2004.</t>
  </si>
  <si>
    <t>Woodrow Wilson Center series</t>
  </si>
  <si>
    <t>837795297:eng</t>
  </si>
  <si>
    <t>52133026</t>
  </si>
  <si>
    <t>ocm52133026</t>
  </si>
  <si>
    <t>3102355987J</t>
  </si>
  <si>
    <t>9780521819886</t>
  </si>
  <si>
    <t>793799123</t>
  </si>
  <si>
    <t>UA772 S79 2010</t>
  </si>
  <si>
    <t>0                      UA 0772000S  79          2010</t>
  </si>
  <si>
    <t>All the tsar's men : Russia's General Staff and the fate of the empire, 1898-1914 / John W. Steinberg.</t>
  </si>
  <si>
    <t>Steinberg, John W.</t>
  </si>
  <si>
    <t>Washington, D.C. : Woodrow Wilson Center Press ; Baltimore, Md. : Johns Hopkins University Press, ©2010.</t>
  </si>
  <si>
    <t>792056664:eng</t>
  </si>
  <si>
    <t>465330376</t>
  </si>
  <si>
    <t>ocn465330376</t>
  </si>
  <si>
    <t>3103322646J</t>
  </si>
  <si>
    <t>9780801895456</t>
  </si>
  <si>
    <t>794793808</t>
  </si>
  <si>
    <t>UA772 S824 1998</t>
  </si>
  <si>
    <t>0                      UA 0772000S  824         1998</t>
  </si>
  <si>
    <t>Forging Stalin's Army : Marshal Tukhachevsky and the politics of military innovation / Sally W. Stoecker ; foreword by David Glantz.</t>
  </si>
  <si>
    <t>Stoecker, Sally W.</t>
  </si>
  <si>
    <t>Boulder, Colo. : Westview Press, 1998.</t>
  </si>
  <si>
    <t>2018-04-20</t>
  </si>
  <si>
    <t>198543031:eng</t>
  </si>
  <si>
    <t>38216395</t>
  </si>
  <si>
    <t>ocm38216395</t>
  </si>
  <si>
    <t>3101904768M</t>
  </si>
  <si>
    <t>9780813334103</t>
  </si>
  <si>
    <t>793519021</t>
  </si>
  <si>
    <t>UA776 R3 Z35 2002</t>
  </si>
  <si>
    <t>0                      UA 0776000R  3                  Z  35          2002</t>
  </si>
  <si>
    <t>The Kremlin's nuclear sword : the rise and fall of Russia's strategic nuclear forces, 1945-2000 / Steven J. Zaloga.</t>
  </si>
  <si>
    <t>Zaloga, Steve, 1952-</t>
  </si>
  <si>
    <t>Washington : Smithsonian Institution Press, ©2002.</t>
  </si>
  <si>
    <t>Smithsonian history of aviation and spaceflight series</t>
  </si>
  <si>
    <t>2016-11-16</t>
  </si>
  <si>
    <t>20960889:eng</t>
  </si>
  <si>
    <t>47297757</t>
  </si>
  <si>
    <t>ocm47297757</t>
  </si>
  <si>
    <t>3102244038Y</t>
  </si>
  <si>
    <t>9781588340078</t>
  </si>
  <si>
    <t>793702962</t>
  </si>
  <si>
    <t>UA776 R37 R87 2001</t>
  </si>
  <si>
    <t>0                      UA 0776000R  37                 R  87          2001</t>
  </si>
  <si>
    <t>Russian strategic nuclear forces / edited by Pavel Podvig ; [with contributions from] Oleg Bukharin [and others].</t>
  </si>
  <si>
    <t>Cambridge, Mass. : MIT Press, ©2001.</t>
  </si>
  <si>
    <t>346982526:eng</t>
  </si>
  <si>
    <t>46462906</t>
  </si>
  <si>
    <t>ocm46462906</t>
  </si>
  <si>
    <t>3102173769V</t>
  </si>
  <si>
    <t>9780262162029</t>
  </si>
  <si>
    <t>793685393</t>
  </si>
  <si>
    <t>UA780 C38 1983</t>
  </si>
  <si>
    <t>0                      UA 0780000C  38          1983</t>
  </si>
  <si>
    <t>El poder militar en la España contemporánea hasta la Guerra Civil / por Gabriel Cardona.</t>
  </si>
  <si>
    <t>Cardona, Gabriel, 1938-</t>
  </si>
  <si>
    <t>Madrid : Siglo Veintiuno, 1983.</t>
  </si>
  <si>
    <t>1a ed.</t>
  </si>
  <si>
    <t>spa</t>
  </si>
  <si>
    <t>Historia</t>
  </si>
  <si>
    <t>2016-02-10</t>
  </si>
  <si>
    <t>351001646:spa</t>
  </si>
  <si>
    <t>10484494</t>
  </si>
  <si>
    <t>ocm10484494</t>
  </si>
  <si>
    <t>3000362017R</t>
  </si>
  <si>
    <t>9788432304675</t>
  </si>
  <si>
    <t>792728618</t>
  </si>
  <si>
    <t>UA780 S4713 2010</t>
  </si>
  <si>
    <t>0                      UA 0780000S  4713        2010</t>
  </si>
  <si>
    <t>The military transition : democratic reform of the armed forces / Narcís Serra ; translated by Peter Bush.</t>
  </si>
  <si>
    <t>Serra, Narcís.</t>
  </si>
  <si>
    <t>9349666257:eng</t>
  </si>
  <si>
    <t>465366101</t>
  </si>
  <si>
    <t>ocn465366101</t>
  </si>
  <si>
    <t>3103238850P</t>
  </si>
  <si>
    <t>9780521116671</t>
  </si>
  <si>
    <t>794793869</t>
  </si>
  <si>
    <t>UA787 P69 1987</t>
  </si>
  <si>
    <t>0                      UA 0787000P  69          1987</t>
  </si>
  <si>
    <t>A society organized for war : the Iberian municipal militias in the central Middle Ages, 1000-1284 / James F. Powers.</t>
  </si>
  <si>
    <t>Powers, James F.</t>
  </si>
  <si>
    <t>Berkeley : University of California Press, ©1987.</t>
  </si>
  <si>
    <t>2018-02-12</t>
  </si>
  <si>
    <t>8257605:eng</t>
  </si>
  <si>
    <t>14214959</t>
  </si>
  <si>
    <t>ocm14214959</t>
  </si>
  <si>
    <t>3000536887W</t>
  </si>
  <si>
    <t>9780520056442</t>
  </si>
  <si>
    <t>792882281</t>
  </si>
  <si>
    <t>UA789 A7</t>
  </si>
  <si>
    <t>0                      UA 0789000A  7</t>
  </si>
  <si>
    <t>The army in Bourbon Mexico, 1760-1810 / Christon I. Archer.</t>
  </si>
  <si>
    <t>Archer, Christon I., 1940-</t>
  </si>
  <si>
    <t>Albuquerque : University of New Mexico Press, ©1977.</t>
  </si>
  <si>
    <t>3677429:eng</t>
  </si>
  <si>
    <t>2984426</t>
  </si>
  <si>
    <t>ocm02984426</t>
  </si>
  <si>
    <t>31038719028</t>
  </si>
  <si>
    <t>9780826304421</t>
  </si>
  <si>
    <t>792202808</t>
  </si>
  <si>
    <t>UA790 C65 1994</t>
  </si>
  <si>
    <t>0                      UA 0790000C  65          1994</t>
  </si>
  <si>
    <t>Sweden without the bomb : the conduct of a nuclear-capable nation without nuclear weapons / Paul M. Cole.</t>
  </si>
  <si>
    <t>Cole, Paul M.</t>
  </si>
  <si>
    <t>Santa Monica, CA : Rand, 1994.</t>
  </si>
  <si>
    <t>Rand library collection.</t>
  </si>
  <si>
    <t>2016-03-20</t>
  </si>
  <si>
    <t>377463764:eng</t>
  </si>
  <si>
    <t>31300407</t>
  </si>
  <si>
    <t>ocm31300407</t>
  </si>
  <si>
    <t>3101917539G</t>
  </si>
  <si>
    <t>9780833015839</t>
  </si>
  <si>
    <t>793358213</t>
  </si>
  <si>
    <t>UA817 K55 2011</t>
  </si>
  <si>
    <t>0                      UA 0817000K  55          2011</t>
  </si>
  <si>
    <t>The margins of empire : Kurdish militias in the Ottoman tribal zone / Janet Klein.</t>
  </si>
  <si>
    <t>Klein, Janet, 1969- author.</t>
  </si>
  <si>
    <t>Stanford, California : Stanford University Press, [2011]</t>
  </si>
  <si>
    <t>2018-02-14</t>
  </si>
  <si>
    <t>911876758:eng</t>
  </si>
  <si>
    <t>670375499</t>
  </si>
  <si>
    <t>ocn670375499</t>
  </si>
  <si>
    <t>31033650347</t>
  </si>
  <si>
    <t>9780804775700</t>
  </si>
  <si>
    <t>794847686</t>
  </si>
  <si>
    <t>UA829 C9 R53 1984</t>
  </si>
  <si>
    <t>0                      UA 0829000C  9                  R  53          1984</t>
  </si>
  <si>
    <t>The Soviet Union and the Czechoslovak army, 1948-1983 : uncertain allegiance / Condoleezza Rice.</t>
  </si>
  <si>
    <t>Rice, Condoleezza, 1954-</t>
  </si>
  <si>
    <t>Princeton, N.J. : Princeton University Press, ©1984.</t>
  </si>
  <si>
    <t>3369517:eng</t>
  </si>
  <si>
    <t>10532544</t>
  </si>
  <si>
    <t>ocm10532544</t>
  </si>
  <si>
    <t>30003713661</t>
  </si>
  <si>
    <t>9780691069210</t>
  </si>
  <si>
    <t>792730741</t>
  </si>
  <si>
    <t>UA829 K67 S67 2011</t>
  </si>
  <si>
    <t>0                      UA 0829000K  67                 S  67          2011</t>
  </si>
  <si>
    <t>Military policies and policing in Kosova since 1999 : the role of the international community / Enver Sopjani.</t>
  </si>
  <si>
    <t>Sopjani, Enver.</t>
  </si>
  <si>
    <t>Berlin : Lit ; New Brunswick, USA : Transaction Publishers, ©2011.</t>
  </si>
  <si>
    <t>Internationale Politik ; 5</t>
  </si>
  <si>
    <t>2013-11-05</t>
  </si>
  <si>
    <t>774569793:eng</t>
  </si>
  <si>
    <t>751113233</t>
  </si>
  <si>
    <t>ocn751113233</t>
  </si>
  <si>
    <t>3103441143M</t>
  </si>
  <si>
    <t>9783643107626</t>
  </si>
  <si>
    <t>794890308</t>
  </si>
  <si>
    <t>UA829 U4 I8 1953</t>
  </si>
  <si>
    <t>0                      UA 0829000U  4                  I  8           1953</t>
  </si>
  <si>
    <t>[Istorii︠a︡ ukraïnsʹkoho viĭsʹka. [Oprat︠s︡i︠u︡valy Ivan Kryp'i︠a︡kevych i dr.].</t>
  </si>
  <si>
    <t>Vinnipeg, Kli︠u︡b pryi︠a︡teliv ukr. knyz︠h︡ky, 1953.</t>
  </si>
  <si>
    <t>2. dop. vyd.</t>
  </si>
  <si>
    <t>ukr</t>
  </si>
  <si>
    <t>53675421:ukr</t>
  </si>
  <si>
    <t>3827089</t>
  </si>
  <si>
    <t>ocm03827089</t>
  </si>
  <si>
    <t>30007261412</t>
  </si>
  <si>
    <t>792296188</t>
  </si>
  <si>
    <t>UA830 A84144 2010</t>
  </si>
  <si>
    <t>0                      UA 0830000A  84144       2010</t>
  </si>
  <si>
    <t>Imagining Asia in 2030 : trends, scenarios, and alternatives / editors, Ajey Lele, Namrata Goswami.</t>
  </si>
  <si>
    <t>Asian Security Conference (12th : 2010 : Institute for Defence Studies and Analyses, New Delhi)</t>
  </si>
  <si>
    <t>New Delhi : Academic Foundation, 2011.</t>
  </si>
  <si>
    <t>2013-10-31</t>
  </si>
  <si>
    <t>1051031134:eng</t>
  </si>
  <si>
    <t>757839092</t>
  </si>
  <si>
    <t>ocn757839092</t>
  </si>
  <si>
    <t>3103417843T</t>
  </si>
  <si>
    <t>9788171888702</t>
  </si>
  <si>
    <t>794895753</t>
  </si>
  <si>
    <t>UA830 A856 1998</t>
  </si>
  <si>
    <t>0                      UA 0830000A  856         1998</t>
  </si>
  <si>
    <t>Asian security practice : material and ideational influences / edited by Muthiah Alagappa.</t>
  </si>
  <si>
    <t>Stanford, Calif. : Stanford University Press, 1998.</t>
  </si>
  <si>
    <t>797031469:eng</t>
  </si>
  <si>
    <t>38739016</t>
  </si>
  <si>
    <t>ocm38739016</t>
  </si>
  <si>
    <t>31026466919</t>
  </si>
  <si>
    <t>9780804733472</t>
  </si>
  <si>
    <t>793529608</t>
  </si>
  <si>
    <t>UA830 M88 2015</t>
  </si>
  <si>
    <t>0                      UA 0830000M  88          2015</t>
  </si>
  <si>
    <t>Mutual security in the Asia-Pacific : roles for Australia, Canada and South Korea / edited by Kang Choi, James Manicom and Simon Palamar.</t>
  </si>
  <si>
    <t>Seoul, Korea : The Asan Institute for Policy Studies ; Waterloo, ON Centre for International Governance Innovation, [2015]</t>
  </si>
  <si>
    <t>2909877894:eng</t>
  </si>
  <si>
    <t>937391851</t>
  </si>
  <si>
    <t>ocn937391851</t>
  </si>
  <si>
    <t>3103644916E</t>
  </si>
  <si>
    <t>9781928096139</t>
  </si>
  <si>
    <t>795011107</t>
  </si>
  <si>
    <t>UA830 P66 2009</t>
  </si>
  <si>
    <t>0                      UA 0830000P  66          2009</t>
  </si>
  <si>
    <t>Military orientalism : Eastern war through Western eyes / Patrick Porter.</t>
  </si>
  <si>
    <t>Porter, Patrick, 1976-</t>
  </si>
  <si>
    <t>London : C. Hurst &amp; Co. Pub., 2009.</t>
  </si>
  <si>
    <t>Critical war studies</t>
  </si>
  <si>
    <t>837071641:eng</t>
  </si>
  <si>
    <t>436241376</t>
  </si>
  <si>
    <t>ocn436241376</t>
  </si>
  <si>
    <t>31030862149</t>
  </si>
  <si>
    <t>9781850659600</t>
  </si>
  <si>
    <t>794784454</t>
  </si>
  <si>
    <t>UA830 S593 1995</t>
  </si>
  <si>
    <t>0                      UA 0830000S  593         1995</t>
  </si>
  <si>
    <t>South Asia approaches the millennium : reexamining national security / edited by Marvin G. Weinbaum and Chetan Kumar.</t>
  </si>
  <si>
    <t>Boulder, Colo. : Westview Press, 1995.</t>
  </si>
  <si>
    <t>2015-12-04</t>
  </si>
  <si>
    <t>366790271:eng</t>
  </si>
  <si>
    <t>32625535</t>
  </si>
  <si>
    <t>ocm32625535</t>
  </si>
  <si>
    <t>3101489549X</t>
  </si>
  <si>
    <t>9780813389318</t>
  </si>
  <si>
    <t>793390264</t>
  </si>
  <si>
    <t>UA830 S89 1979</t>
  </si>
  <si>
    <t>0                      UA 0830000S  89          1979</t>
  </si>
  <si>
    <t>Strategic environment in South Asia during the 1980s / edited by D.D. Khanna.</t>
  </si>
  <si>
    <t>Ganganagar, 24 Parganas, West Bengal : Published by Darbari Udjog on behalf of University of Allahabad, Dept. of Defence Studies ; Calcutta : Distributor, Naya Prokash, 1979.</t>
  </si>
  <si>
    <t>367245773:eng</t>
  </si>
  <si>
    <t>7975965</t>
  </si>
  <si>
    <t>ocm07975965</t>
  </si>
  <si>
    <t>3103644096Q</t>
  </si>
  <si>
    <t>792590600</t>
  </si>
  <si>
    <t>UA832 B45 2004</t>
  </si>
  <si>
    <t>0                      UA 0832000B  45          2004</t>
  </si>
  <si>
    <t>The future security environment in the Middle East : conflict, stability, and political change / edited by Nora Bensahel and Daniel L. Byman.</t>
  </si>
  <si>
    <t>Santa Monica, CA : RAND, 2003.</t>
  </si>
  <si>
    <t>2018-10-26</t>
  </si>
  <si>
    <t>1117698452:eng</t>
  </si>
  <si>
    <t>51913560</t>
  </si>
  <si>
    <t>ocm51913560</t>
  </si>
  <si>
    <t>3102379060O</t>
  </si>
  <si>
    <t>9780833032904</t>
  </si>
  <si>
    <t>793794084</t>
  </si>
  <si>
    <t>UA832 C677 2014</t>
  </si>
  <si>
    <t>0                      UA 0832000C  677         2014</t>
  </si>
  <si>
    <t>The Gulf military balance / authors, Anthony H. Cordesman, with the assistance of Bryan Gold and Garrett Berntsen.</t>
  </si>
  <si>
    <t>Cordesman, Anthony H., author.</t>
  </si>
  <si>
    <t>Washington, D.C. : Center for Strategic and International Studies, 2014.</t>
  </si>
  <si>
    <t>CSIS reports</t>
  </si>
  <si>
    <t>2866163457:eng</t>
  </si>
  <si>
    <t>884738528</t>
  </si>
  <si>
    <t>ocn884738528</t>
  </si>
  <si>
    <t>3103794031H</t>
  </si>
  <si>
    <t>9781442227910</t>
  </si>
  <si>
    <t>794976640</t>
  </si>
  <si>
    <t>3103738379U</t>
  </si>
  <si>
    <t>794976638</t>
  </si>
  <si>
    <t>31037383840</t>
  </si>
  <si>
    <t>794976639</t>
  </si>
  <si>
    <t>UA832 G85 2005</t>
  </si>
  <si>
    <t>0                      UA 0832000G  85          2005</t>
  </si>
  <si>
    <t>Gulf security : current situation and future challenges / by Gulf Centre for Strategic Studies.</t>
  </si>
  <si>
    <t>Gulf Centre for Strategic Studies (London, England)</t>
  </si>
  <si>
    <t>London : Gulf Centre for Strategic Studies, 2005.</t>
  </si>
  <si>
    <t>2015-10-25</t>
  </si>
  <si>
    <t>49060772:eng</t>
  </si>
  <si>
    <t>65211039</t>
  </si>
  <si>
    <t>ocm65211039</t>
  </si>
  <si>
    <t>31026588088</t>
  </si>
  <si>
    <t>9781840510553</t>
  </si>
  <si>
    <t>794133601</t>
  </si>
  <si>
    <t>UA832 M5223 2000</t>
  </si>
  <si>
    <t>0                      UA 0832000M  5223        2000</t>
  </si>
  <si>
    <t>The Middle East military balance, 1999-2000 / Shlomo Brom and Yiftah Shapir, editors.</t>
  </si>
  <si>
    <t>Cambridge, Mass. : MIT Press, ©2000.</t>
  </si>
  <si>
    <t>BCSIA studies in international security</t>
  </si>
  <si>
    <t>2016-10-16</t>
  </si>
  <si>
    <t>350426213:eng</t>
  </si>
  <si>
    <t>47035402</t>
  </si>
  <si>
    <t>ocm47035402</t>
  </si>
  <si>
    <t>3102089026B</t>
  </si>
  <si>
    <t>9780262024785</t>
  </si>
  <si>
    <t>793696908</t>
  </si>
  <si>
    <t>UA832 S44 2002</t>
  </si>
  <si>
    <t>0                      UA 0832000S  44          2002</t>
  </si>
  <si>
    <t>Security in the Persian Gulf : origins, obstacles, and the search for consensus / edited by Lawrence G. Potter and Gary G. Sick.</t>
  </si>
  <si>
    <t>New York, N.Y. : Palgrave, ©2002.</t>
  </si>
  <si>
    <t>2018-04-22</t>
  </si>
  <si>
    <t>1005013858:eng</t>
  </si>
  <si>
    <t>47805086</t>
  </si>
  <si>
    <t>ocm47805086</t>
  </si>
  <si>
    <t>3102768768P</t>
  </si>
  <si>
    <t>9780312239503</t>
  </si>
  <si>
    <t>793708450</t>
  </si>
  <si>
    <t>UA832 T46 2008</t>
  </si>
  <si>
    <t>0                      UA 0832000T  46          2008</t>
  </si>
  <si>
    <t>Empires of intelligence : security services and colonial disorder after 1914 / Martin Thomas.</t>
  </si>
  <si>
    <t>Thomas, Martin, 1964-</t>
  </si>
  <si>
    <t>Berkeley : University of California Press, ©2008.</t>
  </si>
  <si>
    <t>342390119:eng</t>
  </si>
  <si>
    <t>71812843</t>
  </si>
  <si>
    <t>ocm71812843</t>
  </si>
  <si>
    <t>3102643220A</t>
  </si>
  <si>
    <t>9780520251175</t>
  </si>
  <si>
    <t>794168774</t>
  </si>
  <si>
    <t>UA832.5 B35 2007</t>
  </si>
  <si>
    <t>0                      UA 0832500B  35          2007</t>
  </si>
  <si>
    <t>Great Power Strategy in Asia : Empire, Culture and Trade, 1905-2005 / Jonathan Bailey.</t>
  </si>
  <si>
    <t>Bailey, J. B. A. (Jonathan B. A.), author.</t>
  </si>
  <si>
    <t>48462667:eng</t>
  </si>
  <si>
    <t>64510549</t>
  </si>
  <si>
    <t>ocm64510549</t>
  </si>
  <si>
    <t>31026326365</t>
  </si>
  <si>
    <t>9780415404587</t>
  </si>
  <si>
    <t>794129818</t>
  </si>
  <si>
    <t>UA832.7 C46 2006</t>
  </si>
  <si>
    <t>0                      UA 0832700C  46          2006</t>
  </si>
  <si>
    <t>Nuclear risk reduction measures in South Asia : problems and prospects / Upendra Choudhury.</t>
  </si>
  <si>
    <t>Choudhury, Upendra.</t>
  </si>
  <si>
    <t>New Delhi : Manohar Publishers &amp; Distributors ; Colombo : Regional Centre for Strategic Studies, 2006.</t>
  </si>
  <si>
    <t>RCSS policy studies ; 35</t>
  </si>
  <si>
    <t>367983948:eng</t>
  </si>
  <si>
    <t>63387955</t>
  </si>
  <si>
    <t>ocm63387955</t>
  </si>
  <si>
    <t>31037420920</t>
  </si>
  <si>
    <t>9788173046612</t>
  </si>
  <si>
    <t>794121162</t>
  </si>
  <si>
    <t>UA832.7 I518 2009</t>
  </si>
  <si>
    <t>0                      UA 0832700I  518         2009</t>
  </si>
  <si>
    <t>Inside nuclear South Asia / edited by Scott D. Sagan.</t>
  </si>
  <si>
    <t>766914848:eng</t>
  </si>
  <si>
    <t>314840825</t>
  </si>
  <si>
    <t>ocn314840825</t>
  </si>
  <si>
    <t>31031349703</t>
  </si>
  <si>
    <t>9780804762380</t>
  </si>
  <si>
    <t>794439254</t>
  </si>
  <si>
    <t>UA832.7 K37 2007</t>
  </si>
  <si>
    <t>0                      UA 0832700K  37          2007</t>
  </si>
  <si>
    <t>Dangerous deterrent : nuclear weapons proliferation and conflict in South Asia / S. Paul Kapur.</t>
  </si>
  <si>
    <t>Kapur, S. Paul.</t>
  </si>
  <si>
    <t>Stanford, Calif. : Stanford University Press : Sponsored by the East-West Center, ©2007.</t>
  </si>
  <si>
    <t>Studies in Asian security</t>
  </si>
  <si>
    <t>2016-11-20</t>
  </si>
  <si>
    <t>51939405:eng</t>
  </si>
  <si>
    <t>68624057</t>
  </si>
  <si>
    <t>ocm68624057</t>
  </si>
  <si>
    <t>31025963625</t>
  </si>
  <si>
    <t>9780804755498</t>
  </si>
  <si>
    <t>794143590</t>
  </si>
  <si>
    <t>UA832.7 N8 2009</t>
  </si>
  <si>
    <t>0                      UA 0832700N  8           2009</t>
  </si>
  <si>
    <t>Nuclear proliferation in South Asia : crisis behaviour and the bomb / edited by Sumit Ganguly and S. Paul Kapur.</t>
  </si>
  <si>
    <t>2016-11-14</t>
  </si>
  <si>
    <t>802546160:eng</t>
  </si>
  <si>
    <t>212007849</t>
  </si>
  <si>
    <t>ocn212007849</t>
  </si>
  <si>
    <t>31030583447</t>
  </si>
  <si>
    <t>9780415440493</t>
  </si>
  <si>
    <t>794305403</t>
  </si>
  <si>
    <t>UA832.7 R35 2005</t>
  </si>
  <si>
    <t>0                      UA 0832700R  35          2005</t>
  </si>
  <si>
    <t>Nuclear deterrence in Southern Asia : China, India, and Pakistan / Arpit Rajain.</t>
  </si>
  <si>
    <t>Rajain, Arpit.</t>
  </si>
  <si>
    <t>Thousand Oaks, Calif. : Sage Publications, 2005.</t>
  </si>
  <si>
    <t>18186501:eng</t>
  </si>
  <si>
    <t>56840712</t>
  </si>
  <si>
    <t>ocm56840712</t>
  </si>
  <si>
    <t>31025513706</t>
  </si>
  <si>
    <t>9780761932307</t>
  </si>
  <si>
    <t>793902937</t>
  </si>
  <si>
    <t>UA832.7 S68 2005</t>
  </si>
  <si>
    <t>0                      UA 0832700S  68          2005</t>
  </si>
  <si>
    <t>South Asia's nuclear security dilemma : India, Pakistan, and China / Lowell Dittmer, editor.</t>
  </si>
  <si>
    <t>Armonk, N.Y. : M.E. Sharpe, ©2005.</t>
  </si>
  <si>
    <t>903507061:eng</t>
  </si>
  <si>
    <t>56324744</t>
  </si>
  <si>
    <t>ocm56324744</t>
  </si>
  <si>
    <t>3102438933L</t>
  </si>
  <si>
    <t>9780765614186</t>
  </si>
  <si>
    <t>793890760</t>
  </si>
  <si>
    <t>UA832.8 C66 2006</t>
  </si>
  <si>
    <t>0                      UA 0832800C  66          2006</t>
  </si>
  <si>
    <t>Colonial armies in Southeast Asia / edited by Karl Hack and Tobias Rettig.</t>
  </si>
  <si>
    <t>Routledge studies in the modern history of Asia ; 33</t>
  </si>
  <si>
    <t>766936614:eng</t>
  </si>
  <si>
    <t>59280161</t>
  </si>
  <si>
    <t>ocm59280161</t>
  </si>
  <si>
    <t>3102591276Q</t>
  </si>
  <si>
    <t>9780415334136</t>
  </si>
  <si>
    <t>793929060</t>
  </si>
  <si>
    <t>UA832.8 N57 2010</t>
  </si>
  <si>
    <t>0                      UA 0832800N  57          2010</t>
  </si>
  <si>
    <t>Human security in Southeast Asia / Yukiko Nishikawa.</t>
  </si>
  <si>
    <t>Nishikawa, Yukiko.</t>
  </si>
  <si>
    <t>Milton Park, Abingdon, Oxon ; New York : Routledge, 2010.</t>
  </si>
  <si>
    <t>Routledge security in Asia Pacific series ; 16</t>
  </si>
  <si>
    <t>2012-04-03</t>
  </si>
  <si>
    <t>159914068:eng</t>
  </si>
  <si>
    <t>277196081</t>
  </si>
  <si>
    <t>ocn277196081</t>
  </si>
  <si>
    <t>31032311178</t>
  </si>
  <si>
    <t>9780415478687</t>
  </si>
  <si>
    <t>794418634</t>
  </si>
  <si>
    <t>UA833.5 H335 2008</t>
  </si>
  <si>
    <t>0                      UA 0833500H  335         2008</t>
  </si>
  <si>
    <t>Hard choices : security, democracy, and regionalism in Southeast Asia / edited by Donald K. Emmerson.</t>
  </si>
  <si>
    <t>Stanford, CA : Walter H. Shorenstein Asia-Pacific Research Center, ©2008.</t>
  </si>
  <si>
    <t>2015-09-01</t>
  </si>
  <si>
    <t>188625625:eng</t>
  </si>
  <si>
    <t>185691318</t>
  </si>
  <si>
    <t>ocn185691318</t>
  </si>
  <si>
    <t>3103057914$</t>
  </si>
  <si>
    <t>9781931368131</t>
  </si>
  <si>
    <t>794292554</t>
  </si>
  <si>
    <t>UA835 C63 2011</t>
  </si>
  <si>
    <t>0                      UA 0835000C  63          2011</t>
  </si>
  <si>
    <t>Conflict with China : prospects, consequences, and strategies for deterrence / James Dobbins [and others].</t>
  </si>
  <si>
    <t>Rand Corporation occasional paper series ; OP-344-A</t>
  </si>
  <si>
    <t>2014-01-27</t>
  </si>
  <si>
    <t>1008673821:eng</t>
  </si>
  <si>
    <t>751249194</t>
  </si>
  <si>
    <t>ocn751249194</t>
  </si>
  <si>
    <t>3103492481D</t>
  </si>
  <si>
    <t>9780833058317</t>
  </si>
  <si>
    <t>794890334</t>
  </si>
  <si>
    <t>UA835 F45 2007</t>
  </si>
  <si>
    <t>0                      UA 0835000F  45          2007</t>
  </si>
  <si>
    <t>Chinese strategic culture and foreign policy decision-making : Confucianism, leadership and war / Huiyun Feng.</t>
  </si>
  <si>
    <t>Feng, Huiyun, 1971- author.</t>
  </si>
  <si>
    <t>2017-11-17</t>
  </si>
  <si>
    <t>792540828:eng</t>
  </si>
  <si>
    <t>73742688</t>
  </si>
  <si>
    <t>ocm73742688</t>
  </si>
  <si>
    <t>3102637493G</t>
  </si>
  <si>
    <t>9780415418157</t>
  </si>
  <si>
    <t>794171412</t>
  </si>
  <si>
    <t>UA835 I4 2006</t>
  </si>
  <si>
    <t>0                      UA 0835000I  4           2006</t>
  </si>
  <si>
    <t>If China attacks Taiwan : military strategy, politics and economics / edited by Steve Tsang.</t>
  </si>
  <si>
    <t>New York : Routledge, 2006.</t>
  </si>
  <si>
    <t>797269247:eng</t>
  </si>
  <si>
    <t>63270645</t>
  </si>
  <si>
    <t>ocm63270645</t>
  </si>
  <si>
    <t>3102556453O</t>
  </si>
  <si>
    <t>9780415380188</t>
  </si>
  <si>
    <t>794120784</t>
  </si>
  <si>
    <t>UA835 L36 2006</t>
  </si>
  <si>
    <t>0                      UA 0835000L  36          2006</t>
  </si>
  <si>
    <t>Understanding China and India : security implications for the United States and the world / Rollie Lal ; foreword by Karl D. Jackson ; introduction by Walter Anderson.</t>
  </si>
  <si>
    <t>Lal, Rollie.</t>
  </si>
  <si>
    <t>Westport, Conn. : Praeger Security International, 2006.</t>
  </si>
  <si>
    <t>2016-06-02</t>
  </si>
  <si>
    <t>47622897:eng</t>
  </si>
  <si>
    <t>63472755</t>
  </si>
  <si>
    <t>ocm63472755</t>
  </si>
  <si>
    <t>3102584232R</t>
  </si>
  <si>
    <t>9780275989682</t>
  </si>
  <si>
    <t>794121426</t>
  </si>
  <si>
    <t>UA835 L428 2006</t>
  </si>
  <si>
    <t>0                      UA 0835000L  428         2006</t>
  </si>
  <si>
    <t>Imagined enemies : China prepares for uncertain war / John Wilson Lewis and Xue Litai.</t>
  </si>
  <si>
    <t>890717172:eng</t>
  </si>
  <si>
    <t>65201282</t>
  </si>
  <si>
    <t>ocm65201282</t>
  </si>
  <si>
    <t>31025882881</t>
  </si>
  <si>
    <t>9780804753913</t>
  </si>
  <si>
    <t>794133091</t>
  </si>
  <si>
    <t>UA835 M55 2009</t>
  </si>
  <si>
    <t>0                      UA 0835000M  55          2009</t>
  </si>
  <si>
    <t>Military culture in imperial China / edited by Nicola Di Cosmo.</t>
  </si>
  <si>
    <t>Cambridge, Mass. : Harvard University Press, 2009.</t>
  </si>
  <si>
    <t>135829787:eng</t>
  </si>
  <si>
    <t>225874251</t>
  </si>
  <si>
    <t>ocn225874251</t>
  </si>
  <si>
    <t>31030610178</t>
  </si>
  <si>
    <t>9780674031098</t>
  </si>
  <si>
    <t>794342994</t>
  </si>
  <si>
    <t>UA835 Q252 2014</t>
  </si>
  <si>
    <t>0                      UA 0835000Q  252         2014</t>
  </si>
  <si>
    <t>Zhongguo jue qi bei jing xia de zhou bian an quan yu zhou bian wai jiao = China's peripheral security and its neighboring diplomacy against the backdrop of its rising / Qi Huaigao deng zhu.</t>
  </si>
  <si>
    <t>Qi, Huaigao, author.</t>
  </si>
  <si>
    <t>Beijing : Zhonghua shu ju, 2014.</t>
  </si>
  <si>
    <t>Fu dan da xue Zhongguo zhou bian wai jiao yan jiu cong shu = Fudan University series on China's neighboring diplomacy studies</t>
  </si>
  <si>
    <t>2018-06-19</t>
  </si>
  <si>
    <t>3205969069:chi</t>
  </si>
  <si>
    <t>889747343</t>
  </si>
  <si>
    <t>ocn889747343</t>
  </si>
  <si>
    <t>3103760714R</t>
  </si>
  <si>
    <t>9787101101942</t>
  </si>
  <si>
    <t>794978596</t>
  </si>
  <si>
    <t>UA835 R58 2015</t>
  </si>
  <si>
    <t>0                      UA 0835000R  58          2015</t>
  </si>
  <si>
    <t>Routledge handbook of Chinese security / edited by Lowell Dittmer and Maochun Yu.</t>
  </si>
  <si>
    <t>Abingdon, Oxon : Routledge, [2015]</t>
  </si>
  <si>
    <t>Routledge handbooks</t>
  </si>
  <si>
    <t>2018-09-18</t>
  </si>
  <si>
    <t>2523460359:eng</t>
  </si>
  <si>
    <t>896126950</t>
  </si>
  <si>
    <t>ocn896126950</t>
  </si>
  <si>
    <t>31036119615</t>
  </si>
  <si>
    <t>9780415855433</t>
  </si>
  <si>
    <t>794983836</t>
  </si>
  <si>
    <t>UA835 S3797 2003</t>
  </si>
  <si>
    <t>0                      UA 0835000S  3797        2003</t>
  </si>
  <si>
    <t>China's use of military force : beyond the Great Wall and the long march / Andrew Scobell.</t>
  </si>
  <si>
    <t>Scobell, Andrew.</t>
  </si>
  <si>
    <t>Cambridge, UK ; New York : Cambridge University Press, 2003.</t>
  </si>
  <si>
    <t>Cambridge modern China series</t>
  </si>
  <si>
    <t>792906954:eng</t>
  </si>
  <si>
    <t>51274613</t>
  </si>
  <si>
    <t>ocm51274613</t>
  </si>
  <si>
    <t>3102361312P</t>
  </si>
  <si>
    <t>9780521819794</t>
  </si>
  <si>
    <t>793782042</t>
  </si>
  <si>
    <t>UA835 S39 2001</t>
  </si>
  <si>
    <t>0                      UA 0835000S  39          2001</t>
  </si>
  <si>
    <t>Seeking truth from facts : a retrospective on Chinese military studies in the post-Mao era / edited by James C. Mulvenon, Andrew N.D. Yang.</t>
  </si>
  <si>
    <t>Santa Monica, CA : National Security Research Division, RAND, 2001.</t>
  </si>
  <si>
    <t>Rand library collection</t>
  </si>
  <si>
    <t>137602963:eng</t>
  </si>
  <si>
    <t>46822853</t>
  </si>
  <si>
    <t>ocm46822853</t>
  </si>
  <si>
    <t>31021535126</t>
  </si>
  <si>
    <t>9780833029362</t>
  </si>
  <si>
    <t>793692218</t>
  </si>
  <si>
    <t>UA835 S44 1985</t>
  </si>
  <si>
    <t>0                      UA 0835000S  44          1985</t>
  </si>
  <si>
    <t>Defending China / Gerald Segal.</t>
  </si>
  <si>
    <t>Segal, Gerald, 1953-</t>
  </si>
  <si>
    <t>Oxford ; New York : Oxford University Press, 1985.</t>
  </si>
  <si>
    <t>2016-05-04</t>
  </si>
  <si>
    <t>4013426:eng</t>
  </si>
  <si>
    <t>11043046</t>
  </si>
  <si>
    <t>ocm11043046</t>
  </si>
  <si>
    <t>3000370150T</t>
  </si>
  <si>
    <t>9780198274704</t>
  </si>
  <si>
    <t>792755291</t>
  </si>
  <si>
    <t>UA835 T89 2010</t>
  </si>
  <si>
    <t>0                      UA 0835000T  89          2010</t>
  </si>
  <si>
    <t>The military lens : doctrinal difference and deterrence failure in Sino-American relations / Christopher P. Twomey.</t>
  </si>
  <si>
    <t>Twomey, Christopher P.</t>
  </si>
  <si>
    <t>Ithaca, N.Y. : Cornell University Press, 2010.</t>
  </si>
  <si>
    <t>478152425:eng</t>
  </si>
  <si>
    <t>610019333</t>
  </si>
  <si>
    <t>ocn610019333</t>
  </si>
  <si>
    <t>31032375217</t>
  </si>
  <si>
    <t>9780801449147</t>
  </si>
  <si>
    <t>794820432</t>
  </si>
  <si>
    <t>UA835 W45 1975</t>
  </si>
  <si>
    <t>0                      UA 0835000W  45          1975</t>
  </si>
  <si>
    <t>The Chinese calculus of deterrence : India and Indochina / Allen S. Whiting.</t>
  </si>
  <si>
    <t>Whiting, Allen S. (Allen Suess), 1926-</t>
  </si>
  <si>
    <t>Ann Arbor : University of Michigan Press, ©1975.</t>
  </si>
  <si>
    <t>Michigan studies on China</t>
  </si>
  <si>
    <t>2008-09-20</t>
  </si>
  <si>
    <t>491085:eng</t>
  </si>
  <si>
    <t>1747182</t>
  </si>
  <si>
    <t>ocm01747182</t>
  </si>
  <si>
    <t>3000187137V</t>
  </si>
  <si>
    <t>9780472969005</t>
  </si>
  <si>
    <t>791858565</t>
  </si>
  <si>
    <t>3103387867X</t>
  </si>
  <si>
    <t>791858564</t>
  </si>
  <si>
    <t>UA835 Z42 2006</t>
  </si>
  <si>
    <t>0                      UA 0835000Z  42          2006</t>
  </si>
  <si>
    <t>Building a neighborly community : post-Cold War China, Japan, and Southeast Asia / Daojiong Zha and Weixing Hu.</t>
  </si>
  <si>
    <t>Zha, Daojiong.</t>
  </si>
  <si>
    <t>Manchester, UK ; New York : Manchester University Press ; New York : Distributed exclusively in the USA by Palgrave, 2006.</t>
  </si>
  <si>
    <t>Reappraising the political</t>
  </si>
  <si>
    <t>149360932:eng</t>
  </si>
  <si>
    <t>71238963</t>
  </si>
  <si>
    <t>ocm71238963</t>
  </si>
  <si>
    <t>31025965277</t>
  </si>
  <si>
    <t>9780719070648</t>
  </si>
  <si>
    <t>794163935</t>
  </si>
  <si>
    <t>UA835 Z564 2017</t>
  </si>
  <si>
    <t>0                      UA 0835000Z  564         2017</t>
  </si>
  <si>
    <t>Da guo guan xi yu di qu zhi xu / Zhang Jie zhu bian</t>
  </si>
  <si>
    <t>Beijing : She hui ke xue wen xian chu ban she, 2017</t>
  </si>
  <si>
    <t>Di 1 ban</t>
  </si>
  <si>
    <t>Zhongguo zhou bian an quan xing shi ping gu = China's regional security environment review ; 2017</t>
  </si>
  <si>
    <t>2019-04-03</t>
  </si>
  <si>
    <t>5366676377:chi</t>
  </si>
  <si>
    <t>1047603602</t>
  </si>
  <si>
    <t>on1047603602</t>
  </si>
  <si>
    <t>3103861891U</t>
  </si>
  <si>
    <t>9787520107068</t>
  </si>
  <si>
    <t>795060655</t>
  </si>
  <si>
    <t>UA837 A62</t>
  </si>
  <si>
    <t>0                      UA 0837000A  62</t>
  </si>
  <si>
    <t>The revolutionary armies : the historical development of the Soviet and Chinese people's liberation armies / Jonathan R. Adelman.</t>
  </si>
  <si>
    <t>Adelman, Jonathan R.</t>
  </si>
  <si>
    <t>Westport, Conn. : Greenwood Press, 1980.</t>
  </si>
  <si>
    <t>Contributions in political science ; no. 38, 0147-1066</t>
  </si>
  <si>
    <t>2015-12-20</t>
  </si>
  <si>
    <t>20921563:eng</t>
  </si>
  <si>
    <t>5219739</t>
  </si>
  <si>
    <t>ocm05219739</t>
  </si>
  <si>
    <t>3000323723N</t>
  </si>
  <si>
    <t>9780313220265</t>
  </si>
  <si>
    <t>792416901</t>
  </si>
  <si>
    <t>UA837 C458 2003</t>
  </si>
  <si>
    <t>0                      UA 0837000C  458         2003</t>
  </si>
  <si>
    <t>Chinese warfighting : the PLA experience since 1949 / Mark A. Ryan, David M. Finkelstein, and Michael A. McDevitt, editors.</t>
  </si>
  <si>
    <t>Armonk, N.Y. : M.E. Sharpe, ©2003.</t>
  </si>
  <si>
    <t>364891399:eng</t>
  </si>
  <si>
    <t>50606442</t>
  </si>
  <si>
    <t>ocm50606442</t>
  </si>
  <si>
    <t>3102284566U</t>
  </si>
  <si>
    <t>9780765610874</t>
  </si>
  <si>
    <t>793768720</t>
  </si>
  <si>
    <t>UA837 F86</t>
  </si>
  <si>
    <t>0                      UA 0837000F  86</t>
  </si>
  <si>
    <t>The military dimension of the Chinese revolution : the New Army and its role in the Revolution of 1911 / Edmund S.K. Fung.</t>
  </si>
  <si>
    <t>Fung, Edmund S. K.</t>
  </si>
  <si>
    <t>Vancouver [B.C.] : University of British Columbia Press, 1980.</t>
  </si>
  <si>
    <t>2015-09-04</t>
  </si>
  <si>
    <t>3769010588:eng</t>
  </si>
  <si>
    <t>7322845</t>
  </si>
  <si>
    <t>ocm07322845</t>
  </si>
  <si>
    <t>30003253946</t>
  </si>
  <si>
    <t>9780774801294</t>
  </si>
  <si>
    <t>792553467</t>
  </si>
  <si>
    <t>UA837 G35 2017</t>
  </si>
  <si>
    <t>0                      UA 0837000G  35          2017</t>
  </si>
  <si>
    <t>Gang tie chang cheng : ji nian Zhongguo ren min jie fang jun jian jun jiu shi zhou nian guan zang wen xian zhan tu lu / Guo jia tu shu guan bian.</t>
  </si>
  <si>
    <t>Gang tie chang cheng: ji nian Zhongguo ren min jie fang jun jian jun jiu shi zhou nian guan cang wen xian zhan (2017 : Zhongguo guo jia tu shu guan)</t>
  </si>
  <si>
    <t>Beijing Shi : Guo jia tu shu guan chu ban she, 2017.</t>
  </si>
  <si>
    <t>9657718275:chi</t>
  </si>
  <si>
    <t>1013162757</t>
  </si>
  <si>
    <t>on1013162757</t>
  </si>
  <si>
    <t>3103765839J</t>
  </si>
  <si>
    <t>9787501362097</t>
  </si>
  <si>
    <t>795046799</t>
  </si>
  <si>
    <t>UA837 G863 2007</t>
  </si>
  <si>
    <t>0                      UA 0837000G  863         2007</t>
  </si>
  <si>
    <t>Guo min dang li shi shang de 158 ge jun / Zhang Mingjin, Liu Liqin zhu bian.</t>
  </si>
  <si>
    <t>Beijing Shi : Jie fang jun chu ban she, 2007.</t>
  </si>
  <si>
    <t>2048015539:chi</t>
  </si>
  <si>
    <t>182549578</t>
  </si>
  <si>
    <t>ocn182549578</t>
  </si>
  <si>
    <t>3102844663B</t>
  </si>
  <si>
    <t>9787506553872</t>
  </si>
  <si>
    <t>794284509</t>
  </si>
  <si>
    <t>UA837 H66 W3623 2000</t>
  </si>
  <si>
    <t>0                      UA 0837000H  66                 W  3623        2000</t>
  </si>
  <si>
    <t>Hong jun tong shuai bu kao shi / Wang Jianying zhu.</t>
  </si>
  <si>
    <t>Wang, Jianying.</t>
  </si>
  <si>
    <t>[Guangzhou] : Guangdong ren min chu ban she, 2000.</t>
  </si>
  <si>
    <t>Hong jun ji shi cong shu</t>
  </si>
  <si>
    <t>44567428:chi</t>
  </si>
  <si>
    <t>44929114</t>
  </si>
  <si>
    <t>ocm44929114</t>
  </si>
  <si>
    <t>31023470914</t>
  </si>
  <si>
    <t>9787218032139</t>
  </si>
  <si>
    <t>793660801</t>
  </si>
  <si>
    <t>UA837 H754</t>
  </si>
  <si>
    <t>0                      UA 0837000H  754</t>
  </si>
  <si>
    <t>The military establishment of the Yuan dynasty / by Chʻi-chʻing Hsiao.</t>
  </si>
  <si>
    <t>Xiao, Qiqing.</t>
  </si>
  <si>
    <t>Cambridge, Mass. : Council on East Asian Studies, Harvard University : Distributed by Harvard University Press, 1978.</t>
  </si>
  <si>
    <t>Harvard East Asian monographs ; 77</t>
  </si>
  <si>
    <t>13348682:eng</t>
  </si>
  <si>
    <t>3892803</t>
  </si>
  <si>
    <t>ocm03892803</t>
  </si>
  <si>
    <t>3102228256I</t>
  </si>
  <si>
    <t>9780674574618</t>
  </si>
  <si>
    <t>792302409</t>
  </si>
  <si>
    <t>UA837 J64 1987</t>
  </si>
  <si>
    <t>0                      UA 0837000J  64          1987</t>
  </si>
  <si>
    <t>The Chinese Army after Mao / Ellis Joffé.</t>
  </si>
  <si>
    <t>Joffe, Ellis, 1934-</t>
  </si>
  <si>
    <t>Cambridge, Mass. : Harvard University Press, 1987.</t>
  </si>
  <si>
    <t>2681894:eng</t>
  </si>
  <si>
    <t>15196880</t>
  </si>
  <si>
    <t>ocm15196880</t>
  </si>
  <si>
    <t>3000481304A</t>
  </si>
  <si>
    <t>9780674548497</t>
  </si>
  <si>
    <t>792923675</t>
  </si>
  <si>
    <t>UA837 L484 2007</t>
  </si>
  <si>
    <t>0                      UA 0837000L  484         2007</t>
  </si>
  <si>
    <t>A history of the modern Chinese Army / Xiaobing Li.</t>
  </si>
  <si>
    <t>Li, Xiaobing, 1954-</t>
  </si>
  <si>
    <t>Lexington, Ky. : University Press of Kentucky, ©2007.</t>
  </si>
  <si>
    <t>69693755:eng</t>
  </si>
  <si>
    <t>85766284</t>
  </si>
  <si>
    <t>ocm85766284</t>
  </si>
  <si>
    <t>3103031971L</t>
  </si>
  <si>
    <t>9780813124384</t>
  </si>
  <si>
    <t>794215669</t>
  </si>
  <si>
    <t>UA837 L56 1981</t>
  </si>
  <si>
    <t>0                      UA 0837000L  56          1981</t>
  </si>
  <si>
    <t>Guo min ge ming jun zhi fen dou / Lin Junchang bian zhu.</t>
  </si>
  <si>
    <t>Lin, Junchang.</t>
  </si>
  <si>
    <t>[Taipei] : Li ming wen hua shi ye gong si, Minguo 70 [1981]</t>
  </si>
  <si>
    <t>Zhonghua min guo jian guo qi shi nian ji nian cong shu</t>
  </si>
  <si>
    <t>13587768:chi</t>
  </si>
  <si>
    <t>17024055</t>
  </si>
  <si>
    <t>ocm17024055</t>
  </si>
  <si>
    <t>3102997455D</t>
  </si>
  <si>
    <t>792980673</t>
  </si>
  <si>
    <t>UA837 L57 2006</t>
  </si>
  <si>
    <t>0                      UA 0837000L  57          2006</t>
  </si>
  <si>
    <t>Zhongguo gong nong hong jun chang zheng jian shi : zeng ding ben / Li Ping, Yu Xishan, Yin Zixian zhu.</t>
  </si>
  <si>
    <t>Li, Ping, 1927-</t>
  </si>
  <si>
    <t>Beijing : Zhong gong dang shi chu ban she, 2006.</t>
  </si>
  <si>
    <t>Zeng ding.</t>
  </si>
  <si>
    <t>2018-06-20</t>
  </si>
  <si>
    <t>1064183448:chi</t>
  </si>
  <si>
    <t>70200571</t>
  </si>
  <si>
    <t>ocm70200571</t>
  </si>
  <si>
    <t>3102672340T</t>
  </si>
  <si>
    <t>9787800239595</t>
  </si>
  <si>
    <t>794150730</t>
  </si>
  <si>
    <t>UA837 Q245 2011</t>
  </si>
  <si>
    <t>0                      UA 0837000Q  245         2011</t>
  </si>
  <si>
    <t>Ming dai wei suo gui fu ren yan jiu : yi Liao dong he Jing Ji di qu wei suo da guan wei zhong xin / Qi Wenying zhu.</t>
  </si>
  <si>
    <t>Qi, Wenying.</t>
  </si>
  <si>
    <t>Beijing Shi : Zhong yang min zu da xue chu ban she, 2011.</t>
  </si>
  <si>
    <t>Zhongguo bian jiang min zu di qu li shi yu di li yan jiu cong shu</t>
  </si>
  <si>
    <t>2013-05-24</t>
  </si>
  <si>
    <t>1104603879:chi</t>
  </si>
  <si>
    <t>790314150</t>
  </si>
  <si>
    <t>ocn790314150</t>
  </si>
  <si>
    <t>31035127507</t>
  </si>
  <si>
    <t>9787566000569</t>
  </si>
  <si>
    <t>794916728</t>
  </si>
  <si>
    <t>UA837 S66 2005</t>
  </si>
  <si>
    <t>0                      UA 0837000S  66          2005</t>
  </si>
  <si>
    <t>Kang zhan shi qi de Guo min dang jun dui / Song Bo zhu.</t>
  </si>
  <si>
    <t>Song, Bo, 1964-</t>
  </si>
  <si>
    <t>Beijing : Hua wen chu ban she : Xin hua shu dian jing xiao, 2005.</t>
  </si>
  <si>
    <t>53590875:chi</t>
  </si>
  <si>
    <t>60604690</t>
  </si>
  <si>
    <t>ocm60604690</t>
  </si>
  <si>
    <t>3102692100X</t>
  </si>
  <si>
    <t>9787507515770</t>
  </si>
  <si>
    <t>793940797</t>
  </si>
  <si>
    <t>UA837 W36 2015</t>
  </si>
  <si>
    <t>0                      UA 0837000W  36          2015</t>
  </si>
  <si>
    <t>Sai wai xiong feng Xi bei jun chuan qi / Wang Xiaohua zhu.</t>
  </si>
  <si>
    <t>Wang, Xiaohua, 1951- author.</t>
  </si>
  <si>
    <t>Nanjing Shi : Jiangsu ren min chu ban she, 2015.</t>
  </si>
  <si>
    <t>Guo min dang jun dui chuan qi xi lie</t>
  </si>
  <si>
    <t>27728816:chi</t>
  </si>
  <si>
    <t>921830193</t>
  </si>
  <si>
    <t>ocn921830193</t>
  </si>
  <si>
    <t>31037666133</t>
  </si>
  <si>
    <t>9787214160829</t>
  </si>
  <si>
    <t>795003308</t>
  </si>
  <si>
    <t>UA838 C4 S54</t>
  </si>
  <si>
    <t>0                      UA 0838000C  4                  S  54</t>
  </si>
  <si>
    <t>Mercenaries and Mandarins : the Ever-Victorious Army in nineteenth century China / Richard J. Smith ; foreword by John K. Fairbank.</t>
  </si>
  <si>
    <t>Smith, Richard J. (Richard Joseph), 1944-</t>
  </si>
  <si>
    <t>Millwood, N.Y. : KTO Press, ©1978.</t>
  </si>
  <si>
    <t>KTO studies in American history</t>
  </si>
  <si>
    <t>13339810:eng</t>
  </si>
  <si>
    <t>3844831</t>
  </si>
  <si>
    <t>ocm03844831</t>
  </si>
  <si>
    <t>31036799176</t>
  </si>
  <si>
    <t>9780527839505</t>
  </si>
  <si>
    <t>792297925</t>
  </si>
  <si>
    <t>UA838 H8 T313 1985</t>
  </si>
  <si>
    <t>0                      UA 0838000H  8                  T  313         1985</t>
  </si>
  <si>
    <t>The Red Spears, 1916-1949 / by Dai Xuanzhi ; translated by Ronald Suleski ; introduction by Elizabeth Perry.</t>
  </si>
  <si>
    <t>Dai, Xuanzhi, 1922-</t>
  </si>
  <si>
    <t>Ann Arbor, Mich. : Center for Chinese Studies, the University of Michigan, 1985.</t>
  </si>
  <si>
    <t>Michigan monographs in Chinese studies ; no. 54</t>
  </si>
  <si>
    <t>51622384:eng</t>
  </si>
  <si>
    <t>12706107</t>
  </si>
  <si>
    <t>ocm12706107</t>
  </si>
  <si>
    <t>3000475822B</t>
  </si>
  <si>
    <t>9780892640607</t>
  </si>
  <si>
    <t>792824928</t>
  </si>
  <si>
    <t>UA839 Y86 S97 1980</t>
  </si>
  <si>
    <t>0                      UA 0839000Y  86                 S  97          1980</t>
  </si>
  <si>
    <t>Provincial militarism and the Chinese Republic : the Yunnan Army, 1905-25 / Donald S. Sutton.</t>
  </si>
  <si>
    <t>Sutton, Donald S.</t>
  </si>
  <si>
    <t>Ann Arbor : University of Michigan Press, ©1980.</t>
  </si>
  <si>
    <t>490917:eng</t>
  </si>
  <si>
    <t>6196252</t>
  </si>
  <si>
    <t>ocm06196252</t>
  </si>
  <si>
    <t>30003077390</t>
  </si>
  <si>
    <t>9780472088133</t>
  </si>
  <si>
    <t>792482373</t>
  </si>
  <si>
    <t>UA839.3 L55 1970</t>
  </si>
  <si>
    <t>0                      UA 0839300L  55          1970</t>
  </si>
  <si>
    <t>Lin Biao tong zhi wei tuo Jiang Qing tong zhi zhao kai de bu dui wen yi gong zuo zuo tan hui ji yao.</t>
  </si>
  <si>
    <t>[Beijing] : Ren min chu ban she, 1967.</t>
  </si>
  <si>
    <t>9240670822:chi</t>
  </si>
  <si>
    <t>427057310</t>
  </si>
  <si>
    <t>ocn427057310</t>
  </si>
  <si>
    <t>30003681034</t>
  </si>
  <si>
    <t>794518815</t>
  </si>
  <si>
    <t>UA840 A65 1988</t>
  </si>
  <si>
    <t>0                      UA 0840000A  65          1988</t>
  </si>
  <si>
    <t>India's nuclear policy / Mohammed B. Alam.</t>
  </si>
  <si>
    <t>Alam, Mohammed Badrul.</t>
  </si>
  <si>
    <t>Delhi, India : Mittal Publications, 1988.</t>
  </si>
  <si>
    <t>412366897:eng</t>
  </si>
  <si>
    <t>19254904</t>
  </si>
  <si>
    <t>ocm19254904</t>
  </si>
  <si>
    <t>31007553256</t>
  </si>
  <si>
    <t>9788170990796</t>
  </si>
  <si>
    <t>793051079</t>
  </si>
  <si>
    <t>UA840 B265 2006</t>
  </si>
  <si>
    <t>0                      UA 0840000B  265         2006</t>
  </si>
  <si>
    <t>Minimum deterrence and India's nuclear security / Rajesh M. Basrur.</t>
  </si>
  <si>
    <t>Basrur, Rajesh M.</t>
  </si>
  <si>
    <t>1957848:eng</t>
  </si>
  <si>
    <t>61228599</t>
  </si>
  <si>
    <t>ocm61228599</t>
  </si>
  <si>
    <t>3102498102L</t>
  </si>
  <si>
    <t>9780804752558</t>
  </si>
  <si>
    <t>793949145</t>
  </si>
  <si>
    <t>UA840 B49</t>
  </si>
  <si>
    <t>0                      UA 0840000B  49</t>
  </si>
  <si>
    <t>India's nuclear bomb / Shyam Bhatia.</t>
  </si>
  <si>
    <t>Bhatia, Shyam, 1950-</t>
  </si>
  <si>
    <t>Sahibabad, Distt. Ghaziabad : Vikas, 1979.</t>
  </si>
  <si>
    <t>2018-01-24</t>
  </si>
  <si>
    <t>24643107:eng</t>
  </si>
  <si>
    <t>7008619</t>
  </si>
  <si>
    <t>ocm07008619</t>
  </si>
  <si>
    <t>3000313008G</t>
  </si>
  <si>
    <t>9780706909722</t>
  </si>
  <si>
    <t>792535303</t>
  </si>
  <si>
    <t>UA840 C628 2010</t>
  </si>
  <si>
    <t>0                      UA 0840000C  628         2010</t>
  </si>
  <si>
    <t>Arming without aiming : India's military modernization / Stephen P. Cohen and Sunil Dasgupta.</t>
  </si>
  <si>
    <t>Cohen, Stephen P., 1936-</t>
  </si>
  <si>
    <t>Washington, D.C. : Brookings Institution Press, ©2010.</t>
  </si>
  <si>
    <t>2012-12-12</t>
  </si>
  <si>
    <t>796601743:eng</t>
  </si>
  <si>
    <t>491905166</t>
  </si>
  <si>
    <t>ocn491905166</t>
  </si>
  <si>
    <t>3103228506C</t>
  </si>
  <si>
    <t>9780815704027</t>
  </si>
  <si>
    <t>794800771</t>
  </si>
  <si>
    <t>UA840 F74 2006</t>
  </si>
  <si>
    <t>0                      UA 0840000F  74          2006</t>
  </si>
  <si>
    <t>India's nuclear bomb and national security / Karsten Frey.</t>
  </si>
  <si>
    <t>Frey, Karsten, 1972-</t>
  </si>
  <si>
    <t>Routledge advances in South Asian studies ; 4</t>
  </si>
  <si>
    <t>48534817:eng</t>
  </si>
  <si>
    <t>64591950</t>
  </si>
  <si>
    <t>ocm64591950</t>
  </si>
  <si>
    <t>31026327038</t>
  </si>
  <si>
    <t>9780415401326</t>
  </si>
  <si>
    <t>794130525</t>
  </si>
  <si>
    <t>UA840 H26 1998</t>
  </si>
  <si>
    <t>0                      UA 0840000H  26          1998</t>
  </si>
  <si>
    <t>The consequences of nuclear proliferation : lessons from South Asia / Devin T. Hagerty.</t>
  </si>
  <si>
    <t>Hagerty, Devin T.</t>
  </si>
  <si>
    <t>Cambridge, Mass. : MIT Press, 1998.</t>
  </si>
  <si>
    <t>799451712:eng</t>
  </si>
  <si>
    <t>38752865</t>
  </si>
  <si>
    <t>ocm38752865</t>
  </si>
  <si>
    <t>3101915429X</t>
  </si>
  <si>
    <t>9780262581615</t>
  </si>
  <si>
    <t>793530045</t>
  </si>
  <si>
    <t>UA840 J35 2010</t>
  </si>
  <si>
    <t>0                      UA 0840000J  35          2010</t>
  </si>
  <si>
    <t>India in the new South Asia : strategic, military and economic concerns in the age of nuclear diplomacy / B.M. Jain.</t>
  </si>
  <si>
    <t>Jain, B. M.</t>
  </si>
  <si>
    <t>London ; New York : Tauris Academic Studies, 2010.</t>
  </si>
  <si>
    <t>The library of international relations ; v. 45</t>
  </si>
  <si>
    <t>796411928:eng</t>
  </si>
  <si>
    <t>624418732</t>
  </si>
  <si>
    <t>ocn624418732</t>
  </si>
  <si>
    <t>3103234060Q</t>
  </si>
  <si>
    <t>9781848851382</t>
  </si>
  <si>
    <t>794823928</t>
  </si>
  <si>
    <t>UA840 K267 2015</t>
  </si>
  <si>
    <t>0                      UA 0840000K  267         2015</t>
  </si>
  <si>
    <t>Why India is not a Great Power (yet) / Bharat Karnad.</t>
  </si>
  <si>
    <t>Karnad, Bharat, author.</t>
  </si>
  <si>
    <t>New Delhi : Oxford University Press, 2015.</t>
  </si>
  <si>
    <t>2525573137:eng</t>
  </si>
  <si>
    <t>909326499</t>
  </si>
  <si>
    <t>ocn909326499</t>
  </si>
  <si>
    <t>3103766979Z</t>
  </si>
  <si>
    <t>9780199459223</t>
  </si>
  <si>
    <t>794995481</t>
  </si>
  <si>
    <t>UA840 P46 1999</t>
  </si>
  <si>
    <t>0                      UA 0840000P  46          1999</t>
  </si>
  <si>
    <t>India's nuclear bomb : the impact on global proliferation / George Perkovich.</t>
  </si>
  <si>
    <t>Perkovich, George.</t>
  </si>
  <si>
    <t>Berkeley [Calif.] : University of California Press, 1999.</t>
  </si>
  <si>
    <t>26780375:eng</t>
  </si>
  <si>
    <t>83476485</t>
  </si>
  <si>
    <t>ocm83476485</t>
  </si>
  <si>
    <t>3102172526P</t>
  </si>
  <si>
    <t>9780520232105</t>
  </si>
  <si>
    <t>794208484</t>
  </si>
  <si>
    <t>UA840 S475 1999</t>
  </si>
  <si>
    <t>0                      UA 0840000S  475         1999</t>
  </si>
  <si>
    <t>Defending India / Jaswant Singh.</t>
  </si>
  <si>
    <t>Singh, Jaswant, 1938-</t>
  </si>
  <si>
    <t>Houndmills, Basingstoke, Hampshire : Macmillan, 1999.</t>
  </si>
  <si>
    <t>34942944:eng</t>
  </si>
  <si>
    <t>41245595</t>
  </si>
  <si>
    <t>ocm41245595</t>
  </si>
  <si>
    <t>31021799287</t>
  </si>
  <si>
    <t>9780333727744</t>
  </si>
  <si>
    <t>793587432</t>
  </si>
  <si>
    <t>UA842 I5x</t>
  </si>
  <si>
    <t>0                      UA 0842000I  5x</t>
  </si>
  <si>
    <t>Frontier and overseas expeditions from India.</t>
  </si>
  <si>
    <t>India. Army. Intelligence Branch.</t>
  </si>
  <si>
    <t>Simla, Govt. Monotype Press, 1907-11.</t>
  </si>
  <si>
    <t>1907</t>
  </si>
  <si>
    <t>2018-10-03</t>
  </si>
  <si>
    <t>3373753432:eng</t>
  </si>
  <si>
    <t>821799</t>
  </si>
  <si>
    <t>ocm00821799</t>
  </si>
  <si>
    <t>31005940716</t>
  </si>
  <si>
    <t>791478989</t>
  </si>
  <si>
    <t>2001-02-23</t>
  </si>
  <si>
    <t>31005940708</t>
  </si>
  <si>
    <t>791478990</t>
  </si>
  <si>
    <t>2001-02-21</t>
  </si>
  <si>
    <t>30005756167</t>
  </si>
  <si>
    <t>791478991</t>
  </si>
  <si>
    <t>V. 5</t>
  </si>
  <si>
    <t>31005940732</t>
  </si>
  <si>
    <t>791478987</t>
  </si>
  <si>
    <t>31005940724</t>
  </si>
  <si>
    <t>791478988</t>
  </si>
  <si>
    <t>V. 6</t>
  </si>
  <si>
    <t>2001-01-03</t>
  </si>
  <si>
    <t>31005940740</t>
  </si>
  <si>
    <t>791478986</t>
  </si>
  <si>
    <t>UA842 I5x v.2 Suppl A</t>
  </si>
  <si>
    <t>0                      UA 0842000I  5x                                                      v.2 Suppl A</t>
  </si>
  <si>
    <t>Frontier and overseas expeditions from India : Vol. 2. Suppl. A. : Operations against the Zakka Khel Afridis, 1908.</t>
  </si>
  <si>
    <t>v.2 Suppl A*</t>
  </si>
  <si>
    <t>Calcutta : Superintendent Government Printing, India, 1908.</t>
  </si>
  <si>
    <t>479594321:eng</t>
  </si>
  <si>
    <t>61588478</t>
  </si>
  <si>
    <t>ocm61588478</t>
  </si>
  <si>
    <t>3000575623A</t>
  </si>
  <si>
    <t>794026415</t>
  </si>
  <si>
    <t>UA842 M33 1974b</t>
  </si>
  <si>
    <t>0                      UA 0842000M  33          1974b</t>
  </si>
  <si>
    <t>A matter of honour; an account of the Indian Army, its officers and men.</t>
  </si>
  <si>
    <t>Mason, Philip, 1906-1999.</t>
  </si>
  <si>
    <t>London, Cape [1974]</t>
  </si>
  <si>
    <t>2018-02-25</t>
  </si>
  <si>
    <t>1973116:eng</t>
  </si>
  <si>
    <t>991039</t>
  </si>
  <si>
    <t>ocm00991039</t>
  </si>
  <si>
    <t>3103742291V</t>
  </si>
  <si>
    <t>9780224009782</t>
  </si>
  <si>
    <t>791519946</t>
  </si>
  <si>
    <t>UA842 R69 2010</t>
  </si>
  <si>
    <t>0                      UA 0842000R  69          2010</t>
  </si>
  <si>
    <t>The armed forces of independent India, 1947-2006 / Kaushik Roy.</t>
  </si>
  <si>
    <t>2011-01-14</t>
  </si>
  <si>
    <t>351504400:eng</t>
  </si>
  <si>
    <t>470259835</t>
  </si>
  <si>
    <t>ocn470259835</t>
  </si>
  <si>
    <t>3103249462Q</t>
  </si>
  <si>
    <t>9788173047787</t>
  </si>
  <si>
    <t>794796095</t>
  </si>
  <si>
    <t>UA845 B88 2010</t>
  </si>
  <si>
    <t>0                      UA 0845000B  88          2010</t>
  </si>
  <si>
    <t>The perils of proximity : China-Japan security relations / Richard C. Bush.</t>
  </si>
  <si>
    <t>Bush, Richard C., 1947-</t>
  </si>
  <si>
    <t>Washington, D.C. : Brookings Institution Press, 2010.</t>
  </si>
  <si>
    <t>2013-11-14</t>
  </si>
  <si>
    <t>796315979:eng</t>
  </si>
  <si>
    <t>635492447</t>
  </si>
  <si>
    <t>ocn635492447</t>
  </si>
  <si>
    <t>3103235882V</t>
  </si>
  <si>
    <t>9780815704744</t>
  </si>
  <si>
    <t>794825699</t>
  </si>
  <si>
    <t>UA845 C66</t>
  </si>
  <si>
    <t>0                      UA 0845000C  66</t>
  </si>
  <si>
    <t>The Common security interests of Japan, the United States, and NATO / Joint Working Group of the Atlantic Council of the United States &amp; the Research Institute for Peace and Security, Tokyo ; U. Alexis Johnson, chairman ; George R. Packard, rapporteur ; foreword by Kenneth Rush and Masamichi Inoki.</t>
  </si>
  <si>
    <t>Cambridge, Mass. : Ballinger Pub. Co., ©1981.</t>
  </si>
  <si>
    <t>2016-02-24</t>
  </si>
  <si>
    <t>26007143:eng</t>
  </si>
  <si>
    <t>7272495</t>
  </si>
  <si>
    <t>ocm07272495</t>
  </si>
  <si>
    <t>30003238645</t>
  </si>
  <si>
    <t>9780884106982</t>
  </si>
  <si>
    <t>792550151</t>
  </si>
  <si>
    <t>UA845 E33 1997</t>
  </si>
  <si>
    <t>0                      UA 0845000E  33          1997</t>
  </si>
  <si>
    <t>Warriors of the rising sun : a history of the Japanese military / Robert B. Edgerton.</t>
  </si>
  <si>
    <t>Edgerton, Robert B., 1931-</t>
  </si>
  <si>
    <t>New York : Norton, ©1997.</t>
  </si>
  <si>
    <t>40772249:eng</t>
  </si>
  <si>
    <t>35770988</t>
  </si>
  <si>
    <t>ocm35770988</t>
  </si>
  <si>
    <t>3101748234T</t>
  </si>
  <si>
    <t>9780393040852</t>
  </si>
  <si>
    <t>793457075</t>
  </si>
  <si>
    <t>UA845 K376 1996</t>
  </si>
  <si>
    <t>0                      UA 0845000K  376         1996</t>
  </si>
  <si>
    <t>Cultural norms and national security : police and military in postwar Japan / Peter J. Katzenstein.</t>
  </si>
  <si>
    <t>Katzenstein, Peter J.</t>
  </si>
  <si>
    <t>Ithaca, N.Y. : Cornell University Press, ©1996.</t>
  </si>
  <si>
    <t>Cornell studies in political economy</t>
  </si>
  <si>
    <t>2015-04-26</t>
  </si>
  <si>
    <t>1055939:eng</t>
  </si>
  <si>
    <t>34245110</t>
  </si>
  <si>
    <t>ocm34245110</t>
  </si>
  <si>
    <t>31028088707</t>
  </si>
  <si>
    <t>9780801432606</t>
  </si>
  <si>
    <t>793422251</t>
  </si>
  <si>
    <t>UA845 M264313 1995</t>
  </si>
  <si>
    <t>0                      UA 0845000M  264313      1995</t>
  </si>
  <si>
    <t>The hidden army : the untold story of Japan's military forces / Tetsuo Maeda ; edited and with an introduction by David J. Kenney ; translated from the Japanese by Steven Karpa.</t>
  </si>
  <si>
    <t>Maeda, Tetsuo, 1938-</t>
  </si>
  <si>
    <t>Chicago : Edition q, ©1995.</t>
  </si>
  <si>
    <t>2018-03-06</t>
  </si>
  <si>
    <t>3857790636:eng</t>
  </si>
  <si>
    <t>31517814</t>
  </si>
  <si>
    <t>ocm31517814</t>
  </si>
  <si>
    <t>3102173251X</t>
  </si>
  <si>
    <t>9781883695019</t>
  </si>
  <si>
    <t>793363135</t>
  </si>
  <si>
    <t>UA845 M455 2011</t>
  </si>
  <si>
    <t>0                      UA 0845000M  455         2011</t>
  </si>
  <si>
    <t>Rethinking Japanese public opinion and security : from pacifism to realism? / Paul Midford.</t>
  </si>
  <si>
    <t>Midford, Paul.</t>
  </si>
  <si>
    <t>Stanford, Calif. : Stanford University Press, ©2011.</t>
  </si>
  <si>
    <t>510879337:eng</t>
  </si>
  <si>
    <t>647977696</t>
  </si>
  <si>
    <t>ocn647977696</t>
  </si>
  <si>
    <t>3103320608Z</t>
  </si>
  <si>
    <t>9780804772167</t>
  </si>
  <si>
    <t>794831009</t>
  </si>
  <si>
    <t>UA845 S23513 2017</t>
  </si>
  <si>
    <t>0                      UA 0845000S  23513       2017</t>
  </si>
  <si>
    <t>The self-defense forces and postwar politics in Japan / Sado Akihiro ; translated by Noda Makito = Sengo seiji to jieitai / chosha Sadō Akihiro ; yakusha Noda Makito.</t>
  </si>
  <si>
    <t>Sadō, Akihiro, 1958- author.</t>
  </si>
  <si>
    <t>Tokyo : Japan Publishing Industry Foundation for Culture, 2017.</t>
  </si>
  <si>
    <t>Japan library</t>
  </si>
  <si>
    <t>51448363:eng</t>
  </si>
  <si>
    <t>981922146</t>
  </si>
  <si>
    <t>ocn981922146</t>
  </si>
  <si>
    <t>3103684421H</t>
  </si>
  <si>
    <t>9784916055743</t>
  </si>
  <si>
    <t>795034131</t>
  </si>
  <si>
    <t>UA847 M48 1993</t>
  </si>
  <si>
    <t>0                      UA 0847000M  48          1993</t>
  </si>
  <si>
    <t>Fidelity &amp; honour : the Indian Army from the seventeenth to the twenty-first century / S.L. Menezes ; foreword by General S.F. Rodrigues, PVSM, VSM, ADC.</t>
  </si>
  <si>
    <t>Menezes, S. L., 1922-</t>
  </si>
  <si>
    <t>New Delhi, India : Viking, Penguin Books India (P), 1993.</t>
  </si>
  <si>
    <t>44444786:eng</t>
  </si>
  <si>
    <t>28964266</t>
  </si>
  <si>
    <t>ocm28964266</t>
  </si>
  <si>
    <t>3101466469L</t>
  </si>
  <si>
    <t>9780670839957</t>
  </si>
  <si>
    <t>793300538</t>
  </si>
  <si>
    <t>UA847 W37 2009</t>
  </si>
  <si>
    <t>0                      UA 0847000W  37          2009</t>
  </si>
  <si>
    <t>War and militarism in modern Japan : issues of history and identity / edited by Guy Podoler.</t>
  </si>
  <si>
    <t>Folkestone, England : Global Oriental, 2009.</t>
  </si>
  <si>
    <t>2018-04-19</t>
  </si>
  <si>
    <t>1058866955:eng</t>
  </si>
  <si>
    <t>430971137</t>
  </si>
  <si>
    <t>ocn430971137</t>
  </si>
  <si>
    <t>3103155964S</t>
  </si>
  <si>
    <t>9781905246854</t>
  </si>
  <si>
    <t>794781412</t>
  </si>
  <si>
    <t>UA853 A3 A337 2010</t>
  </si>
  <si>
    <t>0                      UA 0853000A  3                  A  337         2010</t>
  </si>
  <si>
    <t>Afghanistan : India's strategic stakes / Centre for Joint Warfare Studies.</t>
  </si>
  <si>
    <t>New Delhi : Har-Anand Publications, 2010.</t>
  </si>
  <si>
    <t>428726409:eng</t>
  </si>
  <si>
    <t>557413765</t>
  </si>
  <si>
    <t>ocn557413765</t>
  </si>
  <si>
    <t>3103298410F</t>
  </si>
  <si>
    <t>9788124115121</t>
  </si>
  <si>
    <t>794812435</t>
  </si>
  <si>
    <t>UA853 A3 J66 2010</t>
  </si>
  <si>
    <t>0                      UA 0853000A  3                  J  66          2010</t>
  </si>
  <si>
    <t>Afghanistan's local war : building local defense forces / Seth G. Jones, Arturo Muñoz.</t>
  </si>
  <si>
    <t>Jones, Seth G., 1972-</t>
  </si>
  <si>
    <t>Santa Monica, CA : RAND Corporation, 2010, ©2010.</t>
  </si>
  <si>
    <t>2011-12-15</t>
  </si>
  <si>
    <t>860691595:eng</t>
  </si>
  <si>
    <t>650215750</t>
  </si>
  <si>
    <t>ocn650215750</t>
  </si>
  <si>
    <t>31032558070</t>
  </si>
  <si>
    <t>9780833049889</t>
  </si>
  <si>
    <t>794832360</t>
  </si>
  <si>
    <t>UA853 A3 J68 2011</t>
  </si>
  <si>
    <t>0                      UA 0853000A  3                  J  68          2011</t>
  </si>
  <si>
    <t>Reintegrating Afghan insurgents / Seth G. Jones.</t>
  </si>
  <si>
    <t>Occasional paper ; OP-327-MCIA</t>
  </si>
  <si>
    <t>919044985:eng</t>
  </si>
  <si>
    <t>733937598</t>
  </si>
  <si>
    <t>ocn733937598</t>
  </si>
  <si>
    <t>3103377990T</t>
  </si>
  <si>
    <t>9780833051387</t>
  </si>
  <si>
    <t>794882314</t>
  </si>
  <si>
    <t>UA853 A3 K45 2011</t>
  </si>
  <si>
    <t>0                      UA 0853000A  3                  K  45          2011</t>
  </si>
  <si>
    <t>Security force assistance in Afghanistan : identifying lessons for future efforts / Terrence K. Kelly, Nora Bensahel, Olga Oliker.</t>
  </si>
  <si>
    <t>898494489:eng</t>
  </si>
  <si>
    <t>722843848</t>
  </si>
  <si>
    <t>ocn722843848</t>
  </si>
  <si>
    <t>31035247240</t>
  </si>
  <si>
    <t>9780833052117</t>
  </si>
  <si>
    <t>794875771</t>
  </si>
  <si>
    <t>UA853 A3 P33 2013</t>
  </si>
  <si>
    <t>0                      UA 0853000A  3                  P  33          2013</t>
  </si>
  <si>
    <t>Leveraging observations of Security Force Assistance in Afghanistan for global operations / Leslie Adrienne Payne, Jan Osburg.</t>
  </si>
  <si>
    <t>Payne, Leslie Adrienne.</t>
  </si>
  <si>
    <t>1749218619:eng</t>
  </si>
  <si>
    <t>858975690</t>
  </si>
  <si>
    <t>ocn858975690</t>
  </si>
  <si>
    <t>3103564531L</t>
  </si>
  <si>
    <t>9780833081902</t>
  </si>
  <si>
    <t>794957278</t>
  </si>
  <si>
    <t>3103505437D</t>
  </si>
  <si>
    <t>794957279</t>
  </si>
  <si>
    <t>UA853 I7 A45 2010</t>
  </si>
  <si>
    <t>0                      UA 0853000I  7                  A  45          2010</t>
  </si>
  <si>
    <t>The sixth crisis : Iran, Israel, America and the rumors of war / Dana H. Allin and Steven Simon.</t>
  </si>
  <si>
    <t>Allin, Dana H., 1958-</t>
  </si>
  <si>
    <t>New York : Oxford University Press, 2010.</t>
  </si>
  <si>
    <t>793907939:eng</t>
  </si>
  <si>
    <t>587229778</t>
  </si>
  <si>
    <t>ocn587229778</t>
  </si>
  <si>
    <t>31032356792</t>
  </si>
  <si>
    <t>9780199754496</t>
  </si>
  <si>
    <t>794814501</t>
  </si>
  <si>
    <t>UA853 I7 C63 1997</t>
  </si>
  <si>
    <t>0                      UA 0853000I  7                  C  63          1997</t>
  </si>
  <si>
    <t>Iran : dilemmas of dual containment / Anthony H. Cordesman and Ahmed Hashim.</t>
  </si>
  <si>
    <t>CSIS Middle East dynamic net assessment</t>
  </si>
  <si>
    <t>2019-10-27</t>
  </si>
  <si>
    <t>199214086:eng</t>
  </si>
  <si>
    <t>35978729</t>
  </si>
  <si>
    <t>ocm35978729</t>
  </si>
  <si>
    <t>3101724860$</t>
  </si>
  <si>
    <t>9780813332376</t>
  </si>
  <si>
    <t>793463186</t>
  </si>
  <si>
    <t>UA853 I7 D38 2013</t>
  </si>
  <si>
    <t>0                      UA 0853000I  7                  D  38          2013</t>
  </si>
  <si>
    <t>Anticipating a nuclear Iran : challenges for U.S. security / Jacquelyn K. Davis and Robert L. Pfaltzgraff Jr.</t>
  </si>
  <si>
    <t>Davis, Jacquelyn K.</t>
  </si>
  <si>
    <t>New York : Columbia University Press, [2013]</t>
  </si>
  <si>
    <t>1791420494:eng</t>
  </si>
  <si>
    <t>841516930</t>
  </si>
  <si>
    <t>ocn841516930</t>
  </si>
  <si>
    <t>3103505303M</t>
  </si>
  <si>
    <t>9780231166225</t>
  </si>
  <si>
    <t>794946936</t>
  </si>
  <si>
    <t>UA853 I7 I7199 2011</t>
  </si>
  <si>
    <t>0                      UA 0853000I  7                  I  7199        2011</t>
  </si>
  <si>
    <t>Iran's nuclear future : critical U.S. policy choices / Lynn E. Davis [and others].</t>
  </si>
  <si>
    <t>Rand Corporation monograph series ; MG-1087-AF</t>
  </si>
  <si>
    <t>2013-01-31</t>
  </si>
  <si>
    <t>908310091:eng</t>
  </si>
  <si>
    <t>723142726</t>
  </si>
  <si>
    <t>ocn723142726</t>
  </si>
  <si>
    <t>31026281321</t>
  </si>
  <si>
    <t>9780833051752</t>
  </si>
  <si>
    <t>794875915</t>
  </si>
  <si>
    <t>UA853 I7 O88 2010</t>
  </si>
  <si>
    <t>0                      UA 0853000I  7                  O  88          2010</t>
  </si>
  <si>
    <t>Iran : the looming crisis : can the West live with Iran's nuclear threat? / Emanuele Ottolenghi.</t>
  </si>
  <si>
    <t>Ottolenghi, Emanuele.</t>
  </si>
  <si>
    <t>London : Profile, 2010.</t>
  </si>
  <si>
    <t>New and rev. ed.</t>
  </si>
  <si>
    <t>2018-10-09</t>
  </si>
  <si>
    <t>485839413:eng</t>
  </si>
  <si>
    <t>620143474</t>
  </si>
  <si>
    <t>ocn620143474</t>
  </si>
  <si>
    <t>3103320610X</t>
  </si>
  <si>
    <t>9781846684234</t>
  </si>
  <si>
    <t>794823537</t>
  </si>
  <si>
    <t>UA853 I7 R437 2012</t>
  </si>
  <si>
    <t>0                      UA 0853000I  7                  R  437         2012</t>
  </si>
  <si>
    <t>Containing Iran : strategies for addressing the Iranian nuclear challenge / Robert J. Reardon.</t>
  </si>
  <si>
    <t>Reardon, Robert J.</t>
  </si>
  <si>
    <t>1170046720:eng</t>
  </si>
  <si>
    <t>816315998</t>
  </si>
  <si>
    <t>ocn816315998</t>
  </si>
  <si>
    <t>3103441035R</t>
  </si>
  <si>
    <t>9780833076311</t>
  </si>
  <si>
    <t>794933051</t>
  </si>
  <si>
    <t>UA853 I7 R57 2009</t>
  </si>
  <si>
    <t>0                      UA 0853000I  7                  R  57          2009</t>
  </si>
  <si>
    <t>The rise of the Pasdaran : assessing the domestic roles of Iran's Islamic Revolutionary Guards Corps / Frederic Wehrey [and others].</t>
  </si>
  <si>
    <t>Santa Monica, CA : RAND National Defense Research Institute, ©2009.</t>
  </si>
  <si>
    <t>800750466:eng</t>
  </si>
  <si>
    <t>294063135</t>
  </si>
  <si>
    <t>ocn294063135</t>
  </si>
  <si>
    <t>31030710163</t>
  </si>
  <si>
    <t>9780833046208</t>
  </si>
  <si>
    <t>794424869</t>
  </si>
  <si>
    <t>UA853 I72 P46 1990</t>
  </si>
  <si>
    <t>0                      UA 0853000I  72                 P  46          1990</t>
  </si>
  <si>
    <t>Iraqi power and U.S. security in the Middle East / Stephen C. Pelletiere, Douglas V. Johnson II, Leif R. Rosenberger.</t>
  </si>
  <si>
    <t>Pelletiere, Stephen C.</t>
  </si>
  <si>
    <t>Carlisle Barracks, Pa. : Strategic Studies Institute, U.S. Army War College, 1990.</t>
  </si>
  <si>
    <t>23780043:eng</t>
  </si>
  <si>
    <t>21891976</t>
  </si>
  <si>
    <t>ocm21891976</t>
  </si>
  <si>
    <t>3101159783R</t>
  </si>
  <si>
    <t>793129314</t>
  </si>
  <si>
    <t>UA853 I75 A4 2008</t>
  </si>
  <si>
    <t>0                      UA 0853000I  75                 A  4           2008</t>
  </si>
  <si>
    <t>Iraq's armed forces : an analytical history / Ibrahim Al-Marashi and Sammy Salama.</t>
  </si>
  <si>
    <t>Al-Marashi, Ibrahim, 1973-</t>
  </si>
  <si>
    <t>Middle Eastern military studies</t>
  </si>
  <si>
    <t>203109183:eng</t>
  </si>
  <si>
    <t>173659692</t>
  </si>
  <si>
    <t>ocn173659692</t>
  </si>
  <si>
    <t>31030564628</t>
  </si>
  <si>
    <t>9780415400787</t>
  </si>
  <si>
    <t>794269305</t>
  </si>
  <si>
    <t>UA853 I75 C653 2002</t>
  </si>
  <si>
    <t>0                      UA 0853000I  75                 C  653         2002</t>
  </si>
  <si>
    <t>Iraq's military capabilities in 2002 : a dynamic net assessment / author, Anthony H. Cordesman.</t>
  </si>
  <si>
    <t>Washington, D.C. : CSIS Press, 2002.</t>
  </si>
  <si>
    <t>CSIS report</t>
  </si>
  <si>
    <t>328649440:eng</t>
  </si>
  <si>
    <t>50404116</t>
  </si>
  <si>
    <t>ocm50404116</t>
  </si>
  <si>
    <t>31022403384</t>
  </si>
  <si>
    <t>9780892064168</t>
  </si>
  <si>
    <t>793764351</t>
  </si>
  <si>
    <t>UA853 I75 C67 1994</t>
  </si>
  <si>
    <t>0                      UA 0853000I  75                 C  67          1994</t>
  </si>
  <si>
    <t>Iran and Iraq : the threat from the northern Gulf / Anthony H. Cordesman.</t>
  </si>
  <si>
    <t>Boulder, Colo. : Westview Press, 1994.</t>
  </si>
  <si>
    <t>808563524:eng</t>
  </si>
  <si>
    <t>30318467</t>
  </si>
  <si>
    <t>ocm30318467</t>
  </si>
  <si>
    <t>3101459181Y</t>
  </si>
  <si>
    <t>9780813323664</t>
  </si>
  <si>
    <t>793332149</t>
  </si>
  <si>
    <t>UA853 I75 G66 2010</t>
  </si>
  <si>
    <t>0                      UA 0853000I  75                 G  66          2010</t>
  </si>
  <si>
    <t>Security in Iraq : a framework for analyzing emerging threats as U.S. forces leave / David C. Gompert, Terrence K. Kelly, Jessica Watkins.</t>
  </si>
  <si>
    <t>2010-10-12</t>
  </si>
  <si>
    <t>803414755:eng</t>
  </si>
  <si>
    <t>477274548</t>
  </si>
  <si>
    <t>ocn477274548</t>
  </si>
  <si>
    <t>31032254979</t>
  </si>
  <si>
    <t>9780833047717</t>
  </si>
  <si>
    <t>794798965</t>
  </si>
  <si>
    <t>UA853 I8 A66 1970b</t>
  </si>
  <si>
    <t>0                      UA 0853000I  8                  A  66          1970b</t>
  </si>
  <si>
    <t>Shield of David: the story of Israel's armed forces.</t>
  </si>
  <si>
    <t>Allon, Yigal, 1918-1980.</t>
  </si>
  <si>
    <t>London : Weidenfeld &amp; Nicolson, 1970.</t>
  </si>
  <si>
    <t>1232453:eng</t>
  </si>
  <si>
    <t>140820</t>
  </si>
  <si>
    <t>ocm00140820</t>
  </si>
  <si>
    <t>3000229155B</t>
  </si>
  <si>
    <t>9780297001331</t>
  </si>
  <si>
    <t>791269998</t>
  </si>
  <si>
    <t>UA853 I8 A75 1988</t>
  </si>
  <si>
    <t>0                      UA 0853000I  8                  A  75          1988</t>
  </si>
  <si>
    <t>National security and public opinion in Israel / Asher Arian, Ilan Talmud, Tamar Hermann.</t>
  </si>
  <si>
    <t>Arian, Alan.</t>
  </si>
  <si>
    <t>Boulder, Colo. : Westview Press, ©1988.</t>
  </si>
  <si>
    <t>JCSS study ; no. 9</t>
  </si>
  <si>
    <t>16916307:eng</t>
  </si>
  <si>
    <t>18134644</t>
  </si>
  <si>
    <t>ocm18134644</t>
  </si>
  <si>
    <t>3100413127S</t>
  </si>
  <si>
    <t>9780813307183</t>
  </si>
  <si>
    <t>793014905</t>
  </si>
  <si>
    <t>UA853 I8 B29513 1994</t>
  </si>
  <si>
    <t>0                      UA 0853000I  8                  B  29513       1994</t>
  </si>
  <si>
    <t>The gates of Gaza : Israel's road to Suez and back, 1955-1957 / Mordechai Bar-On ; [translated by Ruth Rossing].</t>
  </si>
  <si>
    <t>Bar-On, Mordechai, 1928-</t>
  </si>
  <si>
    <t>New York : St. Martin's Press, 1994.</t>
  </si>
  <si>
    <t>31252812:eng</t>
  </si>
  <si>
    <t>29359765</t>
  </si>
  <si>
    <t>ocm29359765</t>
  </si>
  <si>
    <t>3101488585Y</t>
  </si>
  <si>
    <t>9780312105860</t>
  </si>
  <si>
    <t>793308973</t>
  </si>
  <si>
    <t>UA853 I8 B385 1987</t>
  </si>
  <si>
    <t>0                      UA 0853000I  8                  B  385         1987</t>
  </si>
  <si>
    <t>The Israeli connection : who Israel arms and why / Benjamin Beit-Hallahmi.</t>
  </si>
  <si>
    <t>Beit-Hallahmi, Benjamin.</t>
  </si>
  <si>
    <t>New York : Pantheon Books, ©1987.</t>
  </si>
  <si>
    <t>10535118:eng</t>
  </si>
  <si>
    <t>15429552</t>
  </si>
  <si>
    <t>ocm15429552</t>
  </si>
  <si>
    <t>30004846812</t>
  </si>
  <si>
    <t>9780394559223</t>
  </si>
  <si>
    <t>792931384</t>
  </si>
  <si>
    <t>UA853 I8 C62 1998</t>
  </si>
  <si>
    <t>0                      UA 0853000I  8                  C  62          1998</t>
  </si>
  <si>
    <t>Israel and the bomb / Avner Cohen.</t>
  </si>
  <si>
    <t>New York : Columbia University Press, ©1998.</t>
  </si>
  <si>
    <t>991473:eng</t>
  </si>
  <si>
    <t>38557223</t>
  </si>
  <si>
    <t>ocm38557223</t>
  </si>
  <si>
    <t>31019432351</t>
  </si>
  <si>
    <t>9780231104821</t>
  </si>
  <si>
    <t>793526830</t>
  </si>
  <si>
    <t>UA853 I8 C6265 2008</t>
  </si>
  <si>
    <t>0                      UA 0853000I  8                  C  6265        2008</t>
  </si>
  <si>
    <t>Israel and its army : from cohesion to confusion / Stuart A. Cohen.</t>
  </si>
  <si>
    <t>Cohen, Stuart, 1946-</t>
  </si>
  <si>
    <t>792475279:eng</t>
  </si>
  <si>
    <t>166317560</t>
  </si>
  <si>
    <t>ocn166317560</t>
  </si>
  <si>
    <t>3103240432V</t>
  </si>
  <si>
    <t>9780415400497</t>
  </si>
  <si>
    <t>794260134</t>
  </si>
  <si>
    <t>UA853 I8 D765 2011</t>
  </si>
  <si>
    <t>0                      UA 0853000I  8                  D  765         2011</t>
  </si>
  <si>
    <t>Israeli statecraft : national security challenges and responses / Yehezkel Dror.</t>
  </si>
  <si>
    <t>Dror, Yehezkel, 1928-</t>
  </si>
  <si>
    <t>BESA studies in international security ; 15</t>
  </si>
  <si>
    <t>641919794:eng</t>
  </si>
  <si>
    <t>663952386</t>
  </si>
  <si>
    <t>ocn663952386</t>
  </si>
  <si>
    <t>3103341378G</t>
  </si>
  <si>
    <t>9780415616300</t>
  </si>
  <si>
    <t>794842997</t>
  </si>
  <si>
    <t>UA853.I8 E56 2014</t>
  </si>
  <si>
    <t>0                      UA 0853000I  8                  E  56          2014</t>
  </si>
  <si>
    <t>Ki be-taḥbulot = Battle of strategies / ʻEnav, ʻIdo.</t>
  </si>
  <si>
    <t>Einav, author.</t>
  </si>
  <si>
    <t>Tel-Aviv : Yediʻot aḥaronot : Sifre ḥemed, [2014]</t>
  </si>
  <si>
    <t>heb</t>
  </si>
  <si>
    <t>Prozah</t>
  </si>
  <si>
    <t>2184721580:heb</t>
  </si>
  <si>
    <t>892820559</t>
  </si>
  <si>
    <t>ocn892820559</t>
  </si>
  <si>
    <t>B001610722</t>
  </si>
  <si>
    <t>9789655456776</t>
  </si>
  <si>
    <t>794981086</t>
  </si>
  <si>
    <t>UA853 I8 E76 1989</t>
  </si>
  <si>
    <t>0                      UA 0853000I  8                  E  76          1989</t>
  </si>
  <si>
    <t>Chariots of the desert : the story of the Israeli Armoured Corps / David Eshel ; with a foreword and chapter notes by Bryan Watkins.</t>
  </si>
  <si>
    <t>Eshel, David.</t>
  </si>
  <si>
    <t>London ; Washington : Brassey's Defence Publishers, 1989.</t>
  </si>
  <si>
    <t>17934266:eng</t>
  </si>
  <si>
    <t>18683487</t>
  </si>
  <si>
    <t>ocm18683487</t>
  </si>
  <si>
    <t>3100987922K</t>
  </si>
  <si>
    <t>9780080362571</t>
  </si>
  <si>
    <t>793033526</t>
  </si>
  <si>
    <t>UA853.I8 G63 2007</t>
  </si>
  <si>
    <t>0                      UA 0853000I  8                  G  63          2007</t>
  </si>
  <si>
    <t>The Israeli military and the origins of the 1967 war : government, armed forces and defence policy 1963-1967 / Ami Gluska.</t>
  </si>
  <si>
    <t>Gluska, Ami.</t>
  </si>
  <si>
    <t>Middle eastern military studies</t>
  </si>
  <si>
    <t>201787595:eng</t>
  </si>
  <si>
    <t>70219964</t>
  </si>
  <si>
    <t>ocm70219964</t>
  </si>
  <si>
    <t>31026343620</t>
  </si>
  <si>
    <t>9780415392457</t>
  </si>
  <si>
    <t>794150998</t>
  </si>
  <si>
    <t>UA853 I8 H26</t>
  </si>
  <si>
    <t>0                      UA 0853000I  8                  H  26</t>
  </si>
  <si>
    <t>Israel's political-military doctrine, by Michael I. Handel.</t>
  </si>
  <si>
    <t>Handel, Michael I.</t>
  </si>
  <si>
    <t>[Cambridge, Mass.] Center for International Affairs, Harvard University [1973]</t>
  </si>
  <si>
    <t>Harvard University. Center for International Affairs. Occasional papers in international affairs, no. 30</t>
  </si>
  <si>
    <t>2010-11-27</t>
  </si>
  <si>
    <t>9490009362:eng</t>
  </si>
  <si>
    <t>723110</t>
  </si>
  <si>
    <t>ocm00723110</t>
  </si>
  <si>
    <t>3100136222S</t>
  </si>
  <si>
    <t>9780876740255</t>
  </si>
  <si>
    <t>791455415</t>
  </si>
  <si>
    <t>3000437681H</t>
  </si>
  <si>
    <t>791455414</t>
  </si>
  <si>
    <t>UA853 I8 H35 2015</t>
  </si>
  <si>
    <t>0                      UA 0853000I  8                  H  35          2015</t>
  </si>
  <si>
    <t>War against the people : Israel, the Palestinians and global pacification / Jeff Halper.</t>
  </si>
  <si>
    <t>Halper, Jeff, author.</t>
  </si>
  <si>
    <t>London : PlutoPress, 2015.</t>
  </si>
  <si>
    <t>2613209118:eng</t>
  </si>
  <si>
    <t>932322268</t>
  </si>
  <si>
    <t>ocn932322268</t>
  </si>
  <si>
    <t>3103654101G</t>
  </si>
  <si>
    <t>9780745334318</t>
  </si>
  <si>
    <t>795008528</t>
  </si>
  <si>
    <t>UA853 I8 I86 1988</t>
  </si>
  <si>
    <t>0                      UA 0853000I  8                  I  86          1988</t>
  </si>
  <si>
    <t>Israeli national security policy : political actors and perspectives / edited by Bernard Reich and Gershon R. Kieval.</t>
  </si>
  <si>
    <t>New York : Greenwood Press, 1988.</t>
  </si>
  <si>
    <t>Contributions in political science, 0147-1066 ; no. 210</t>
  </si>
  <si>
    <t>801416144:eng</t>
  </si>
  <si>
    <t>17384203</t>
  </si>
  <si>
    <t>ocm17384203</t>
  </si>
  <si>
    <t>31015660910</t>
  </si>
  <si>
    <t>9780313261961</t>
  </si>
  <si>
    <t>792989803</t>
  </si>
  <si>
    <t>UA853 I8 J645 2011</t>
  </si>
  <si>
    <t>0                      UA 0853000I  8                  J  645         2011</t>
  </si>
  <si>
    <t>Hard fighting : Israel in Lebanon and Gaza / David E. Johnson.</t>
  </si>
  <si>
    <t>Santa Monica, CA : RAND, [2011]</t>
  </si>
  <si>
    <t>1058017287:eng</t>
  </si>
  <si>
    <t>767256599</t>
  </si>
  <si>
    <t>ocn767256599</t>
  </si>
  <si>
    <t>31035247220</t>
  </si>
  <si>
    <t>9780833058508</t>
  </si>
  <si>
    <t>794900998</t>
  </si>
  <si>
    <t>UA853 I8 J646 2010</t>
  </si>
  <si>
    <t>0                      UA 0853000I  8                  J  646         2010</t>
  </si>
  <si>
    <t>Military capabilities for hybrid war : insights from the Israel Defense Forces in Lebanon and Gaza / David E. Johnson.</t>
  </si>
  <si>
    <t>Occasional paper ; OP-285-A</t>
  </si>
  <si>
    <t>2015-03-30</t>
  </si>
  <si>
    <t>479433639:eng</t>
  </si>
  <si>
    <t>611920102</t>
  </si>
  <si>
    <t>ocn611920102</t>
  </si>
  <si>
    <t>3103274291V</t>
  </si>
  <si>
    <t>9780833049261</t>
  </si>
  <si>
    <t>794821193</t>
  </si>
  <si>
    <t>UA853 I8 K375 2007</t>
  </si>
  <si>
    <t>0                      UA 0853000I  8                  K  375         2007</t>
  </si>
  <si>
    <t>The bomb in the basement : how Israel went nuclear and what that means for the world / Michael Karpin.</t>
  </si>
  <si>
    <t>Karpin, Michael I.</t>
  </si>
  <si>
    <t>New York : Simon &amp; Schuster, ©2006.</t>
  </si>
  <si>
    <t>198672655:eng</t>
  </si>
  <si>
    <t>61261354</t>
  </si>
  <si>
    <t>ocm61261354</t>
  </si>
  <si>
    <t>3103610516V</t>
  </si>
  <si>
    <t>9780743265942</t>
  </si>
  <si>
    <t>793950107</t>
  </si>
  <si>
    <t>UA853 I8 K38 1990</t>
  </si>
  <si>
    <t>0                      UA 0853000I  8                  K  38          1990</t>
  </si>
  <si>
    <t>Israel's army / Samuel Katz.</t>
  </si>
  <si>
    <t>Katz, Samuel M., 1963-</t>
  </si>
  <si>
    <t>Novato, CA : Presidio Press, ©1990.</t>
  </si>
  <si>
    <t>Presidio power series. Landpower ; 3005</t>
  </si>
  <si>
    <t>21355327:eng</t>
  </si>
  <si>
    <t>19514851</t>
  </si>
  <si>
    <t>ocm19514851</t>
  </si>
  <si>
    <t>3101141787S</t>
  </si>
  <si>
    <t>9780891413271</t>
  </si>
  <si>
    <t>793060504</t>
  </si>
  <si>
    <t>UA853 I8 K63 2016</t>
  </si>
  <si>
    <t>0                      UA 0853000I  8                  K  63          2016</t>
  </si>
  <si>
    <t>Practical soldiers : Israel's military thought and its formative factors / by Avi Kober.</t>
  </si>
  <si>
    <t>Kober, Avi, author.</t>
  </si>
  <si>
    <t>History of warfare, 1385-7827 ; volume 107</t>
  </si>
  <si>
    <t>2801649068:eng</t>
  </si>
  <si>
    <t>918591195</t>
  </si>
  <si>
    <t>ocn918591195</t>
  </si>
  <si>
    <t>31036530714</t>
  </si>
  <si>
    <t>9789004306530</t>
  </si>
  <si>
    <t>795001090</t>
  </si>
  <si>
    <t>UA853 I8 L446 1997</t>
  </si>
  <si>
    <t>0                      UA 0853000I  8                  L  446         1997</t>
  </si>
  <si>
    <t>Trial and error : Israel's route from war to de-escalation / Yagil Levy.</t>
  </si>
  <si>
    <t>Levy, Yagil, 1958-</t>
  </si>
  <si>
    <t>Albany : State University of New York Press, ©1997.</t>
  </si>
  <si>
    <t>SUNY series in Israeli studies</t>
  </si>
  <si>
    <t>799428723:eng</t>
  </si>
  <si>
    <t>35285483</t>
  </si>
  <si>
    <t>ocm35285483</t>
  </si>
  <si>
    <t>31018237431</t>
  </si>
  <si>
    <t>9780791434291</t>
  </si>
  <si>
    <t>793448723</t>
  </si>
  <si>
    <t>UA853 I8 L87x 1975b</t>
  </si>
  <si>
    <t>0                      UA 0853000I  8                  L  87x         1975b</t>
  </si>
  <si>
    <t>The Israeli army / Edward Luttwak and Dan Horowitz.</t>
  </si>
  <si>
    <t>Luttwak, Edward, author.</t>
  </si>
  <si>
    <t>London : A. Lane, 1975.</t>
  </si>
  <si>
    <t>402411:eng</t>
  </si>
  <si>
    <t>2536938</t>
  </si>
  <si>
    <t>ocm02536938</t>
  </si>
  <si>
    <t>3000420826L</t>
  </si>
  <si>
    <t>9780713902297</t>
  </si>
  <si>
    <t>792140705</t>
  </si>
  <si>
    <t>UA853 I8 N368 1993</t>
  </si>
  <si>
    <t>0                      UA 0853000I  8                  N  368         1993</t>
  </si>
  <si>
    <t>National security and democracy in Israel / edited by Avner Yaniv.</t>
  </si>
  <si>
    <t>Boulder, Co. : Lynne Rienner Publishers, ©1993.</t>
  </si>
  <si>
    <t>An Israel Democracy Institute policy study</t>
  </si>
  <si>
    <t>365388300:eng</t>
  </si>
  <si>
    <t>26163010</t>
  </si>
  <si>
    <t>ocm26163010</t>
  </si>
  <si>
    <t>31023617781</t>
  </si>
  <si>
    <t>9781555873240</t>
  </si>
  <si>
    <t>793239113</t>
  </si>
  <si>
    <t>UA853 I8 N49 2010</t>
  </si>
  <si>
    <t>0                      UA 0853000I  8                  N  49          2010</t>
  </si>
  <si>
    <t>The new citizen armies : Israel's armed forces in comparative perspective / edited by Stuart A. Cohen.</t>
  </si>
  <si>
    <t>797269272:eng</t>
  </si>
  <si>
    <t>429475204</t>
  </si>
  <si>
    <t>ocn429475204</t>
  </si>
  <si>
    <t>3103240335Y</t>
  </si>
  <si>
    <t>9780415565462</t>
  </si>
  <si>
    <t>794780014</t>
  </si>
  <si>
    <t>UA853 I8 R62 2005</t>
  </si>
  <si>
    <t>0                      UA 0853000I  8                  R  62          2005</t>
  </si>
  <si>
    <t>Defense and diplomacy in Israel's national security experience : tactics, partnerships, and motives / David Rodman.</t>
  </si>
  <si>
    <t>Rodman, David.</t>
  </si>
  <si>
    <t>Portland, Or. : Sussex Academic Press, 2005.</t>
  </si>
  <si>
    <t>369385072:eng</t>
  </si>
  <si>
    <t>56921631</t>
  </si>
  <si>
    <t>ocm56921631</t>
  </si>
  <si>
    <t>31025461257</t>
  </si>
  <si>
    <t>9781845190736</t>
  </si>
  <si>
    <t>793904110</t>
  </si>
  <si>
    <t>UA853 I8 R64</t>
  </si>
  <si>
    <t>0                      UA 0853000I  8                  R  64</t>
  </si>
  <si>
    <t>The Israeli soldier; profile of an army.</t>
  </si>
  <si>
    <t>Rolbant, Samuel.</t>
  </si>
  <si>
    <t>South Brunswick, T. Yoseloff [1971, ©1970]</t>
  </si>
  <si>
    <t>1240250:eng</t>
  </si>
  <si>
    <t>119826</t>
  </si>
  <si>
    <t>ocm00119826</t>
  </si>
  <si>
    <t>3103069093Y</t>
  </si>
  <si>
    <t>9780498074882</t>
  </si>
  <si>
    <t>791262917</t>
  </si>
  <si>
    <t>UA853 I8 S53 2006</t>
  </si>
  <si>
    <t>0                      UA 0853000I  8                  S  53          2006</t>
  </si>
  <si>
    <t>The triumph of military Zionism / Colin Shindler.</t>
  </si>
  <si>
    <t>Shindler, Colin, 1946-</t>
  </si>
  <si>
    <t>London ; New York : I.B. Tauris, 2006.</t>
  </si>
  <si>
    <t>International library of political studies ; 9</t>
  </si>
  <si>
    <t>4917589487:eng</t>
  </si>
  <si>
    <t>60838348</t>
  </si>
  <si>
    <t>ocm60838348</t>
  </si>
  <si>
    <t>31024887440</t>
  </si>
  <si>
    <t>9781845110307</t>
  </si>
  <si>
    <t>793944975</t>
  </si>
  <si>
    <t>UA853 I8 V37297 2004</t>
  </si>
  <si>
    <t>0                      UA 0853000I  8                  V  37297       2004</t>
  </si>
  <si>
    <t>Defending Israel : a controversial plan toward peace / Martin Van Creveld.</t>
  </si>
  <si>
    <t>New York : Thomas Dunne Books/St. Martin's Press, 2004.</t>
  </si>
  <si>
    <t>57096156:eng</t>
  </si>
  <si>
    <t>56524365</t>
  </si>
  <si>
    <t>ocm56524365</t>
  </si>
  <si>
    <t>31028249956</t>
  </si>
  <si>
    <t>9780312328665</t>
  </si>
  <si>
    <t>793895038</t>
  </si>
  <si>
    <t>UA853 I8 Y27 1987</t>
  </si>
  <si>
    <t>0                      UA 0853000I  8                  Y  27          1987</t>
  </si>
  <si>
    <t>Deterrence without the bomb : the politics of Israeli strategy / Avner Yaniv.</t>
  </si>
  <si>
    <t>Yaniv, A. (Avner)</t>
  </si>
  <si>
    <t>2019-11-04</t>
  </si>
  <si>
    <t>7949566:eng</t>
  </si>
  <si>
    <t>13498502</t>
  </si>
  <si>
    <t>ocm13498502</t>
  </si>
  <si>
    <t>3000479566K</t>
  </si>
  <si>
    <t>9780669111040</t>
  </si>
  <si>
    <t>792855587</t>
  </si>
  <si>
    <t>UA853 K5 C43 2006</t>
  </si>
  <si>
    <t>0                      UA 0853000K  5                  C  43          2006</t>
  </si>
  <si>
    <t>Nuclear showdown : North Korea takes on the world / Gordon G. Chang.</t>
  </si>
  <si>
    <t>Chang, Gordon G.</t>
  </si>
  <si>
    <t>New York : Random House, ©2006.</t>
  </si>
  <si>
    <t>793977196:eng</t>
  </si>
  <si>
    <t>61361634</t>
  </si>
  <si>
    <t>ocm61361634</t>
  </si>
  <si>
    <t>3102580939M</t>
  </si>
  <si>
    <t>9781400062942</t>
  </si>
  <si>
    <t>793951734</t>
  </si>
  <si>
    <t>UA853 K6 B55 2005</t>
  </si>
  <si>
    <t>0                      UA 0853000K  6                  B  55          2005</t>
  </si>
  <si>
    <t>Divided Korea : toward a culture of reconciliation / Roland Bleiker.</t>
  </si>
  <si>
    <t>Bleiker, Roland.</t>
  </si>
  <si>
    <t>Minneapolis : University of Minnesota Press, ©2005.</t>
  </si>
  <si>
    <t>Borderlines ; v. 25</t>
  </si>
  <si>
    <t>2015-07-20</t>
  </si>
  <si>
    <t>18174276:eng</t>
  </si>
  <si>
    <t>56840352</t>
  </si>
  <si>
    <t>ocm56840352</t>
  </si>
  <si>
    <t>31025451369</t>
  </si>
  <si>
    <t>9780816645565</t>
  </si>
  <si>
    <t>793902876</t>
  </si>
  <si>
    <t>UA853 K7 Y48 2012</t>
  </si>
  <si>
    <t>0                      UA 0853000K  7                  Y  48          2012</t>
  </si>
  <si>
    <t>Study of disciplinary problems in the North Korean Army / Lee Kyo Duk, Chung Kyu Sup.</t>
  </si>
  <si>
    <t>Yi, Kyo-dŏk, author.</t>
  </si>
  <si>
    <t>Seoul : Korea Institute for National Unification, 2012.</t>
  </si>
  <si>
    <t>Study series / Korea Institute for National Unification ; 12-01</t>
  </si>
  <si>
    <t>8912826065:eng</t>
  </si>
  <si>
    <t>824597240</t>
  </si>
  <si>
    <t>ocn824597240</t>
  </si>
  <si>
    <t>31034856732</t>
  </si>
  <si>
    <t>9788984796607</t>
  </si>
  <si>
    <t>794937946</t>
  </si>
  <si>
    <t>UA853 P19 E58 2008</t>
  </si>
  <si>
    <t>0                      UA 0853000P  19                 E  58          2008</t>
  </si>
  <si>
    <t>Entry-points to Palestinian security sector reform / Roland Friedrich, Arnold Luethold, eds.</t>
  </si>
  <si>
    <t>Baden-Baden : Nomos, 2008.</t>
  </si>
  <si>
    <t>Sustainable peace and global security governance ; v. 1</t>
  </si>
  <si>
    <t>896202437:eng</t>
  </si>
  <si>
    <t>185081982</t>
  </si>
  <si>
    <t>ocn185081982</t>
  </si>
  <si>
    <t>31031013829</t>
  </si>
  <si>
    <t>9783832935306</t>
  </si>
  <si>
    <t>794292356</t>
  </si>
  <si>
    <t>UA853 P3 C6 1999</t>
  </si>
  <si>
    <t>0                      UA 0853000P  3                  C  6           1999</t>
  </si>
  <si>
    <t>A history of the Pakistan army : wars and insurrections / Brian Cloughley.</t>
  </si>
  <si>
    <t>Cloughley, Brian.</t>
  </si>
  <si>
    <t>Karachi ; New York : Oxford University Press, 1999.</t>
  </si>
  <si>
    <t>2019-05-01</t>
  </si>
  <si>
    <t>10791479:eng</t>
  </si>
  <si>
    <t>41175043</t>
  </si>
  <si>
    <t>ocm41175043</t>
  </si>
  <si>
    <t>3102018544$</t>
  </si>
  <si>
    <t>9780195790153</t>
  </si>
  <si>
    <t>793586147</t>
  </si>
  <si>
    <t>UA853 P3 F37 2003</t>
  </si>
  <si>
    <t>0                      UA 0853000P  3                  F  37          2003</t>
  </si>
  <si>
    <t>Rethinking the national security of Pakistan : the price of strategic myopia / Ahmad Faruqui.</t>
  </si>
  <si>
    <t>Faruqui, Ahmad.</t>
  </si>
  <si>
    <t>Aldershot, Hampshire, England ; Burlington, VT : Ashgate, ©2003.</t>
  </si>
  <si>
    <t>2016-04-24</t>
  </si>
  <si>
    <t>1042725:eng</t>
  </si>
  <si>
    <t>48920485</t>
  </si>
  <si>
    <t>ocm48920485</t>
  </si>
  <si>
    <t>3102253440J</t>
  </si>
  <si>
    <t>9780754614975</t>
  </si>
  <si>
    <t>793730460</t>
  </si>
  <si>
    <t>UA853 P3 K43 1988</t>
  </si>
  <si>
    <t>0                      UA 0853000P  3                  K  43          1988</t>
  </si>
  <si>
    <t>Pakistan's security : the challenge and the response / Zulfiqar Ali Khan.</t>
  </si>
  <si>
    <t>Khan, Zulfiqar Ali, 1930-</t>
  </si>
  <si>
    <t>Lahore, Pakistan : Progressive Publishers, 1988.</t>
  </si>
  <si>
    <t>21439158:eng</t>
  </si>
  <si>
    <t>19369836</t>
  </si>
  <si>
    <t>ocm19369836</t>
  </si>
  <si>
    <t>3000643457M</t>
  </si>
  <si>
    <t>793055571</t>
  </si>
  <si>
    <t>UA853 P3 P35 1995</t>
  </si>
  <si>
    <t>0                      UA 0853000P  3                  P  35          1995</t>
  </si>
  <si>
    <t>Pakistan's security and the nuclear option / Shireen M. Mazari [and others] ; [editor] Tarik Jan.</t>
  </si>
  <si>
    <t>Islamabad, Pakistan : Institute of Policy Studies, 1995.</t>
  </si>
  <si>
    <t>474867934:eng</t>
  </si>
  <si>
    <t>34909772</t>
  </si>
  <si>
    <t>ocm34909772</t>
  </si>
  <si>
    <t>31015580550</t>
  </si>
  <si>
    <t>9789694480329</t>
  </si>
  <si>
    <t>793438576</t>
  </si>
  <si>
    <t>UA853 S33 S24 1985</t>
  </si>
  <si>
    <t>0                      UA 0853000S  33                 S  24          1985</t>
  </si>
  <si>
    <t>Saudi Arabia : the ceaseless quest for security / Nadav Safran.</t>
  </si>
  <si>
    <t>Safran, Nadav.</t>
  </si>
  <si>
    <t>Cambridge, Mass. : Belknap Press of Harvard University Press, 1985.</t>
  </si>
  <si>
    <t>2014-11-11</t>
  </si>
  <si>
    <t>4380665:eng</t>
  </si>
  <si>
    <t>11812496</t>
  </si>
  <si>
    <t>ocm11812496</t>
  </si>
  <si>
    <t>31000216524</t>
  </si>
  <si>
    <t>9780674789852</t>
  </si>
  <si>
    <t>792788998</t>
  </si>
  <si>
    <t>31000216532</t>
  </si>
  <si>
    <t>792788996</t>
  </si>
  <si>
    <t>UA853 T28 A2 2009</t>
  </si>
  <si>
    <t>0                      UA 0853000T  28                 A  2           2009</t>
  </si>
  <si>
    <t>A question of balance : political context and military aspects of the China-Taiwan dispute / David A. Shlapak [and others].</t>
  </si>
  <si>
    <t>Santa Monica, CA : Rand, 2009.</t>
  </si>
  <si>
    <t>Rand Corporation monograph series ; MG-888-SRF</t>
  </si>
  <si>
    <t>836395421:eng</t>
  </si>
  <si>
    <t>383822208</t>
  </si>
  <si>
    <t>ocn383822208</t>
  </si>
  <si>
    <t>31031320369</t>
  </si>
  <si>
    <t>9780833047465</t>
  </si>
  <si>
    <t>794495466</t>
  </si>
  <si>
    <t>UA853 T28 C58 2006</t>
  </si>
  <si>
    <t>0                      UA 0853000T  28                 C  58          2006</t>
  </si>
  <si>
    <t>Taiwan's security : history and prospects / Bernard D. Cole.</t>
  </si>
  <si>
    <t>Cole, Bernard D., 1943-</t>
  </si>
  <si>
    <t>800413924:eng</t>
  </si>
  <si>
    <t>61240598</t>
  </si>
  <si>
    <t>ocm61240598</t>
  </si>
  <si>
    <t>3102489775R</t>
  </si>
  <si>
    <t>9780415365819</t>
  </si>
  <si>
    <t>793949534</t>
  </si>
  <si>
    <t>UA853 T28 N49 2011</t>
  </si>
  <si>
    <t>0                      UA 0853000T  28                 N  49          2011</t>
  </si>
  <si>
    <t>New opportunities and challenges for Taiwan's security / Roger Cliff, Phillip C. Saunders, Scott Harold [editors].</t>
  </si>
  <si>
    <t>Santa Monica, CA : Rand Corp., 2011.</t>
  </si>
  <si>
    <t>Conference proceedings ; CF-279-OSD</t>
  </si>
  <si>
    <t>889542652:eng</t>
  </si>
  <si>
    <t>709666446</t>
  </si>
  <si>
    <t>ocn709666446</t>
  </si>
  <si>
    <t>3103369444E</t>
  </si>
  <si>
    <t>9780833051493</t>
  </si>
  <si>
    <t>794869565</t>
  </si>
  <si>
    <t>UA853 T28 S55 2000</t>
  </si>
  <si>
    <t>0                      UA 0853000T  28                 S  55          2000</t>
  </si>
  <si>
    <t>Dire strait? : military aspects of the China-Taiwan confrontation and options for U.S. policy / David A. Shlapak, David T. Orletsky, Barry A. Wilson.</t>
  </si>
  <si>
    <t>Shlapak, David A.</t>
  </si>
  <si>
    <t>Santa Monica, CA : Rand, 2000.</t>
  </si>
  <si>
    <t>12630319:eng</t>
  </si>
  <si>
    <t>44818602</t>
  </si>
  <si>
    <t>ocm44818602</t>
  </si>
  <si>
    <t>3102077778H</t>
  </si>
  <si>
    <t>9780833028976</t>
  </si>
  <si>
    <t>793658885</t>
  </si>
  <si>
    <t>UA853 T28 T348 2014</t>
  </si>
  <si>
    <t>0                      UA 0853000T  28                 T  348         2014</t>
  </si>
  <si>
    <t>Tai hai wei ji = Taiwan strait crisis / bian ji: Zhou Xiuhuan, Chen Zhongyu.</t>
  </si>
  <si>
    <t>Taibei Shi : Guo shi guan, Minguo 103- [2014-]</t>
  </si>
  <si>
    <t>Chu ban.</t>
  </si>
  <si>
    <t>Zhonghua Minguo zheng fu qian Tai chu qi zhong yao shi liao hui bian</t>
  </si>
  <si>
    <t>2209113524:chi</t>
  </si>
  <si>
    <t>903940001</t>
  </si>
  <si>
    <t>ocn903940001</t>
  </si>
  <si>
    <t>3103200970S</t>
  </si>
  <si>
    <t>9789860426557</t>
  </si>
  <si>
    <t>794989830</t>
  </si>
  <si>
    <t>3103200975S</t>
  </si>
  <si>
    <t>794989829</t>
  </si>
  <si>
    <t>UA853 T5 L57</t>
  </si>
  <si>
    <t>0                      UA 0853000T  5                  L  57</t>
  </si>
  <si>
    <t>Military roles in modernization : civil-military relations in Thailand and Burma / Moshe Lissak.</t>
  </si>
  <si>
    <t>Lissak, Moshe, 1928-2018.</t>
  </si>
  <si>
    <t>Beverly Hills, Calif. : Sage Publications, ©1976.</t>
  </si>
  <si>
    <t>Sage series on armed forces and society ; v. 8</t>
  </si>
  <si>
    <t>2019-11-02</t>
  </si>
  <si>
    <t>144941100:eng</t>
  </si>
  <si>
    <t>1818114</t>
  </si>
  <si>
    <t>ocm01818114</t>
  </si>
  <si>
    <t>3000173817Z</t>
  </si>
  <si>
    <t>9780803904361</t>
  </si>
  <si>
    <t>791993645</t>
  </si>
  <si>
    <t>UA853 T5 S834 1987</t>
  </si>
  <si>
    <t>0                      UA 0853000T  5                  S  834         1987</t>
  </si>
  <si>
    <t>The military in Thai politics, 1981-86 / Suchit Bunbongkarn.</t>
  </si>
  <si>
    <t>Suchit Bunbongkarn.</t>
  </si>
  <si>
    <t>Singapore : Institute of Southeast Asian Studies, 1987.</t>
  </si>
  <si>
    <t>16750229:eng</t>
  </si>
  <si>
    <t>17931553</t>
  </si>
  <si>
    <t>ocm17931553</t>
  </si>
  <si>
    <t>3100484894C</t>
  </si>
  <si>
    <t>9789971988616</t>
  </si>
  <si>
    <t>793007874</t>
  </si>
  <si>
    <t>UA854 P65 2004</t>
  </si>
  <si>
    <t>0                      UA 0854000P  65          2004</t>
  </si>
  <si>
    <t>Arabs at war : military effectiveness, 1948-1991 / Kenneth M. Pollack ; with an afterword by the author.</t>
  </si>
  <si>
    <t>Pollack, Kenneth M. (Kenneth Michael), 1966-</t>
  </si>
  <si>
    <t>Lincoln : University of Nebraska Press, 2004.</t>
  </si>
  <si>
    <t>795406659:eng</t>
  </si>
  <si>
    <t>55078123</t>
  </si>
  <si>
    <t>ocm55078123</t>
  </si>
  <si>
    <t>31029806219</t>
  </si>
  <si>
    <t>9780803287839</t>
  </si>
  <si>
    <t>793873941</t>
  </si>
  <si>
    <t>UA854.8 B55 1991</t>
  </si>
  <si>
    <t>0                      UA 0854800B  55          1991</t>
  </si>
  <si>
    <t>Islamic military resurgence / Abdul Rahman Bilal.</t>
  </si>
  <si>
    <t>Bilal, Abdul Rahman.</t>
  </si>
  <si>
    <t>Lahore : Ferozsons, 1991.</t>
  </si>
  <si>
    <t>26821625:eng</t>
  </si>
  <si>
    <t>24475799</t>
  </si>
  <si>
    <t>ocm24475799</t>
  </si>
  <si>
    <t>3101138200K</t>
  </si>
  <si>
    <t>9789690100801</t>
  </si>
  <si>
    <t>793199095</t>
  </si>
  <si>
    <t>UA855 C575 1988</t>
  </si>
  <si>
    <t>0                      UA 0855000C  575         1988</t>
  </si>
  <si>
    <t>France, soldiers, and Africa / by Anthony Clayton.</t>
  </si>
  <si>
    <t>London ; Washington : Brassey's Defence Publishers, 1988.</t>
  </si>
  <si>
    <t>13643307:eng</t>
  </si>
  <si>
    <t>16873865</t>
  </si>
  <si>
    <t>ocm16873865</t>
  </si>
  <si>
    <t>30006423532</t>
  </si>
  <si>
    <t>9780080347486</t>
  </si>
  <si>
    <t>792975965</t>
  </si>
  <si>
    <t>UA855.5 P38 1999</t>
  </si>
  <si>
    <t>0                      UA 0855500P  38          1999</t>
  </si>
  <si>
    <t>The African rank-and-file : social implications of colonial military service in the King's African Rifles, 1902-1964 / Timothy H. Parsons.</t>
  </si>
  <si>
    <t>Parsons, Timothy, 1962-</t>
  </si>
  <si>
    <t>Portsmouth, NH : Heinemann, ©1999.</t>
  </si>
  <si>
    <t>Social history of Africa, 1099-8098</t>
  </si>
  <si>
    <t>2015-09-02</t>
  </si>
  <si>
    <t>289497156:eng</t>
  </si>
  <si>
    <t>41076298</t>
  </si>
  <si>
    <t>ocm41076298</t>
  </si>
  <si>
    <t>3102895757I</t>
  </si>
  <si>
    <t>9780325001418</t>
  </si>
  <si>
    <t>793583317</t>
  </si>
  <si>
    <t>UA855.7 S64 2010</t>
  </si>
  <si>
    <t>0                      UA 0855700S  64          2010</t>
  </si>
  <si>
    <t>Civil war in African states : the search for security / Ian S. Spears.</t>
  </si>
  <si>
    <t>Spears, Ian S.</t>
  </si>
  <si>
    <t>Boulder, Colo. : FirstForumPress, 2010.</t>
  </si>
  <si>
    <t>2017-10-19</t>
  </si>
  <si>
    <t>796276713:eng</t>
  </si>
  <si>
    <t>505423772</t>
  </si>
  <si>
    <t>ocn505423772</t>
  </si>
  <si>
    <t>31032356634</t>
  </si>
  <si>
    <t>9781935049203</t>
  </si>
  <si>
    <t>794807180</t>
  </si>
  <si>
    <t>UA855.7 T48 1984</t>
  </si>
  <si>
    <t>0                      UA 0855700T  48          1984</t>
  </si>
  <si>
    <t>Mercenary troops in modern Africa / Gerry S. Thomas.</t>
  </si>
  <si>
    <t>Thomas, Gerry S.</t>
  </si>
  <si>
    <t>Boulder [Colo.] : Westview Press, 1984.</t>
  </si>
  <si>
    <t>A Westview replica edition</t>
  </si>
  <si>
    <t>2017-10-25</t>
  </si>
  <si>
    <t>4024309:eng</t>
  </si>
  <si>
    <t>11133051</t>
  </si>
  <si>
    <t>ocm11133051</t>
  </si>
  <si>
    <t>3000370131X</t>
  </si>
  <si>
    <t>9780865318908</t>
  </si>
  <si>
    <t>792759529</t>
  </si>
  <si>
    <t>UA855.7 T56 2010</t>
  </si>
  <si>
    <t>0                      UA 0855700T  56          2010</t>
  </si>
  <si>
    <t>African wars : a defense intelligence perspective / William G. Thom.</t>
  </si>
  <si>
    <t>Thom, William G., 1945-</t>
  </si>
  <si>
    <t>Calgary : University of Calgary Press, ©2010.</t>
  </si>
  <si>
    <t>Africa, missing voices series ; no. 7</t>
  </si>
  <si>
    <t>2019-04-16</t>
  </si>
  <si>
    <t>520153649:eng</t>
  </si>
  <si>
    <t>648936201</t>
  </si>
  <si>
    <t>ocn648936201</t>
  </si>
  <si>
    <t>3103266972B</t>
  </si>
  <si>
    <t>9781552382738</t>
  </si>
  <si>
    <t>794831529</t>
  </si>
  <si>
    <t>UA856 L46 1983</t>
  </si>
  <si>
    <t>0                      UA 0856000L  46          1983</t>
  </si>
  <si>
    <t>South Africa at war : White power and the crisis in southern Africa / Richard Leonard.</t>
  </si>
  <si>
    <t>Leonard, Richard, 1944-</t>
  </si>
  <si>
    <t>Westport, Conn. : L. Hill, ©1983.</t>
  </si>
  <si>
    <t>2006-11-02</t>
  </si>
  <si>
    <t>2016-12-18</t>
  </si>
  <si>
    <t>366789174:eng</t>
  </si>
  <si>
    <t>9132155</t>
  </si>
  <si>
    <t>ocm09132155</t>
  </si>
  <si>
    <t>3000164205U</t>
  </si>
  <si>
    <t>9780882081083</t>
  </si>
  <si>
    <t>792658842</t>
  </si>
  <si>
    <t>3000356068X</t>
  </si>
  <si>
    <t>792658841</t>
  </si>
  <si>
    <t>UA862.5 T66 2013</t>
  </si>
  <si>
    <t>0                      UA 0862500T  66          2013</t>
  </si>
  <si>
    <t>Study war no more : military tactics of a Sudanese rebel movement, the case of JEM / Abdullahi Osman El-Tom.</t>
  </si>
  <si>
    <t>Tom, Abdullahi Osman El-</t>
  </si>
  <si>
    <t>Trenton, NJ : Red Sea Press, ©2013.</t>
  </si>
  <si>
    <t>2014-03-18</t>
  </si>
  <si>
    <t>1168794065:eng</t>
  </si>
  <si>
    <t>810586726</t>
  </si>
  <si>
    <t>ocn810586726</t>
  </si>
  <si>
    <t>3103528809M</t>
  </si>
  <si>
    <t>9781569023747</t>
  </si>
  <si>
    <t>794929494</t>
  </si>
  <si>
    <t>UA865 B37 1992</t>
  </si>
  <si>
    <t>0                      UA 0865000B  37          1992</t>
  </si>
  <si>
    <t>Confronting the costs of war : military power, state, and society in Egypt and Israel / Michael N. Barnett.</t>
  </si>
  <si>
    <t>Barnett, Michael N., 1960-</t>
  </si>
  <si>
    <t>Princeton, N.J. : Princeton University Press, ©1992.</t>
  </si>
  <si>
    <t>2019-12-05</t>
  </si>
  <si>
    <t>793900506:eng</t>
  </si>
  <si>
    <t>24430869</t>
  </si>
  <si>
    <t>ocm24430869</t>
  </si>
  <si>
    <t>3102906833H</t>
  </si>
  <si>
    <t>9780691078830</t>
  </si>
  <si>
    <t>793198196</t>
  </si>
  <si>
    <t>UA869 S54 J33 2011</t>
  </si>
  <si>
    <t>0                      UA 0869000S  54                 J  33          2011</t>
  </si>
  <si>
    <t>Reconstructing security after conflict : security sector reform in Sierra Leone / Paul Jackson, Peter Albrecht.</t>
  </si>
  <si>
    <t>Jackson, Paul, 1968 April 24-</t>
  </si>
  <si>
    <t>Basingstoke, Hampshire [U.K.] ; New York : Palgrave Macmillan, 2011.</t>
  </si>
  <si>
    <t>New security challenges series</t>
  </si>
  <si>
    <t>2017-04-06</t>
  </si>
  <si>
    <t>814139970:eng</t>
  </si>
  <si>
    <t>691111392</t>
  </si>
  <si>
    <t>ocn691111392</t>
  </si>
  <si>
    <t>3103233388H</t>
  </si>
  <si>
    <t>9780230239005</t>
  </si>
  <si>
    <t>794855708</t>
  </si>
  <si>
    <t>UA870 K45 2018</t>
  </si>
  <si>
    <t>0                      UA 0870000K  45          2018</t>
  </si>
  <si>
    <t>ANZUS and the early Cold War : strategy and diplomacy between Australia, New Zealand and the United States, 1945-1956 / Andrew Kelly.</t>
  </si>
  <si>
    <t>Kelly, Andrew, author.</t>
  </si>
  <si>
    <t>Cambridge, UK : Open Book Publishers, [2018]</t>
  </si>
  <si>
    <t>5464120119:eng</t>
  </si>
  <si>
    <t>1062398031</t>
  </si>
  <si>
    <t>on1062398031</t>
  </si>
  <si>
    <t>31038098317</t>
  </si>
  <si>
    <t>9781783744954</t>
  </si>
  <si>
    <t>795065160</t>
  </si>
  <si>
    <t>UA870 L47 2011</t>
  </si>
  <si>
    <t>0                      UA 0870000L  47          2011</t>
  </si>
  <si>
    <t>Lessons from U.S. allies in security cooperation with third countries : the cases of Australia, France, and the United Kingdom / Jennifer D.P. Moroney [and others].</t>
  </si>
  <si>
    <t>Report</t>
  </si>
  <si>
    <t>1008057261:eng</t>
  </si>
  <si>
    <t>750401519</t>
  </si>
  <si>
    <t>ocn750401519</t>
  </si>
  <si>
    <t>3103485042Q</t>
  </si>
  <si>
    <t>9780833052629</t>
  </si>
  <si>
    <t>794890184</t>
  </si>
  <si>
    <t>UA880 A73 1989</t>
  </si>
  <si>
    <t>0                      UA 0880000A  73          1989</t>
  </si>
  <si>
    <t>The Arctic : choices for peace and security : proceedings of a public inquiry / Thomas R. Berger, Alexei Rodionov, Douglas Roche and 21 other speakers ; presented by the True North Strong &amp; Free Inquiry Society.</t>
  </si>
  <si>
    <t>West Vancouver, Canada ; Seattle, U.S.A. : Gordon Soules Book Publishers, ©1989.</t>
  </si>
  <si>
    <t>346073230:eng</t>
  </si>
  <si>
    <t>21409342</t>
  </si>
  <si>
    <t>ocm21409342</t>
  </si>
  <si>
    <t>31002177228</t>
  </si>
  <si>
    <t>9780919574823</t>
  </si>
  <si>
    <t>793118113</t>
  </si>
  <si>
    <t>UA880 A76 2011</t>
  </si>
  <si>
    <t>0                      UA 0880000A  76          2011</t>
  </si>
  <si>
    <t>Arctic security in an age of climate change / edited by James Kraska.</t>
  </si>
  <si>
    <t>772806343:eng</t>
  </si>
  <si>
    <t>698361231</t>
  </si>
  <si>
    <t>ocn698361231</t>
  </si>
  <si>
    <t>31033636141</t>
  </si>
  <si>
    <t>9781107006607</t>
  </si>
  <si>
    <t>794861009</t>
  </si>
  <si>
    <t>UA880 B7413 2018</t>
  </si>
  <si>
    <t>0                      UA 0880000B  7413        2018</t>
  </si>
  <si>
    <t>Cold rush : the astonishing true story of the new quest for the polar north / Martin Breum</t>
  </si>
  <si>
    <t>Breum, Martin, author.</t>
  </si>
  <si>
    <t>Montreal &amp; Kingston ; Chicago : McGill-Queen's University Press, 2018.</t>
  </si>
  <si>
    <t>4652700254:eng</t>
  </si>
  <si>
    <t>1013481941</t>
  </si>
  <si>
    <t>on1013481941</t>
  </si>
  <si>
    <t>3103730669O</t>
  </si>
  <si>
    <t>9780773553637</t>
  </si>
  <si>
    <t>795047090</t>
  </si>
  <si>
    <t>UA880 C36 1993</t>
  </si>
  <si>
    <t>0                      UA 0880000C  36          1993</t>
  </si>
  <si>
    <t>Arctic security after the thaw : a post-Cold War reassessment : report of the Panel on Arctic Security / prepared by Peter Gizewski.</t>
  </si>
  <si>
    <t>Canadian Centre for Global Security. Panel on Arctic Security.</t>
  </si>
  <si>
    <t>Ottawa : Canadian Centre for Global Security = Centre canadien pour la sécurité mondiale, 1993.</t>
  </si>
  <si>
    <t>Aurora papers, 0825-1916 ; 17</t>
  </si>
  <si>
    <t>350130711:eng</t>
  </si>
  <si>
    <t>27383551</t>
  </si>
  <si>
    <t>ocm27383551</t>
  </si>
  <si>
    <t>31015473533</t>
  </si>
  <si>
    <t>9780920357354</t>
  </si>
  <si>
    <t>793265304</t>
  </si>
  <si>
    <t>UA880 F38 2013</t>
  </si>
  <si>
    <t>0                      UA 0880000F  38          2013</t>
  </si>
  <si>
    <t>The fast-changing Arctic : rethinking Arctic security for a warmer world / edited by Barry Scott Zellen.</t>
  </si>
  <si>
    <t>Calgary, AB : University of Calgary Press, ©2013.</t>
  </si>
  <si>
    <t>Northern lights series, 1701-0004 ; no. 15</t>
  </si>
  <si>
    <t>1158594633:eng</t>
  </si>
  <si>
    <t>825161157</t>
  </si>
  <si>
    <t>ocn825161157</t>
  </si>
  <si>
    <t>3103492543I</t>
  </si>
  <si>
    <t>9781552386460</t>
  </si>
  <si>
    <t>794938519</t>
  </si>
  <si>
    <t>UA880 F87 2016</t>
  </si>
  <si>
    <t>0                      UA 0880000F  87          2016</t>
  </si>
  <si>
    <t>Future security of the global Arctic : state policy, economic security, and climate / edited by Lassi Heininen.</t>
  </si>
  <si>
    <t>New York : Palgrave Pivot, 2015.</t>
  </si>
  <si>
    <t>2643941793:eng</t>
  </si>
  <si>
    <t>928750493</t>
  </si>
  <si>
    <t>ocn928750493</t>
  </si>
  <si>
    <t>3103657743Z</t>
  </si>
  <si>
    <t>9781137468246</t>
  </si>
  <si>
    <t>795006358</t>
  </si>
  <si>
    <t>UA915 S73 B22 2012</t>
  </si>
  <si>
    <t>0                      UA 0915000S  73                 B  22          2012</t>
  </si>
  <si>
    <t>From civilians to soldiers and from soldiers to civilians : mobilization and demobilization in Sudan / Saskia Baas.</t>
  </si>
  <si>
    <t>Baas, Saskia.</t>
  </si>
  <si>
    <t>Amsterdam : Amsterdam University Press, 2012.</t>
  </si>
  <si>
    <t>1079129193:eng</t>
  </si>
  <si>
    <t>795013502</t>
  </si>
  <si>
    <t>ocn795013502</t>
  </si>
  <si>
    <t>3103532789S</t>
  </si>
  <si>
    <t>9789089643964</t>
  </si>
  <si>
    <t>794920807</t>
  </si>
  <si>
    <t>UA926 I26 1958</t>
  </si>
  <si>
    <t>0                      UA 0926000I  26          1958</t>
  </si>
  <si>
    <t>The social impact of bomb destruction.</t>
  </si>
  <si>
    <t>Iklé, Fred Charles.</t>
  </si>
  <si>
    <t>Norman, University of Oklahoma Press [1958]</t>
  </si>
  <si>
    <t>2016-02-06</t>
  </si>
  <si>
    <t>1664323:eng</t>
  </si>
  <si>
    <t>569114</t>
  </si>
  <si>
    <t>ocm00569114</t>
  </si>
  <si>
    <t>3101141236S</t>
  </si>
  <si>
    <t>791417148</t>
  </si>
  <si>
    <t>UA926 Z77</t>
  </si>
  <si>
    <t>0                      UA 0926000Z  77</t>
  </si>
  <si>
    <t>Safeguarding our cultural heritage : a bibliography on the protection of museums, works of art, monuments, archives and libraries in time of war / compiled by Nelson R. Burr.</t>
  </si>
  <si>
    <t>Library of Congress. General Reference and Bibliography Division.</t>
  </si>
  <si>
    <t>Washington, DC : Library of Congress, 1952.</t>
  </si>
  <si>
    <t>1952</t>
  </si>
  <si>
    <t>8908882237:eng</t>
  </si>
  <si>
    <t>4612434</t>
  </si>
  <si>
    <t>ocm04612434</t>
  </si>
  <si>
    <t>30006459271</t>
  </si>
  <si>
    <t>792368205</t>
  </si>
  <si>
    <t>UA927 C66 2006</t>
  </si>
  <si>
    <t>0                      UA 0927000C  66          2006</t>
  </si>
  <si>
    <t>Combating terrorism : how prepared are state and local response organizations? / Lois M. Davis [and others].</t>
  </si>
  <si>
    <t>Santa Monica, CA : RAND National Defense Research Institute, 2006.</t>
  </si>
  <si>
    <t>137550667:eng</t>
  </si>
  <si>
    <t>74029353</t>
  </si>
  <si>
    <t>ocm74029353</t>
  </si>
  <si>
    <t>31026866203</t>
  </si>
  <si>
    <t>9780833037381</t>
  </si>
  <si>
    <t>794171891</t>
  </si>
  <si>
    <t>UA927 D39 2007</t>
  </si>
  <si>
    <t>0                      UA 0927000D  39          2007</t>
  </si>
  <si>
    <t>Stages of emergency : Cold War nuclear civil defense / Tracy C. Davis.</t>
  </si>
  <si>
    <t>Davis, Tracy C., 1960-</t>
  </si>
  <si>
    <t>Durham, N.C. : Duke University Press, ©2007.</t>
  </si>
  <si>
    <t>865192799:eng</t>
  </si>
  <si>
    <t>74648934</t>
  </si>
  <si>
    <t>ocm74648934</t>
  </si>
  <si>
    <t>3102637941B</t>
  </si>
  <si>
    <t>9780822339595</t>
  </si>
  <si>
    <t>794173381</t>
  </si>
  <si>
    <t>UA927 E78 2006</t>
  </si>
  <si>
    <t>0                      UA 0927000E  78          2006</t>
  </si>
  <si>
    <t>Open target : where America is vulnerable to attack / Clark Kent Ervin.</t>
  </si>
  <si>
    <t>Ervin, Clark Kent, 1959-</t>
  </si>
  <si>
    <t>New York : Palgrave Macmillan, 2006.</t>
  </si>
  <si>
    <t>47050205:eng</t>
  </si>
  <si>
    <t>62728674</t>
  </si>
  <si>
    <t>ocm62728674</t>
  </si>
  <si>
    <t>3102597318B</t>
  </si>
  <si>
    <t>9781403972880</t>
  </si>
  <si>
    <t>794111349</t>
  </si>
  <si>
    <t>UA927 G73 2017</t>
  </si>
  <si>
    <t>0                      UA 0927000G  73          2017</t>
  </si>
  <si>
    <t>Raven Rock : the story of the U.S. government's secret plan to save itself -- while the rest of us die / Garrett M. Graff.</t>
  </si>
  <si>
    <t>Graff, Garrett M., 1981- author.</t>
  </si>
  <si>
    <t>New York ; London ; Toronto : Simon &amp; Schuster, [2017]</t>
  </si>
  <si>
    <t>First Simon &amp; Schuster hardcover edition.</t>
  </si>
  <si>
    <t>4191860117:eng</t>
  </si>
  <si>
    <t>971248821</t>
  </si>
  <si>
    <t>ocn971248821</t>
  </si>
  <si>
    <t>3103671186M</t>
  </si>
  <si>
    <t>9781476735405</t>
  </si>
  <si>
    <t>795028099</t>
  </si>
  <si>
    <t>UA927 M3 1941</t>
  </si>
  <si>
    <t>0                      UA 0927000M  3           1941</t>
  </si>
  <si>
    <t>The specter of sabotage, by Blayney F. Matthews ...</t>
  </si>
  <si>
    <t>Matthews, Blayney F., 1894-</t>
  </si>
  <si>
    <t>Los Angeles, Calif., Lymanhouse [©1941]</t>
  </si>
  <si>
    <t>2015-04-28</t>
  </si>
  <si>
    <t>2660703:eng</t>
  </si>
  <si>
    <t>1726068</t>
  </si>
  <si>
    <t>ocm01726068</t>
  </si>
  <si>
    <t>3102904907S</t>
  </si>
  <si>
    <t>791855345</t>
  </si>
  <si>
    <t>UA927 M33 2000</t>
  </si>
  <si>
    <t>0                      UA 0927000M  33          2000</t>
  </si>
  <si>
    <t>Civil defense begins at home : militarization meets everyday life in the fifties / Laura McEnaney.</t>
  </si>
  <si>
    <t>McEnaney, Laura, 1960-</t>
  </si>
  <si>
    <t>Princeton, N.J. : Princeton University Press, ©2000.</t>
  </si>
  <si>
    <t>Politics and society in twentieth-century America</t>
  </si>
  <si>
    <t>205791593:eng</t>
  </si>
  <si>
    <t>43083317</t>
  </si>
  <si>
    <t>ocm43083317</t>
  </si>
  <si>
    <t>3102574716L</t>
  </si>
  <si>
    <t>9780691001388</t>
  </si>
  <si>
    <t>793619923</t>
  </si>
  <si>
    <t>UA927 R67 2001</t>
  </si>
  <si>
    <t>0                      UA 0927000R  67          2001</t>
  </si>
  <si>
    <t>One nation underground : the fallout shelter in American culture / Kenneth D. Rose.</t>
  </si>
  <si>
    <t>Rose, Kenneth D. (Kenneth David), 1946-</t>
  </si>
  <si>
    <t>New York : New York University Press, [2004], ©2001.</t>
  </si>
  <si>
    <t>American history and culture</t>
  </si>
  <si>
    <t>2016-10-19</t>
  </si>
  <si>
    <t>793983570:eng</t>
  </si>
  <si>
    <t>55590640</t>
  </si>
  <si>
    <t>ocm55590640</t>
  </si>
  <si>
    <t>3102421732N</t>
  </si>
  <si>
    <t>9780814775233</t>
  </si>
  <si>
    <t>793878889</t>
  </si>
  <si>
    <t>UA927 V35 1987</t>
  </si>
  <si>
    <t>0                      UA 0927000V  35          1987</t>
  </si>
  <si>
    <t>The limits of civil defence in the USA, Switzerland, Britain, and the Soviet Union : the evolution of policies since 1945 / Lawrence J. Vale.</t>
  </si>
  <si>
    <t>Vale, Lawrence J., 1959-</t>
  </si>
  <si>
    <t>New York : St. Martin's Press, 1987.</t>
  </si>
  <si>
    <t>2017-04-18</t>
  </si>
  <si>
    <t>7211982:eng</t>
  </si>
  <si>
    <t>14167024</t>
  </si>
  <si>
    <t>ocm14167024</t>
  </si>
  <si>
    <t>30005327254</t>
  </si>
  <si>
    <t>9780312000820</t>
  </si>
  <si>
    <t>792880415</t>
  </si>
  <si>
    <t>UA929 C2 B87 2012</t>
  </si>
  <si>
    <t>0                      UA 0929000C  2                  B  87          2012</t>
  </si>
  <si>
    <t>Give me shelter : the failure of Canada's Cold War civil defence / Andrew Burtch.</t>
  </si>
  <si>
    <t>Burtch, Andrew Paul, 1978-</t>
  </si>
  <si>
    <t>Vancouver : UBC Press, ©2012.</t>
  </si>
  <si>
    <t>Studies in Canadian military history, 1499-6251</t>
  </si>
  <si>
    <t>1042119475:eng</t>
  </si>
  <si>
    <t>759669178</t>
  </si>
  <si>
    <t>ocn759669178</t>
  </si>
  <si>
    <t>3103326959T</t>
  </si>
  <si>
    <t>9780774822404</t>
  </si>
  <si>
    <t>794897615</t>
  </si>
  <si>
    <t>UA929 G7 S6</t>
  </si>
  <si>
    <t>0                      UA 0929000G  7                  S  6</t>
  </si>
  <si>
    <t>Citizens in war, and after; foreword by Herbert Morrison. 48 colour photographs by John Hinde.</t>
  </si>
  <si>
    <t>Spender, Stephen, 1909-1995.</t>
  </si>
  <si>
    <t>London, G.G. Harrap [1945]</t>
  </si>
  <si>
    <t>2015-04-27</t>
  </si>
  <si>
    <t>2363770:eng</t>
  </si>
  <si>
    <t>1521823</t>
  </si>
  <si>
    <t>ocm01521823</t>
  </si>
  <si>
    <t>3000554887U</t>
  </si>
  <si>
    <t>791689693</t>
  </si>
  <si>
    <t>UA943 A76 2012</t>
  </si>
  <si>
    <t>0                      UA 0943000A  76          2012</t>
  </si>
  <si>
    <t>Army network-enabled operations : expectations, performance, and opportunities for future improvements / Timothy M. Bonds [and others].</t>
  </si>
  <si>
    <t>1096938167:eng</t>
  </si>
  <si>
    <t>314378523</t>
  </si>
  <si>
    <t>ocn314378523</t>
  </si>
  <si>
    <t>31035271432</t>
  </si>
  <si>
    <t>9780833046833</t>
  </si>
  <si>
    <t>794438437</t>
  </si>
  <si>
    <t>UA943 C66 2013</t>
  </si>
  <si>
    <t>0                      UA 0943000C  66          2013</t>
  </si>
  <si>
    <t>Virtual collaboration for a distributed enterprise / Amado Cordova, Kirsten M. Keller, Lance Menthe, Carl Rhodes, Rand Project Air Force, Prepared for the United States Air Force, Approved for public release, distribution unlimited.</t>
  </si>
  <si>
    <t>Cordova, Amado.</t>
  </si>
  <si>
    <t>1390685085:eng</t>
  </si>
  <si>
    <t>833631069</t>
  </si>
  <si>
    <t>ocn833631069</t>
  </si>
  <si>
    <t>31035180564</t>
  </si>
  <si>
    <t>9780833080035</t>
  </si>
  <si>
    <t>794944267</t>
  </si>
  <si>
    <t>UA945 C2 P38 2013</t>
  </si>
  <si>
    <t>0                      UA 0945000C  2                  P  38          2013</t>
  </si>
  <si>
    <t>Semaphore to satellite : a story of Canadian military communications, 1903-2013 / BGen William J. Patterson OMM, CD (Ret'd).</t>
  </si>
  <si>
    <t>Patterson, William J. (William John), 1930-, author.</t>
  </si>
  <si>
    <t>Altona, MB : The Miltary Communications and Electronics Museum Foundation, 2013.</t>
  </si>
  <si>
    <t>1789506186:eng</t>
  </si>
  <si>
    <t>853309215</t>
  </si>
  <si>
    <t>ocn853309215</t>
  </si>
  <si>
    <t>3103645056X</t>
  </si>
  <si>
    <t>9781771362344</t>
  </si>
  <si>
    <t>794952050</t>
  </si>
  <si>
    <t>UA990 P4</t>
  </si>
  <si>
    <t>0                      UA 0990000P  4</t>
  </si>
  <si>
    <t>Military geography / by Louis C. Peltier and G. Etzel Pearcy.</t>
  </si>
  <si>
    <t>Peltier, Louis C.</t>
  </si>
  <si>
    <t>Princeton, N.J. : Van Nostrand, 1966.</t>
  </si>
  <si>
    <t>Van Nostrand searchlight book ; #30</t>
  </si>
  <si>
    <t>1693025:eng</t>
  </si>
  <si>
    <t>573217</t>
  </si>
  <si>
    <t>ocm00573217</t>
  </si>
  <si>
    <t>30005894970</t>
  </si>
  <si>
    <t>791418297</t>
  </si>
  <si>
    <t>UB21.75 C37 2010</t>
  </si>
  <si>
    <t>0                      UB 0021750C  37          2010</t>
  </si>
  <si>
    <t>Intrepid women : cantinières and vivandières of the French army / Thomas Cardoza.</t>
  </si>
  <si>
    <t>Cardoza, Thomas, 1962-</t>
  </si>
  <si>
    <t>Bloomington : Indiana University Press, ©2010.</t>
  </si>
  <si>
    <t xml:space="preserve">UB </t>
  </si>
  <si>
    <t>2017-07-10</t>
  </si>
  <si>
    <t>796112757:eng</t>
  </si>
  <si>
    <t>419874310</t>
  </si>
  <si>
    <t>ocn419874310</t>
  </si>
  <si>
    <t>31032419832</t>
  </si>
  <si>
    <t>9780253354518</t>
  </si>
  <si>
    <t>794503477</t>
  </si>
  <si>
    <t>UB147 J3 1961</t>
  </si>
  <si>
    <t>0                      UB 0147000J  3           1961</t>
  </si>
  <si>
    <t>The professional soldier : a social and political portrait.</t>
  </si>
  <si>
    <t>Janowitz, Morris, 1919-</t>
  </si>
  <si>
    <t>Glencoe, Ill. : Free Press, 1961.</t>
  </si>
  <si>
    <t>2017-01-19</t>
  </si>
  <si>
    <t>1328086:eng</t>
  </si>
  <si>
    <t>265791578</t>
  </si>
  <si>
    <t>ocn265791578</t>
  </si>
  <si>
    <t>3000726515O</t>
  </si>
  <si>
    <t>794407532</t>
  </si>
  <si>
    <t>UB147 J3 1964</t>
  </si>
  <si>
    <t>0                      UB 0147000J  3           1964</t>
  </si>
  <si>
    <t>The professional soldier, a social and political portrait.</t>
  </si>
  <si>
    <t>Janowitz, Morris.</t>
  </si>
  <si>
    <t>New York, Free Press [1964, ©1960]</t>
  </si>
  <si>
    <t>A Free Press paperback</t>
  </si>
  <si>
    <t>2015-03-04</t>
  </si>
  <si>
    <t>183066</t>
  </si>
  <si>
    <t>ocm00183066</t>
  </si>
  <si>
    <t>3000228933V</t>
  </si>
  <si>
    <t>791285216</t>
  </si>
  <si>
    <t>UB149 B78 2011</t>
  </si>
  <si>
    <t>0                      UB 0149000B  78          2011</t>
  </si>
  <si>
    <t>Patriots for profit : contractors and the military in U.S. national security / Thomas C. Bruneau.</t>
  </si>
  <si>
    <t>Bruneau, Thomas C., author.</t>
  </si>
  <si>
    <t>Stanford, California : Stanford University Press, 2011, ©2011.</t>
  </si>
  <si>
    <t>2012-04-10</t>
  </si>
  <si>
    <t>771818287:eng</t>
  </si>
  <si>
    <t>697979990</t>
  </si>
  <si>
    <t>ocn697979990</t>
  </si>
  <si>
    <t>3103362989J</t>
  </si>
  <si>
    <t>9780804775489</t>
  </si>
  <si>
    <t>794860515</t>
  </si>
  <si>
    <t>UB149 P38 2014</t>
  </si>
  <si>
    <t>0                      UB 0149000P  38          2014</t>
  </si>
  <si>
    <t>The morality of private war : the challenge of private military and security companies / James Pattison.</t>
  </si>
  <si>
    <t>Pattison, James, 1980- author.</t>
  </si>
  <si>
    <t>Oxford, United Kingdom : Oxford University Press, 2014.</t>
  </si>
  <si>
    <t>2029082360:eng</t>
  </si>
  <si>
    <t>883866158</t>
  </si>
  <si>
    <t>ocn883866158</t>
  </si>
  <si>
    <t>3103608909F</t>
  </si>
  <si>
    <t>9780199639700</t>
  </si>
  <si>
    <t>794975984</t>
  </si>
  <si>
    <t>UB165.C3 C5314 2013</t>
  </si>
  <si>
    <t>0                      UB 0165000C  3                  C  5314        2013</t>
  </si>
  <si>
    <t>Manuel de rédaction à l'usage des militaires / Adam Chapnick et Craig Stone ; [traduction et adaptation] Éric Ouellet, Pierre Pahlavi.</t>
  </si>
  <si>
    <t>Chapnick, Adam, 1976- author.</t>
  </si>
  <si>
    <t>Ottawa : Les Presses de l'Université d'Ottawa, 2013.</t>
  </si>
  <si>
    <t>Édition en langue française.</t>
  </si>
  <si>
    <t>Éducation</t>
  </si>
  <si>
    <t>1406262669:fre</t>
  </si>
  <si>
    <t>857873536</t>
  </si>
  <si>
    <t>ocn857873536</t>
  </si>
  <si>
    <t>31034928439</t>
  </si>
  <si>
    <t>9782760308046</t>
  </si>
  <si>
    <t>794955509</t>
  </si>
  <si>
    <t>UB193 L557 2013</t>
  </si>
  <si>
    <t>0                      UB 0193000L  557         2013</t>
  </si>
  <si>
    <t>First steps toward improving DoD STEM workforce diversity : response to the 2012 Department of Defense STEM Diversity Summit / Nelson Lim, Abigail Haddad, Dwayne M. Butler, Kate Giglio.</t>
  </si>
  <si>
    <t>Lim, Nelson, author.</t>
  </si>
  <si>
    <t>Santa Monica, CA : Rand Corporation, [2013]</t>
  </si>
  <si>
    <t>1749218985:eng</t>
  </si>
  <si>
    <t>862787458</t>
  </si>
  <si>
    <t>ocn862787458</t>
  </si>
  <si>
    <t>3103518018C</t>
  </si>
  <si>
    <t>9780833081018</t>
  </si>
  <si>
    <t>794960592</t>
  </si>
  <si>
    <t>UB193 L56 2013</t>
  </si>
  <si>
    <t>0                      UB 0193000L  56          2013</t>
  </si>
  <si>
    <t>Implementation of the DOD Diversity and Inclusion Strategic Plan : a framework for change through accountability / Nelson Lim, Abigail Haddad, Lindsay Daugherty.</t>
  </si>
  <si>
    <t>Santa Monica : Rand Corporation, [2013]</t>
  </si>
  <si>
    <t>Rand Corporation research report series ; RR-333-OSD</t>
  </si>
  <si>
    <t>1784914273:eng</t>
  </si>
  <si>
    <t>866996455</t>
  </si>
  <si>
    <t>ocn866996455</t>
  </si>
  <si>
    <t>3103564539L</t>
  </si>
  <si>
    <t>9780833082640</t>
  </si>
  <si>
    <t>794963762</t>
  </si>
  <si>
    <t>UB193 N38 2014</t>
  </si>
  <si>
    <t>0                      UB 0193000N  38          2014</t>
  </si>
  <si>
    <t>The future of the Army's civilian workforce : comparing projected inventory with anticipated requirements and estimating cost under different personnel policies / Shanthi Nataraj, Lawrence M. Hanser, Frank Camm, Jessica Yeats.</t>
  </si>
  <si>
    <t>Nataraj, Shanthi, author.</t>
  </si>
  <si>
    <t>2211512992:eng</t>
  </si>
  <si>
    <t>881306735</t>
  </si>
  <si>
    <t>ocn881306735</t>
  </si>
  <si>
    <t>3103482493G</t>
  </si>
  <si>
    <t>9780833085092</t>
  </si>
  <si>
    <t>794974112</t>
  </si>
  <si>
    <t>UB210 K75 2011</t>
  </si>
  <si>
    <t>0                      UB 0210000K  75          2011</t>
  </si>
  <si>
    <t>Invincibility, challenges, and leadership / K.V. Krishna Rao.</t>
  </si>
  <si>
    <t>Krishna Rao, K. V., 1923-</t>
  </si>
  <si>
    <t>New Delhi : Orient Blackswan, 2011.</t>
  </si>
  <si>
    <t>919236801:eng</t>
  </si>
  <si>
    <t>703547508</t>
  </si>
  <si>
    <t>ocn703547508</t>
  </si>
  <si>
    <t>31033399846</t>
  </si>
  <si>
    <t>9788125041870</t>
  </si>
  <si>
    <t>794864951</t>
  </si>
  <si>
    <t>UB210 M3 1954</t>
  </si>
  <si>
    <t>0                      UB 0210000M  3           1954</t>
  </si>
  <si>
    <t>Men against fire; the problem of battle command in future war.</t>
  </si>
  <si>
    <t>Marshall, S. L. A. (Samuel Lyman Atwood), 1900-1977.</t>
  </si>
  <si>
    <t>Washington : [publisher not identified], [1954]</t>
  </si>
  <si>
    <t>4921292249:eng</t>
  </si>
  <si>
    <t>427558631</t>
  </si>
  <si>
    <t>ocn427558631</t>
  </si>
  <si>
    <t>30007454923</t>
  </si>
  <si>
    <t>794685587</t>
  </si>
  <si>
    <t>UB210 M34 2008</t>
  </si>
  <si>
    <t>0                      UB 0210000M  34          2008</t>
  </si>
  <si>
    <t>The Scylla and Charybdis of strategic leadership / J.R. McKay.</t>
  </si>
  <si>
    <t>McKay, J. R. (James R.)</t>
  </si>
  <si>
    <t>[Winnipeg] : Canadian Defence Academy Press, ©2008.</t>
  </si>
  <si>
    <t>343227158:eng</t>
  </si>
  <si>
    <t>236116526</t>
  </si>
  <si>
    <t>ocn236116526</t>
  </si>
  <si>
    <t>31032257548</t>
  </si>
  <si>
    <t>9780662478157</t>
  </si>
  <si>
    <t>794371185</t>
  </si>
  <si>
    <t>UB210 S43 2011</t>
  </si>
  <si>
    <t>0                      UB 0210000S  43          2011</t>
  </si>
  <si>
    <t>Transforming command : the pursuit of mission command in the U.S., British, and Israeli armies / Eitan Shamir.</t>
  </si>
  <si>
    <t>Shamir, Eitan, 1964-</t>
  </si>
  <si>
    <t>551769135:eng</t>
  </si>
  <si>
    <t>651011978</t>
  </si>
  <si>
    <t>ocn651011978</t>
  </si>
  <si>
    <t>31033210610</t>
  </si>
  <si>
    <t>9780804772020</t>
  </si>
  <si>
    <t>794832707</t>
  </si>
  <si>
    <t>UB210 T43 2017</t>
  </si>
  <si>
    <t>0                      UB 0210000T  43          2017</t>
  </si>
  <si>
    <t>Technology and leadership : international perspectives / edited by Lieutenant Colonel Daniel J. Watola, PhD &amp; Allister MacIntyre, PhD.</t>
  </si>
  <si>
    <t>International Military Leadership Association Working Group (IMLAW) series ; v12</t>
  </si>
  <si>
    <t>5608636119:eng</t>
  </si>
  <si>
    <t>1007479592</t>
  </si>
  <si>
    <t>on1007479592</t>
  </si>
  <si>
    <t>3103903500G</t>
  </si>
  <si>
    <t>9780660089881</t>
  </si>
  <si>
    <t>795043960</t>
  </si>
  <si>
    <t>UB212 I525 2012</t>
  </si>
  <si>
    <t>0                      UB 0212000I  525         2012</t>
  </si>
  <si>
    <t>Improving Air Force command and control through enhanced agile combat support planning, execution, monitoring, and control processes / Robert S. Tripp [and others].</t>
  </si>
  <si>
    <t>1080078968:eng</t>
  </si>
  <si>
    <t>776874739</t>
  </si>
  <si>
    <t>ocn776874739</t>
  </si>
  <si>
    <t>3103141575M</t>
  </si>
  <si>
    <t>9780833053091</t>
  </si>
  <si>
    <t>794908406</t>
  </si>
  <si>
    <t>UB212 S46 2014</t>
  </si>
  <si>
    <t>0                      UB 0212000S  46          2014</t>
  </si>
  <si>
    <t>Lessons learned from the Afghan Mission Network : developing a coalition contingency network / Chad C. Serena, Isaac R. Porche III, Joel B. Predd, Jan Osburg, Bradley Lossing.</t>
  </si>
  <si>
    <t>Serena, Chad C., author.</t>
  </si>
  <si>
    <t>Santa Monica, CA : RAND, [2014]</t>
  </si>
  <si>
    <t>1914801205:eng</t>
  </si>
  <si>
    <t>871219734</t>
  </si>
  <si>
    <t>ocn871219734</t>
  </si>
  <si>
    <t>3103482465M</t>
  </si>
  <si>
    <t>9780833085115</t>
  </si>
  <si>
    <t>794967419</t>
  </si>
  <si>
    <t>UB212 V36 1985</t>
  </si>
  <si>
    <t>0                      UB 0212000V  36          1985</t>
  </si>
  <si>
    <t>Command in war / Martin van Creveld.</t>
  </si>
  <si>
    <t>Cambridge, Mass. : Harvard University Press, 1985.</t>
  </si>
  <si>
    <t>50599296:eng</t>
  </si>
  <si>
    <t>10949797</t>
  </si>
  <si>
    <t>ocm10949797</t>
  </si>
  <si>
    <t>3103030337E</t>
  </si>
  <si>
    <t>9780674144408</t>
  </si>
  <si>
    <t>792750961</t>
  </si>
  <si>
    <t>UB212 W55 2014</t>
  </si>
  <si>
    <t>0                      UB 0212000W  55          2014</t>
  </si>
  <si>
    <t>Rapid acquisition of Army command and control systems / Shara Williams, Jeffrey A. Drezner, Megan McKernan, Douglas Shontz, Jerry M. Sollinger.</t>
  </si>
  <si>
    <t>Williams, Shara.</t>
  </si>
  <si>
    <t>1792092904:eng</t>
  </si>
  <si>
    <t>870990992</t>
  </si>
  <si>
    <t>ocn870990992</t>
  </si>
  <si>
    <t>3103564575D</t>
  </si>
  <si>
    <t>9780833085108</t>
  </si>
  <si>
    <t>794967139</t>
  </si>
  <si>
    <t>UB223 K67 1976</t>
  </si>
  <si>
    <t>0                      UB 0223000K  67          1976</t>
  </si>
  <si>
    <t>The Joint Chiefs of Staff : the first twenty-five years / Lawrence J. Korb.</t>
  </si>
  <si>
    <t>Korb, Lawrence J., 1939-</t>
  </si>
  <si>
    <t>Bloomington : Indiana University Press, ©1976.</t>
  </si>
  <si>
    <t>2732493:eng</t>
  </si>
  <si>
    <t>1975015</t>
  </si>
  <si>
    <t>ocm01975015</t>
  </si>
  <si>
    <t>3000440842B</t>
  </si>
  <si>
    <t>9780253331694</t>
  </si>
  <si>
    <t>792021345</t>
  </si>
  <si>
    <t>UB225 R9 M37 2006</t>
  </si>
  <si>
    <t>0                      UB 0225000R  9                  M  37          2006</t>
  </si>
  <si>
    <t>The Russian General Staff and Asia, 1800-1917 / Alex Marshall.</t>
  </si>
  <si>
    <t>Marshall, Alex, 1976 November 2-</t>
  </si>
  <si>
    <t>London ; New York, NY : Routledge, 2006.</t>
  </si>
  <si>
    <t>Routledge studies in the history of Russia and Eastern Europe</t>
  </si>
  <si>
    <t>2016-12-06</t>
  </si>
  <si>
    <t>775736860:eng</t>
  </si>
  <si>
    <t>70796778</t>
  </si>
  <si>
    <t>ocm70796778</t>
  </si>
  <si>
    <t>3102579158B</t>
  </si>
  <si>
    <t>9780415355612</t>
  </si>
  <si>
    <t>794159269</t>
  </si>
  <si>
    <t>UB225 R9 R53 1998</t>
  </si>
  <si>
    <t>0                      UB 0225000R  9                  R  53          1998</t>
  </si>
  <si>
    <t>The Tsar's colonels : professionalism, strategy, and subversion in late Imperial Russia / David Alan Rich.</t>
  </si>
  <si>
    <t>Rich, David Alan.</t>
  </si>
  <si>
    <t>Cambridge, Mass. : Harvard University Press, 1998.</t>
  </si>
  <si>
    <t>793870687:eng</t>
  </si>
  <si>
    <t>38976233</t>
  </si>
  <si>
    <t>ocm38976233</t>
  </si>
  <si>
    <t>3102085820B</t>
  </si>
  <si>
    <t>9780674911116</t>
  </si>
  <si>
    <t>793534765</t>
  </si>
  <si>
    <t>UB243 C36 2013</t>
  </si>
  <si>
    <t>0                      UB 0243000C  36          2013</t>
  </si>
  <si>
    <t>Charting the course for a new Air Force inspection system / Frank Camm, Laura Werber, Julie Kim, Elizabeth Wilke, Rena Rudavsky ; prepared for the United States Air Force.</t>
  </si>
  <si>
    <t>Camm, Frank A., 1949-</t>
  </si>
  <si>
    <t>Technical report ; TR-1291-AF</t>
  </si>
  <si>
    <t>2290541699:eng</t>
  </si>
  <si>
    <t>843037592</t>
  </si>
  <si>
    <t>ocn843037592</t>
  </si>
  <si>
    <t>3103518028A</t>
  </si>
  <si>
    <t>9780833077042</t>
  </si>
  <si>
    <t>794947829</t>
  </si>
  <si>
    <t>UB243 C362 2013</t>
  </si>
  <si>
    <t>0                      UB 0243000C  362         2013</t>
  </si>
  <si>
    <t>Charting the course for a new Air Force inspection system : executive summary / Frank Camm, Laura Werber, Julie Kim, Elizabeth Wilke, Rena Rudavsky.</t>
  </si>
  <si>
    <t>Santa Monica, CA : RAND Project Air Force, 2013.</t>
  </si>
  <si>
    <t>Technical report ; TR-1291/1-AF</t>
  </si>
  <si>
    <t>843228799</t>
  </si>
  <si>
    <t>ocn843228799</t>
  </si>
  <si>
    <t>3103518092X</t>
  </si>
  <si>
    <t>9780833077059</t>
  </si>
  <si>
    <t>794948006</t>
  </si>
  <si>
    <t>UB246 D48 2010</t>
  </si>
  <si>
    <t>0                      UB 0246000D  48          2010</t>
  </si>
  <si>
    <t>Developing a defense sector assessment rating tool / Agnes Gereben Schaefer [and others]. Defense sector assessment rating tool / prepared for the Office of the Secretary of Defense.</t>
  </si>
  <si>
    <t>Santa Monica, CA : Rand Corporation, 2010.</t>
  </si>
  <si>
    <t>Technical report ; TR-864-OSD</t>
  </si>
  <si>
    <t>609570510:eng</t>
  </si>
  <si>
    <t>660536954</t>
  </si>
  <si>
    <t>ocn660536954</t>
  </si>
  <si>
    <t>3103299985J</t>
  </si>
  <si>
    <t>9780833050304</t>
  </si>
  <si>
    <t>794836962</t>
  </si>
  <si>
    <t>UB250 F87 2014</t>
  </si>
  <si>
    <t>0                      UB 0250000F  87          2014</t>
  </si>
  <si>
    <t>The future of intelligence : challenges in the 21st century / edited by Isabelle Duyvesteyn, Ben de Jong, Joop van Reijn.</t>
  </si>
  <si>
    <t>Milton Park, Abingdon, Oxon ; New York : Routledge, 2014.</t>
  </si>
  <si>
    <t>Studies in intelligence series</t>
  </si>
  <si>
    <t>1216890759:eng</t>
  </si>
  <si>
    <t>802326001</t>
  </si>
  <si>
    <t>ocn802326001</t>
  </si>
  <si>
    <t>31035316662</t>
  </si>
  <si>
    <t>9780415663281</t>
  </si>
  <si>
    <t>794925689</t>
  </si>
  <si>
    <t>UB250 H35 2007</t>
  </si>
  <si>
    <t>0                      UB 0250000H  35          2007</t>
  </si>
  <si>
    <t>Handbook of intelligence studies / edited by Loch K. Johnson.</t>
  </si>
  <si>
    <t>2017-12-15</t>
  </si>
  <si>
    <t>888283978:eng</t>
  </si>
  <si>
    <t>70219957</t>
  </si>
  <si>
    <t>ocm70219957</t>
  </si>
  <si>
    <t>3103040577W</t>
  </si>
  <si>
    <t>9780415770507</t>
  </si>
  <si>
    <t>794150994</t>
  </si>
  <si>
    <t>UB250 H68 1993</t>
  </si>
  <si>
    <t>0                      UB 0250000H  68          1993</t>
  </si>
  <si>
    <t>Military intelligence, 1870-1991 : a research guide / Jonathan M. House.</t>
  </si>
  <si>
    <t>Westport, Conn. : Greenwood Press, 1993.</t>
  </si>
  <si>
    <t>Research guides in military studies, 0899-0166 ; no. 6</t>
  </si>
  <si>
    <t>2019-07-29</t>
  </si>
  <si>
    <t>793363216:eng</t>
  </si>
  <si>
    <t>27429536</t>
  </si>
  <si>
    <t>ocm27429536</t>
  </si>
  <si>
    <t>3101274429E</t>
  </si>
  <si>
    <t>9780313274039</t>
  </si>
  <si>
    <t>793266235</t>
  </si>
  <si>
    <t>UB250 I564 1998</t>
  </si>
  <si>
    <t>0                      UB 0250000I  564         1998</t>
  </si>
  <si>
    <t>Intelligence and the Cuban missile crisis / edited by James G. Blight, David A. Welch.</t>
  </si>
  <si>
    <t>London ; Portland, OR : Frank Cass, 1998.</t>
  </si>
  <si>
    <t>Cass series--studies in intelligence, 1368-9916</t>
  </si>
  <si>
    <t>2015-11-16</t>
  </si>
  <si>
    <t>351106165:eng</t>
  </si>
  <si>
    <t>39379976</t>
  </si>
  <si>
    <t>ocm39379976</t>
  </si>
  <si>
    <t>31020902621</t>
  </si>
  <si>
    <t>9780714648835</t>
  </si>
  <si>
    <t>793545124</t>
  </si>
  <si>
    <t>UB250 I565 1999</t>
  </si>
  <si>
    <t>0                      UB 0250000I  565         1999</t>
  </si>
  <si>
    <t>Intelligence, espionage and related topics : an annotated bibliography of serial, journal, and magazine scholarship, 1844-1998 / compiled by James D. Calder.</t>
  </si>
  <si>
    <t>Westport, CT : Greenwood Press, 1999.</t>
  </si>
  <si>
    <t>Bibliographies and indexes in military studies, 1040-7995 ; no. 11</t>
  </si>
  <si>
    <t>795229617:eng</t>
  </si>
  <si>
    <t>41981905</t>
  </si>
  <si>
    <t>ocm41981905</t>
  </si>
  <si>
    <t>3102028105J</t>
  </si>
  <si>
    <t>9780313292903</t>
  </si>
  <si>
    <t>793600497</t>
  </si>
  <si>
    <t>UB250 I57 1999</t>
  </si>
  <si>
    <t>0                      UB 0250000I  57          1999</t>
  </si>
  <si>
    <t>Intelligence in peacekeeping.</t>
  </si>
  <si>
    <t>Dorn, A. Walter.</t>
  </si>
  <si>
    <t>Clementsport, N.S. : Canadian Peacekeeping Press, 1999.</t>
  </si>
  <si>
    <t>Pearson papers ; paper no. 4</t>
  </si>
  <si>
    <t>53711634:eng</t>
  </si>
  <si>
    <t>41993122</t>
  </si>
  <si>
    <t>ocm41993122</t>
  </si>
  <si>
    <t>31020199398</t>
  </si>
  <si>
    <t>9781896551265</t>
  </si>
  <si>
    <t>793600749</t>
  </si>
  <si>
    <t>UB250 I58 2001</t>
  </si>
  <si>
    <t>0                      UB 0250000I  58          2001</t>
  </si>
  <si>
    <t>Intelligence in the Cold War : organisation, role, international cooperation / edited by Lars Christian Jenssen and Olav Riste.</t>
  </si>
  <si>
    <t>Oslo, Norway : Norwegian Institute for Defence Studies, 2001.</t>
  </si>
  <si>
    <t>nor</t>
  </si>
  <si>
    <t>892006476:nor</t>
  </si>
  <si>
    <t>47882411</t>
  </si>
  <si>
    <t>ocm47882411</t>
  </si>
  <si>
    <t>3102170793C</t>
  </si>
  <si>
    <t>9788291571027</t>
  </si>
  <si>
    <t>793710003</t>
  </si>
  <si>
    <t>UB250 K44 2003</t>
  </si>
  <si>
    <t>0                      UB 0250000K  44          2003</t>
  </si>
  <si>
    <t>Intelligence in war : knowledge of the enemy from Napoleon to al-Qaeda / John Keegan.</t>
  </si>
  <si>
    <t>New York : Knopf, 2003.</t>
  </si>
  <si>
    <t>686858:eng</t>
  </si>
  <si>
    <t>51275201</t>
  </si>
  <si>
    <t>ocm51275201</t>
  </si>
  <si>
    <t>3102325512N</t>
  </si>
  <si>
    <t>9780375400537</t>
  </si>
  <si>
    <t>793782097</t>
  </si>
  <si>
    <t>UB250 K58 1984</t>
  </si>
  <si>
    <t>0                      UB 0250000K  58          1984</t>
  </si>
  <si>
    <t>Knowing one's enemies : intelligence assessment before the two world wars / edited by Ernest R. May.</t>
  </si>
  <si>
    <t>2015-11-19</t>
  </si>
  <si>
    <t>810774213:eng</t>
  </si>
  <si>
    <t>10778871</t>
  </si>
  <si>
    <t>ocm10778871</t>
  </si>
  <si>
    <t>3103023877L</t>
  </si>
  <si>
    <t>9780691047171</t>
  </si>
  <si>
    <t>792743076</t>
  </si>
  <si>
    <t>UB250 P43 2006</t>
  </si>
  <si>
    <t>0                      UB 0250000P  43          2006</t>
  </si>
  <si>
    <t>Peacekeeping intelligence : new players, extended boundaries / edited by David Carment and Martin Rudner.</t>
  </si>
  <si>
    <t>889193460:eng</t>
  </si>
  <si>
    <t>61129257</t>
  </si>
  <si>
    <t>ocm61129257</t>
  </si>
  <si>
    <t>3102632834$</t>
  </si>
  <si>
    <t>9780415374897</t>
  </si>
  <si>
    <t>793946831</t>
  </si>
  <si>
    <t>UB250 T74 2012</t>
  </si>
  <si>
    <t>0                      UB 0250000T  74          2012</t>
  </si>
  <si>
    <t>Making strategic analysis matter / Gregory F. Treverton, Jeremy J. Ghez.</t>
  </si>
  <si>
    <t>RAND Corporation conference proceedings series ; CF287-NIC</t>
  </si>
  <si>
    <t>1088013896:eng</t>
  </si>
  <si>
    <t>779876047</t>
  </si>
  <si>
    <t>ocn779876047</t>
  </si>
  <si>
    <t>3103462761N</t>
  </si>
  <si>
    <t>9780833058799</t>
  </si>
  <si>
    <t>794911531</t>
  </si>
  <si>
    <t>UB250 U25 2013</t>
  </si>
  <si>
    <t>0                      UB 0250000U  25          2013</t>
  </si>
  <si>
    <t>Understanding the intelligence cycle / edited by Mark Phythian.</t>
  </si>
  <si>
    <t>Milton Park, Abingdon, Oxon : Routledge, 2013.</t>
  </si>
  <si>
    <t>Studies in intelligence</t>
  </si>
  <si>
    <t>2015-09-09</t>
  </si>
  <si>
    <t>1142562809:eng</t>
  </si>
  <si>
    <t>802326095</t>
  </si>
  <si>
    <t>ocn802326095</t>
  </si>
  <si>
    <t>3103500537U</t>
  </si>
  <si>
    <t>9780415811750</t>
  </si>
  <si>
    <t>794925696</t>
  </si>
  <si>
    <t>UB251 C3 E55</t>
  </si>
  <si>
    <t>0                      UB 0251000C  3                  E  55</t>
  </si>
  <si>
    <t>Scarlet to green : a history of intelligence in the Canadian Army, 1903-1963 / Major S.R. Elliot.</t>
  </si>
  <si>
    <t>Elliot, S. R. (Stuart Robert), 1922-</t>
  </si>
  <si>
    <t>Toronto : Canadian Intelligence and Security Association, 1981.</t>
  </si>
  <si>
    <t>2019-07-11</t>
  </si>
  <si>
    <t>2868557694:eng</t>
  </si>
  <si>
    <t>8508690</t>
  </si>
  <si>
    <t>ocm08508690</t>
  </si>
  <si>
    <t>3000314798U</t>
  </si>
  <si>
    <t>9780969054702</t>
  </si>
  <si>
    <t>792623668</t>
  </si>
  <si>
    <t>UB251 C3 J45 2008</t>
  </si>
  <si>
    <t>0                      UB 0251000C  3                  J  45          2008</t>
  </si>
  <si>
    <t>Cautious beginnings : Canadian foreign intelligence, 1939-51 / Kurt F. Jensen.</t>
  </si>
  <si>
    <t>Jensen, Kurt F. (Kurt Frank), 1946-</t>
  </si>
  <si>
    <t>Vancouver : UBC Press, c2008.</t>
  </si>
  <si>
    <t>2017-07-29</t>
  </si>
  <si>
    <t>855294791:eng</t>
  </si>
  <si>
    <t>192052563</t>
  </si>
  <si>
    <t>ocn192052563</t>
  </si>
  <si>
    <t>3102706925S</t>
  </si>
  <si>
    <t>9780774814829</t>
  </si>
  <si>
    <t>794303057</t>
  </si>
  <si>
    <t>UB251 C3 L58 1986</t>
  </si>
  <si>
    <t>0                      UB 0251000C  3                  L  58          1986</t>
  </si>
  <si>
    <t>Target nation : Canada and the western intelligence network / James Littleton.</t>
  </si>
  <si>
    <t>Littleton, James.</t>
  </si>
  <si>
    <t>Toronto, Canada : L. &amp; O. Dennys : CBC Enterprises, ©1986.</t>
  </si>
  <si>
    <t>8781306:eng</t>
  </si>
  <si>
    <t>14378077</t>
  </si>
  <si>
    <t>ocm14378077</t>
  </si>
  <si>
    <t>3000192872K</t>
  </si>
  <si>
    <t>9780886191184</t>
  </si>
  <si>
    <t>792887951</t>
  </si>
  <si>
    <t>UB251 C6 S28 1998</t>
  </si>
  <si>
    <t>0                      UB 0251000C  6                  S  28          1998</t>
  </si>
  <si>
    <t>The Tao of spycraft : intelligence theory and practice in traditional China / Ralph D. Sawyer, with the collaboration of Mei-chün Lee Sawyer.</t>
  </si>
  <si>
    <t>17675206:eng</t>
  </si>
  <si>
    <t>38738841</t>
  </si>
  <si>
    <t>ocm38738841</t>
  </si>
  <si>
    <t>31019055086</t>
  </si>
  <si>
    <t>9780813333038</t>
  </si>
  <si>
    <t>793529552</t>
  </si>
  <si>
    <t>UB251 C95 B58 1972</t>
  </si>
  <si>
    <t>0                      UB 0251000C  95                 B  58          1972</t>
  </si>
  <si>
    <t>The deception game; Czechoslovak intelligence in Soviet political warfare.</t>
  </si>
  <si>
    <t>Bittman, Ladislav, 1931-</t>
  </si>
  <si>
    <t>Syracuse, N.Y.] Syracuse University Research Corp., 1972.</t>
  </si>
  <si>
    <t>[1st ed.</t>
  </si>
  <si>
    <t>449817:eng</t>
  </si>
  <si>
    <t>328926</t>
  </si>
  <si>
    <t>ocm00328926</t>
  </si>
  <si>
    <t>3101222715G</t>
  </si>
  <si>
    <t>9780815680789</t>
  </si>
  <si>
    <t>791339046</t>
  </si>
  <si>
    <t>UB251 G4 A33 2009</t>
  </si>
  <si>
    <t>0                      UB 0251000G  4                  A  33          2009</t>
  </si>
  <si>
    <t>Historical dictionary of German intelligence / Jefferson Adams.</t>
  </si>
  <si>
    <t>Adams, Jefferson.</t>
  </si>
  <si>
    <t>Lanham, Md. : Scarecrow Press, 2009.</t>
  </si>
  <si>
    <t>Historical dictionaries of intelligence and counterintelligence ; no. 11</t>
  </si>
  <si>
    <t>194133067:eng</t>
  </si>
  <si>
    <t>316327237</t>
  </si>
  <si>
    <t>ocn316327237</t>
  </si>
  <si>
    <t>3103312397N</t>
  </si>
  <si>
    <t>9780810855434</t>
  </si>
  <si>
    <t>794448564</t>
  </si>
  <si>
    <t>UB251 G7 A43 2010</t>
  </si>
  <si>
    <t>0                      UB 0251000G  7                  A  43          2010</t>
  </si>
  <si>
    <t>GCHQ : the uncensored story of Britain's most secret intelligence agency / Richard Aldrich.</t>
  </si>
  <si>
    <t>Aldrich, Richard J. (Richard James), 1961-</t>
  </si>
  <si>
    <t>London : HarperPress, 2010.</t>
  </si>
  <si>
    <t>2017-09-08</t>
  </si>
  <si>
    <t>858103976:eng</t>
  </si>
  <si>
    <t>503638180</t>
  </si>
  <si>
    <t>ocn503638180</t>
  </si>
  <si>
    <t>31032312125</t>
  </si>
  <si>
    <t>9780007278473</t>
  </si>
  <si>
    <t>794806602</t>
  </si>
  <si>
    <t>UB251 G7 E86 1998</t>
  </si>
  <si>
    <t>0                      UB 0251000G  7                  E  86          1998</t>
  </si>
  <si>
    <t>Espionage, security, and intelligence in Britain, 1945-1970 / edited by Richard J. Aldrich.</t>
  </si>
  <si>
    <t>Manchester [England] ; New York : Manchester University Press, 1998.</t>
  </si>
  <si>
    <t>Documents in contemporary history</t>
  </si>
  <si>
    <t>1105168697:eng</t>
  </si>
  <si>
    <t>39339209</t>
  </si>
  <si>
    <t>ocm39339209</t>
  </si>
  <si>
    <t>3101913301W</t>
  </si>
  <si>
    <t>9780719049552</t>
  </si>
  <si>
    <t>793544022</t>
  </si>
  <si>
    <t>UB251 G7 H46 2009</t>
  </si>
  <si>
    <t>0                      UB 0251000G  7                  H  46          2009</t>
  </si>
  <si>
    <t>Spooks : the unofficial history of MI5 / Thomas Hennessey &amp; Claire Thomas.</t>
  </si>
  <si>
    <t>Hennessey, Thomas.</t>
  </si>
  <si>
    <t>Stroud, Glouchestire : Amberley Pub., 2009.</t>
  </si>
  <si>
    <t>2017-12-22</t>
  </si>
  <si>
    <t>796717504:eng</t>
  </si>
  <si>
    <t>360145015</t>
  </si>
  <si>
    <t>ocn360145015</t>
  </si>
  <si>
    <t>3102860193Q</t>
  </si>
  <si>
    <t>9781848680791</t>
  </si>
  <si>
    <t>794492301</t>
  </si>
  <si>
    <t>UB251 G7 H48 2012</t>
  </si>
  <si>
    <t>0                      UB 0251000G  7                  H  48          2012</t>
  </si>
  <si>
    <t>The imperial security state : British colonial knowledge and empire-building in Asia / James Hevia, University of Chicago.</t>
  </si>
  <si>
    <t>Hevia, James Louis, 1947-</t>
  </si>
  <si>
    <t>Cambridge ; New York : Cambridge University Press, 2012.</t>
  </si>
  <si>
    <t>Critical perspectives on empire</t>
  </si>
  <si>
    <t>1083642515:eng</t>
  </si>
  <si>
    <t>779244511</t>
  </si>
  <si>
    <t>ocn779244511</t>
  </si>
  <si>
    <t>3103432003Y</t>
  </si>
  <si>
    <t>9780521896085</t>
  </si>
  <si>
    <t>794910608</t>
  </si>
  <si>
    <t>UB251 G7 W323 2009</t>
  </si>
  <si>
    <t>0                      UB 0251000G  7                  W  323         2009</t>
  </si>
  <si>
    <t>Victoria's spymasters : empire and espionage / Stephen Wade.</t>
  </si>
  <si>
    <t>Wade, Stephen, 1948-</t>
  </si>
  <si>
    <t>Stroud : History, 2009.</t>
  </si>
  <si>
    <t>2015-06-22</t>
  </si>
  <si>
    <t>890326707:eng</t>
  </si>
  <si>
    <t>277068789</t>
  </si>
  <si>
    <t>ocn277068789</t>
  </si>
  <si>
    <t>3103132184X</t>
  </si>
  <si>
    <t>9780752445359</t>
  </si>
  <si>
    <t>794418297</t>
  </si>
  <si>
    <t>UB251 G7 W46 2006</t>
  </si>
  <si>
    <t>0                      UB 0251000G  7                  W  46          2006</t>
  </si>
  <si>
    <t>At her Majesty's Secret Service : the chiefs of Britain's Intelligence Agency, M16 / Nigel West.</t>
  </si>
  <si>
    <t>West, Nigel.</t>
  </si>
  <si>
    <t>London : Greenhill Books ; Annapolis, Md. : Naval Institute Press, 2006.</t>
  </si>
  <si>
    <t>896779945:eng</t>
  </si>
  <si>
    <t>76941848</t>
  </si>
  <si>
    <t>ocm76941848</t>
  </si>
  <si>
    <t>3102570738X</t>
  </si>
  <si>
    <t>9781853677021</t>
  </si>
  <si>
    <t>794179624</t>
  </si>
  <si>
    <t>UB251 G7 W47 1988</t>
  </si>
  <si>
    <t>0                      UB 0251000G  7                  W  47          1988</t>
  </si>
  <si>
    <t>The friends : Britain's post-war secret intelligence operations / Nigel West.</t>
  </si>
  <si>
    <t>London : Weidenfeld and Nicolson, ©1988.</t>
  </si>
  <si>
    <t>197539064:eng</t>
  </si>
  <si>
    <t>59772635</t>
  </si>
  <si>
    <t>ocm59772635</t>
  </si>
  <si>
    <t>3000537364M</t>
  </si>
  <si>
    <t>9780297794301</t>
  </si>
  <si>
    <t>793931668</t>
  </si>
  <si>
    <t>UB251 I78 B55 1991</t>
  </si>
  <si>
    <t>0                      UB 0251000I  78                 B  55          1991</t>
  </si>
  <si>
    <t>Israel's secret wars : a history of Israel's intelligence services / Ian Black and Benny Morris.</t>
  </si>
  <si>
    <t>Black, Ian, 1953-</t>
  </si>
  <si>
    <t>New York : Grove Weidenfeld, 1991.</t>
  </si>
  <si>
    <t>2018-03-20</t>
  </si>
  <si>
    <t>3855377055:eng</t>
  </si>
  <si>
    <t>22542367</t>
  </si>
  <si>
    <t>ocm22542367</t>
  </si>
  <si>
    <t>3102228141N</t>
  </si>
  <si>
    <t>9780802111593</t>
  </si>
  <si>
    <t>793147447</t>
  </si>
  <si>
    <t>UB251 I78 E3613 1997</t>
  </si>
  <si>
    <t>0                      UB 0251000I  78                 E  3613        1997</t>
  </si>
  <si>
    <t>Reuven Shiloah : the man behind the Mossad : secret diplomacy in the creation of Israel / Haggai Eshed ; translated by David and Leah Zinder ; forewords by Shimon Peres and Haim Herzog.</t>
  </si>
  <si>
    <t>Eshed, Haggai, 1928-1988.</t>
  </si>
  <si>
    <t>580157:eng</t>
  </si>
  <si>
    <t>36566036</t>
  </si>
  <si>
    <t>ocm36566036</t>
  </si>
  <si>
    <t>3101847679Q</t>
  </si>
  <si>
    <t>9780714648125</t>
  </si>
  <si>
    <t>793478707</t>
  </si>
  <si>
    <t>UB251 I78 M4313 2012</t>
  </si>
  <si>
    <t>0                      UB 0251000I  78                 M  4313        2012</t>
  </si>
  <si>
    <t>Israel's silent defender : an inside look at sixty years of israeli intelligence / edited by Amos Gilboa and Ephraim Lapid ; associate editor Yochi Erlich.</t>
  </si>
  <si>
    <t>Melekhet maḥshevet. English.</t>
  </si>
  <si>
    <t>Springfield, NJ : Gefen Books, ©2011.</t>
  </si>
  <si>
    <t>2019-10-25</t>
  </si>
  <si>
    <t>21177170:eng</t>
  </si>
  <si>
    <t>747099838</t>
  </si>
  <si>
    <t>ocn747099838</t>
  </si>
  <si>
    <t>3103468616C</t>
  </si>
  <si>
    <t>9789652295286</t>
  </si>
  <si>
    <t>794887814</t>
  </si>
  <si>
    <t>UB251 I78 R38 1990</t>
  </si>
  <si>
    <t>0                      UB 0251000I  78                 R  38          1990</t>
  </si>
  <si>
    <t>Every spy a prince : the complete history of Israel's intelligence community / Dan Raviv and Yossi Melman.</t>
  </si>
  <si>
    <t>Raviv, Dan, 1954-</t>
  </si>
  <si>
    <t>Boston : Houghton Mifflin, 1990.</t>
  </si>
  <si>
    <t>1151410510:eng</t>
  </si>
  <si>
    <t>21335492</t>
  </si>
  <si>
    <t>ocm21335492</t>
  </si>
  <si>
    <t>3100879319$</t>
  </si>
  <si>
    <t>9780395471029</t>
  </si>
  <si>
    <t>793116024</t>
  </si>
  <si>
    <t>UB251 I78 T49 1999</t>
  </si>
  <si>
    <t>0                      UB 0251000I  78                 T  49          1999</t>
  </si>
  <si>
    <t>Gideon's spies : the secret history of the Mossad / Gordon Thomas.</t>
  </si>
  <si>
    <t>Thomas, Gordon, 1933-2017.</t>
  </si>
  <si>
    <t>2015-01-28</t>
  </si>
  <si>
    <t>293154870:eng</t>
  </si>
  <si>
    <t>40359471</t>
  </si>
  <si>
    <t>ocm40359471</t>
  </si>
  <si>
    <t>3101955131Y</t>
  </si>
  <si>
    <t>9780312199821</t>
  </si>
  <si>
    <t>793565081</t>
  </si>
  <si>
    <t>UB251 R57 A97 1998</t>
  </si>
  <si>
    <t>0                      UB 0251000R  57                 A  97          1998</t>
  </si>
  <si>
    <t>Exploratio : military and political intelligence in the Roman world from the second Punic War to the Battle of Adrianople / N.J.E. Austin and N.B. Rankov.</t>
  </si>
  <si>
    <t>Austin, N. J. E.</t>
  </si>
  <si>
    <t>808285325:eng</t>
  </si>
  <si>
    <t>426472659</t>
  </si>
  <si>
    <t>ocn426472659</t>
  </si>
  <si>
    <t>3103566231M</t>
  </si>
  <si>
    <t>9780415049450</t>
  </si>
  <si>
    <t>794515797</t>
  </si>
  <si>
    <t>UB251 R8 L46 1999</t>
  </si>
  <si>
    <t>0                      UB 0251000R  8                  L  46          1999</t>
  </si>
  <si>
    <t>Secret soldiers of the revolution : Soviet military intelligence, 1918-1933 / Raymond W. Leonard.</t>
  </si>
  <si>
    <t>Leonard, Raymond W.</t>
  </si>
  <si>
    <t>Westport, Conn. : Greenwood Press, 2000.</t>
  </si>
  <si>
    <t>Contributions in military studies, 0883-6884 ; no. 183</t>
  </si>
  <si>
    <t>2016-04-06</t>
  </si>
  <si>
    <t>836999614:eng</t>
  </si>
  <si>
    <t>41404655</t>
  </si>
  <si>
    <t>ocm41404655</t>
  </si>
  <si>
    <t>3102091867$</t>
  </si>
  <si>
    <t>9780313309908</t>
  </si>
  <si>
    <t>793590771</t>
  </si>
  <si>
    <t>UB251 S65 B58 1985</t>
  </si>
  <si>
    <t>0                      UB 0251000S  65                 B  58          1985</t>
  </si>
  <si>
    <t>The KGB and Soviet disinformation : an insider's view / Ladislav Bittman ; foreword by Roy Godson.</t>
  </si>
  <si>
    <t>Washington : Pergamon-Brassey's, ©1985.</t>
  </si>
  <si>
    <t>2018-07-13</t>
  </si>
  <si>
    <t>4724413:eng</t>
  </si>
  <si>
    <t>11842512</t>
  </si>
  <si>
    <t>ocm11842512</t>
  </si>
  <si>
    <t>3000381465U</t>
  </si>
  <si>
    <t>9780080315720</t>
  </si>
  <si>
    <t>792790574</t>
  </si>
  <si>
    <t>UB251 S65 S54 1984</t>
  </si>
  <si>
    <t>0                      UB 0251000S  65                 S  54          1984</t>
  </si>
  <si>
    <t>Dezinformatsia : active measures in Soviet strategy / Richard H. Shultz and Roy Godson.</t>
  </si>
  <si>
    <t>Washington : Pergamon-Brassey's, ©1984.</t>
  </si>
  <si>
    <t>3468179:eng</t>
  </si>
  <si>
    <t>10432530</t>
  </si>
  <si>
    <t>ocm10432530</t>
  </si>
  <si>
    <t>3000365763E</t>
  </si>
  <si>
    <t>9780080315737</t>
  </si>
  <si>
    <t>792726258</t>
  </si>
  <si>
    <t>UB251 U5 B34 2013</t>
  </si>
  <si>
    <t>0                      UB 0251000U  5                  B  34          2013</t>
  </si>
  <si>
    <t>Increasing flexibility and agility at the National Reconnaissance Office : lessons from modular design, occupational surprise, and commercial research and development processes / Dave Baiocchi, Krista S. Langeland, D. Steven Fox, Amelia Buerkle, Jennifer Walters.</t>
  </si>
  <si>
    <t>Baiocchi, Dave, author.</t>
  </si>
  <si>
    <t>1414787162:eng</t>
  </si>
  <si>
    <t>855043626</t>
  </si>
  <si>
    <t>ocn855043626</t>
  </si>
  <si>
    <t>3103564557H</t>
  </si>
  <si>
    <t>9780833081025</t>
  </si>
  <si>
    <t>794953063</t>
  </si>
  <si>
    <t>UB251 U5 C66 2012</t>
  </si>
  <si>
    <t>0                      UB 0251000U  5                  C  66          2012</t>
  </si>
  <si>
    <t>Military intelligence fusion for complex operations : a new paradigm / Ben Connable.</t>
  </si>
  <si>
    <t>Santa Monica, Calif. : Rand Corp., 2012.</t>
  </si>
  <si>
    <t>Occasional paper ; OP-377-RC</t>
  </si>
  <si>
    <t>2013-04-07</t>
  </si>
  <si>
    <t>1149508876:eng</t>
  </si>
  <si>
    <t>805056670</t>
  </si>
  <si>
    <t>ocn805056670</t>
  </si>
  <si>
    <t>3103467277G</t>
  </si>
  <si>
    <t>9780833076229</t>
  </si>
  <si>
    <t>794926193</t>
  </si>
  <si>
    <t>UB251 U5 P324 2011</t>
  </si>
  <si>
    <t>0                      UB 0251000U  5                  P  324         2011</t>
  </si>
  <si>
    <t>Alert and ready : an organizational design assessment of Marine Corps intelligence / Christopher Paul, Harry J. Thie, Katharine Watkins Webb [and others].</t>
  </si>
  <si>
    <t>Santa Monica : Rand Corporation, 2011.</t>
  </si>
  <si>
    <t>Rand Corporation monograph series ; MG-1108-USMC</t>
  </si>
  <si>
    <t>941663583:eng</t>
  </si>
  <si>
    <t>729347944</t>
  </si>
  <si>
    <t>ocn729347944</t>
  </si>
  <si>
    <t>3103379015R</t>
  </si>
  <si>
    <t>9780833052605</t>
  </si>
  <si>
    <t>794879374</t>
  </si>
  <si>
    <t>UB251 U5 W66 1988</t>
  </si>
  <si>
    <t>0                      UB 0251000U  5                  W  66          1988</t>
  </si>
  <si>
    <t>Veil : the secret wars of the CIA, 1981-1987 / Bob Woodward.</t>
  </si>
  <si>
    <t>Woodward, Bob, 1943-</t>
  </si>
  <si>
    <t>New York : Pocket Books, 1988, ©1987.</t>
  </si>
  <si>
    <t>2018-02-07</t>
  </si>
  <si>
    <t>12722266:eng</t>
  </si>
  <si>
    <t>18405275</t>
  </si>
  <si>
    <t>ocm18405275</t>
  </si>
  <si>
    <t>31028153350</t>
  </si>
  <si>
    <t>9780671661595</t>
  </si>
  <si>
    <t>793024392</t>
  </si>
  <si>
    <t>UB255 C67 2015</t>
  </si>
  <si>
    <t>0                      UB 0255000C  67          2015</t>
  </si>
  <si>
    <t>Intercept : the secret history of computers and spies / Gordon Corera.</t>
  </si>
  <si>
    <t>Corera, Gordon, author.</t>
  </si>
  <si>
    <t>London : Weidenfeld &amp; Nicolson, 2015.</t>
  </si>
  <si>
    <t>2596342118:eng</t>
  </si>
  <si>
    <t>912238357</t>
  </si>
  <si>
    <t>ocn912238357</t>
  </si>
  <si>
    <t>3103611485B</t>
  </si>
  <si>
    <t>9780297871736</t>
  </si>
  <si>
    <t>794998770</t>
  </si>
  <si>
    <t>UB256 U6 B38 2008</t>
  </si>
  <si>
    <t>0                      UB 0256000U  6                  B  38          2008</t>
  </si>
  <si>
    <t>The shadow factory : the ultra-secret NSA from 9/11 to the eavesdropping on America / James Bamford.</t>
  </si>
  <si>
    <t>Bamford, James.</t>
  </si>
  <si>
    <t>New York : Doubleday, ©2008.</t>
  </si>
  <si>
    <t>New York Times best sellers.</t>
  </si>
  <si>
    <t>974225357:eng</t>
  </si>
  <si>
    <t>229309155</t>
  </si>
  <si>
    <t>ocn229309155</t>
  </si>
  <si>
    <t>3102975880D</t>
  </si>
  <si>
    <t>9780385521321</t>
  </si>
  <si>
    <t>794353493</t>
  </si>
  <si>
    <t>UB256 U6 B83 2016</t>
  </si>
  <si>
    <t>0                      UB 0256000U  6                  B  83          2016</t>
  </si>
  <si>
    <t>Code warriors : NSA's codebreakers and the secret intelligence war against the Soviet Union / Stephen Budiansky.</t>
  </si>
  <si>
    <t>Budiansky, Stephen, author.</t>
  </si>
  <si>
    <t>New York : Alfred A. Knopf, [2016]</t>
  </si>
  <si>
    <t>2750944348:eng</t>
  </si>
  <si>
    <t>922630824</t>
  </si>
  <si>
    <t>ocn922630824</t>
  </si>
  <si>
    <t>3103657828R</t>
  </si>
  <si>
    <t>9780385352666</t>
  </si>
  <si>
    <t>795003960</t>
  </si>
  <si>
    <t>UB256 U6 D54 2007</t>
  </si>
  <si>
    <t>0                      UB 0256000U  6                  D  54          2007</t>
  </si>
  <si>
    <t>Privacy on the line : the politics of wiretapping and encryption / Whitfield Diffie, Susan Landau.</t>
  </si>
  <si>
    <t>Diffie, Whitfield.</t>
  </si>
  <si>
    <t>Cambridge, Mass. : MIT Press, ©2007.</t>
  </si>
  <si>
    <t>Updated and expanded ed.</t>
  </si>
  <si>
    <t>2015-02-06</t>
  </si>
  <si>
    <t>836954173:eng</t>
  </si>
  <si>
    <t>74915665</t>
  </si>
  <si>
    <t>ocm74915665</t>
  </si>
  <si>
    <t>3102595971Q</t>
  </si>
  <si>
    <t>9780262042406</t>
  </si>
  <si>
    <t>794173861</t>
  </si>
  <si>
    <t>UB256 U6 P67 2014</t>
  </si>
  <si>
    <t>0                      UB 0256000U  6                  P  67          2014</t>
  </si>
  <si>
    <t>Data_flood : helping the Navy address the rising tide of sensor information / Isaac R. Porche III, Bradley Wilson, Erin-Elizabeth Johnson, Shane Tierney, Evan Saltzman.</t>
  </si>
  <si>
    <t>Porche, Isaac, 1968- author.</t>
  </si>
  <si>
    <t>Research report / Rand Corporation</t>
  </si>
  <si>
    <t>1903123739:eng</t>
  </si>
  <si>
    <t>875037748</t>
  </si>
  <si>
    <t>ocn875037748</t>
  </si>
  <si>
    <t>3103482498G</t>
  </si>
  <si>
    <t>9780833084293</t>
  </si>
  <si>
    <t>794969196</t>
  </si>
  <si>
    <t>UB270 A53 2018</t>
  </si>
  <si>
    <t>0                      UB 0270000A  53          2018</t>
  </si>
  <si>
    <t>The secret world : a history of intelligence / Christopher Andrew.</t>
  </si>
  <si>
    <t>Andrew, Christopher M., author.</t>
  </si>
  <si>
    <t>London, England : Allen Lane, an imprint of Penguin Books, 2018.</t>
  </si>
  <si>
    <t>2019-04-29</t>
  </si>
  <si>
    <t>5389884724:eng</t>
  </si>
  <si>
    <t>1045423265</t>
  </si>
  <si>
    <t>on1045423265</t>
  </si>
  <si>
    <t>3103737502P</t>
  </si>
  <si>
    <t>9780713993660</t>
  </si>
  <si>
    <t>795060318</t>
  </si>
  <si>
    <t>UB270 D8 1963</t>
  </si>
  <si>
    <t>0                      UB 0270000D  8           1963</t>
  </si>
  <si>
    <t>The craft of intelligence.</t>
  </si>
  <si>
    <t>Dulles, Allen, 1893-1969.</t>
  </si>
  <si>
    <t>New York, Harper &amp; Row [1963]</t>
  </si>
  <si>
    <t>2019-03-11</t>
  </si>
  <si>
    <t>376415191:eng</t>
  </si>
  <si>
    <t>570161</t>
  </si>
  <si>
    <t>ocm00570161</t>
  </si>
  <si>
    <t>3103643593H</t>
  </si>
  <si>
    <t>791417419</t>
  </si>
  <si>
    <t>UB270 G535 2006</t>
  </si>
  <si>
    <t>0                      UB 0270000G  535         2006</t>
  </si>
  <si>
    <t>Intelligence in an insecure world / Peter Gill and Mark Phythian.</t>
  </si>
  <si>
    <t>Gill, Peter, 1947-</t>
  </si>
  <si>
    <t>Cambridge : Polity, 2006.</t>
  </si>
  <si>
    <t>49495496:eng</t>
  </si>
  <si>
    <t>76354725</t>
  </si>
  <si>
    <t>ocm76354725</t>
  </si>
  <si>
    <t>31026334327</t>
  </si>
  <si>
    <t>9780745632445</t>
  </si>
  <si>
    <t>794176089</t>
  </si>
  <si>
    <t>UB270 H84 2017</t>
  </si>
  <si>
    <t>0                      UB 0270000H  84          2017</t>
  </si>
  <si>
    <t>The secret state : a history of intelligence and espionage / Colonel John Hughes-Wilson.</t>
  </si>
  <si>
    <t>Hughes-Wilson, John, author.</t>
  </si>
  <si>
    <t>New York : Pegasus Books, 2017.</t>
  </si>
  <si>
    <t>First Pegasus books hardcover edition.</t>
  </si>
  <si>
    <t>4024762407:eng</t>
  </si>
  <si>
    <t>951925571</t>
  </si>
  <si>
    <t>ocn951925571</t>
  </si>
  <si>
    <t>3103698957O</t>
  </si>
  <si>
    <t>9781681773025</t>
  </si>
  <si>
    <t>795017835</t>
  </si>
  <si>
    <t>UB270 J64 2012</t>
  </si>
  <si>
    <t>0                      UB 0270000J  64          2012</t>
  </si>
  <si>
    <t>National security intelligence : secret operations in defense of the democracies / Loch K. Johnson.</t>
  </si>
  <si>
    <t>Johnson, Loch K., 1942-</t>
  </si>
  <si>
    <t>Cambridge : Polity, 2012.</t>
  </si>
  <si>
    <t>3859643487:eng</t>
  </si>
  <si>
    <t>761376632</t>
  </si>
  <si>
    <t>ocn761376632</t>
  </si>
  <si>
    <t>3103405094J</t>
  </si>
  <si>
    <t>9780745649399</t>
  </si>
  <si>
    <t>794899240</t>
  </si>
  <si>
    <t>UB270 T73 2004</t>
  </si>
  <si>
    <t>0                      UB 0270000T  73          2004</t>
  </si>
  <si>
    <t>Encyclopedia of Cold War espionage, spies, and secret operations / Richard C.S. Trahair.</t>
  </si>
  <si>
    <t>Trahair, R. C. S.</t>
  </si>
  <si>
    <t>Westport, Conn. : Greenwood Press, 2004.</t>
  </si>
  <si>
    <t>896272:eng</t>
  </si>
  <si>
    <t>54462083</t>
  </si>
  <si>
    <t>ocm54462083</t>
  </si>
  <si>
    <t>3102414077T</t>
  </si>
  <si>
    <t>9780313319556</t>
  </si>
  <si>
    <t>793862364</t>
  </si>
  <si>
    <t>UB271 A78 C53 2000</t>
  </si>
  <si>
    <t>0                      UB 0271000A  78                 C  53          2000</t>
  </si>
  <si>
    <t>The clandestine Cold War in Asia, 1945-65 : Western intelligence, propaganda and special operations / editors, Richard J. Aldrich, Gary D. Rawnsley, Ming-Yeh T. Rawnsley.</t>
  </si>
  <si>
    <t>London ; Portland, OR : Frank Cass, 2000.</t>
  </si>
  <si>
    <t>351059995:eng</t>
  </si>
  <si>
    <t>44634327</t>
  </si>
  <si>
    <t>ocm44634327</t>
  </si>
  <si>
    <t>31020905977</t>
  </si>
  <si>
    <t>9780714650456</t>
  </si>
  <si>
    <t>793654777</t>
  </si>
  <si>
    <t>UB271 C2 B633 2010</t>
  </si>
  <si>
    <t>0                      UB 0271000C  2                  B  633         2010</t>
  </si>
  <si>
    <t>Canadian Security Intelligence Service / Peter Boer.</t>
  </si>
  <si>
    <t>Boer, Peter, 1977-</t>
  </si>
  <si>
    <t>[Edmonton] : Folklore Pub., ©2010.</t>
  </si>
  <si>
    <t>3944025644:eng</t>
  </si>
  <si>
    <t>480911435</t>
  </si>
  <si>
    <t>ocn480911435</t>
  </si>
  <si>
    <t>3103267623Q</t>
  </si>
  <si>
    <t>9781926677668</t>
  </si>
  <si>
    <t>794799166</t>
  </si>
  <si>
    <t>UB271 C2 M57 2002</t>
  </si>
  <si>
    <t>0                      UB 0271000C  2                  M  57          2002</t>
  </si>
  <si>
    <t>Covert entry : spies, lies and crimes inside Canada's secret service / Andrew Mitrovica.</t>
  </si>
  <si>
    <t>Mitrovica, Andrew.</t>
  </si>
  <si>
    <t>Toronto : Random House Canada, 2002.</t>
  </si>
  <si>
    <t>6273990:eng</t>
  </si>
  <si>
    <t>50022753</t>
  </si>
  <si>
    <t>ocm50022753</t>
  </si>
  <si>
    <t>3102980771X</t>
  </si>
  <si>
    <t>9780679311164</t>
  </si>
  <si>
    <t>793753748</t>
  </si>
  <si>
    <t>UB271 C22 L86 1995</t>
  </si>
  <si>
    <t>0                      UB 0271000C  22                 L  86          1995</t>
  </si>
  <si>
    <t>The making of a spy / Gordon Lunan.</t>
  </si>
  <si>
    <t>Lunan, Gordon, 1915-</t>
  </si>
  <si>
    <t>Montreal : R. Davies Pub. ; Nashville, TN : Associated Publishers Group [distributor], ©1995.</t>
  </si>
  <si>
    <t>823776:eng</t>
  </si>
  <si>
    <t>34181175</t>
  </si>
  <si>
    <t>ocm34181175</t>
  </si>
  <si>
    <t>3102981030L</t>
  </si>
  <si>
    <t>9781895854473</t>
  </si>
  <si>
    <t>793420957</t>
  </si>
  <si>
    <t>UB271 C6 W56 2011</t>
  </si>
  <si>
    <t>0                      UB 0271000C  6                  W  56          2011</t>
  </si>
  <si>
    <t>Tiger trap : America's secret spy war with China / David Wise.</t>
  </si>
  <si>
    <t>Wise, David, 1930-2018.</t>
  </si>
  <si>
    <t>Boston : Houghton Mifflin Harcourt, 2011.</t>
  </si>
  <si>
    <t>552440547:eng</t>
  </si>
  <si>
    <t>651912251</t>
  </si>
  <si>
    <t>ocn651912251</t>
  </si>
  <si>
    <t>3103362164A</t>
  </si>
  <si>
    <t>9780547553108</t>
  </si>
  <si>
    <t>794833133</t>
  </si>
  <si>
    <t>UB271 C92 V64 2014</t>
  </si>
  <si>
    <t>0                      UB 0271000C  92                 V  64          2014</t>
  </si>
  <si>
    <t>Voices from prison : the Cuban five / Gerardo Hernández, Ramón Labañino, Rafael Cancel Miranda ; [edited by] Mary-Alice Waters.</t>
  </si>
  <si>
    <t>Hernández Nordelo, Gerardo, author.</t>
  </si>
  <si>
    <t>New York : Pathfinder, [2014]</t>
  </si>
  <si>
    <t>1st edition.</t>
  </si>
  <si>
    <t>2195382121:eng</t>
  </si>
  <si>
    <t>871062873</t>
  </si>
  <si>
    <t>ocn871062873</t>
  </si>
  <si>
    <t>3103532880P</t>
  </si>
  <si>
    <t>9781604880588</t>
  </si>
  <si>
    <t>794967253</t>
  </si>
  <si>
    <t>UB271 C952 M675 1975</t>
  </si>
  <si>
    <t>0                      UB 0271000C  952                M  675         1975</t>
  </si>
  <si>
    <t>Master of spies : the memoirs of General Frantisek Moravec / with a pref. by J.C. Masterman.</t>
  </si>
  <si>
    <t>Moravec, František, 1895 or 1896-1966.</t>
  </si>
  <si>
    <t>London : Bodley Head, 1975.</t>
  </si>
  <si>
    <t>2134328:eng</t>
  </si>
  <si>
    <t>1183018</t>
  </si>
  <si>
    <t>ocm01183018</t>
  </si>
  <si>
    <t>30004633505</t>
  </si>
  <si>
    <t>9780370103532</t>
  </si>
  <si>
    <t>791567033</t>
  </si>
  <si>
    <t>UB271 E85 D36 2010</t>
  </si>
  <si>
    <t>0                      UB 0271000E  85                 D  36          2010</t>
  </si>
  <si>
    <t>The dangerous trade : spies, spymasters and the making of Europe / edited by Daniel Szechi.</t>
  </si>
  <si>
    <t>Dundee : Dundee University Press, 2010.</t>
  </si>
  <si>
    <t>2015-06-20</t>
  </si>
  <si>
    <t>1044946203:eng</t>
  </si>
  <si>
    <t>696113651</t>
  </si>
  <si>
    <t>ocn696113651</t>
  </si>
  <si>
    <t>3103341809F</t>
  </si>
  <si>
    <t>9781845860608</t>
  </si>
  <si>
    <t>794859031</t>
  </si>
  <si>
    <t>UB271 G35 E27 2010</t>
  </si>
  <si>
    <t>0                      UB 0271000G  35                 E  27          2010</t>
  </si>
  <si>
    <t>East German foreign intelligence : myth, reality and controversy / edited by Thomas Wegener Friis Kristie Macrakis and Helmut Müller-Enbergs.</t>
  </si>
  <si>
    <t>2012-04-08</t>
  </si>
  <si>
    <t>865765635:eng</t>
  </si>
  <si>
    <t>295000735</t>
  </si>
  <si>
    <t>ocn295000735</t>
  </si>
  <si>
    <t>3102859794E</t>
  </si>
  <si>
    <t>9780415484428</t>
  </si>
  <si>
    <t>794425354</t>
  </si>
  <si>
    <t>UB271 G7 A55 2018</t>
  </si>
  <si>
    <t>0                      UB 0271000G  7                  A  55          2018</t>
  </si>
  <si>
    <t>Invisible agents : women and espionage in seventeenth-century Britain / Nadine Akkerman.</t>
  </si>
  <si>
    <t>Akkerman, Nadine, author.</t>
  </si>
  <si>
    <t>Oxford, United Kingdom : Oxford University Press, 2018.</t>
  </si>
  <si>
    <t>2019-10-08</t>
  </si>
  <si>
    <t>5292178005:eng</t>
  </si>
  <si>
    <t>1012500208</t>
  </si>
  <si>
    <t>on1012500208</t>
  </si>
  <si>
    <t>31038098236</t>
  </si>
  <si>
    <t>9780198823018</t>
  </si>
  <si>
    <t>795046458</t>
  </si>
  <si>
    <t>UB271 G7 C67 2011</t>
  </si>
  <si>
    <t>0                      UB 0271000G  7                  C  67          2011</t>
  </si>
  <si>
    <t>The art of betrayal : life and death in the British Secret Service / Gordon Corera.</t>
  </si>
  <si>
    <t>Corera, Gordon.</t>
  </si>
  <si>
    <t>London : Weidenfeld &amp; Nicolson, 2011.</t>
  </si>
  <si>
    <t>2017-10-26</t>
  </si>
  <si>
    <t>1203044478:eng</t>
  </si>
  <si>
    <t>720546120</t>
  </si>
  <si>
    <t>ocn720546120</t>
  </si>
  <si>
    <t>31033428375</t>
  </si>
  <si>
    <t>9780297860990</t>
  </si>
  <si>
    <t>794875038</t>
  </si>
  <si>
    <t>UB271 G7 M33 2005</t>
  </si>
  <si>
    <t>0                      UB 0271000G  7                  M  33          2005</t>
  </si>
  <si>
    <t>Spies, lies and whistleblowers : MI5, MI6 and the David Shayler affair / Annie Machon.</t>
  </si>
  <si>
    <t>Machon, Annie.</t>
  </si>
  <si>
    <t>Lewes : Book Guild, 2005.</t>
  </si>
  <si>
    <t>291108966:eng</t>
  </si>
  <si>
    <t>64082844</t>
  </si>
  <si>
    <t>ocm64082844</t>
  </si>
  <si>
    <t>3102568422H</t>
  </si>
  <si>
    <t>9781857769524</t>
  </si>
  <si>
    <t>794123947</t>
  </si>
  <si>
    <t>UB271 G7 M55 2013</t>
  </si>
  <si>
    <t>0                      UB 0271000G  7                  M  55          2013</t>
  </si>
  <si>
    <t>Russian roulette : a deadly game : how British spies thwarted Lenin's global plot / Giles Milton.</t>
  </si>
  <si>
    <t>Milton, Giles, author.</t>
  </si>
  <si>
    <t>London, England : Sceptre, 2013.</t>
  </si>
  <si>
    <t>2014-12-16</t>
  </si>
  <si>
    <t>1284487294:eng</t>
  </si>
  <si>
    <t>841672518</t>
  </si>
  <si>
    <t>ocn841672518</t>
  </si>
  <si>
    <t>31035038407</t>
  </si>
  <si>
    <t>9781444737028</t>
  </si>
  <si>
    <t>794947055</t>
  </si>
  <si>
    <t>UB271 G7 S65 2010</t>
  </si>
  <si>
    <t>0                      UB 0271000G  7                  S  65          2010</t>
  </si>
  <si>
    <t>SIX : a history of Britain's secret intelligence service / Michael Smith.</t>
  </si>
  <si>
    <t>pt.1</t>
  </si>
  <si>
    <t>Smith, Michael, 1952 May 1-</t>
  </si>
  <si>
    <t>London : Dialogue, 2010-</t>
  </si>
  <si>
    <t>2016-06-13</t>
  </si>
  <si>
    <t>3863953870:eng</t>
  </si>
  <si>
    <t>664360239</t>
  </si>
  <si>
    <t>ocn664360239</t>
  </si>
  <si>
    <t>3103299799N</t>
  </si>
  <si>
    <t>9781906447007</t>
  </si>
  <si>
    <t>794843469</t>
  </si>
  <si>
    <t>UB271 G7 W47 1983</t>
  </si>
  <si>
    <t>0                      UB 0271000G  7                  W  47          1983</t>
  </si>
  <si>
    <t>MI6 : British Secret Intelligence Service operations, 1909-45 / by Nigel West.</t>
  </si>
  <si>
    <t>New York : Random House, ©1983.</t>
  </si>
  <si>
    <t>2016-06-27</t>
  </si>
  <si>
    <t>3454898:eng</t>
  </si>
  <si>
    <t>10948460</t>
  </si>
  <si>
    <t>ocm10948460</t>
  </si>
  <si>
    <t>31017124400</t>
  </si>
  <si>
    <t>9780394539409</t>
  </si>
  <si>
    <t>792750726</t>
  </si>
  <si>
    <t>UB271 G72 A85 2006</t>
  </si>
  <si>
    <t>0                      UB 0271000G  72                 A  85          2006</t>
  </si>
  <si>
    <t>A life in secrets : the story of Vera Atkins and the lost agents of SOE / Sarah Helm.</t>
  </si>
  <si>
    <t>Helm, Sarah.</t>
  </si>
  <si>
    <t>London : Abacus, 2006.</t>
  </si>
  <si>
    <t>Pbk ed.</t>
  </si>
  <si>
    <t>1106363:eng</t>
  </si>
  <si>
    <t>70398230</t>
  </si>
  <si>
    <t>ocm70398230</t>
  </si>
  <si>
    <t>31034219694</t>
  </si>
  <si>
    <t>9780349119366</t>
  </si>
  <si>
    <t>794154664</t>
  </si>
  <si>
    <t>UB271 G72 G69 2010</t>
  </si>
  <si>
    <t>0                      UB 0271000G  72                 G  69          2010</t>
  </si>
  <si>
    <t>Johnny : a spy's life / R.S. Rose and Gordon D. Scott.</t>
  </si>
  <si>
    <t>Rose, R. S., 1943-</t>
  </si>
  <si>
    <t>University Park, Pa. : Pennsylvania State University Press, ©2010.</t>
  </si>
  <si>
    <t>288938378:eng</t>
  </si>
  <si>
    <t>402541557</t>
  </si>
  <si>
    <t>ocn402541557</t>
  </si>
  <si>
    <t>3103155268C</t>
  </si>
  <si>
    <t>9780271035697</t>
  </si>
  <si>
    <t>794498918</t>
  </si>
  <si>
    <t>UB271 G72 S77 1983</t>
  </si>
  <si>
    <t>0                      UB 0271000G  72                 S  77          1983</t>
  </si>
  <si>
    <t>Intrepid's last case / William Stevenson.</t>
  </si>
  <si>
    <t>Stevenson, William, 1924-2013.</t>
  </si>
  <si>
    <t>New York : Villard Books, 1983.</t>
  </si>
  <si>
    <t>2019-06-11</t>
  </si>
  <si>
    <t>4014119:eng</t>
  </si>
  <si>
    <t>9684862</t>
  </si>
  <si>
    <t>ocm09684862</t>
  </si>
  <si>
    <t>3103871937Q</t>
  </si>
  <si>
    <t>9780395534809</t>
  </si>
  <si>
    <t>792688625</t>
  </si>
  <si>
    <t>UB271 G72 S959 2004</t>
  </si>
  <si>
    <t>0                      UB 0271000G  72                 S  959         2004</t>
  </si>
  <si>
    <t>Persia in the great game : Sir Percy Sykes, explorer, consul, soldier, spy / Antony Wynn.</t>
  </si>
  <si>
    <t>Wynn, Antony.</t>
  </si>
  <si>
    <t>London : John Murray, 2004.</t>
  </si>
  <si>
    <t>837998362:eng</t>
  </si>
  <si>
    <t>53192383</t>
  </si>
  <si>
    <t>ocm53192383</t>
  </si>
  <si>
    <t>3102441667A</t>
  </si>
  <si>
    <t>9780719564154</t>
  </si>
  <si>
    <t>793823516</t>
  </si>
  <si>
    <t>UB271 G72 W478 1982</t>
  </si>
  <si>
    <t>0                      UB 0271000G  72                 W  478         1982</t>
  </si>
  <si>
    <t>MI5 : British security service operations, 1909-1945 / Nigel West.</t>
  </si>
  <si>
    <t>New York : Stein and Day, 1982, ©1981.</t>
  </si>
  <si>
    <t>30119344:eng</t>
  </si>
  <si>
    <t>8280545</t>
  </si>
  <si>
    <t>ocm08280545</t>
  </si>
  <si>
    <t>31017144002</t>
  </si>
  <si>
    <t>9780812828597</t>
  </si>
  <si>
    <t>792609373</t>
  </si>
  <si>
    <t>UB271 G72 W75 1987b</t>
  </si>
  <si>
    <t>0                      UB 0271000G  72                 W  75          1987b</t>
  </si>
  <si>
    <t>Spycatcher : the candid autobiography of a senior intelligence officer / Peter Wright.</t>
  </si>
  <si>
    <t>Wright, Peter.</t>
  </si>
  <si>
    <t>Toronto : Stoddart, 1987.</t>
  </si>
  <si>
    <t>197677471:eng</t>
  </si>
  <si>
    <t>16708881</t>
  </si>
  <si>
    <t>ocm16708881</t>
  </si>
  <si>
    <t>3000481640V</t>
  </si>
  <si>
    <t>9780773721685</t>
  </si>
  <si>
    <t>792969422</t>
  </si>
  <si>
    <t>UB271 I82 P653 1989</t>
  </si>
  <si>
    <t>0                      UB 0271000I  82                 P  653         1989</t>
  </si>
  <si>
    <t>Territory of lies : the exclusive story of Jonathan Jay Pollard, the American who spied on his country for Israel and how he was betrayed / Wolf Blitzer.</t>
  </si>
  <si>
    <t>Blitzer, Wolf.</t>
  </si>
  <si>
    <t>New York : Harper &amp; Row, ©1989.</t>
  </si>
  <si>
    <t>2018-03-24</t>
  </si>
  <si>
    <t>19000108:eng</t>
  </si>
  <si>
    <t>18835427</t>
  </si>
  <si>
    <t>ocm18835427</t>
  </si>
  <si>
    <t>3100178050Y</t>
  </si>
  <si>
    <t>9780060159726</t>
  </si>
  <si>
    <t>793038807</t>
  </si>
  <si>
    <t>UB271 R62 P337 1987</t>
  </si>
  <si>
    <t>0                      UB 0271000R  62                 P  337         1987</t>
  </si>
  <si>
    <t>Red horizons : chronicles of a Communist spy chief / by Ion Mihai Pacepa.</t>
  </si>
  <si>
    <t>Pacepa, Ion Mihai, 1928-</t>
  </si>
  <si>
    <t>Washington, D.C. : Regnery Gateway ; New York, NY : Distributed to the trade by Kampmann &amp; Co., ©1987.</t>
  </si>
  <si>
    <t>2016-10-05</t>
  </si>
  <si>
    <t>1883130163:eng</t>
  </si>
  <si>
    <t>16712161</t>
  </si>
  <si>
    <t>ocm16712161</t>
  </si>
  <si>
    <t>3102917408Q</t>
  </si>
  <si>
    <t>9780895265708</t>
  </si>
  <si>
    <t>792969640</t>
  </si>
  <si>
    <t>UB271 R9 A48 1997</t>
  </si>
  <si>
    <t>0                      UB 0271000R  9                  A  48          1997</t>
  </si>
  <si>
    <t>Bombshell : the secret story of America's unknown atomic spy conspiracy / Joseph Albright, Marcia Kunstel.</t>
  </si>
  <si>
    <t>Albright, Joseph.</t>
  </si>
  <si>
    <t>New York : Times Books, ©1997.</t>
  </si>
  <si>
    <t>2016-03-04</t>
  </si>
  <si>
    <t>618641:eng</t>
  </si>
  <si>
    <t>38126209</t>
  </si>
  <si>
    <t>ocm38126209</t>
  </si>
  <si>
    <t>31018098850</t>
  </si>
  <si>
    <t>9780812928617</t>
  </si>
  <si>
    <t>793516338</t>
  </si>
  <si>
    <t>UB271 R9 A54 2015</t>
  </si>
  <si>
    <t>0                      UB 0271000R  9                  A  54          2015</t>
  </si>
  <si>
    <t>The shadow man : at the heart of the Cambridge spy circle / Geoff Andrews.</t>
  </si>
  <si>
    <t>Andrews, Geoff, 1961- author.</t>
  </si>
  <si>
    <t>London ; New York : I.B. Tauris, 2015.</t>
  </si>
  <si>
    <t>2018-02-28</t>
  </si>
  <si>
    <t>2779987588:eng</t>
  </si>
  <si>
    <t>922688957</t>
  </si>
  <si>
    <t>ocn922688957</t>
  </si>
  <si>
    <t>3103612971Y</t>
  </si>
  <si>
    <t>9781784531669</t>
  </si>
  <si>
    <t>795004033</t>
  </si>
  <si>
    <t>UB271 R9 B65 1979</t>
  </si>
  <si>
    <t>0                      UB 0271000R  9                  B  65          1979</t>
  </si>
  <si>
    <t>The climate of treason : five who spied for Russia / Andrew Boyle.</t>
  </si>
  <si>
    <t>Boyle, Andrew, 1919-1991.</t>
  </si>
  <si>
    <t>London : Hutchinson, 1979.</t>
  </si>
  <si>
    <t>2019-06-28</t>
  </si>
  <si>
    <t>20091838:eng</t>
  </si>
  <si>
    <t>5789825</t>
  </si>
  <si>
    <t>ocm05789825</t>
  </si>
  <si>
    <t>31037420742</t>
  </si>
  <si>
    <t>9780091402006</t>
  </si>
  <si>
    <t>792454131</t>
  </si>
  <si>
    <t>UB271 R9 G56 1987</t>
  </si>
  <si>
    <t>0                      UB 0271000R  9                  G  56          1987</t>
  </si>
  <si>
    <t>The secrets of the service : British intelligence and Communist subversion 1939-51 / Anthony Glees.</t>
  </si>
  <si>
    <t>Glees, Anthony, 1948-</t>
  </si>
  <si>
    <t>London : Cape, 1987.</t>
  </si>
  <si>
    <t>807141956:eng</t>
  </si>
  <si>
    <t>59207103</t>
  </si>
  <si>
    <t>ocm59207103</t>
  </si>
  <si>
    <t>3101565831S</t>
  </si>
  <si>
    <t>9780224022521</t>
  </si>
  <si>
    <t>793928406</t>
  </si>
  <si>
    <t>UB271 R9 H37 2012</t>
  </si>
  <si>
    <t>0                      UB 0271000R  9                  H  37          2012</t>
  </si>
  <si>
    <t>Expelled : a journalist's descent into the Russian mafia state / Luke Harding.</t>
  </si>
  <si>
    <t>Harding, Luke, 1968-</t>
  </si>
  <si>
    <t>New York : Palgrave Macmillan, 2012.</t>
  </si>
  <si>
    <t>1st Palgrave Macmillan ed.</t>
  </si>
  <si>
    <t>1009110954:eng</t>
  </si>
  <si>
    <t>761850069</t>
  </si>
  <si>
    <t>ocn761850069</t>
  </si>
  <si>
    <t>3103429065$</t>
  </si>
  <si>
    <t>9780230341746</t>
  </si>
  <si>
    <t>794899624</t>
  </si>
  <si>
    <t>UB271 R9 H388 2006</t>
  </si>
  <si>
    <t>0                      UB 0271000R  9                  H  388         2006</t>
  </si>
  <si>
    <t>Early Cold War spies : the espionage trials that shaped American politics / John Earl Haynes, Harvey Klehr.</t>
  </si>
  <si>
    <t>Haynes, John Earl.</t>
  </si>
  <si>
    <t>Cambridge essential histories</t>
  </si>
  <si>
    <t>2015-09-23</t>
  </si>
  <si>
    <t>197837955:eng</t>
  </si>
  <si>
    <t>63171119</t>
  </si>
  <si>
    <t>ocm63171119</t>
  </si>
  <si>
    <t>3103251823C</t>
  </si>
  <si>
    <t>9780521857383</t>
  </si>
  <si>
    <t>794119341</t>
  </si>
  <si>
    <t>31025921160</t>
  </si>
  <si>
    <t>794119340</t>
  </si>
  <si>
    <t>UB271 R9 H389 2009</t>
  </si>
  <si>
    <t>0                      UB 0271000R  9                  H  389         2009</t>
  </si>
  <si>
    <t>Spies : the rise and fall of the KGB in America / John Earl Haynes, Harvey Klehr, and Alexander Vassiliev with translations by Philip Redko and Steven Shabad.</t>
  </si>
  <si>
    <t>Haynes, John Earl, author.</t>
  </si>
  <si>
    <t>New Haven : Yale University Press, [2009]</t>
  </si>
  <si>
    <t>793226385:eng</t>
  </si>
  <si>
    <t>262432345</t>
  </si>
  <si>
    <t>ocn262432345</t>
  </si>
  <si>
    <t>3103082110S</t>
  </si>
  <si>
    <t>9780300123906</t>
  </si>
  <si>
    <t>794401876</t>
  </si>
  <si>
    <t>UB271 R9 H9 1980</t>
  </si>
  <si>
    <t>0                      UB 0271000R  9                  H  9           1980</t>
  </si>
  <si>
    <t>The atom bomb spies / H. Montgomery Hyde.</t>
  </si>
  <si>
    <t>Hyde, H. Montgomery (Harford Montgomery), 1907-1989.</t>
  </si>
  <si>
    <t>London : H. Hamilton, 1980.</t>
  </si>
  <si>
    <t>345808465:eng</t>
  </si>
  <si>
    <t>6759283</t>
  </si>
  <si>
    <t>ocm06759283</t>
  </si>
  <si>
    <t>30001490746</t>
  </si>
  <si>
    <t>9780241102718</t>
  </si>
  <si>
    <t>792521712</t>
  </si>
  <si>
    <t>2013-12-01</t>
  </si>
  <si>
    <t>3000311505C</t>
  </si>
  <si>
    <t>792521713</t>
  </si>
  <si>
    <t>UB271 R9 M35 2002</t>
  </si>
  <si>
    <t>0                      UB 0271000R  9                  M  35          2002</t>
  </si>
  <si>
    <t>Espionage and the roots of the Cold War : the conspiratorial heritage / David McKnight ; with a foreword by Richard J. Aldrich.</t>
  </si>
  <si>
    <t>McKnight, David, 1951-</t>
  </si>
  <si>
    <t>London ; Portland, OR : Frank Cass, 2002.</t>
  </si>
  <si>
    <t>Studies in intelligence, 1368-9916</t>
  </si>
  <si>
    <t>2016-12-08</t>
  </si>
  <si>
    <t>292580259:eng</t>
  </si>
  <si>
    <t>49902060</t>
  </si>
  <si>
    <t>ocm49902060</t>
  </si>
  <si>
    <t>3102537097Y</t>
  </si>
  <si>
    <t>9780714651637</t>
  </si>
  <si>
    <t>793750284</t>
  </si>
  <si>
    <t>UB271 R9 N47 1991</t>
  </si>
  <si>
    <t>0                      UB 0271000R  9                  N  47          1991</t>
  </si>
  <si>
    <t>The Cambridge spies : the untold story of Maclean, Philby, and Burgess in America / Verne W. Newton.</t>
  </si>
  <si>
    <t>Newton, Verne W.</t>
  </si>
  <si>
    <t>Lanham, Md. : Madison Books : Distributed by National Book Network, ©1991.</t>
  </si>
  <si>
    <t>2016-05-03</t>
  </si>
  <si>
    <t>292635121:eng</t>
  </si>
  <si>
    <t>23144527</t>
  </si>
  <si>
    <t>ocm23144527</t>
  </si>
  <si>
    <t>31012142040</t>
  </si>
  <si>
    <t>9780819180599</t>
  </si>
  <si>
    <t>793162665</t>
  </si>
  <si>
    <t>UB271 R9 T75 2009</t>
  </si>
  <si>
    <t>0                      UB 0271000R  9                  T  75          2009</t>
  </si>
  <si>
    <t>TRIPLEX : secrets from the Cambridge spies / edited by Nigel West and Oleg Tsarev.</t>
  </si>
  <si>
    <t>2018-07-14</t>
  </si>
  <si>
    <t>797253519:eng</t>
  </si>
  <si>
    <t>315239201</t>
  </si>
  <si>
    <t>ocn315239201</t>
  </si>
  <si>
    <t>3103087162Z</t>
  </si>
  <si>
    <t>9780300123470</t>
  </si>
  <si>
    <t>794439713</t>
  </si>
  <si>
    <t>UB271 R9 W45 1999</t>
  </si>
  <si>
    <t>0                      UB 0271000R  9                  W  45          1999</t>
  </si>
  <si>
    <t>The haunted wood : Soviet espionage in America--the Stalin era / Allen Weinstein, Alexander Vassiliev.</t>
  </si>
  <si>
    <t>Weinstein, Allen.</t>
  </si>
  <si>
    <t>New York : Random House, ©1999.</t>
  </si>
  <si>
    <t>41355347:eng</t>
  </si>
  <si>
    <t>39051089</t>
  </si>
  <si>
    <t>ocm39051089</t>
  </si>
  <si>
    <t>3101967124F</t>
  </si>
  <si>
    <t>9780679457244</t>
  </si>
  <si>
    <t>793536666</t>
  </si>
  <si>
    <t>UB271 R9 W48 1987</t>
  </si>
  <si>
    <t>0                      UB 0271000R  9                  W  48          1987</t>
  </si>
  <si>
    <t>Molehunt : the full story of the Soviet spy in MI5 / Nigel West.</t>
  </si>
  <si>
    <t>London : Weidenfeld and Nicolson, ©1987.</t>
  </si>
  <si>
    <t>836907190:eng</t>
  </si>
  <si>
    <t>24429930</t>
  </si>
  <si>
    <t>ocm24429930</t>
  </si>
  <si>
    <t>3102456092Y</t>
  </si>
  <si>
    <t>9780297791508</t>
  </si>
  <si>
    <t>793198076</t>
  </si>
  <si>
    <t>UB271 R9 W55 2009</t>
  </si>
  <si>
    <t>0                      UB 0271000R  9                  W  55          2009</t>
  </si>
  <si>
    <t>The Eitingons : a twentieth-century story / Mary-Kay Wilmers.</t>
  </si>
  <si>
    <t>Wilmers, Mary-Kay.</t>
  </si>
  <si>
    <t>London : Faber and Faber, 2009.</t>
  </si>
  <si>
    <t>2019-02-13</t>
  </si>
  <si>
    <t>866844714:eng</t>
  </si>
  <si>
    <t>426794426</t>
  </si>
  <si>
    <t>ocn426794426</t>
  </si>
  <si>
    <t>3103214061$</t>
  </si>
  <si>
    <t>9780571234721</t>
  </si>
  <si>
    <t>794516167</t>
  </si>
  <si>
    <t>UB271 R92 B78 2016</t>
  </si>
  <si>
    <t>0                      UB 0271000R  92                 B  78          2016</t>
  </si>
  <si>
    <t>Guy Burgess : the spy who knew everyone / Stewart Purvis and Jeff Hulbert.</t>
  </si>
  <si>
    <t>Purvis, Stewart, author.</t>
  </si>
  <si>
    <t>London : Biteback Publishing, 2016.</t>
  </si>
  <si>
    <t>2018-02-22</t>
  </si>
  <si>
    <t>2901980069:eng</t>
  </si>
  <si>
    <t>923553744</t>
  </si>
  <si>
    <t>ocn923553744</t>
  </si>
  <si>
    <t>3103698039P</t>
  </si>
  <si>
    <t>9781849549134</t>
  </si>
  <si>
    <t>795004543</t>
  </si>
  <si>
    <t>UB271 R92 B87 2016</t>
  </si>
  <si>
    <t>0                      UB 0271000R  92                 B  87          2016</t>
  </si>
  <si>
    <t>Stalin's Englishman : the lives of Guy Burgess / Andrew Lownie.</t>
  </si>
  <si>
    <t>Lownie, Andrew, author.</t>
  </si>
  <si>
    <t>London Hodder &amp; Stoughton, 2016.</t>
  </si>
  <si>
    <t>2751846955:eng</t>
  </si>
  <si>
    <t>956553206</t>
  </si>
  <si>
    <t>ocn956553206</t>
  </si>
  <si>
    <t>3103655353L</t>
  </si>
  <si>
    <t>9781473627383</t>
  </si>
  <si>
    <t>795020247</t>
  </si>
  <si>
    <t>UB271 R92 F836 1987</t>
  </si>
  <si>
    <t>0                      UB 0271000R  92                 F  836         1987</t>
  </si>
  <si>
    <t>Klaus Fuchs : the man who stole the atom bomb / Norman Moss.</t>
  </si>
  <si>
    <t>Moss, Norman.</t>
  </si>
  <si>
    <t>London : Grafton, 1987.</t>
  </si>
  <si>
    <t>12367237:eng</t>
  </si>
  <si>
    <t>15195592</t>
  </si>
  <si>
    <t>ocm15195592</t>
  </si>
  <si>
    <t>30004858063</t>
  </si>
  <si>
    <t>9780246131584</t>
  </si>
  <si>
    <t>792923589</t>
  </si>
  <si>
    <t>UB271 R92 H37 2012</t>
  </si>
  <si>
    <t>0                      UB 0271000R  92                 H  37          2012</t>
  </si>
  <si>
    <t>The Young Kim Philby : Soviet spy and British intelligence officer / Edward Harrison.</t>
  </si>
  <si>
    <t>Harrison, E. D. R. (Edward David Robert), 1954-</t>
  </si>
  <si>
    <t>Exeter, Devon [England] : University of Exeter Press, 2012.</t>
  </si>
  <si>
    <t>2013-02-02</t>
  </si>
  <si>
    <t>1178347151:eng</t>
  </si>
  <si>
    <t>788275506</t>
  </si>
  <si>
    <t>ocn788275506</t>
  </si>
  <si>
    <t>31034325991</t>
  </si>
  <si>
    <t>9780859898676</t>
  </si>
  <si>
    <t>794916376</t>
  </si>
  <si>
    <t>UB271 R92 H47 2013</t>
  </si>
  <si>
    <t>0                      UB 0271000R  92                 H  47          2013</t>
  </si>
  <si>
    <t>The greatest traitor : the secret lives of Agent George Blake / Roger Hermiston.</t>
  </si>
  <si>
    <t>Hermiston, Roger.</t>
  </si>
  <si>
    <t>London : Aurum, 2013.</t>
  </si>
  <si>
    <t>1201206705:eng</t>
  </si>
  <si>
    <t>824183213</t>
  </si>
  <si>
    <t>ocn824183213</t>
  </si>
  <si>
    <t>3103530440G</t>
  </si>
  <si>
    <t>9781781310465</t>
  </si>
  <si>
    <t>794937669</t>
  </si>
  <si>
    <t>UB271 R92 K758 2003</t>
  </si>
  <si>
    <t>0                      UB 0271000R  92                 K  758         2003</t>
  </si>
  <si>
    <t>A death in Washington : Walter G. Krivitsky and the Stalin terror / Gary Kern.</t>
  </si>
  <si>
    <t>Kern, Gary.</t>
  </si>
  <si>
    <t>New York : Enigma ; [Lancaster] : [Gazelle, distributor], 2003.</t>
  </si>
  <si>
    <t>827303:eng</t>
  </si>
  <si>
    <t>52144937</t>
  </si>
  <si>
    <t>ocm52144937</t>
  </si>
  <si>
    <t>3102286439V</t>
  </si>
  <si>
    <t>9781929631148</t>
  </si>
  <si>
    <t>793799535</t>
  </si>
  <si>
    <t>UB271 R92 P3</t>
  </si>
  <si>
    <t>0                      UB 0271000R  92                 P  3</t>
  </si>
  <si>
    <t>Philby; the spy who betrayed a generation by Bruce Page, David Leitch [and] Phillip Knightley. Introduction by John Le Carre.</t>
  </si>
  <si>
    <t>Page, Bruce.</t>
  </si>
  <si>
    <t>London, Deutsch, 1968.</t>
  </si>
  <si>
    <t>2001-02-08</t>
  </si>
  <si>
    <t>16179175:eng</t>
  </si>
  <si>
    <t>460092</t>
  </si>
  <si>
    <t>ocm00460092</t>
  </si>
  <si>
    <t>30005608121</t>
  </si>
  <si>
    <t>9780233960142</t>
  </si>
  <si>
    <t>791384364</t>
  </si>
  <si>
    <t>31029446439</t>
  </si>
  <si>
    <t>791384363</t>
  </si>
  <si>
    <t>UB271 R92 P4317 1994</t>
  </si>
  <si>
    <t>0                      UB 0271000R  92                 P  4317        1994</t>
  </si>
  <si>
    <t>The Philby files : the secret life of master spy Kim Philby / Genrikh Borovik ; edited and with an introduction by Phillip Knightley.</t>
  </si>
  <si>
    <t>Borovik, Genrikh Aviėzerovich.</t>
  </si>
  <si>
    <t>Boston : Little, Brown, ©1994.</t>
  </si>
  <si>
    <t>2019-04-02</t>
  </si>
  <si>
    <t>137830739:eng</t>
  </si>
  <si>
    <t>31239531</t>
  </si>
  <si>
    <t>ocm31239531</t>
  </si>
  <si>
    <t>3101444385C</t>
  </si>
  <si>
    <t>9780316102841</t>
  </si>
  <si>
    <t>793356639</t>
  </si>
  <si>
    <t>UB271 R92 P432 1994</t>
  </si>
  <si>
    <t>0                      UB 0271000R  92                 P  432         1994</t>
  </si>
  <si>
    <t>Treason in the blood : H. St. John Philby, Kim Philby, and the spy case of the century / Anthony Cave Brown.</t>
  </si>
  <si>
    <t>Brown, Anthony Cave.</t>
  </si>
  <si>
    <t>Boston : Houghton Mifflin, 1994.</t>
  </si>
  <si>
    <t>32768501:eng</t>
  </si>
  <si>
    <t>30668092</t>
  </si>
  <si>
    <t>ocm30668092</t>
  </si>
  <si>
    <t>3103009370M</t>
  </si>
  <si>
    <t>9780395631195</t>
  </si>
  <si>
    <t>793341690</t>
  </si>
  <si>
    <t>UB271 R92 P435 2014</t>
  </si>
  <si>
    <t>0                      UB 0271000R  92                 P  435         2014</t>
  </si>
  <si>
    <t>A spy among friends : Kim Philby and the great betrayal / Ben Macintyre.</t>
  </si>
  <si>
    <t>Macintyre, Ben, 1963- author.</t>
  </si>
  <si>
    <t>London : Bloomsbury, 2014.</t>
  </si>
  <si>
    <t>1835464466:eng</t>
  </si>
  <si>
    <t>872619762</t>
  </si>
  <si>
    <t>ocn872619762</t>
  </si>
  <si>
    <t>3103531948Y</t>
  </si>
  <si>
    <t>9781408851722</t>
  </si>
  <si>
    <t>794968191</t>
  </si>
  <si>
    <t>UB271 R92 P435 2014b</t>
  </si>
  <si>
    <t>0                      UB 0271000R  92                 P  435         2014b</t>
  </si>
  <si>
    <t>[Toronto, Ontario] : Signal, McClelland &amp; Stewart, [2014]</t>
  </si>
  <si>
    <t>883940020</t>
  </si>
  <si>
    <t>ocn883940020</t>
  </si>
  <si>
    <t>3103495103Q</t>
  </si>
  <si>
    <t>9780771055508</t>
  </si>
  <si>
    <t>794976070</t>
  </si>
  <si>
    <t>UB271 R92 P444 2014</t>
  </si>
  <si>
    <t>0                      UB 0271000R  92                 P  444         2014</t>
  </si>
  <si>
    <t>Kim Philby : the unknown story of the KGB's master spy / Tim Milne ; foreword by Phillip Knightley.</t>
  </si>
  <si>
    <t>Milne, Tim, author.</t>
  </si>
  <si>
    <t>London : Biteback Publishing, 2014.</t>
  </si>
  <si>
    <t>1825777290:eng</t>
  </si>
  <si>
    <t>869789283</t>
  </si>
  <si>
    <t>ocn869789283</t>
  </si>
  <si>
    <t>31035317159</t>
  </si>
  <si>
    <t>9781849546997</t>
  </si>
  <si>
    <t>794965834</t>
  </si>
  <si>
    <t>UB271 R92 P45 1968b</t>
  </si>
  <si>
    <t>0                      UB 0271000R  92                 P  45          1968b</t>
  </si>
  <si>
    <t>My silent war [by] Kim Philby; with an introduction by Graham Greene.</t>
  </si>
  <si>
    <t>Philby, Kim, 1912-1988.</t>
  </si>
  <si>
    <t>London, MacGibbon &amp; Kee, 1968.</t>
  </si>
  <si>
    <t>119789501:eng</t>
  </si>
  <si>
    <t>41903</t>
  </si>
  <si>
    <t>ocm00041903</t>
  </si>
  <si>
    <t>3102536844O</t>
  </si>
  <si>
    <t>9780261631373</t>
  </si>
  <si>
    <t>791237072</t>
  </si>
  <si>
    <t>UB271 R92 P477 2004</t>
  </si>
  <si>
    <t>0                      UB 0271000R  92                 P  477         2004</t>
  </si>
  <si>
    <t>Deceiving the deceivers : Kim Philby, Donald Maclean and Guy Burgess / S.J. Hamrick.</t>
  </si>
  <si>
    <t>Hamrick, S. J.</t>
  </si>
  <si>
    <t>New Haven, Conn. : Yale University Press, ©2004.</t>
  </si>
  <si>
    <t>794093832:eng</t>
  </si>
  <si>
    <t>55615668</t>
  </si>
  <si>
    <t>ocm55615668</t>
  </si>
  <si>
    <t>31029445932</t>
  </si>
  <si>
    <t>9780300104165</t>
  </si>
  <si>
    <t>793879445</t>
  </si>
  <si>
    <t>UB271 R92 S5748 1964</t>
  </si>
  <si>
    <t>0                      UB 0271000R  92                 S  5748        1964</t>
  </si>
  <si>
    <t>An instance of treason; Ozaki Hotsumi and the Sorge spy ring [by] Chalmers Johnson.</t>
  </si>
  <si>
    <t>Johnson, Chalmers A.</t>
  </si>
  <si>
    <t>Stanford, Calif., Stanford University Press, 1964.</t>
  </si>
  <si>
    <t>1460217:eng</t>
  </si>
  <si>
    <t>337274</t>
  </si>
  <si>
    <t>ocm00337274</t>
  </si>
  <si>
    <t>3100250069L</t>
  </si>
  <si>
    <t>791341954</t>
  </si>
  <si>
    <t>UB271 R92 S88613 1985</t>
  </si>
  <si>
    <t>0                      UB 0271000R  92                 S  88613       1985</t>
  </si>
  <si>
    <t>Aquarium : the career and defection of a Soviet military spy / Viktor Suvorov ; translated from the Russian by David Floyd.</t>
  </si>
  <si>
    <t>Suvorov, Viktor.</t>
  </si>
  <si>
    <t>London : H. Hamilton, 1985.</t>
  </si>
  <si>
    <t>1151209367:eng</t>
  </si>
  <si>
    <t>14003254</t>
  </si>
  <si>
    <t>ocm14003254</t>
  </si>
  <si>
    <t>30003715540</t>
  </si>
  <si>
    <t>9780241115459</t>
  </si>
  <si>
    <t>792874647</t>
  </si>
  <si>
    <t>UB271 S652 M63 1994</t>
  </si>
  <si>
    <t>0                      UB 0271000S  652                M  63          1994</t>
  </si>
  <si>
    <t>My five Cambridge friends : Burgess, Maclean, Philby, Blunt and Cairncross / by their KGB controller, Yuri Modin ; with Jean-Charles Deniau and Aguieszka Ziarek ; translated by Anthony Roberts ; introduction by David Leitch.</t>
  </si>
  <si>
    <t>Modin, Yuri, 1922-</t>
  </si>
  <si>
    <t>New York : Farrar Straus Giroux, 1994.</t>
  </si>
  <si>
    <t>33679167:eng</t>
  </si>
  <si>
    <t>32309081</t>
  </si>
  <si>
    <t>ocm32309081</t>
  </si>
  <si>
    <t>3101456565V</t>
  </si>
  <si>
    <t>9780374216986</t>
  </si>
  <si>
    <t>793380521</t>
  </si>
  <si>
    <t>UB271 U5 G66 2007</t>
  </si>
  <si>
    <t>0                      UB 0271000U  5                  G  66          2007</t>
  </si>
  <si>
    <t>Spying on the nuclear bear : Anglo-American intelligence and the Soviet bomb / Michael S. Goodman.</t>
  </si>
  <si>
    <t>Goodman, Michael S.</t>
  </si>
  <si>
    <t>Stanford, Calif. : Stanford University Press, ©2007.</t>
  </si>
  <si>
    <t>Stanford nuclear age series</t>
  </si>
  <si>
    <t>2019-03-08</t>
  </si>
  <si>
    <t>815093997:eng</t>
  </si>
  <si>
    <t>79002457</t>
  </si>
  <si>
    <t>ocm79002457</t>
  </si>
  <si>
    <t>3102648103Y</t>
  </si>
  <si>
    <t>9780804755856</t>
  </si>
  <si>
    <t>794196861</t>
  </si>
  <si>
    <t>UB271 U5 R53 2006</t>
  </si>
  <si>
    <t>0                      UB 0271000U  5                  R  53          2006</t>
  </si>
  <si>
    <t>Spying on the bomb : American nuclear intelligence from Nazi Germany to Iran and North Korea / Jeffrey T. Richelson.</t>
  </si>
  <si>
    <t>Richelson, Jeffrey.</t>
  </si>
  <si>
    <t>New York : Norton, ©2006.</t>
  </si>
  <si>
    <t>905879640:eng</t>
  </si>
  <si>
    <t>60557325</t>
  </si>
  <si>
    <t>ocm60557325</t>
  </si>
  <si>
    <t>3102585008Z</t>
  </si>
  <si>
    <t>9780393053838</t>
  </si>
  <si>
    <t>793939663</t>
  </si>
  <si>
    <t>UB271 U5 W55 2003</t>
  </si>
  <si>
    <t>0                      UB 0271000U  5                  W  55          2003</t>
  </si>
  <si>
    <t>The CIA, the British left, and the Cold War : calling the tune? / Hugh Wilford ; foreword by David Caute.</t>
  </si>
  <si>
    <t>Wilford, Hugh, 1965-</t>
  </si>
  <si>
    <t>2016-09-04</t>
  </si>
  <si>
    <t>729855:eng</t>
  </si>
  <si>
    <t>51655571</t>
  </si>
  <si>
    <t>ocm51655571</t>
  </si>
  <si>
    <t>31022970023</t>
  </si>
  <si>
    <t>9780714654355</t>
  </si>
  <si>
    <t>793788872</t>
  </si>
  <si>
    <t>UB271 U52 D663 1984</t>
  </si>
  <si>
    <t>0                      UB 0271000U  52                 D  663         1984</t>
  </si>
  <si>
    <t>The last hero : Wild Bill Donovan : the biography and political experience of Major General William J. Donovan, founder of the OSS and "father" of the CIA, from his personal and secret papers and the diaries of Ruth Donovan / Anthony Cave Brown.</t>
  </si>
  <si>
    <t>New York : Vintage Books, 1984, ©1982.</t>
  </si>
  <si>
    <t>2018-04-08</t>
  </si>
  <si>
    <t>473530:eng</t>
  </si>
  <si>
    <t>9971312</t>
  </si>
  <si>
    <t>ocm09971312</t>
  </si>
  <si>
    <t>3000163274G</t>
  </si>
  <si>
    <t>9780394723051</t>
  </si>
  <si>
    <t>792703005</t>
  </si>
  <si>
    <t>UB271 U52 P47 2004</t>
  </si>
  <si>
    <t>0                      UB 0271000U  52                 P  47          2004</t>
  </si>
  <si>
    <t>Confessions of an economic hit man / John Perkins.</t>
  </si>
  <si>
    <t>Perkins, John, 1945-</t>
  </si>
  <si>
    <t>San Francisco : Berrett-Koehler Publishers, [2004]</t>
  </si>
  <si>
    <t>A BK currents book</t>
  </si>
  <si>
    <t>5208580725:eng</t>
  </si>
  <si>
    <t>55138900</t>
  </si>
  <si>
    <t>ocm55138900</t>
  </si>
  <si>
    <t>31031062224</t>
  </si>
  <si>
    <t>9781576753019</t>
  </si>
  <si>
    <t>793875155</t>
  </si>
  <si>
    <t>book needs repair bc oct.25/18</t>
  </si>
  <si>
    <t>2018-10-25</t>
  </si>
  <si>
    <t>31031476089</t>
  </si>
  <si>
    <t>793875157</t>
  </si>
  <si>
    <t>2017-12-20</t>
  </si>
  <si>
    <t>3102505898X</t>
  </si>
  <si>
    <t>793875156</t>
  </si>
  <si>
    <t>UB275 M33 2007</t>
  </si>
  <si>
    <t>0                      UB 0275000M  33          2007</t>
  </si>
  <si>
    <t>Propaganda and information warfare in the twenty-first century : altered images and deception operations / Scot Macdonald.</t>
  </si>
  <si>
    <t>Macdonald, Scot, 1966- author.</t>
  </si>
  <si>
    <t>2017-05-11</t>
  </si>
  <si>
    <t>203191710:eng</t>
  </si>
  <si>
    <t>70129164</t>
  </si>
  <si>
    <t>ocm70129164</t>
  </si>
  <si>
    <t>3102569004T</t>
  </si>
  <si>
    <t>9780415771450</t>
  </si>
  <si>
    <t>794149181</t>
  </si>
  <si>
    <t>UB276 R66 2004</t>
  </si>
  <si>
    <t>0                      UB 0276000R  66          2004</t>
  </si>
  <si>
    <t>The men who stare at goats / Jon Ronson.</t>
  </si>
  <si>
    <t>Ronson, Jon, 1967-</t>
  </si>
  <si>
    <t>New York : Simon &amp; Schuster, 2006.</t>
  </si>
  <si>
    <t>1st Simon &amp; Schuster pbk. ed.</t>
  </si>
  <si>
    <t>2016-08-25</t>
  </si>
  <si>
    <t>5644:eng</t>
  </si>
  <si>
    <t>57475995</t>
  </si>
  <si>
    <t>ocm57475995</t>
  </si>
  <si>
    <t>3102493375L</t>
  </si>
  <si>
    <t>9780743270601</t>
  </si>
  <si>
    <t>793913701</t>
  </si>
  <si>
    <t>UB277 I75 S345 2006</t>
  </si>
  <si>
    <t>0                      UB 0277000I  75                 S  345         2006</t>
  </si>
  <si>
    <t>Psychological warfare in the Intifada : Israeli and Palestinian media politics and military strategies / Ron Schleifer.</t>
  </si>
  <si>
    <t>Shlaifer, Ron.</t>
  </si>
  <si>
    <t>Brighton ; Portland : Sussex Academic Press, 2006.</t>
  </si>
  <si>
    <t>48102768:eng</t>
  </si>
  <si>
    <t>69671982</t>
  </si>
  <si>
    <t>ocm69671982</t>
  </si>
  <si>
    <t>3102570749V</t>
  </si>
  <si>
    <t>9781845191344</t>
  </si>
  <si>
    <t>794146637</t>
  </si>
  <si>
    <t>UB320 S64 1999</t>
  </si>
  <si>
    <t>0                      UB 0320000S  64          1999</t>
  </si>
  <si>
    <t>Citizen-soldiers and manly warriors : military service and gender in the civic republican tradition / R. Claire Snyder.</t>
  </si>
  <si>
    <t>Snyder, R. Claire, 1965-</t>
  </si>
  <si>
    <t>Lanham, Md : Rowman &amp; Littlefield Publishers, ©1999.</t>
  </si>
  <si>
    <t>2017-01-11</t>
  </si>
  <si>
    <t>197417878:eng</t>
  </si>
  <si>
    <t>41142950</t>
  </si>
  <si>
    <t>ocm41142950</t>
  </si>
  <si>
    <t>3102014979L</t>
  </si>
  <si>
    <t>9780847694433</t>
  </si>
  <si>
    <t>793585326</t>
  </si>
  <si>
    <t>UB321 D38 2000</t>
  </si>
  <si>
    <t>0                      UB 0321000D  38          2000</t>
  </si>
  <si>
    <t>Fortune's warriors : private armies and the new world order / James R. Davis.</t>
  </si>
  <si>
    <t>Davis, James R., 1962-</t>
  </si>
  <si>
    <t>Vancouver : Douglas &amp; McIntyre, 2000.</t>
  </si>
  <si>
    <t>2017-11-21</t>
  </si>
  <si>
    <t>837044866:eng</t>
  </si>
  <si>
    <t>44620650</t>
  </si>
  <si>
    <t>ocm44620650</t>
  </si>
  <si>
    <t>3103025510Y</t>
  </si>
  <si>
    <t>9781550547443</t>
  </si>
  <si>
    <t>793654440</t>
  </si>
  <si>
    <t>UB323 A762 2010</t>
  </si>
  <si>
    <t>0                      UB 0323000A  762         2010</t>
  </si>
  <si>
    <t>An analysis of the incidence of recruiter irregularities / Beth Asch, Paul Heaton ; prepared for the Office of the Secretary of Defense.</t>
  </si>
  <si>
    <t>Technical report</t>
  </si>
  <si>
    <t>710893869:eng</t>
  </si>
  <si>
    <t>692231468</t>
  </si>
  <si>
    <t>ocn692231468</t>
  </si>
  <si>
    <t>3103370955S</t>
  </si>
  <si>
    <t>9780833050205</t>
  </si>
  <si>
    <t>794856006</t>
  </si>
  <si>
    <t>UB323 A7695 2013</t>
  </si>
  <si>
    <t>0                      UB 0323000A  7695        2013</t>
  </si>
  <si>
    <t>A new tool for assessing workforce management policies over time : extending the dynamic retention model / Beth J. Asch, Michael G. Mattock, James Hosek ; prepared for the Secretary of Defense ; approved for public release ; distribution unlimited.</t>
  </si>
  <si>
    <t>Santa Monica, CA : RAND, National Defense Research Instirute, 2013.</t>
  </si>
  <si>
    <t>Report ; RR-113-OSD</t>
  </si>
  <si>
    <t>1414787494:eng</t>
  </si>
  <si>
    <t>853313654</t>
  </si>
  <si>
    <t>ocn853313654</t>
  </si>
  <si>
    <t>3103564576D</t>
  </si>
  <si>
    <t>9780833081377</t>
  </si>
  <si>
    <t>794952087</t>
  </si>
  <si>
    <t>UB323 B35 2009</t>
  </si>
  <si>
    <t>0                      UB 0323000B  35          2009</t>
  </si>
  <si>
    <t>America's Army : making the all-volunteer force / Beth Bailey.</t>
  </si>
  <si>
    <t>Bailey, Beth L., 1957-</t>
  </si>
  <si>
    <t>797298151:eng</t>
  </si>
  <si>
    <t>316037930</t>
  </si>
  <si>
    <t>ocn316037930</t>
  </si>
  <si>
    <t>31031546850</t>
  </si>
  <si>
    <t>9780674035362</t>
  </si>
  <si>
    <t>794441312</t>
  </si>
  <si>
    <t>UB323 B764 2012</t>
  </si>
  <si>
    <t>0                      UB 0323000B  764         2012</t>
  </si>
  <si>
    <t>Enlisting masculinity : the construction of gender in U.S. military recruiting advertising during the all-volunteer force / Melissa T. Brown.</t>
  </si>
  <si>
    <t>Brown, Melissa T., 1971-</t>
  </si>
  <si>
    <t>Oxford studies in gender and international relations</t>
  </si>
  <si>
    <t>1082059768:eng</t>
  </si>
  <si>
    <t>741103475</t>
  </si>
  <si>
    <t>ocn741103475</t>
  </si>
  <si>
    <t>31034113092</t>
  </si>
  <si>
    <t>9780199842827</t>
  </si>
  <si>
    <t>794883554</t>
  </si>
  <si>
    <t>UB323 B788 2014</t>
  </si>
  <si>
    <t>0                      UB 0323000B  788         2014</t>
  </si>
  <si>
    <t>Elements of success : how type of secondary education credential helps predict enlistee attrition / Susan Burkhauser, Lawrence M. Hanser, Chaitra M. Hardison.</t>
  </si>
  <si>
    <t>Burkhauser, Susan, author.</t>
  </si>
  <si>
    <t>1755067940:eng</t>
  </si>
  <si>
    <t>867840256</t>
  </si>
  <si>
    <t>ocn867840256</t>
  </si>
  <si>
    <t>3103564568F</t>
  </si>
  <si>
    <t>9780833084248</t>
  </si>
  <si>
    <t>794964184</t>
  </si>
  <si>
    <t>UB323 H635 2011</t>
  </si>
  <si>
    <t>0                      UB 0323000H  635         2011</t>
  </si>
  <si>
    <t>Succession management for senior military positions : the Rumsfeld model for Secretary of Defense involvement / Andrew R. Hoehn, Albert A. Robbert, Margaret C. Harrell.</t>
  </si>
  <si>
    <t>906408722:eng</t>
  </si>
  <si>
    <t>715171683</t>
  </si>
  <si>
    <t>ocn715171683</t>
  </si>
  <si>
    <t>31026280432</t>
  </si>
  <si>
    <t>9780833052285</t>
  </si>
  <si>
    <t>794873822</t>
  </si>
  <si>
    <t>UB323 L68 2011</t>
  </si>
  <si>
    <t>0                      UB 0323000L  68          2011</t>
  </si>
  <si>
    <t>The effect of the Assessment of Recruit Motivation and Strength (ARMS) program on army accessions and attrition / David S. Loughran, Bruce R. Orvis.</t>
  </si>
  <si>
    <t>Loughran, David S., 1969-</t>
  </si>
  <si>
    <t>Santa Monica, CA : Rand Corporation, ©2011.</t>
  </si>
  <si>
    <t>Technical report ; TR-975-A</t>
  </si>
  <si>
    <t>1022019151:eng</t>
  </si>
  <si>
    <t>753637167</t>
  </si>
  <si>
    <t>ocn753637167</t>
  </si>
  <si>
    <t>3103485058O</t>
  </si>
  <si>
    <t>9780833053138</t>
  </si>
  <si>
    <t>794892314</t>
  </si>
  <si>
    <t>UB323 R67 2006</t>
  </si>
  <si>
    <t>0                      UB 0323000R  67          2006</t>
  </si>
  <si>
    <t>I want you! : the evolution of the All-Volunteer Force / Bernard Rostker.</t>
  </si>
  <si>
    <t>(text + CD-ROM)</t>
  </si>
  <si>
    <t>Rostker, Bernard.</t>
  </si>
  <si>
    <t>Santa Monica, CA : RAND, 2006.</t>
  </si>
  <si>
    <t>Rand Corporation ; MG-265</t>
  </si>
  <si>
    <t>794006977:eng</t>
  </si>
  <si>
    <t>65064676</t>
  </si>
  <si>
    <t>ocm65064676</t>
  </si>
  <si>
    <t>3102658168H</t>
  </si>
  <si>
    <t>9780833038951</t>
  </si>
  <si>
    <t>794132113</t>
  </si>
  <si>
    <t>UB323 R67 2014</t>
  </si>
  <si>
    <t>0                      UB 0323000R  67          2014</t>
  </si>
  <si>
    <t>Recruiting older youths : insights from a new survey of army recruits / Bernard D. Rostker, Jacob Alex Klerman, Megan Zander-Cotugno.</t>
  </si>
  <si>
    <t>Santa Monica : RAND, ©2014.</t>
  </si>
  <si>
    <t>1847426814:eng</t>
  </si>
  <si>
    <t>874223156</t>
  </si>
  <si>
    <t>ocn874223156</t>
  </si>
  <si>
    <t>31035180760</t>
  </si>
  <si>
    <t>9780833083906</t>
  </si>
  <si>
    <t>794968824</t>
  </si>
  <si>
    <t>UB325 C3 H65 2017</t>
  </si>
  <si>
    <t>0                      UB 0325000C  3                  H  65          2017</t>
  </si>
  <si>
    <t>Filling the ranks : manpower in the Canadian Expeditionary Force, 1914-1918 / Richard Holt.</t>
  </si>
  <si>
    <t>Holt, Richard, 1948 February 21- author.</t>
  </si>
  <si>
    <t>Montreal ; Kingston ; London ; Chicago : McGill-Queen's University Press, [2017]</t>
  </si>
  <si>
    <t>Carleton Library series ; 239</t>
  </si>
  <si>
    <t>3932902205:eng</t>
  </si>
  <si>
    <t>962129204</t>
  </si>
  <si>
    <t>ocn962129204</t>
  </si>
  <si>
    <t>3103647370H</t>
  </si>
  <si>
    <t>9780773548770</t>
  </si>
  <si>
    <t>795024178</t>
  </si>
  <si>
    <t>UB325 E85 E85 2010</t>
  </si>
  <si>
    <t>0                      UB 0325000E  85                 E  85          2010</t>
  </si>
  <si>
    <t>Europe without soldiers? : recruitment and retention across the armed forces of Europe / edited by Tibor Szvircsev Tresch &amp; Christian Leuprecht.</t>
  </si>
  <si>
    <t>Montréal, Quebec : McGill-Queen's University Press ; Chesham : Combined Academic [distributor], ©2010.</t>
  </si>
  <si>
    <t>865192815:eng</t>
  </si>
  <si>
    <t>630475119</t>
  </si>
  <si>
    <t>ocn630475119</t>
  </si>
  <si>
    <t>3103267944D</t>
  </si>
  <si>
    <t>9781553392477</t>
  </si>
  <si>
    <t>794824537</t>
  </si>
  <si>
    <t>UB325 G4 F74 2001</t>
  </si>
  <si>
    <t>0                      UB 0325000G  4                  F  74          2001</t>
  </si>
  <si>
    <t>Die kasernierte Nation : Militärdienst und Zivilgesellschaft in Deutschland / Ute Frevert.</t>
  </si>
  <si>
    <t>Frevert, Ute.</t>
  </si>
  <si>
    <t>München : Beck, 2001.</t>
  </si>
  <si>
    <t>2016-09-16</t>
  </si>
  <si>
    <t>898342159:ger</t>
  </si>
  <si>
    <t>237434998</t>
  </si>
  <si>
    <t>ocn237434998</t>
  </si>
  <si>
    <t>31022116542</t>
  </si>
  <si>
    <t>9783406479793</t>
  </si>
  <si>
    <t>794373329</t>
  </si>
  <si>
    <t>UB336 Y4</t>
  </si>
  <si>
    <t>0                      UB 0336000Y  4</t>
  </si>
  <si>
    <t>Psychological examining in the United States army. Ed. by Robert M. Yerkes.</t>
  </si>
  <si>
    <t>Yerkes, Robert M. (Robert Mearns), 1876-1956, editor.</t>
  </si>
  <si>
    <t>[Washington] [Govt. Print. Off.], [1921]</t>
  </si>
  <si>
    <t>1921</t>
  </si>
  <si>
    <t>Memoirs of the National Academy of Sciences, v. xv</t>
  </si>
  <si>
    <t>2018-03-18</t>
  </si>
  <si>
    <t>5609036784:eng</t>
  </si>
  <si>
    <t>1307621</t>
  </si>
  <si>
    <t>ocm01307621</t>
  </si>
  <si>
    <t>3102814391T</t>
  </si>
  <si>
    <t>791596167</t>
  </si>
  <si>
    <t>UB340 S45 2003</t>
  </si>
  <si>
    <t>0                      UB 0340000S  45          2003</t>
  </si>
  <si>
    <t>The people in arms : military myth and national mobilization since the French Revolution / edited by Daniel Moran and Arthur Waldron.</t>
  </si>
  <si>
    <t>Seminar on Force in History (Institute for Advanced Study (Princeton, N.J.))</t>
  </si>
  <si>
    <t>Cambridge, U.K. ; New York : Cambridge University Press, 2003.</t>
  </si>
  <si>
    <t>918668271:eng</t>
  </si>
  <si>
    <t>48951345</t>
  </si>
  <si>
    <t>ocm48951345</t>
  </si>
  <si>
    <t>31024889180</t>
  </si>
  <si>
    <t>9780521814324</t>
  </si>
  <si>
    <t>793731226</t>
  </si>
  <si>
    <t>UB341 B76 2006</t>
  </si>
  <si>
    <t>0                      UB 0341000B  76          2006</t>
  </si>
  <si>
    <t>Against the draft : essays on conscientious objection from the Radical Reformation to the Second World War / Peter Brock.</t>
  </si>
  <si>
    <t>Brock, Peter, 1920-2006.</t>
  </si>
  <si>
    <t>Toronto ; Buffalo : University of Toronto Press, ©2006.</t>
  </si>
  <si>
    <t>2016-08-18</t>
  </si>
  <si>
    <t>905975582:eng</t>
  </si>
  <si>
    <t>61864740</t>
  </si>
  <si>
    <t>ocm61864740</t>
  </si>
  <si>
    <t>31025335820</t>
  </si>
  <si>
    <t>9780802090737</t>
  </si>
  <si>
    <t>794098891</t>
  </si>
  <si>
    <t>UB342 C2 S53 2009</t>
  </si>
  <si>
    <t>0                      UB 0342000C  2                  S  53          2009</t>
  </si>
  <si>
    <t>Crisis of conscience : conscientious objection in Canada during the First World War / Amy J. Shaw.</t>
  </si>
  <si>
    <t>Shaw, Amy J. (Amy Jeannette), 1972-</t>
  </si>
  <si>
    <t>Vancouver : UBC Press, ©2009.</t>
  </si>
  <si>
    <t>2017-07-05</t>
  </si>
  <si>
    <t>864289016:eng</t>
  </si>
  <si>
    <t>231880020</t>
  </si>
  <si>
    <t>ocn231880020</t>
  </si>
  <si>
    <t>31027081591</t>
  </si>
  <si>
    <t>9780774815932</t>
  </si>
  <si>
    <t>794358703</t>
  </si>
  <si>
    <t>UB342 G4 M64</t>
  </si>
  <si>
    <t>0                      UB 0342000G  4                  M  64</t>
  </si>
  <si>
    <t>Kriegsdienstverweigerer in der BRD; eine empirisch-analytische Studie zur Motivation der Kriegsdienstverweigerer in den Jahren 1957-1971 [von] Volker Möhle [und] Christian Rabe.</t>
  </si>
  <si>
    <t>Möhle, Volker.</t>
  </si>
  <si>
    <t>Opladen, Westdeutscher Verlag, 1972.</t>
  </si>
  <si>
    <t>233622507:ger</t>
  </si>
  <si>
    <t>599267</t>
  </si>
  <si>
    <t>ocm00599267</t>
  </si>
  <si>
    <t>3000554914G</t>
  </si>
  <si>
    <t>9783531111353</t>
  </si>
  <si>
    <t>791424983</t>
  </si>
  <si>
    <t>UB342 G7 B53 2009</t>
  </si>
  <si>
    <t>0                      UB 0342000G  7                  B  53          2009</t>
  </si>
  <si>
    <t>Telling tales about men : conceptions of conscientious objectors to military service during the First World War / Lois S. Bibbings.</t>
  </si>
  <si>
    <t>Bibbings, Lois.</t>
  </si>
  <si>
    <t>Manchester ; New York : Manchester University Press, ©2009.</t>
  </si>
  <si>
    <t>1064722715:eng</t>
  </si>
  <si>
    <t>436264461</t>
  </si>
  <si>
    <t>ocn436264461</t>
  </si>
  <si>
    <t>3103130386Z</t>
  </si>
  <si>
    <t>9780719069222</t>
  </si>
  <si>
    <t>794784495</t>
  </si>
  <si>
    <t>UB342 U5 C45x</t>
  </si>
  <si>
    <t>0                      UB 0342000U  5                  C  45x</t>
  </si>
  <si>
    <t>The new refugees; American voices in Canada, edited by Jim Christy.</t>
  </si>
  <si>
    <t>Christy, Jim, 1945-</t>
  </si>
  <si>
    <t>[Toronto] Peter Martin Associates [1972]</t>
  </si>
  <si>
    <t>1610153:eng</t>
  </si>
  <si>
    <t>653222</t>
  </si>
  <si>
    <t>ocm00653222</t>
  </si>
  <si>
    <t>3000560918M</t>
  </si>
  <si>
    <t>9780887780578</t>
  </si>
  <si>
    <t>791438298</t>
  </si>
  <si>
    <t>UB342 U5 K87 2001</t>
  </si>
  <si>
    <t>0                      UB 0342000U  5                  K  87          2001</t>
  </si>
  <si>
    <t>All American boys : draft dodgers in Canada from the Vietnam War / Frank Kusch.</t>
  </si>
  <si>
    <t>Kusch, Frank, 1959-</t>
  </si>
  <si>
    <t>2017-10-21</t>
  </si>
  <si>
    <t>2019-10-24</t>
  </si>
  <si>
    <t>477981981:eng</t>
  </si>
  <si>
    <t>45908975</t>
  </si>
  <si>
    <t>ocm45908975</t>
  </si>
  <si>
    <t>31024785961</t>
  </si>
  <si>
    <t>9780275972684</t>
  </si>
  <si>
    <t>793681002</t>
  </si>
  <si>
    <t>31021262642</t>
  </si>
  <si>
    <t>793681003</t>
  </si>
  <si>
    <t>UB343 C564 1986</t>
  </si>
  <si>
    <t>0                      UB 0343000C  564         1986</t>
  </si>
  <si>
    <t>The first peacetime draft / J. Garry Clifford and Samuel R. Spencer, Jr.</t>
  </si>
  <si>
    <t>Clifford, J. Garry (John Garry), 1942-2014.</t>
  </si>
  <si>
    <t>Lawrence, Kan. : University Press of Kansas, ©1986.</t>
  </si>
  <si>
    <t>7059899:eng</t>
  </si>
  <si>
    <t>13761711</t>
  </si>
  <si>
    <t>ocm13761711</t>
  </si>
  <si>
    <t>3103706481U</t>
  </si>
  <si>
    <t>9780700603053</t>
  </si>
  <si>
    <t>792865605</t>
  </si>
  <si>
    <t>UB343 U83</t>
  </si>
  <si>
    <t>0                      UB 0343000U  83</t>
  </si>
  <si>
    <t>Conscription, protest, and social conflict : the life and death of a draft resistance movement / Michael Useem.</t>
  </si>
  <si>
    <t>Useem, Michael.</t>
  </si>
  <si>
    <t>New York ; London ; Sydney ; Toronto : John Wiley &amp; Sons, ©1973.</t>
  </si>
  <si>
    <t>A Wiley-Interscience publication.</t>
  </si>
  <si>
    <t>2008-11-05</t>
  </si>
  <si>
    <t>2017-01-14</t>
  </si>
  <si>
    <t>836660104:eng</t>
  </si>
  <si>
    <t>659033</t>
  </si>
  <si>
    <t>ocm00659033</t>
  </si>
  <si>
    <t>30003911803</t>
  </si>
  <si>
    <t>9780471896456</t>
  </si>
  <si>
    <t>791439820</t>
  </si>
  <si>
    <t>3100136233N</t>
  </si>
  <si>
    <t>791439819</t>
  </si>
  <si>
    <t>UB345 C2 B94 2016</t>
  </si>
  <si>
    <t>0                      UB 0345000C  2                  B  94          2016</t>
  </si>
  <si>
    <t>Zombie army : the Canadian Army and conscription in the Second World War / Daniel Byers.</t>
  </si>
  <si>
    <t>Byers, Daniel Thomas, 1968- author.</t>
  </si>
  <si>
    <t>2996569916:eng</t>
  </si>
  <si>
    <t>933273621</t>
  </si>
  <si>
    <t>ocn933273621</t>
  </si>
  <si>
    <t>3103645779U</t>
  </si>
  <si>
    <t>9780774830515</t>
  </si>
  <si>
    <t>795008974</t>
  </si>
  <si>
    <t>UB345 C2 C6</t>
  </si>
  <si>
    <t>0                      UB 0345000C  2                  C  6</t>
  </si>
  <si>
    <t>Conscription 1917; essays by A.M. Willms [and others] Introd. by Carl Berger.</t>
  </si>
  <si>
    <t>[Toronto] University of Toronto Press [1969?]</t>
  </si>
  <si>
    <t>Canadian historical readings, 8</t>
  </si>
  <si>
    <t>2013-03-30</t>
  </si>
  <si>
    <t>1218053:eng</t>
  </si>
  <si>
    <t>48500</t>
  </si>
  <si>
    <t>ocm00048500</t>
  </si>
  <si>
    <t>30002510291</t>
  </si>
  <si>
    <t>9780802016188</t>
  </si>
  <si>
    <t>791238949</t>
  </si>
  <si>
    <t>3103101094G</t>
  </si>
  <si>
    <t>791238943</t>
  </si>
  <si>
    <t>3103101116T</t>
  </si>
  <si>
    <t>791238944</t>
  </si>
  <si>
    <t>2009-03-26</t>
  </si>
  <si>
    <t>31000216435</t>
  </si>
  <si>
    <t>791238945</t>
  </si>
  <si>
    <t>2011-11-24</t>
  </si>
  <si>
    <t>30002510283</t>
  </si>
  <si>
    <t>791238947</t>
  </si>
  <si>
    <t>B001224767</t>
  </si>
  <si>
    <t>791238942</t>
  </si>
  <si>
    <t>2014-11-25</t>
  </si>
  <si>
    <t>31018524341</t>
  </si>
  <si>
    <t>791238946</t>
  </si>
  <si>
    <t>31000216443</t>
  </si>
  <si>
    <t>791238948</t>
  </si>
  <si>
    <t>UB345 C2 G68</t>
  </si>
  <si>
    <t>0                      UB 0345000C  2                  G  68</t>
  </si>
  <si>
    <t>Broken promises : a history of conscription in Canada / by J.L. Granatstein and J.M. Hitsman.</t>
  </si>
  <si>
    <t>Toronto : Oxford University Press, 1977.</t>
  </si>
  <si>
    <t>2019-04-10</t>
  </si>
  <si>
    <t>196796199:eng</t>
  </si>
  <si>
    <t>3154967</t>
  </si>
  <si>
    <t>ocm03154967</t>
  </si>
  <si>
    <t>3103679127Z</t>
  </si>
  <si>
    <t>9780195402582</t>
  </si>
  <si>
    <t>792223630</t>
  </si>
  <si>
    <t>3103143296J</t>
  </si>
  <si>
    <t>792223633</t>
  </si>
  <si>
    <t>3103017517V</t>
  </si>
  <si>
    <t>792223631</t>
  </si>
  <si>
    <t>31000215633</t>
  </si>
  <si>
    <t>792223632</t>
  </si>
  <si>
    <t>UB345 C2 G706</t>
  </si>
  <si>
    <t>0                      UB 0345000C  2                  G  706</t>
  </si>
  <si>
    <t>Conscription in the Second World War, 1939-1945; a study in political management [by] J.L. Granatstein.</t>
  </si>
  <si>
    <t>Toronto, Ryerson Press [©1969]</t>
  </si>
  <si>
    <t>The Frontenac library ; 1</t>
  </si>
  <si>
    <t>2012-12-17</t>
  </si>
  <si>
    <t>1103014043:eng</t>
  </si>
  <si>
    <t>62997</t>
  </si>
  <si>
    <t>ocm00062997</t>
  </si>
  <si>
    <t>3102130296D</t>
  </si>
  <si>
    <t>9780770002497</t>
  </si>
  <si>
    <t>791243516</t>
  </si>
  <si>
    <t>30001918312</t>
  </si>
  <si>
    <t>791243517</t>
  </si>
  <si>
    <t>2009-03-25</t>
  </si>
  <si>
    <t>3102228317N</t>
  </si>
  <si>
    <t>791243518</t>
  </si>
  <si>
    <t>UB345 F8 G48 2013</t>
  </si>
  <si>
    <t>0                      UB 0345000F  8                  G  48          2013</t>
  </si>
  <si>
    <t>Conscription, family, and the modern state : a comparative study of France and the United States / Dorit Geva, Central European University.</t>
  </si>
  <si>
    <t>Geva, Dorit, 1974-</t>
  </si>
  <si>
    <t>1405457837:eng</t>
  </si>
  <si>
    <t>815364927</t>
  </si>
  <si>
    <t>ocn815364927</t>
  </si>
  <si>
    <t>3103903738K</t>
  </si>
  <si>
    <t>9781107024984</t>
  </si>
  <si>
    <t>794932416</t>
  </si>
  <si>
    <t>UB345 F8 P46</t>
  </si>
  <si>
    <t>0                      UB 0345000F  8                  P  46</t>
  </si>
  <si>
    <t>Le service militaire au service de qui?</t>
  </si>
  <si>
    <t>Pennac, Daniel.</t>
  </si>
  <si>
    <t>Paris, Éditions du Seuil [1973]</t>
  </si>
  <si>
    <t>Combats</t>
  </si>
  <si>
    <t>2019-01-26</t>
  </si>
  <si>
    <t>350570459:fre</t>
  </si>
  <si>
    <t>723214</t>
  </si>
  <si>
    <t>ocm00723214</t>
  </si>
  <si>
    <t>3000560945J</t>
  </si>
  <si>
    <t>791455429</t>
  </si>
  <si>
    <t>UB345 G7 H33 1973</t>
  </si>
  <si>
    <t>0                      UB 0345000G  7                  H  33          1973</t>
  </si>
  <si>
    <t>Conscription conflict; the conflict of ideas in the struggle for and against military conscription in Britain between 1901-1939. With an introd. by Clement Davies. With a new introd. for the Garland ed. by John W. Chambers.</t>
  </si>
  <si>
    <t>Hayes, Denis.</t>
  </si>
  <si>
    <t>198098292:eng</t>
  </si>
  <si>
    <t>600190</t>
  </si>
  <si>
    <t>ocm00600190</t>
  </si>
  <si>
    <t>3000560947F</t>
  </si>
  <si>
    <t>9780824004163</t>
  </si>
  <si>
    <t>791425230</t>
  </si>
  <si>
    <t>UB345 G7 M334 2011</t>
  </si>
  <si>
    <t>0                      UB 0345000G  7                  M  334         2011</t>
  </si>
  <si>
    <t>British military service tribunals, 1916-1918 : 'a very much abused body of men' / James McDermott.</t>
  </si>
  <si>
    <t>McDermott, James, 1956-</t>
  </si>
  <si>
    <t>Manchester ; New York : Manchester University Press ; New York : Distributed exclusively in the USA by Palgrave Macmillan, 2011.</t>
  </si>
  <si>
    <t>786809486:eng</t>
  </si>
  <si>
    <t>701811077</t>
  </si>
  <si>
    <t>ocn701811077</t>
  </si>
  <si>
    <t>3103342528G</t>
  </si>
  <si>
    <t>9780719084775</t>
  </si>
  <si>
    <t>794863566</t>
  </si>
  <si>
    <t>UB345 R9 E53 2012</t>
  </si>
  <si>
    <t>0                      UB 0345000R  9                  E  53          2012</t>
  </si>
  <si>
    <t>Militarizing men : gender, conscription, and war in post-Soviet Russia / Maya Eichler.</t>
  </si>
  <si>
    <t>Eichler, Maya, 1974- author.</t>
  </si>
  <si>
    <t>Stanford, California : Stanford University Press, [2012]</t>
  </si>
  <si>
    <t>796369303:eng</t>
  </si>
  <si>
    <t>705717112</t>
  </si>
  <si>
    <t>ocn705717112</t>
  </si>
  <si>
    <t>3103385538J</t>
  </si>
  <si>
    <t>9780804776196</t>
  </si>
  <si>
    <t>794866330</t>
  </si>
  <si>
    <t>UB345 R9 S25 2003</t>
  </si>
  <si>
    <t>0                      UB 0345000R  9                  S  25          2003</t>
  </si>
  <si>
    <t>Drafting the Russian nation : military conscription, total war, and mass politics, 1905-1925 / Joshua A. Sanborn.</t>
  </si>
  <si>
    <t>Sanborn, Joshua A.</t>
  </si>
  <si>
    <t>DeKalb : Northern Illinois University Press, 2003.</t>
  </si>
  <si>
    <t>890721919:eng</t>
  </si>
  <si>
    <t>49959305</t>
  </si>
  <si>
    <t>ocm49959305</t>
  </si>
  <si>
    <t>31022386119</t>
  </si>
  <si>
    <t>9780875803067</t>
  </si>
  <si>
    <t>793752332</t>
  </si>
  <si>
    <t>UB355 A36</t>
  </si>
  <si>
    <t>0                      UB 0355000A  36</t>
  </si>
  <si>
    <t>Wehrgesetz und Wehrdienst, 1935-1945; das Personalwesen in der Wehrmacht.</t>
  </si>
  <si>
    <t>[Boppard am Rhein], [H. Boldt], [1960]</t>
  </si>
  <si>
    <t>Schriften des Bundesarchivs, 5</t>
  </si>
  <si>
    <t>2015-08-18</t>
  </si>
  <si>
    <t>866286655:ger</t>
  </si>
  <si>
    <t>7830300</t>
  </si>
  <si>
    <t>ocm07830300</t>
  </si>
  <si>
    <t>3103741726R</t>
  </si>
  <si>
    <t>792582001</t>
  </si>
  <si>
    <t>UB356 W37</t>
  </si>
  <si>
    <t>0                      UB 0356000W  37</t>
  </si>
  <si>
    <t>The War generation : veterans of the First World War / James M. Diehl [and others] ; Stephen R. Ward, editor.</t>
  </si>
  <si>
    <t>Port Washington, N.Y. : Kennikat Press, 1975.</t>
  </si>
  <si>
    <t>Kennikat Press national university publications. series in American studies</t>
  </si>
  <si>
    <t>2015-09-24</t>
  </si>
  <si>
    <t>836712087:eng</t>
  </si>
  <si>
    <t>1364172</t>
  </si>
  <si>
    <t>ocm01364172</t>
  </si>
  <si>
    <t>3000410580X</t>
  </si>
  <si>
    <t>9780804691017</t>
  </si>
  <si>
    <t>791609974</t>
  </si>
  <si>
    <t>UB 357 C69 2013</t>
  </si>
  <si>
    <t>0                      UB 0357000C  69          2013</t>
  </si>
  <si>
    <t>Improving federal and Department of Defense use of service-disabled veteran-owned businesses / Amy G. Cox, Nancy Y. Moore ; prepared for the Office of the Secretary of Defense.</t>
  </si>
  <si>
    <t>Cox, Amy G., author.</t>
  </si>
  <si>
    <t>Santa Monica, California : RAND, [2013]</t>
  </si>
  <si>
    <t>1367075269:eng</t>
  </si>
  <si>
    <t>852488663</t>
  </si>
  <si>
    <t>ocn852488663</t>
  </si>
  <si>
    <t>3103481946F</t>
  </si>
  <si>
    <t>9780833080974</t>
  </si>
  <si>
    <t>794951411</t>
  </si>
  <si>
    <t>UB357 E37 2011</t>
  </si>
  <si>
    <t>0                      UB 0357000E  37          2011</t>
  </si>
  <si>
    <t>The effect of military enlistment on earnings and education / David S. Loughran [and others].</t>
  </si>
  <si>
    <t>Technical report ; TR-995-A</t>
  </si>
  <si>
    <t>991605951:eng</t>
  </si>
  <si>
    <t>746712320</t>
  </si>
  <si>
    <t>ocn746712320</t>
  </si>
  <si>
    <t>3103485056O</t>
  </si>
  <si>
    <t>9780833058232</t>
  </si>
  <si>
    <t>794887376</t>
  </si>
  <si>
    <t>UB357 F64 2012</t>
  </si>
  <si>
    <t>0                      UB 0357000F  64          2012</t>
  </si>
  <si>
    <t>Disposable heroes : the betrayal of African-American veterans / Benjamin Fleury-Steiner.</t>
  </si>
  <si>
    <t>Fleury-Steiner, Benjamin, 1970-</t>
  </si>
  <si>
    <t>Lanham, Md. : Rowman &amp; Littlefield, ©2012.</t>
  </si>
  <si>
    <t>1171635803:eng</t>
  </si>
  <si>
    <t>795504340</t>
  </si>
  <si>
    <t>ocn795504340</t>
  </si>
  <si>
    <t>3103412630K</t>
  </si>
  <si>
    <t>9781442217850</t>
  </si>
  <si>
    <t>794921244</t>
  </si>
  <si>
    <t>UB357 H43 2012</t>
  </si>
  <si>
    <t>0                      UB 0357000H  43          2012</t>
  </si>
  <si>
    <t>Compensating wounded warriors : an analysis of injury, labor market earnings, and disability compensation among veterans of the Iraq and Afghanistan wars / Paul Heaton, David S. Loughran, Amalia R. Miller.</t>
  </si>
  <si>
    <t>Heaton, Paul, 1978-</t>
  </si>
  <si>
    <t>1122349292:eng</t>
  </si>
  <si>
    <t>797970063</t>
  </si>
  <si>
    <t>ocn797970063</t>
  </si>
  <si>
    <t>3103439769A</t>
  </si>
  <si>
    <t>9780833059314</t>
  </si>
  <si>
    <t>794922923</t>
  </si>
  <si>
    <t>UB357 L33 2012</t>
  </si>
  <si>
    <t>0                      UB 0357000L  33          2012</t>
  </si>
  <si>
    <t>Labor force reentry : issues for injured service members and veterans / Karen Chan Osilla and Kristin R. Van Busum.</t>
  </si>
  <si>
    <t>Osilla, Karen Chan, author.</t>
  </si>
  <si>
    <t>Santa Monica, CA : Rand, ©2012.</t>
  </si>
  <si>
    <t>Rand Corporation occasional paper series ; OP-374-OSD</t>
  </si>
  <si>
    <t>1194090538:eng</t>
  </si>
  <si>
    <t>821211937</t>
  </si>
  <si>
    <t>ocn821211937</t>
  </si>
  <si>
    <t>3103523026P</t>
  </si>
  <si>
    <t>9780833078438</t>
  </si>
  <si>
    <t>794936040</t>
  </si>
  <si>
    <t>UB357 M475 2005</t>
  </si>
  <si>
    <t>0                      UB 0357000M  475         2005</t>
  </si>
  <si>
    <t>Soldiers to citizens : the G.I. bill and the making of the greatest generation / Suzanne Mettler.</t>
  </si>
  <si>
    <t>Mettler, Suzanne.</t>
  </si>
  <si>
    <t>Oxford ; New York : Oxford University Press, 2005.</t>
  </si>
  <si>
    <t>2018-04-24</t>
  </si>
  <si>
    <t>800783370:eng</t>
  </si>
  <si>
    <t>57730744</t>
  </si>
  <si>
    <t>ocm57730744</t>
  </si>
  <si>
    <t>3102496091E</t>
  </si>
  <si>
    <t>9780195180978</t>
  </si>
  <si>
    <t>793918544</t>
  </si>
  <si>
    <t>UB357 O78 2010</t>
  </si>
  <si>
    <t>0                      UB 0357000O  78          2010</t>
  </si>
  <si>
    <t>Beyond the Bonus March and GI Bill : how veteran politics shaped the New Deal era / Stephen R. Ortiz.</t>
  </si>
  <si>
    <t>Ortiz, Stephen R.</t>
  </si>
  <si>
    <t>892128157:eng</t>
  </si>
  <si>
    <t>326466151</t>
  </si>
  <si>
    <t>ocn326466151</t>
  </si>
  <si>
    <t>3103155353B</t>
  </si>
  <si>
    <t>9780814762134</t>
  </si>
  <si>
    <t>794490358</t>
  </si>
  <si>
    <t>UB357 S63 2014</t>
  </si>
  <si>
    <t>0                      UB 0357000S  63          2014</t>
  </si>
  <si>
    <t>Social work practice with Veterans / Gary L. Dick, editor.</t>
  </si>
  <si>
    <t>Washington, DC : NASW Press, [2014]</t>
  </si>
  <si>
    <t>2240510520:eng</t>
  </si>
  <si>
    <t>882464058</t>
  </si>
  <si>
    <t>ocn882464058</t>
  </si>
  <si>
    <t>3103582418Q</t>
  </si>
  <si>
    <t>9780871014535</t>
  </si>
  <si>
    <t>794975081</t>
  </si>
  <si>
    <t>UB357 W47 2013</t>
  </si>
  <si>
    <t>0                      UB 0357000W  47          2013</t>
  </si>
  <si>
    <t>Support for the 21st-century reserve force : insights on facilitating successful reintegration for citizen warriors and their families / Laura Werber, Agnes Gereben Schaefer, Karen Chan Osilla, Elizabeth Wilke, Anny Wong, Joshua Breslau, Karin E. Kitchens.</t>
  </si>
  <si>
    <t>Werber, Laura.</t>
  </si>
  <si>
    <t>1380532242:eng</t>
  </si>
  <si>
    <t>854906264</t>
  </si>
  <si>
    <t>ocn854906264</t>
  </si>
  <si>
    <t>3103518010C</t>
  </si>
  <si>
    <t>9780833081384</t>
  </si>
  <si>
    <t>794952823</t>
  </si>
  <si>
    <t>UB359 C2 N43 2011</t>
  </si>
  <si>
    <t>0                      UB 0359000C  2                  N  43          2011</t>
  </si>
  <si>
    <t>On to Civvy Street : Canada's rehabilitation program for Veterans of the Second World War / Peter Neary.</t>
  </si>
  <si>
    <t>Neary, Peter, 1938- author.</t>
  </si>
  <si>
    <t>Montreal ; Kingston : McGill-Queen's University Press, ©2011.</t>
  </si>
  <si>
    <t>900749455:eng</t>
  </si>
  <si>
    <t>724651033</t>
  </si>
  <si>
    <t>ocn724651033</t>
  </si>
  <si>
    <t>3103325854$</t>
  </si>
  <si>
    <t>9780773539136</t>
  </si>
  <si>
    <t>794876512</t>
  </si>
  <si>
    <t>UB359 C2 V48 1998</t>
  </si>
  <si>
    <t>0                      UB 0359000C  2                  V  48          1998</t>
  </si>
  <si>
    <t>The Veterans Charter and post-World War II Canada / edited by Peter Neary and J.L. Granatstein.</t>
  </si>
  <si>
    <t>Montreal ; Buffalo : McGill-Queen's University Press, ©1998.</t>
  </si>
  <si>
    <t>1060576985:eng</t>
  </si>
  <si>
    <t>39339862</t>
  </si>
  <si>
    <t>ocm39339862</t>
  </si>
  <si>
    <t>3101826622Z</t>
  </si>
  <si>
    <t>9780773516786</t>
  </si>
  <si>
    <t>793544052</t>
  </si>
  <si>
    <t>UB359 C3 M67 1987</t>
  </si>
  <si>
    <t>0                      UB 0359000C  3                  M  67          1987</t>
  </si>
  <si>
    <t>Winning the second battle : Canadian veterans and the return to civilian life 1915-1930 / Desmond Morton and Glenn Wright.</t>
  </si>
  <si>
    <t>Morton, Desmond.</t>
  </si>
  <si>
    <t>Toronto ; London : University of Toronto Press, ©1987.</t>
  </si>
  <si>
    <t>The Joanne Goodman lectures ; 1985</t>
  </si>
  <si>
    <t>196507517:eng</t>
  </si>
  <si>
    <t>17587720</t>
  </si>
  <si>
    <t>ocm17587720</t>
  </si>
  <si>
    <t>3102980874U</t>
  </si>
  <si>
    <t>9780802057051</t>
  </si>
  <si>
    <t>792996612</t>
  </si>
  <si>
    <t>UB359 F8 W64</t>
  </si>
  <si>
    <t>0                      UB 0359000F  8                  W  64</t>
  </si>
  <si>
    <t>The French veteran from the Revolution to the Restoration / by Isser Woloch.</t>
  </si>
  <si>
    <t>Woloch, Isser, 1937-</t>
  </si>
  <si>
    <t>Chapel Hill : University of North Carolina Press, ©1979.</t>
  </si>
  <si>
    <t>2016-01-08</t>
  </si>
  <si>
    <t>465262:eng</t>
  </si>
  <si>
    <t>4493413</t>
  </si>
  <si>
    <t>ocm04493413</t>
  </si>
  <si>
    <t>31036441460</t>
  </si>
  <si>
    <t>9780807813560</t>
  </si>
  <si>
    <t>792354816</t>
  </si>
  <si>
    <t>UB359 G3 D5 1993</t>
  </si>
  <si>
    <t>0                      UB 0359000G  3                  D  5           1993</t>
  </si>
  <si>
    <t>The thanks of the fatherland : German veterans after the Second World War / James M. Diehl.</t>
  </si>
  <si>
    <t>Diehl, James M.</t>
  </si>
  <si>
    <t>Chapel Hill : University of North Carolina Press, ©1993.</t>
  </si>
  <si>
    <t>799356974:eng</t>
  </si>
  <si>
    <t>27034760</t>
  </si>
  <si>
    <t>ocm27034760</t>
  </si>
  <si>
    <t>3101344720V</t>
  </si>
  <si>
    <t>9780807820773</t>
  </si>
  <si>
    <t>793257420</t>
  </si>
  <si>
    <t>UB359 G3 E348 2014</t>
  </si>
  <si>
    <t>0                      UB 0359000G  3                  E  348         2014</t>
  </si>
  <si>
    <t>Soldaten im Nachkrieg : historische Deutungskonflikte und westdeutsche Demokratisierung 1945-1955 / von Jörg Echternkamp.</t>
  </si>
  <si>
    <t>Echternkamp, Jörg, author.</t>
  </si>
  <si>
    <t>Berlin : De Gruyter ; München : Oldenbourg, [2014]</t>
  </si>
  <si>
    <t>Beiträge zur Militärgeschichte ; Band 76</t>
  </si>
  <si>
    <t>1879984904:ger</t>
  </si>
  <si>
    <t>879158807</t>
  </si>
  <si>
    <t>ocn879158807</t>
  </si>
  <si>
    <t>3103557029V</t>
  </si>
  <si>
    <t>9783110350937</t>
  </si>
  <si>
    <t>794971792</t>
  </si>
  <si>
    <t>UB359 G3 L63 2001</t>
  </si>
  <si>
    <t>0                      UB 0359000G  3                  L  63          2001</t>
  </si>
  <si>
    <t>Soldiers as citizens : former Wehrmacht officers in the Federal Republic of Germany, 1945-1955 / Jay Lockenour.</t>
  </si>
  <si>
    <t>Lockenour, Jay, 1966-</t>
  </si>
  <si>
    <t>Lincoln : University of Nebraska Press, ©2001.</t>
  </si>
  <si>
    <t>2864039012:eng</t>
  </si>
  <si>
    <t>45890497</t>
  </si>
  <si>
    <t>ocm45890497</t>
  </si>
  <si>
    <t>3102170226A</t>
  </si>
  <si>
    <t>9780803229402</t>
  </si>
  <si>
    <t>793680694</t>
  </si>
  <si>
    <t>UB359 G3 W43 1984</t>
  </si>
  <si>
    <t>0                      UB 0359000G  3                  W  43          1984</t>
  </si>
  <si>
    <t>Bitter wounds : German victims of the Great War, 1914-1939 / Robert Weldon Whalen.</t>
  </si>
  <si>
    <t>Whalen, Robert Weldon, 1950-</t>
  </si>
  <si>
    <t>Ithaca, N.Y. : Cornell University Press, 1984.</t>
  </si>
  <si>
    <t>2018-11-22</t>
  </si>
  <si>
    <t>3483747:eng</t>
  </si>
  <si>
    <t>10696663</t>
  </si>
  <si>
    <t>ocm10696663</t>
  </si>
  <si>
    <t>3103871942X</t>
  </si>
  <si>
    <t>9780801416538</t>
  </si>
  <si>
    <t>792738120</t>
  </si>
  <si>
    <t>UB365 C2 D87 2010</t>
  </si>
  <si>
    <t>0                      UB 0365000C  2                  D  87          2010</t>
  </si>
  <si>
    <t>Veterans with a vision : Canada's war blinded in peace and war / Serge Marc Durflinger.</t>
  </si>
  <si>
    <t>Durflinger, Serge Marc, 1961-</t>
  </si>
  <si>
    <t>Studies in Canadian military history, 1449-6251</t>
  </si>
  <si>
    <t>2015-07-27</t>
  </si>
  <si>
    <t>796100925:eng</t>
  </si>
  <si>
    <t>502633407</t>
  </si>
  <si>
    <t>ocn502633407</t>
  </si>
  <si>
    <t>3103072806E</t>
  </si>
  <si>
    <t>9780774818551</t>
  </si>
  <si>
    <t>794805845</t>
  </si>
  <si>
    <t>UB369 A947 2013</t>
  </si>
  <si>
    <t>0                      UB 0369000A  947         2013</t>
  </si>
  <si>
    <t>Health care spending and efficiency in the U.S. Department of Veterans Affairs / David I. Auerbach, William B. Weeks, and Ian Brantley.</t>
  </si>
  <si>
    <t>Auerbach, David I.</t>
  </si>
  <si>
    <t>[Santa Monica, CA] : Rand Corporation, 2013.</t>
  </si>
  <si>
    <t>RAND Corporation research report series</t>
  </si>
  <si>
    <t>1366744683:eng</t>
  </si>
  <si>
    <t>852389071</t>
  </si>
  <si>
    <t>ocn852389071</t>
  </si>
  <si>
    <t>3103564526N</t>
  </si>
  <si>
    <t>9780833080295</t>
  </si>
  <si>
    <t>794951331</t>
  </si>
  <si>
    <t>UB369.5 C3 B49 2013</t>
  </si>
  <si>
    <t>0                      UB 0369500C  3                  B  49          2013</t>
  </si>
  <si>
    <t>Beyond the line : military and veteran health research / edited by Alice B. Aiken and Stéphanie A.H. Bélanger.</t>
  </si>
  <si>
    <t>Beyond the line (2013)</t>
  </si>
  <si>
    <t>Montreal : Published for the Canadian Institute for Military and Veteran Health Research by McGill-Queen's University Press, 2013.</t>
  </si>
  <si>
    <t>2014-09-11</t>
  </si>
  <si>
    <t>1380306353:eng</t>
  </si>
  <si>
    <t>843859554</t>
  </si>
  <si>
    <t>ocn843859554</t>
  </si>
  <si>
    <t>3103493300S</t>
  </si>
  <si>
    <t>9780773542808</t>
  </si>
  <si>
    <t>794948283</t>
  </si>
  <si>
    <t>3103590361M</t>
  </si>
  <si>
    <t>794948281</t>
  </si>
  <si>
    <t>UB373 L64 2010</t>
  </si>
  <si>
    <t>0                      UB 0373000L  64          2010</t>
  </si>
  <si>
    <t>Race, ethnicity, and disability : veterans and benefits in post-Civil War America / Larry M. Logue, Peter Blanck.</t>
  </si>
  <si>
    <t>Logue, Larry M., 1947-</t>
  </si>
  <si>
    <t>Disability, law and policy series</t>
  </si>
  <si>
    <t>793856467:eng</t>
  </si>
  <si>
    <t>496964524</t>
  </si>
  <si>
    <t>ocn496964524</t>
  </si>
  <si>
    <t>3103239577Q</t>
  </si>
  <si>
    <t>9780521516341</t>
  </si>
  <si>
    <t>794802893</t>
  </si>
  <si>
    <t>UB373 M29 2014</t>
  </si>
  <si>
    <t>0                      UB 0373000M  29          2014</t>
  </si>
  <si>
    <t>Making the reserve retirement system similar to the active system : retention and cost estimates / Michael G. Mattock, Beth J. Asch, James Hosek.</t>
  </si>
  <si>
    <t>1894791736:eng</t>
  </si>
  <si>
    <t>880565129</t>
  </si>
  <si>
    <t>ocn880565129</t>
  </si>
  <si>
    <t>3103482499G</t>
  </si>
  <si>
    <t>9780833084187</t>
  </si>
  <si>
    <t>794973195</t>
  </si>
  <si>
    <t>UB395 C3 F57 2011</t>
  </si>
  <si>
    <t>0                      UB 0395000C  3                  F  57          2011</t>
  </si>
  <si>
    <t>Highway of Heroes : true patriot love / written by Pete Fisher.</t>
  </si>
  <si>
    <t>Fisher, Pete.</t>
  </si>
  <si>
    <t>Toronto : Dundurn Press, ©2011.</t>
  </si>
  <si>
    <t>865179757:eng</t>
  </si>
  <si>
    <t>711936571</t>
  </si>
  <si>
    <t>ocn711936571</t>
  </si>
  <si>
    <t>3103325989R</t>
  </si>
  <si>
    <t>9781554889716</t>
  </si>
  <si>
    <t>794871375</t>
  </si>
  <si>
    <t>UB395 G7 L6</t>
  </si>
  <si>
    <t>0                      UB 0395000G  7                  L  6</t>
  </si>
  <si>
    <t>The unending vigil: a history of the Commonwealth War Graves Commission, 1917-1967; with an introduction by Edmund Blunden.</t>
  </si>
  <si>
    <t>Longworth, Philip, 1933-</t>
  </si>
  <si>
    <t>London, Constable, 1967.</t>
  </si>
  <si>
    <t>4588351:eng</t>
  </si>
  <si>
    <t>956944</t>
  </si>
  <si>
    <t>ocm00956944</t>
  </si>
  <si>
    <t>3000560831Y</t>
  </si>
  <si>
    <t>791511371</t>
  </si>
  <si>
    <t>UB395 G7 L6 1985</t>
  </si>
  <si>
    <t>0                      UB 0395000G  7                  L  6           1985</t>
  </si>
  <si>
    <t>The unending vigil : a history of the Commonwealth War Graves Commission, 1917-1984 / by Philip Longworth ; with an introduction by Edmund Blunden.</t>
  </si>
  <si>
    <t>London : Leo Cooper in association with Secker &amp; Warburg, 1985.</t>
  </si>
  <si>
    <t>11929221</t>
  </si>
  <si>
    <t>ocm11929221</t>
  </si>
  <si>
    <t>3000470213O</t>
  </si>
  <si>
    <t>9780436256899</t>
  </si>
  <si>
    <t>792794102</t>
  </si>
  <si>
    <t>UB403 A87 2012</t>
  </si>
  <si>
    <t>0                      UB 0403000A  87          2012</t>
  </si>
  <si>
    <t>Assessing Operation Purple : a program evaluation of a summer camp for military youth / Anita Chandra [and others] ; sponsored by the National Military Family Association.</t>
  </si>
  <si>
    <t>Technical report / Rand Corporation) ; TR-1243-NMFA</t>
  </si>
  <si>
    <t>2012-11-21</t>
  </si>
  <si>
    <t>1172993156:eng</t>
  </si>
  <si>
    <t>800721050</t>
  </si>
  <si>
    <t>ocn800721050</t>
  </si>
  <si>
    <t>31034678650</t>
  </si>
  <si>
    <t>9780833076519</t>
  </si>
  <si>
    <t>794924650</t>
  </si>
  <si>
    <t>UB403 D47 2014</t>
  </si>
  <si>
    <t>0                      UB 0403000D  47          2014</t>
  </si>
  <si>
    <t>The Deployment Life Study : methodological overview and baseline sample description / Terri Tanielian, Benjamin R. Karney, Anita Chandra, Sarah O. Meadows, and the Deployment Life Study Team.</t>
  </si>
  <si>
    <t>Tanielian, Terri L., author.</t>
  </si>
  <si>
    <t>1878010270:eng</t>
  </si>
  <si>
    <t>878836328</t>
  </si>
  <si>
    <t>ocn878836328</t>
  </si>
  <si>
    <t>3103564520N</t>
  </si>
  <si>
    <t>9780833079923</t>
  </si>
  <si>
    <t>794971625</t>
  </si>
  <si>
    <t>UB403 F353 2011</t>
  </si>
  <si>
    <t>0                      UB 0403000F  353         2011</t>
  </si>
  <si>
    <t>Families under fire : systemic therapy with military families / edited by R. Blaine Everson and Charles R. Figley.</t>
  </si>
  <si>
    <t>New York : Routledge, ©2011.</t>
  </si>
  <si>
    <t>Routledge psychosocial stress series ; 38</t>
  </si>
  <si>
    <t>2013-10-08</t>
  </si>
  <si>
    <t>809998019:eng</t>
  </si>
  <si>
    <t>277195932</t>
  </si>
  <si>
    <t>ocn277195932</t>
  </si>
  <si>
    <t>3103237849V</t>
  </si>
  <si>
    <t>9780415998475</t>
  </si>
  <si>
    <t>794418594</t>
  </si>
  <si>
    <t>UB403 H36 2012</t>
  </si>
  <si>
    <t>0                      UB 0403000H  36          2012</t>
  </si>
  <si>
    <t>Handbook of counseling military couples / Bret A. Moore.</t>
  </si>
  <si>
    <t>Moore, Bret A.</t>
  </si>
  <si>
    <t>New York : Routledge, 2012.</t>
  </si>
  <si>
    <t>The family therapy and counseling series</t>
  </si>
  <si>
    <t>2018-07-12</t>
  </si>
  <si>
    <t>790270048:eng</t>
  </si>
  <si>
    <t>703208879</t>
  </si>
  <si>
    <t>ocn703208879</t>
  </si>
  <si>
    <t>3103396279B</t>
  </si>
  <si>
    <t>9780415887304</t>
  </si>
  <si>
    <t>794864615</t>
  </si>
  <si>
    <t>UB403 L54 2010</t>
  </si>
  <si>
    <t>0                      UB 0403000L  54          2010</t>
  </si>
  <si>
    <t>Measuring underemployment among military spouses / Nelson Lim, David Schulker.</t>
  </si>
  <si>
    <t>Lim, Nelson.</t>
  </si>
  <si>
    <t>Santa Monica, Calif : RAND, ©2010.</t>
  </si>
  <si>
    <t>392073618:eng</t>
  </si>
  <si>
    <t>519835177</t>
  </si>
  <si>
    <t>ocn519835177</t>
  </si>
  <si>
    <t>31032556056</t>
  </si>
  <si>
    <t>9780833048844</t>
  </si>
  <si>
    <t>794808572</t>
  </si>
  <si>
    <t>UB403 M55 2012</t>
  </si>
  <si>
    <t>0                      UB 0403000M  55          2012</t>
  </si>
  <si>
    <t>Analysis of financial support to the surviving spouses and children of casualties in the Iraq and Afghanistan Wars / Amalia R. Miller, Paul Heaton, David S. Loughran.</t>
  </si>
  <si>
    <t>Miller, Amalia R. (Amalia Rebecca), 1976-</t>
  </si>
  <si>
    <t>Santa Monica, CA : RAND Corporation, 2012.</t>
  </si>
  <si>
    <t>Technical report ; TR-1281-OSD</t>
  </si>
  <si>
    <t>1125657402:eng</t>
  </si>
  <si>
    <t>800042998</t>
  </si>
  <si>
    <t>ocn800042998</t>
  </si>
  <si>
    <t>31034397728</t>
  </si>
  <si>
    <t>9780833076687</t>
  </si>
  <si>
    <t>794924487</t>
  </si>
  <si>
    <t>UB403 N49 2011</t>
  </si>
  <si>
    <t>0                      UB 0403000N  49          2011</t>
  </si>
  <si>
    <t>A new approach for assessing the needs of service members and their families / Laura L. Miller [and others].</t>
  </si>
  <si>
    <t>Rand Corporation monograph series ; MG-1124-OSD</t>
  </si>
  <si>
    <t>1008674017:eng</t>
  </si>
  <si>
    <t>751249440</t>
  </si>
  <si>
    <t>ocn751249440</t>
  </si>
  <si>
    <t>31034373085</t>
  </si>
  <si>
    <t>9780833058744</t>
  </si>
  <si>
    <t>794890338</t>
  </si>
  <si>
    <t>UB403 S56 2013</t>
  </si>
  <si>
    <t>0                      UB 0403000S  56          2013</t>
  </si>
  <si>
    <t>Strategically aligned family research : supporting soldier and family quality of life research for policy decisionmaking / Carra S. Sims, Anny Wong, Sarah H. Bana, John D. Winkler ; prepared for the United States Army, approved for public release ; distribution unlimited.</t>
  </si>
  <si>
    <t>Sims, Carra S.</t>
  </si>
  <si>
    <t>Santa Monica, CA : RAND, ARRYO CENTER, [2013]</t>
  </si>
  <si>
    <t>1367831742:eng</t>
  </si>
  <si>
    <t>843026076</t>
  </si>
  <si>
    <t>ocn843026076</t>
  </si>
  <si>
    <t>31035180622</t>
  </si>
  <si>
    <t>9780833077899</t>
  </si>
  <si>
    <t>794947811</t>
  </si>
  <si>
    <t>UB403 T36 2013</t>
  </si>
  <si>
    <t>0                      UB 0403000T  36          2013</t>
  </si>
  <si>
    <t>Military caregivers : cornerstones of support for our nation's wounded, ill, and injured veterans / Terri Tanielian, Rajeev Ramchand, Michael P. Fisher, Carra S. Sims, Racine Harris, and Margaret C. Harrell.</t>
  </si>
  <si>
    <t>1380489536:eng</t>
  </si>
  <si>
    <t>829926656</t>
  </si>
  <si>
    <t>ocn829926656</t>
  </si>
  <si>
    <t>31034856634</t>
  </si>
  <si>
    <t>9780833079633</t>
  </si>
  <si>
    <t>794942827</t>
  </si>
  <si>
    <t>UB403 V54 2011</t>
  </si>
  <si>
    <t>0                      UB 0403000V  54          2011</t>
  </si>
  <si>
    <t>Views from the homefront : the experiences of youth and spouses from military families / Anita Chandra [and others].</t>
  </si>
  <si>
    <t>Santa Monica, CA : Rand, 2011.</t>
  </si>
  <si>
    <t>Technical Report (RAND Corporation) ; TR-913-NMFA</t>
  </si>
  <si>
    <t>867803823:eng</t>
  </si>
  <si>
    <t>682072099</t>
  </si>
  <si>
    <t>ocn682072099</t>
  </si>
  <si>
    <t>3103346618$</t>
  </si>
  <si>
    <t>9780833051271</t>
  </si>
  <si>
    <t>794852516</t>
  </si>
  <si>
    <t>UB413 C76 2013</t>
  </si>
  <si>
    <t>0                      UB 0413000C  76          2013</t>
  </si>
  <si>
    <t>Adapting the Army's training and leader development programs for future challenges / James C. Crowley, Michael G. Shanley, Jeff Rothenberg, Jerry M. Sollinger.</t>
  </si>
  <si>
    <t>Crowley, James C., 1945-</t>
  </si>
  <si>
    <t>Santa Monica, CA : RAND, ARROYO CENTER, 2013.</t>
  </si>
  <si>
    <t>Technical report ; TR-1236-A</t>
  </si>
  <si>
    <t>1189281945:eng</t>
  </si>
  <si>
    <t>821560858</t>
  </si>
  <si>
    <t>ocn821560858</t>
  </si>
  <si>
    <t>3103315050S</t>
  </si>
  <si>
    <t>9780833076380</t>
  </si>
  <si>
    <t>794936164</t>
  </si>
  <si>
    <t>UB413 H373 2012</t>
  </si>
  <si>
    <t>0                      UB 0413000H  373         2012</t>
  </si>
  <si>
    <t>Managing adverse and reportable information regarding general and flag officers / Margaret C. Harrell, William M. Hix.</t>
  </si>
  <si>
    <t>Harrell, Margaret C.</t>
  </si>
  <si>
    <t>RAND Corporation monograph series ; MG1088</t>
  </si>
  <si>
    <t>2246611400:eng</t>
  </si>
  <si>
    <t>898066016</t>
  </si>
  <si>
    <t>ocn898066016</t>
  </si>
  <si>
    <t>3103482654I</t>
  </si>
  <si>
    <t>9780833052339</t>
  </si>
  <si>
    <t>794985678</t>
  </si>
  <si>
    <t>UB413 L57 2013</t>
  </si>
  <si>
    <t>0                      UB 0413000L  57          2013</t>
  </si>
  <si>
    <t>Leadership stability in Army Reserve component units / Thomas F. Lippiatt, J. Michael Polich ; Prepared for the Office of the Secretary of Defense, approved for public release ; distribution unlimited.</t>
  </si>
  <si>
    <t>Santa Monica, CA : RAND National Security Research Division, [2013]</t>
  </si>
  <si>
    <t>1212998219:eng</t>
  </si>
  <si>
    <t>829999725</t>
  </si>
  <si>
    <t>ocn829999725</t>
  </si>
  <si>
    <t>3103518093X</t>
  </si>
  <si>
    <t>9780833079947</t>
  </si>
  <si>
    <t>794942990</t>
  </si>
  <si>
    <t>UB413 O65 2010</t>
  </si>
  <si>
    <t>0                      UB 0413000O  65          2010</t>
  </si>
  <si>
    <t>Options for filling vacant officer positions / Roland J. Yardley [and others].</t>
  </si>
  <si>
    <t>Technical report ; TR-881-OSD</t>
  </si>
  <si>
    <t>809199745:eng</t>
  </si>
  <si>
    <t>689549072</t>
  </si>
  <si>
    <t>ocn689549072</t>
  </si>
  <si>
    <t>3103346628Y</t>
  </si>
  <si>
    <t>9780833050588</t>
  </si>
  <si>
    <t>794854988</t>
  </si>
  <si>
    <t>UB413 S54 1992</t>
  </si>
  <si>
    <t>0                      UB 0413000S  54          1992</t>
  </si>
  <si>
    <t>An American profession of arms : the army officer corps, 1784-1861 / William B. Skelton.</t>
  </si>
  <si>
    <t>Skelton, William B., 1939-</t>
  </si>
  <si>
    <t>Lawrence, Kan. : University Press of Kansas, ©1992.</t>
  </si>
  <si>
    <t>2018-12-07</t>
  </si>
  <si>
    <t>227212020:eng</t>
  </si>
  <si>
    <t>25632532</t>
  </si>
  <si>
    <t>ocm25632532</t>
  </si>
  <si>
    <t>3101239342P</t>
  </si>
  <si>
    <t>9780700605606</t>
  </si>
  <si>
    <t>793226648</t>
  </si>
  <si>
    <t>UB413 U84 2012</t>
  </si>
  <si>
    <t>0                      UB 0413000U  84          2012</t>
  </si>
  <si>
    <t>The use of standardized scores in officer career management and selection / Anny Wong [and others].</t>
  </si>
  <si>
    <t>1083096353:eng</t>
  </si>
  <si>
    <t>778828075</t>
  </si>
  <si>
    <t>ocn778828075</t>
  </si>
  <si>
    <t>3103527184V</t>
  </si>
  <si>
    <t>9780833059024</t>
  </si>
  <si>
    <t>794910257</t>
  </si>
  <si>
    <t>UB413 W38 2012</t>
  </si>
  <si>
    <t>0                      UB 0413000W  38          2012</t>
  </si>
  <si>
    <t>Jackson's sword : the Army officer corps on the American frontier, 1810-1821 / Samuel J. Watson.</t>
  </si>
  <si>
    <t>Watson, Samuel J.</t>
  </si>
  <si>
    <t>Lawrence : University Press of Kansas, ©2012.</t>
  </si>
  <si>
    <t>2013-03-14</t>
  </si>
  <si>
    <t>1218460968:eng</t>
  </si>
  <si>
    <t>788282695</t>
  </si>
  <si>
    <t>ocn788282695</t>
  </si>
  <si>
    <t>3103469152F</t>
  </si>
  <si>
    <t>9780700618842</t>
  </si>
  <si>
    <t>794916409</t>
  </si>
  <si>
    <t>UB413 W39 2013</t>
  </si>
  <si>
    <t>0                      UB 0413000W  39          2013</t>
  </si>
  <si>
    <t>Peacekeepers and conquerors : the Army Officer Corps on the American frontier, 1821-1846 / Samuel J. Watson.</t>
  </si>
  <si>
    <t>Lawrence, Kansas : University Press of Kansas, [2013]</t>
  </si>
  <si>
    <t>1181836565:eng</t>
  </si>
  <si>
    <t>818143738</t>
  </si>
  <si>
    <t>ocn818143738</t>
  </si>
  <si>
    <t>31034981476</t>
  </si>
  <si>
    <t>9780700619153</t>
  </si>
  <si>
    <t>794933726</t>
  </si>
  <si>
    <t>UB415 A8 D43 1990</t>
  </si>
  <si>
    <t>0                      UB 0415000A  8                  D  43          1990</t>
  </si>
  <si>
    <t>Beyond nationalism : a social and political history of the Habsburg officer corps, 1848-1918 / István Deák.</t>
  </si>
  <si>
    <t>Deák, István.</t>
  </si>
  <si>
    <t>2018-04-30</t>
  </si>
  <si>
    <t>507870202:eng</t>
  </si>
  <si>
    <t>19623942</t>
  </si>
  <si>
    <t>ocm19623942</t>
  </si>
  <si>
    <t>3102823786I</t>
  </si>
  <si>
    <t>9780195045055</t>
  </si>
  <si>
    <t>793064133</t>
  </si>
  <si>
    <t>UB415 F5 B58 2002</t>
  </si>
  <si>
    <t>0                      UB 0415000F  5                  B  58          2002</t>
  </si>
  <si>
    <t>The French Army, 1750-1820 : careers, talent, merit / Rafe Blaufarb.</t>
  </si>
  <si>
    <t>Blaufarb, Rafe.</t>
  </si>
  <si>
    <t>Manchester ; New York : Manchester University Press, 2002.</t>
  </si>
  <si>
    <t>2015-11-21</t>
  </si>
  <si>
    <t>840618781:eng</t>
  </si>
  <si>
    <t>50091631</t>
  </si>
  <si>
    <t>ocm50091631</t>
  </si>
  <si>
    <t>3102586129O</t>
  </si>
  <si>
    <t>9780719062629</t>
  </si>
  <si>
    <t>793755394</t>
  </si>
  <si>
    <t>UB415 G3 B53 2011</t>
  </si>
  <si>
    <t>0                      UB 0415000G  3                  B  53          2011</t>
  </si>
  <si>
    <t>Fallen elites : the military other in post-unification Germany / Andrew Bickford.</t>
  </si>
  <si>
    <t>Bickford, Andrew, 1966- author.</t>
  </si>
  <si>
    <t>Stanford, California : Stanford University Press, [2011], ©2011.</t>
  </si>
  <si>
    <t>686164626:eng</t>
  </si>
  <si>
    <t>670375351</t>
  </si>
  <si>
    <t>ocn670375351</t>
  </si>
  <si>
    <t>3103343842$</t>
  </si>
  <si>
    <t>9780804773959</t>
  </si>
  <si>
    <t>794847681</t>
  </si>
  <si>
    <t>UB415 G4 K35 2002</t>
  </si>
  <si>
    <t>0                      UB 0415000G  4                  K  35          2002</t>
  </si>
  <si>
    <t>Disobedience and conspiracy in the German Army, 1918-1945 / by Robert B. Kane ; with a foreword by Peter Loewenberg.</t>
  </si>
  <si>
    <t>Kane, Robert B., 1951-</t>
  </si>
  <si>
    <t>Jefferson, N.C. : McFarland &amp; Co., ©2002.</t>
  </si>
  <si>
    <t>952179:eng</t>
  </si>
  <si>
    <t>48140594</t>
  </si>
  <si>
    <t>ocm48140594</t>
  </si>
  <si>
    <t>31024007340</t>
  </si>
  <si>
    <t>9780786411047</t>
  </si>
  <si>
    <t>793716918</t>
  </si>
  <si>
    <t>UB416 B74 2004</t>
  </si>
  <si>
    <t>0                      UB 0416000B  74          2004</t>
  </si>
  <si>
    <t>Young soldiers : why they choose to fight / Rachel Brett &amp; Irma Specht.</t>
  </si>
  <si>
    <t>Brett, Rachel.</t>
  </si>
  <si>
    <t>Boulder, Colo. : Lynne Rienner Publishers, 2004.</t>
  </si>
  <si>
    <t>117427371:eng</t>
  </si>
  <si>
    <t>53830868</t>
  </si>
  <si>
    <t>ocm53830868</t>
  </si>
  <si>
    <t>31027857120</t>
  </si>
  <si>
    <t>9781588262851</t>
  </si>
  <si>
    <t>793851250</t>
  </si>
  <si>
    <t>UB416 C478 2010</t>
  </si>
  <si>
    <t>0                      UB 0416000C  478         2010</t>
  </si>
  <si>
    <t>Child soldiers / Candice Mancini, book editor.</t>
  </si>
  <si>
    <t>Farmington Hills, Mich. : Greenhaven Press, ©2010.</t>
  </si>
  <si>
    <t>Global viewpoints</t>
  </si>
  <si>
    <t>2019-10-23</t>
  </si>
  <si>
    <t>10120014236:eng</t>
  </si>
  <si>
    <t>441154109</t>
  </si>
  <si>
    <t>ocn441154109</t>
  </si>
  <si>
    <t>3103454548U</t>
  </si>
  <si>
    <t>9780737748390</t>
  </si>
  <si>
    <t>794786656</t>
  </si>
  <si>
    <t>UB416 D36 2010</t>
  </si>
  <si>
    <t>0                      UB 0416000D  36          2010</t>
  </si>
  <si>
    <t>They fight like soldiers, they die like children : the global quest to eradicate the use of child soldiers / Roméo Dallaire with Jessica Dee Humphreys.</t>
  </si>
  <si>
    <t>Dallaire, Roméo A.</t>
  </si>
  <si>
    <t>Toronto : Random House Canada, ©2010.</t>
  </si>
  <si>
    <t>2289479270:eng</t>
  </si>
  <si>
    <t>505417148</t>
  </si>
  <si>
    <t>ocn505417148</t>
  </si>
  <si>
    <t>3103267392L</t>
  </si>
  <si>
    <t>9780307355775</t>
  </si>
  <si>
    <t>794807075</t>
  </si>
  <si>
    <t>UB416 E85 1990</t>
  </si>
  <si>
    <t>0                      UB 0416000E  85          1990</t>
  </si>
  <si>
    <t>Ethnic armies : polyethnic armed forces from the time of the Habsburgs to the age of the superpowers / N.F. Dreisziger, editor.</t>
  </si>
  <si>
    <t>Military History Symposium (Canada) (13th : 1986 : Royal Military College)</t>
  </si>
  <si>
    <t>Waterloo, Ont., Canada : Wilfrid Laurier University Press, ©1990.</t>
  </si>
  <si>
    <t>2015-11-03</t>
  </si>
  <si>
    <t>867300947:eng</t>
  </si>
  <si>
    <t>24321344</t>
  </si>
  <si>
    <t>ocm24321344</t>
  </si>
  <si>
    <t>3101010477$</t>
  </si>
  <si>
    <t>9780889209930</t>
  </si>
  <si>
    <t>793195580</t>
  </si>
  <si>
    <t>UB416 F45 1982</t>
  </si>
  <si>
    <t>0                      UB 0416000F  45          1982</t>
  </si>
  <si>
    <t>Female soldiers--combatants or noncombatants? : historical and contemporary perspectives / edited by Nancy Loring Goldman.</t>
  </si>
  <si>
    <t>Westport, Conn. : Greenwood Press, ©1982.</t>
  </si>
  <si>
    <t>Contributions in women's studies, 0147-104X ; no. 33</t>
  </si>
  <si>
    <t>2019-02-11</t>
  </si>
  <si>
    <t>836679291:eng</t>
  </si>
  <si>
    <t>7876448</t>
  </si>
  <si>
    <t>ocm07876448</t>
  </si>
  <si>
    <t>3000360990S</t>
  </si>
  <si>
    <t>9780313231179</t>
  </si>
  <si>
    <t>792584690</t>
  </si>
  <si>
    <t>UB416 O87 2003</t>
  </si>
  <si>
    <t>0                      UB 0416000O  87          2003</t>
  </si>
  <si>
    <t>L'enfant-soldat : victime transformée en bourreau / Mouzayan Osseiran-Houbballah.</t>
  </si>
  <si>
    <t>Osseiran-Houbballah, Mouzayan.</t>
  </si>
  <si>
    <t>Paris : O. Jacob, 2003.</t>
  </si>
  <si>
    <t>2015-11-04</t>
  </si>
  <si>
    <t>351565874:fre</t>
  </si>
  <si>
    <t>53144366</t>
  </si>
  <si>
    <t>ocm53144366</t>
  </si>
  <si>
    <t>31024821621</t>
  </si>
  <si>
    <t>9782738113153</t>
  </si>
  <si>
    <t>793822282</t>
  </si>
  <si>
    <t>UB416 P45 1998</t>
  </si>
  <si>
    <t>0                      UB 0416000P  45          1998</t>
  </si>
  <si>
    <t>A question of loyalty : military manpower policy in multiethnic states / Alon Peled.</t>
  </si>
  <si>
    <t>Peled, Alon, 1962-</t>
  </si>
  <si>
    <t>Ithaca, NY : Cornell University Press, 1998.</t>
  </si>
  <si>
    <t>837033638:eng</t>
  </si>
  <si>
    <t>38106167</t>
  </si>
  <si>
    <t>ocm38106167</t>
  </si>
  <si>
    <t>31018923649</t>
  </si>
  <si>
    <t>9780801432392</t>
  </si>
  <si>
    <t>793515718</t>
  </si>
  <si>
    <t>UB416 R67 2005</t>
  </si>
  <si>
    <t>0                      UB 0416000R  67          2005</t>
  </si>
  <si>
    <t>Armies of the young : child soldiers in war and terrorism / David M. Rosen.</t>
  </si>
  <si>
    <t>Rosen, David M., 1944-</t>
  </si>
  <si>
    <t>New Brunswick, N.J. : Rutgers University Press, ©2005.</t>
  </si>
  <si>
    <t>The Rutgers series in childhood studies</t>
  </si>
  <si>
    <t>802081166:eng</t>
  </si>
  <si>
    <t>55981499</t>
  </si>
  <si>
    <t>ocm55981499</t>
  </si>
  <si>
    <t>3102503581F</t>
  </si>
  <si>
    <t>9780813535678</t>
  </si>
  <si>
    <t>793885114</t>
  </si>
  <si>
    <t>UB416 S56 2005</t>
  </si>
  <si>
    <t>0                      UB 0416000S  56          2005</t>
  </si>
  <si>
    <t>Children at war / P.W. Singer.</t>
  </si>
  <si>
    <t>Singer, P. W. (Peter Warren)</t>
  </si>
  <si>
    <t>New York : Pantheon Books, ©2005.</t>
  </si>
  <si>
    <t>898931:eng</t>
  </si>
  <si>
    <t>55877924</t>
  </si>
  <si>
    <t>ocm55877924</t>
  </si>
  <si>
    <t>31034460513</t>
  </si>
  <si>
    <t>9780375423499</t>
  </si>
  <si>
    <t>793883502</t>
  </si>
  <si>
    <t>UB416 S65 2000</t>
  </si>
  <si>
    <t>0                      UB 0416000S  65          2000</t>
  </si>
  <si>
    <t>A soldier and a woman : sexual integration in the military / edited by Gerard J. DeGroot and C.M. Peniston-Bird.</t>
  </si>
  <si>
    <t>New York : Pearson Education, 2000.</t>
  </si>
  <si>
    <t>Women and men in history</t>
  </si>
  <si>
    <t>2019-11-05</t>
  </si>
  <si>
    <t>837078800:eng</t>
  </si>
  <si>
    <t>43365821</t>
  </si>
  <si>
    <t>ocm43365821</t>
  </si>
  <si>
    <t>3102568136O</t>
  </si>
  <si>
    <t>9780582414396</t>
  </si>
  <si>
    <t>793625276</t>
  </si>
  <si>
    <t>UB416 W37 2008</t>
  </si>
  <si>
    <t>0                      UB 0416000W  37          2008</t>
  </si>
  <si>
    <t>War &amp; terror : feminist perspectives / edited by Karen Alexander and Mary E. Hawkesworth.</t>
  </si>
  <si>
    <t>Chicago : University of Chicago Press, 2008.</t>
  </si>
  <si>
    <t>369388580:eng</t>
  </si>
  <si>
    <t>177070629</t>
  </si>
  <si>
    <t>ocn177070629</t>
  </si>
  <si>
    <t>3102882499$</t>
  </si>
  <si>
    <t>9780226012995</t>
  </si>
  <si>
    <t>794278275</t>
  </si>
  <si>
    <t>UB416 W47 2006</t>
  </si>
  <si>
    <t>0                      UB 0416000W  47          2006</t>
  </si>
  <si>
    <t>Child soldiers : from violence to protection / Michael Wessells.</t>
  </si>
  <si>
    <t>Wessells, Michael G., 1948-</t>
  </si>
  <si>
    <t>890686552:eng</t>
  </si>
  <si>
    <t>70176973</t>
  </si>
  <si>
    <t>ocm70176973</t>
  </si>
  <si>
    <t>3102635020D</t>
  </si>
  <si>
    <t>9780674023598</t>
  </si>
  <si>
    <t>794150375</t>
  </si>
  <si>
    <t>UB416 W66 2012</t>
  </si>
  <si>
    <t>0                      UB 0416000W  66          2012</t>
  </si>
  <si>
    <t>Women in war / edited by Celia Lee and Paul Edward Strong ; foreword by Gary Sheffield.</t>
  </si>
  <si>
    <t>Barnsley : Pen &amp; Sword Military, 2012.</t>
  </si>
  <si>
    <t>1757720411:eng</t>
  </si>
  <si>
    <t>766339016</t>
  </si>
  <si>
    <t>ocn766339016</t>
  </si>
  <si>
    <t>3103407234H</t>
  </si>
  <si>
    <t>9781848846692</t>
  </si>
  <si>
    <t>794900856</t>
  </si>
  <si>
    <t>UB417 A82 2012</t>
  </si>
  <si>
    <t>0                      UB 0417000A  82          2012</t>
  </si>
  <si>
    <t>A new look at gender and minority differences in officer career progression in the military / Beth J. Asch, Trey Miller, Alessandro Malchiodi.</t>
  </si>
  <si>
    <t>Technical report ; TR-1159-OSD</t>
  </si>
  <si>
    <t>1107844247:eng</t>
  </si>
  <si>
    <t>793421824</t>
  </si>
  <si>
    <t>ocn793421824</t>
  </si>
  <si>
    <t>31034397836</t>
  </si>
  <si>
    <t>9780833059376</t>
  </si>
  <si>
    <t>794918200</t>
  </si>
  <si>
    <t>UB417 M87 2003</t>
  </si>
  <si>
    <t>0                      UB 0417000M  87          2003</t>
  </si>
  <si>
    <t>Covering sex, race, and gender in the American military services / Gene Murray.</t>
  </si>
  <si>
    <t>Murray, Gene (Gaylon Eugene)</t>
  </si>
  <si>
    <t>Lewiston, N.Y. : Edwin Mellen Press, 2004.</t>
  </si>
  <si>
    <t>Mellen studies in journalism ; v. 6</t>
  </si>
  <si>
    <t>764355:eng</t>
  </si>
  <si>
    <t>52970538</t>
  </si>
  <si>
    <t>ocm52970538</t>
  </si>
  <si>
    <t>3102337169C</t>
  </si>
  <si>
    <t>9780773465480</t>
  </si>
  <si>
    <t>793818359</t>
  </si>
  <si>
    <t>UB418 A47 P45 2012</t>
  </si>
  <si>
    <t>0                      UB 0418000A  47                 P  45          2012</t>
  </si>
  <si>
    <t>War! what is it good for? : black freedom struggles and the U.S. military from World War II to Iraq / Kimberley L. Phillips.</t>
  </si>
  <si>
    <t>Phillips, Kimberley L. (Kimberley Louise), 1960-</t>
  </si>
  <si>
    <t>Chapel Hill : University of North Carolina Press, [2012]</t>
  </si>
  <si>
    <t>The John Hope Franklin series in African American history and culture</t>
  </si>
  <si>
    <t>2013-02-01</t>
  </si>
  <si>
    <t>864132519:eng</t>
  </si>
  <si>
    <t>711043304</t>
  </si>
  <si>
    <t>ocn711043304</t>
  </si>
  <si>
    <t>3103396447B</t>
  </si>
  <si>
    <t>9780807835029</t>
  </si>
  <si>
    <t>794870532</t>
  </si>
  <si>
    <t>UB418 G38 D65 2003</t>
  </si>
  <si>
    <t>0                      UB 0418000G  38                 D  65          2003</t>
  </si>
  <si>
    <t>Don't ask, don't tell : debating the gay ban in the military / edited by Aaron Belkin and Geoffrey Bateman.</t>
  </si>
  <si>
    <t>Boulder : Lynne Rienner Publishers, 2003.</t>
  </si>
  <si>
    <t>792928944:eng</t>
  </si>
  <si>
    <t>50559724</t>
  </si>
  <si>
    <t>ocm50559724</t>
  </si>
  <si>
    <t>3102310159F</t>
  </si>
  <si>
    <t>9781588261212</t>
  </si>
  <si>
    <t>793767476</t>
  </si>
  <si>
    <t>UB418 G38 G35 1996</t>
  </si>
  <si>
    <t>0                      UB 0418000G  38                 G  35          1996</t>
  </si>
  <si>
    <t>Gay rights, military wrongs : political perspectives on lesbians and gays in the military / edited by Craig A. Rimmerman.</t>
  </si>
  <si>
    <t>New York : Garland Pub., 1996.</t>
  </si>
  <si>
    <t>Garland reference library of social science ; v. 1049</t>
  </si>
  <si>
    <t>2017-11-06</t>
  </si>
  <si>
    <t>836953372:eng</t>
  </si>
  <si>
    <t>34658819</t>
  </si>
  <si>
    <t>ocm34658819</t>
  </si>
  <si>
    <t>3101704990Z</t>
  </si>
  <si>
    <t>9780815320869</t>
  </si>
  <si>
    <t>793432515</t>
  </si>
  <si>
    <t>UB418 G38 G36 1994</t>
  </si>
  <si>
    <t>0                      UB 0418000G  38                 G  36          1994</t>
  </si>
  <si>
    <t>Gays and lesbians in the military : issues, concerns, and contrasts / Wilbur J. Scott and Sandra Carson Stanley, editors.</t>
  </si>
  <si>
    <t>New York : Aldine de Gruyter, ©1994.</t>
  </si>
  <si>
    <t>Social problems and social issues</t>
  </si>
  <si>
    <t>32752083:eng</t>
  </si>
  <si>
    <t>30814421</t>
  </si>
  <si>
    <t>ocm30814421</t>
  </si>
  <si>
    <t>3101511612G</t>
  </si>
  <si>
    <t>9780202305400</t>
  </si>
  <si>
    <t>793345751</t>
  </si>
  <si>
    <t>UB418 G38 N38 2010</t>
  </si>
  <si>
    <t>0                      UB 0418000G  38                 N  38          2010</t>
  </si>
  <si>
    <t>Sexual orientation and U.S. military personnel policy : an update of RAND's 1993 study / National Defense Research Institute.</t>
  </si>
  <si>
    <t>National Defense Research Institute (U.S.)</t>
  </si>
  <si>
    <t>Santa Monica, CA : Rand Corporation, ©2010.</t>
  </si>
  <si>
    <t>2012-04-06</t>
  </si>
  <si>
    <t>793966926:eng</t>
  </si>
  <si>
    <t>688843154</t>
  </si>
  <si>
    <t>ocn688843154</t>
  </si>
  <si>
    <t>3103373024C</t>
  </si>
  <si>
    <t>9780833051295</t>
  </si>
  <si>
    <t>794854674</t>
  </si>
  <si>
    <t>UB418 G38 O93 1996</t>
  </si>
  <si>
    <t>0                      UB 0418000G  38                 O  93          1996</t>
  </si>
  <si>
    <t>Out in force : sexual orientation and the military / edited by Gregory M. Herek, Jared B. Jobe, Ralph M. Carney.</t>
  </si>
  <si>
    <t>Chicago : University of Chicago Press, 1996.</t>
  </si>
  <si>
    <t>Worlds of desire</t>
  </si>
  <si>
    <t>368475108:eng</t>
  </si>
  <si>
    <t>34604330</t>
  </si>
  <si>
    <t>ocm34604330</t>
  </si>
  <si>
    <t>3101725729T</t>
  </si>
  <si>
    <t>9780226400471</t>
  </si>
  <si>
    <t>793431019</t>
  </si>
  <si>
    <t>UB418 W65 E98 2012</t>
  </si>
  <si>
    <t>0                      UB 0418000W  65                 E  98          2012</t>
  </si>
  <si>
    <t>The extent of restrictions on the service of active-component military women / Laura L. Miller [and others].</t>
  </si>
  <si>
    <t>2014-03-24</t>
  </si>
  <si>
    <t>1107844240:eng</t>
  </si>
  <si>
    <t>793421819</t>
  </si>
  <si>
    <t>ocn793421819</t>
  </si>
  <si>
    <t>31034397718</t>
  </si>
  <si>
    <t>9780833059697</t>
  </si>
  <si>
    <t>794918199</t>
  </si>
  <si>
    <t>UB418 W65 F45 2000</t>
  </si>
  <si>
    <t>0                      UB 0418000W  65                 F  45          2000</t>
  </si>
  <si>
    <t>Citizenship rites : feminist soldiers and feminist antimilitarists / Ilene Rose Feinman.</t>
  </si>
  <si>
    <t>Feinman, Ilene Rose, 1959-</t>
  </si>
  <si>
    <t>New York : New York University Press, ©2000.</t>
  </si>
  <si>
    <t>799861175:eng</t>
  </si>
  <si>
    <t>41981849</t>
  </si>
  <si>
    <t>ocm41981849</t>
  </si>
  <si>
    <t>3102013200J</t>
  </si>
  <si>
    <t>9780814726884</t>
  </si>
  <si>
    <t>793600483</t>
  </si>
  <si>
    <t>UB418 W65 F458 2001</t>
  </si>
  <si>
    <t>0                      UB 0418000W  65                 F  458         2001</t>
  </si>
  <si>
    <t>Women in combat : civic duty or military liability? / Lorry M. Fenner, Marie E. deYoung.</t>
  </si>
  <si>
    <t>Fenner, Lorry M.</t>
  </si>
  <si>
    <t>Washington, D.C. : Georgetown University Press, ©2001.</t>
  </si>
  <si>
    <t>Controversies in public policy</t>
  </si>
  <si>
    <t>837029630:eng</t>
  </si>
  <si>
    <t>45890465</t>
  </si>
  <si>
    <t>ocm45890465</t>
  </si>
  <si>
    <t>31021361438</t>
  </si>
  <si>
    <t>9780878408627</t>
  </si>
  <si>
    <t>793680679</t>
  </si>
  <si>
    <t>UB418 W65 F73 1997</t>
  </si>
  <si>
    <t>0                      UB 0418000W  65                 F  73          1997</t>
  </si>
  <si>
    <t>Ground zero : the gender wars in the military / Linda Bird Francke.</t>
  </si>
  <si>
    <t>Francke, Linda Bird.</t>
  </si>
  <si>
    <t>New York, NY : Simon &amp; Schuster, ©1997.</t>
  </si>
  <si>
    <t>335473758:eng</t>
  </si>
  <si>
    <t>36705721</t>
  </si>
  <si>
    <t>ocm36705721</t>
  </si>
  <si>
    <t>3101805423L</t>
  </si>
  <si>
    <t>9780684809748</t>
  </si>
  <si>
    <t>793482241</t>
  </si>
  <si>
    <t>UB418 W65 F75 1996</t>
  </si>
  <si>
    <t>0                      UB 0418000W  65                 F  75          1996</t>
  </si>
  <si>
    <t>Women in the United States military, 1901-1995 : a research guide and annotated bibliography / compiled by Vicki L. Friedl.</t>
  </si>
  <si>
    <t>Friedl, Vicki L.</t>
  </si>
  <si>
    <t>Westport, Conn : Greenwood Press, 1996.</t>
  </si>
  <si>
    <t>Research guides in military studies, 0899-0166 ; no. 9</t>
  </si>
  <si>
    <t>2628367:eng</t>
  </si>
  <si>
    <t>34354652</t>
  </si>
  <si>
    <t>ocm34354652</t>
  </si>
  <si>
    <t>3101723975O</t>
  </si>
  <si>
    <t>9780313296574</t>
  </si>
  <si>
    <t>793424910</t>
  </si>
  <si>
    <t>UB418 W65 G46 1999</t>
  </si>
  <si>
    <t>0                      UB 0418000W  65                 G  46          1999</t>
  </si>
  <si>
    <t>Gender camouflage : women and the U.S. military / edited by Francine D'Amico and Laurie Weinstein.</t>
  </si>
  <si>
    <t>New York : New York University Press, ©1999.</t>
  </si>
  <si>
    <t>2017-04-02</t>
  </si>
  <si>
    <t>41386352:eng</t>
  </si>
  <si>
    <t>39951636</t>
  </si>
  <si>
    <t>ocm39951636</t>
  </si>
  <si>
    <t>3101946370H</t>
  </si>
  <si>
    <t>9780814719060</t>
  </si>
  <si>
    <t>793557642</t>
  </si>
  <si>
    <t>UB418 W65 I88 1996</t>
  </si>
  <si>
    <t>0                      UB 0418000W  65                 I  88          1996</t>
  </si>
  <si>
    <t>It's our military, too! : women and the U.S. military / edited by Judith Hicks Stiehm.</t>
  </si>
  <si>
    <t>Philadelphia : Temple University Press, 1996.</t>
  </si>
  <si>
    <t>Women in the political economy</t>
  </si>
  <si>
    <t>2017-03-08</t>
  </si>
  <si>
    <t>766685050:eng</t>
  </si>
  <si>
    <t>33667214</t>
  </si>
  <si>
    <t>ocm33667214</t>
  </si>
  <si>
    <t>3101724852Z</t>
  </si>
  <si>
    <t>9781566394550</t>
  </si>
  <si>
    <t>793411257</t>
  </si>
  <si>
    <t>UB418 W65 M66 2010</t>
  </si>
  <si>
    <t>0                      UB 0418000W  65                 M  66          2010</t>
  </si>
  <si>
    <t>A few good women : America's military women from World War I to the wars in Iraq and Afghanistan / Evelyn M. Monahan and Rosemary Neidel-Greenlee.</t>
  </si>
  <si>
    <t>Monahan, Evelyn.</t>
  </si>
  <si>
    <t>New York : Alfred A. Knopf, 2010.</t>
  </si>
  <si>
    <t>2014-11-24</t>
  </si>
  <si>
    <t>306895757:eng</t>
  </si>
  <si>
    <t>419798772</t>
  </si>
  <si>
    <t>ocn419798772</t>
  </si>
  <si>
    <t>3103241811J</t>
  </si>
  <si>
    <t>9781400044344</t>
  </si>
  <si>
    <t>794503362</t>
  </si>
  <si>
    <t>UB418 W65 S735 2002</t>
  </si>
  <si>
    <t>0                      UB 0418000W  65                 S  735         2002</t>
  </si>
  <si>
    <t>The status of gender integration in the military : analysis of selected occupations / Margaret C. Harrell [and others].</t>
  </si>
  <si>
    <t>Santa Monica, CA : Rand, 2002.</t>
  </si>
  <si>
    <t>60579107:eng</t>
  </si>
  <si>
    <t>49525757</t>
  </si>
  <si>
    <t>ocm49525757</t>
  </si>
  <si>
    <t>3102304379V</t>
  </si>
  <si>
    <t>9780833030931</t>
  </si>
  <si>
    <t>793741990</t>
  </si>
  <si>
    <t>UB419 B46 A48 1998</t>
  </si>
  <si>
    <t>0                      UB 0419000B  46                 A  48          1998</t>
  </si>
  <si>
    <t>Amazons of black Sparta : the women warriors of Dahomey / Stanley B. Alpern.</t>
  </si>
  <si>
    <t>Alpern, Stanley B. (Stanley Bernard), 1927-</t>
  </si>
  <si>
    <t>New York : New York University Press, ©1998.</t>
  </si>
  <si>
    <t>2018-10-05</t>
  </si>
  <si>
    <t>793104006:eng</t>
  </si>
  <si>
    <t>38132681</t>
  </si>
  <si>
    <t>ocm38132681</t>
  </si>
  <si>
    <t>3102784762V</t>
  </si>
  <si>
    <t>9780814706770</t>
  </si>
  <si>
    <t>793516552</t>
  </si>
  <si>
    <t>UB419 C2 B37 2015</t>
  </si>
  <si>
    <t>0                      UB 0419000C  2                  B  37          2015</t>
  </si>
  <si>
    <t>World War women / Stacey Barker and Molly McCullough.</t>
  </si>
  <si>
    <t>Barker, Stacey Joanne, 1973-, author.</t>
  </si>
  <si>
    <t>Ottawa, Ontario : Canadian War Museum = Musée canadien de la guerre, [2015]</t>
  </si>
  <si>
    <t>Souvenir catalogue series, 2291-6385 ; 13</t>
  </si>
  <si>
    <t>4393334262:eng</t>
  </si>
  <si>
    <t>921576178</t>
  </si>
  <si>
    <t>ocn921576178</t>
  </si>
  <si>
    <t>3103645678$</t>
  </si>
  <si>
    <t>9780660203119</t>
  </si>
  <si>
    <t>795003268</t>
  </si>
  <si>
    <t>UB419 C2 D86 2000</t>
  </si>
  <si>
    <t>0                      UB 0419000C  2                  D  86          2000</t>
  </si>
  <si>
    <t>A history of women in the Canadian military / Barbara Dundas.</t>
  </si>
  <si>
    <t>Dundas, Barbara, 1971-</t>
  </si>
  <si>
    <t>Montréal : Art global and Dept. of National Defense in co-operation with de Dept. of Public Works and Government Services Canada, ©2000.</t>
  </si>
  <si>
    <t>2019-02-06</t>
  </si>
  <si>
    <t>10177774496:eng</t>
  </si>
  <si>
    <t>43978875</t>
  </si>
  <si>
    <t>ocm43978875</t>
  </si>
  <si>
    <t>3102093749W</t>
  </si>
  <si>
    <t>9782920718791</t>
  </si>
  <si>
    <t>793640050</t>
  </si>
  <si>
    <t>2018-11-05</t>
  </si>
  <si>
    <t>3102795372W</t>
  </si>
  <si>
    <t>793640049</t>
  </si>
  <si>
    <t>UB419 C2 P75 2015</t>
  </si>
  <si>
    <t>0                      UB 0419000C  2                  P  75          2015</t>
  </si>
  <si>
    <t>Extraordinary women, extraordinary times : Canadian women of World War II / Sherry Pringle.</t>
  </si>
  <si>
    <t>Pringle, Sherry J., author.</t>
  </si>
  <si>
    <t>Ottawa, Ontario : Borealis Press, 2015.</t>
  </si>
  <si>
    <t>2016-08-31</t>
  </si>
  <si>
    <t>2232014247:eng</t>
  </si>
  <si>
    <t>896787069</t>
  </si>
  <si>
    <t>ocn896787069</t>
  </si>
  <si>
    <t>31036449473</t>
  </si>
  <si>
    <t>9780888876072</t>
  </si>
  <si>
    <t>794984159</t>
  </si>
  <si>
    <t>UB419 C2 W65 2007</t>
  </si>
  <si>
    <t>0                      UB 0419000C  2                  W  65          2007</t>
  </si>
  <si>
    <t>Women and leadership in the Canadian Forces : perspectives and experience / edited by Karen D. Davis.</t>
  </si>
  <si>
    <t>Kingston, Ont. : Canadian Defence Academy Press, ©2007.</t>
  </si>
  <si>
    <t>350628156:eng</t>
  </si>
  <si>
    <t>198453253</t>
  </si>
  <si>
    <t>ocn198453253</t>
  </si>
  <si>
    <t>3103048316I</t>
  </si>
  <si>
    <t>9780662462965</t>
  </si>
  <si>
    <t>794304717</t>
  </si>
  <si>
    <t>UB419 E8 C37 2006</t>
  </si>
  <si>
    <t>0                      UB 0419000E  8                  C  37          2006</t>
  </si>
  <si>
    <t>Gender and the military : women in the armed forces of Western democracies / Helena Carreiras.</t>
  </si>
  <si>
    <t>Carreiras, Helena.</t>
  </si>
  <si>
    <t>London ; New York : Routledge, Taylor &amp; Francis Group, 2006.</t>
  </si>
  <si>
    <t>797225428:eng</t>
  </si>
  <si>
    <t>64336145</t>
  </si>
  <si>
    <t>ocm64336145</t>
  </si>
  <si>
    <t>3102593159P</t>
  </si>
  <si>
    <t>9780415383585</t>
  </si>
  <si>
    <t>794128559</t>
  </si>
  <si>
    <t>UB419 G7 N63 2006</t>
  </si>
  <si>
    <t>0                      UB 0419000G  7                  N  63          2006</t>
  </si>
  <si>
    <t>Women in the British Army : war and the gentle sex, 1907-1948 / Lucy Noakes.</t>
  </si>
  <si>
    <t>Noakes, Lucy, 1964-</t>
  </si>
  <si>
    <t>New York, NY : Routledge, 2006.</t>
  </si>
  <si>
    <t>Women's and gender history</t>
  </si>
  <si>
    <t>800439369:eng</t>
  </si>
  <si>
    <t>61456559</t>
  </si>
  <si>
    <t>ocm61456559</t>
  </si>
  <si>
    <t>31025845838</t>
  </si>
  <si>
    <t>9780415390569</t>
  </si>
  <si>
    <t>793953242</t>
  </si>
  <si>
    <t>UB419 I75 K35 2009</t>
  </si>
  <si>
    <t>0                      UB 0419000I  75                 K  35          2009</t>
  </si>
  <si>
    <t>Surrounded : Palestinian soldiers in the Israeli military / Rhoda Ann Kanaaneh.</t>
  </si>
  <si>
    <t>Kanaaneh, Rhoda Ann.</t>
  </si>
  <si>
    <t>Stanford, Calif. : Stanford University Press, ©2009.</t>
  </si>
  <si>
    <t>Stanford studies in Middle Eastern and Islamic societies and cultures</t>
  </si>
  <si>
    <t>803577918:eng</t>
  </si>
  <si>
    <t>225875963</t>
  </si>
  <si>
    <t>ocn225875963</t>
  </si>
  <si>
    <t>3102978405T</t>
  </si>
  <si>
    <t>9780804758581</t>
  </si>
  <si>
    <t>794343164</t>
  </si>
  <si>
    <t>UB419 M6 S25 1990</t>
  </si>
  <si>
    <t>0                      UB 0419000M  6                  S  25          1990</t>
  </si>
  <si>
    <t>Soldaderas in the Mexican military : myth and history / Elizabeth Salas.</t>
  </si>
  <si>
    <t>Salas, Elizabeth, 1948-</t>
  </si>
  <si>
    <t>Austin : University of Texas Press, 1990.</t>
  </si>
  <si>
    <t>16398751:eng</t>
  </si>
  <si>
    <t>20723387</t>
  </si>
  <si>
    <t>ocm20723387</t>
  </si>
  <si>
    <t>3101011982I</t>
  </si>
  <si>
    <t>9780292776302</t>
  </si>
  <si>
    <t>793096810</t>
  </si>
  <si>
    <t>UB419 S5 M33 2012</t>
  </si>
  <si>
    <t>0                      UB 0419000S  5                  M  33          2012</t>
  </si>
  <si>
    <t>Female soldiers in Sierra Leone : sex, security, and post-conflict development / Megan H. MacKenzie.</t>
  </si>
  <si>
    <t>MacKenzie, Megan H. (Megan Hazel)</t>
  </si>
  <si>
    <t>New York : New York University Press, 2012.</t>
  </si>
  <si>
    <t>Gender and political violence series</t>
  </si>
  <si>
    <t>1090193008:eng</t>
  </si>
  <si>
    <t>781077501</t>
  </si>
  <si>
    <t>ocn781077501</t>
  </si>
  <si>
    <t>3103411704R</t>
  </si>
  <si>
    <t>9780814761373</t>
  </si>
  <si>
    <t>794912444</t>
  </si>
  <si>
    <t>UB433 B664 2010</t>
  </si>
  <si>
    <t>0                      UB 0433000B  664         2010</t>
  </si>
  <si>
    <t>For military merit : recipients of the Purple Heart / Fred L. Borch.</t>
  </si>
  <si>
    <t>Borch, Frederic L., 1954-</t>
  </si>
  <si>
    <t>796550235:eng</t>
  </si>
  <si>
    <t>502037165</t>
  </si>
  <si>
    <t>ocn502037165</t>
  </si>
  <si>
    <t>3103228873Q</t>
  </si>
  <si>
    <t>9781591140863</t>
  </si>
  <si>
    <t>794805374</t>
  </si>
  <si>
    <t>UB435 G3 W56 2007</t>
  </si>
  <si>
    <t>0                      UB 0435000G  3                  W  56          2007</t>
  </si>
  <si>
    <t>Der Dank des Vaterlandes : eine Symbolgeschichte des Eisernen Kreuzes 1914 bis 1936 / Ralph Winkle.</t>
  </si>
  <si>
    <t>Winkle, Ralph.</t>
  </si>
  <si>
    <t>Essen : Klartext, 2007.</t>
  </si>
  <si>
    <t>2018-05-10</t>
  </si>
  <si>
    <t>473926319:ger</t>
  </si>
  <si>
    <t>173251847</t>
  </si>
  <si>
    <t>ocn173251847</t>
  </si>
  <si>
    <t>3103585145H</t>
  </si>
  <si>
    <t>9783898616102</t>
  </si>
  <si>
    <t>794265999</t>
  </si>
  <si>
    <t>UB435 R65 M39 1981</t>
  </si>
  <si>
    <t>0                      UB 0435000R  65                 M  39          1981</t>
  </si>
  <si>
    <t>The military decorations of the Roman army / Valerie A. Maxfield.</t>
  </si>
  <si>
    <t>Maxfield, Valerie A.</t>
  </si>
  <si>
    <t>Berkeley : University of California Press, ©1981.</t>
  </si>
  <si>
    <t>2019-10-03</t>
  </si>
  <si>
    <t>502568:eng</t>
  </si>
  <si>
    <t>7464710</t>
  </si>
  <si>
    <t>ocm07464710</t>
  </si>
  <si>
    <t>3000332261Y</t>
  </si>
  <si>
    <t>9780520044999</t>
  </si>
  <si>
    <t>792560329</t>
  </si>
  <si>
    <t>UB788 K46 2013</t>
  </si>
  <si>
    <t>0                      UB 0788000K  46          2013</t>
  </si>
  <si>
    <t>On the run : deserters through the ages / Graeme Kent.</t>
  </si>
  <si>
    <t>Kent, Graeme, author.</t>
  </si>
  <si>
    <t>London : The Robson Press, Biteback Publishing Ltd, 2013.</t>
  </si>
  <si>
    <t>1782263016:eng</t>
  </si>
  <si>
    <t>855558127</t>
  </si>
  <si>
    <t>ocn855558127</t>
  </si>
  <si>
    <t>3103504293B</t>
  </si>
  <si>
    <t>9781849545709</t>
  </si>
  <si>
    <t>794953557</t>
  </si>
  <si>
    <t>UB788 L6</t>
  </si>
  <si>
    <t>0                      UB 0788000L  6</t>
  </si>
  <si>
    <t>Desertion during the Civil War, by Ella Lonn ...</t>
  </si>
  <si>
    <t>Lonn, Ella, 1879-1962.</t>
  </si>
  <si>
    <t>New York, London, Century Co. [©1928]</t>
  </si>
  <si>
    <t>1928</t>
  </si>
  <si>
    <t>2017-03-26</t>
  </si>
  <si>
    <t>612133:eng</t>
  </si>
  <si>
    <t>491766</t>
  </si>
  <si>
    <t>ocm00491766</t>
  </si>
  <si>
    <t>3000730395W</t>
  </si>
  <si>
    <t>791392496</t>
  </si>
  <si>
    <t>UB800 P745 2010</t>
  </si>
  <si>
    <t>0                      UB 0800000P  745         2010</t>
  </si>
  <si>
    <t>Prisoners in war / edited by Sibylle Scheipers.</t>
  </si>
  <si>
    <t>766919062:eng</t>
  </si>
  <si>
    <t>461268445</t>
  </si>
  <si>
    <t>ocn461268445</t>
  </si>
  <si>
    <t>3103132650O</t>
  </si>
  <si>
    <t>9780199577576</t>
  </si>
  <si>
    <t>794791386</t>
  </si>
  <si>
    <t>UB803 B28 2011</t>
  </si>
  <si>
    <t>0                      UB 0803000B  28          2011</t>
  </si>
  <si>
    <t>The battle behind the wire : U.S. prisoner and detainee operations from World War II to Iraq / Cheryl Benard [and others].</t>
  </si>
  <si>
    <t>Santa Monica, CA. : RAND, ©2011.</t>
  </si>
  <si>
    <t>Rand Corporation monograph series ; MG-934-OSD</t>
  </si>
  <si>
    <t>918837740:eng</t>
  </si>
  <si>
    <t>692230742</t>
  </si>
  <si>
    <t>ocn692230742</t>
  </si>
  <si>
    <t>31026280492</t>
  </si>
  <si>
    <t>9780833050458</t>
  </si>
  <si>
    <t>794856004</t>
  </si>
  <si>
    <t>UB803 D689 2010</t>
  </si>
  <si>
    <t>0                      UB 0803000D  689         2010</t>
  </si>
  <si>
    <t>The enemy in our hands : America's treatment of enemy prisoners of war, from the Revolution to the War on Terror / Robert C. Doyle.</t>
  </si>
  <si>
    <t>Doyle, Robert C.</t>
  </si>
  <si>
    <t>Lexington, Ky. : University Press of Kentucky, ©2010.</t>
  </si>
  <si>
    <t>793278095:eng</t>
  </si>
  <si>
    <t>460059221</t>
  </si>
  <si>
    <t>ocn460059221</t>
  </si>
  <si>
    <t>31032420192</t>
  </si>
  <si>
    <t>9780813125893</t>
  </si>
  <si>
    <t>794790921</t>
  </si>
  <si>
    <t>UB803 S67 2010</t>
  </si>
  <si>
    <t>0                      UB 0803000S  67          2010</t>
  </si>
  <si>
    <t>America's captives : treatment of POWs from the Revolutionary War to the War on Terror / Paul J. Springer.</t>
  </si>
  <si>
    <t>Springer, Paul J.</t>
  </si>
  <si>
    <t>Lawrence, Kan. : University Press of Kansas, ©2010.</t>
  </si>
  <si>
    <t>2012-11-26</t>
  </si>
  <si>
    <t>793232682:eng</t>
  </si>
  <si>
    <t>461895705</t>
  </si>
  <si>
    <t>ocn461895705</t>
  </si>
  <si>
    <t>3103242996X</t>
  </si>
  <si>
    <t>9780700617173</t>
  </si>
  <si>
    <t>794791746</t>
  </si>
  <si>
    <t>UB825 G6 E47 2017</t>
  </si>
  <si>
    <t>0                      UB 0825000G  6                  E  47          2017</t>
  </si>
  <si>
    <t>Exporting British policing during the Second World War : policing soldiers and civilians / Clive Emsley.</t>
  </si>
  <si>
    <t>Emsley, Clive, author.</t>
  </si>
  <si>
    <t>London ; New York : Bloomsbury Academic, 2017.</t>
  </si>
  <si>
    <t>3963364314:eng</t>
  </si>
  <si>
    <t>964336936</t>
  </si>
  <si>
    <t>ocn964336936</t>
  </si>
  <si>
    <t>3103739864I</t>
  </si>
  <si>
    <t>9781350025011</t>
  </si>
  <si>
    <t>795025148</t>
  </si>
  <si>
    <t>UC46 S26 2013</t>
  </si>
  <si>
    <t>0                      UC 0046000S  26          2013</t>
  </si>
  <si>
    <t>Obtaining life-cycle cost-effective facilities in the Department of Defense / Constantine Samaras, Abigail Haddad, Clifford A. Grammich, Katharine Watkins Webb ; prepared for the Office of the Secretary of Defense, approved for public release, distribution unlimited.</t>
  </si>
  <si>
    <t>Samaras, Constantine.</t>
  </si>
  <si>
    <t>Santa Monica, CA : RAND National Defense Research Institute, 2013.</t>
  </si>
  <si>
    <t xml:space="preserve">UC </t>
  </si>
  <si>
    <t>1783361966:eng</t>
  </si>
  <si>
    <t>829739242</t>
  </si>
  <si>
    <t>ocn829739242</t>
  </si>
  <si>
    <t>3103141553Q</t>
  </si>
  <si>
    <t>9780833079350</t>
  </si>
  <si>
    <t>794942713</t>
  </si>
  <si>
    <t>UC74 C37 2010</t>
  </si>
  <si>
    <t>0                      UC 0074000C  37          2010</t>
  </si>
  <si>
    <t>Cash incentives and military enlistment, attrition, and reenlistment / Beth J. Asch [and others].</t>
  </si>
  <si>
    <t>Rand Corporation monograph series ; MG-950-OSD</t>
  </si>
  <si>
    <t>891137619:eng</t>
  </si>
  <si>
    <t>635475290</t>
  </si>
  <si>
    <t>ocn635475290</t>
  </si>
  <si>
    <t>3103255836V</t>
  </si>
  <si>
    <t>9780833049667</t>
  </si>
  <si>
    <t>794825590</t>
  </si>
  <si>
    <t>UC74 H664 2011</t>
  </si>
  <si>
    <t>0                      UC 0074000H  664         2011</t>
  </si>
  <si>
    <t>Effects of bonuses on active component reenlistment versus prior service enlistment in the selected reserve / James Hosek, Trey Miller.</t>
  </si>
  <si>
    <t>Hosek, James R.</t>
  </si>
  <si>
    <t>Santa Monica, CA : Rand Corporation, 2011.</t>
  </si>
  <si>
    <t>906404195:eng</t>
  </si>
  <si>
    <t>729347948</t>
  </si>
  <si>
    <t>ocn729347948</t>
  </si>
  <si>
    <t>31026280500</t>
  </si>
  <si>
    <t>9780833052162</t>
  </si>
  <si>
    <t>794879376</t>
  </si>
  <si>
    <t>UC74 H67 2012</t>
  </si>
  <si>
    <t>0                      UC 0074000H  67          2012</t>
  </si>
  <si>
    <t>Should the increase in military pay be slowed? / James Hosek, Beth J. Asch, Michael G. Mattock.</t>
  </si>
  <si>
    <t>Hosek, James R., author.</t>
  </si>
  <si>
    <t>Santa Monica, CA : Rand National Defense Research Institute, [2012]</t>
  </si>
  <si>
    <t>Technical report ; TR-1185-OSD</t>
  </si>
  <si>
    <t>1148682080:eng</t>
  </si>
  <si>
    <t>804049276</t>
  </si>
  <si>
    <t>ocn804049276</t>
  </si>
  <si>
    <t>3103467282E</t>
  </si>
  <si>
    <t>9780833074140</t>
  </si>
  <si>
    <t>794925989</t>
  </si>
  <si>
    <t>UC90 W33</t>
  </si>
  <si>
    <t>0                      UC 0090000W  33</t>
  </si>
  <si>
    <t>Wait for the waggon : the story of the Royal Canadian Army Service Corps / Arnold Warren.</t>
  </si>
  <si>
    <t>Warren, Arnold, 1908-</t>
  </si>
  <si>
    <t>[Toronto] : McClelland and Stewart, ©1961.</t>
  </si>
  <si>
    <t>1661257160:eng</t>
  </si>
  <si>
    <t>13036382</t>
  </si>
  <si>
    <t>ocm13036382</t>
  </si>
  <si>
    <t>3000560960N</t>
  </si>
  <si>
    <t>792838087</t>
  </si>
  <si>
    <t>UC260 D44 2013</t>
  </si>
  <si>
    <t>0                      UC 0260000D  44          2013</t>
  </si>
  <si>
    <t>The defence industrial triptych : government as a customer, sponsor and regulator / Henrik Heidenkamp, John Louth and Trevor Taylor ; Foreword by James Arbuthnot.</t>
  </si>
  <si>
    <t>Heidenkamp, Henrik, author.</t>
  </si>
  <si>
    <t>Abingdon [England] : Published on behalf of the Royal United Services Institute for Defence and Security Studies by Routledge Journals, 2013.</t>
  </si>
  <si>
    <t>Whitehall paper ; 81</t>
  </si>
  <si>
    <t>1789597958:eng</t>
  </si>
  <si>
    <t>862348979</t>
  </si>
  <si>
    <t>ocn862348979</t>
  </si>
  <si>
    <t>31035675407</t>
  </si>
  <si>
    <t>9781138023581</t>
  </si>
  <si>
    <t>794960319</t>
  </si>
  <si>
    <t>UC260 R57 2014</t>
  </si>
  <si>
    <t>0                      UC 0260000R  57          2014</t>
  </si>
  <si>
    <t>Prolonged cycle times and schedule growth in defense acquisition : a literature review / Jessie Riposo, Megan McKernan, Chelsea Kaihoi Duran.</t>
  </si>
  <si>
    <t>Riposo, Jessie, author.</t>
  </si>
  <si>
    <t>2086926371:eng</t>
  </si>
  <si>
    <t>876882483</t>
  </si>
  <si>
    <t>ocn876882483</t>
  </si>
  <si>
    <t>31035180368</t>
  </si>
  <si>
    <t>9780833085153</t>
  </si>
  <si>
    <t>794970404</t>
  </si>
  <si>
    <t>UC262 G37 2013</t>
  </si>
  <si>
    <t>0                      UC 0262000G  37          2013</t>
  </si>
  <si>
    <t>Analyses of the Department of Defense acquisition workforce : update to methods and results through FY 2011 / Susan M. Gates, Elizabeth Roth, Sinduja Srinivasan, Lindsay Daugherty.</t>
  </si>
  <si>
    <t>Gates, Susan M., 1968-</t>
  </si>
  <si>
    <t>1393605545:eng</t>
  </si>
  <si>
    <t>854906250</t>
  </si>
  <si>
    <t>ocn854906250</t>
  </si>
  <si>
    <t>31035180594</t>
  </si>
  <si>
    <t>9780833080585</t>
  </si>
  <si>
    <t>794952822</t>
  </si>
  <si>
    <t>UC263 C636 2013</t>
  </si>
  <si>
    <t>0                      UC 0263000C  636         2013</t>
  </si>
  <si>
    <t>New approaches to defense inflation and discounting / Kathryn Connor, James Dryden ; prepared for the Office of the Secretary of Defense.</t>
  </si>
  <si>
    <t>Connor, Kathryn.</t>
  </si>
  <si>
    <t>Santa Monica, California : RAND, 2013.</t>
  </si>
  <si>
    <t>Research report ; RR-237-OSD</t>
  </si>
  <si>
    <t>1374318542:eng</t>
  </si>
  <si>
    <t>855362833</t>
  </si>
  <si>
    <t>ocn855362833</t>
  </si>
  <si>
    <t>3103564516P</t>
  </si>
  <si>
    <t>9780833081339</t>
  </si>
  <si>
    <t>794953374</t>
  </si>
  <si>
    <t>UC263 E87 1994</t>
  </si>
  <si>
    <t>0                      UC 0263000E  87          1994</t>
  </si>
  <si>
    <t>Essays in the economics of procurement / edited by Anthony G. Bower and James N. Dertouzos.</t>
  </si>
  <si>
    <t>Santa Monica, CA : Rand, National Defense Research Institute, 1994.</t>
  </si>
  <si>
    <t>2016-07-15</t>
  </si>
  <si>
    <t>139368866:eng</t>
  </si>
  <si>
    <t>31385799</t>
  </si>
  <si>
    <t>ocm31385799</t>
  </si>
  <si>
    <t>3101917523V</t>
  </si>
  <si>
    <t>9780833015990</t>
  </si>
  <si>
    <t>793360177</t>
  </si>
  <si>
    <t>UC263 F758 2010</t>
  </si>
  <si>
    <t>0                      UC 0263000F  758         2010</t>
  </si>
  <si>
    <t>From marginal adjustments to meaningful change : rethinking weapon system acquisition / John Birkler [and others] ; prepared for the Office of the Secretary of Defense.</t>
  </si>
  <si>
    <t>766273931:eng</t>
  </si>
  <si>
    <t>669161857</t>
  </si>
  <si>
    <t>ocn669161857</t>
  </si>
  <si>
    <t>3103304709Q</t>
  </si>
  <si>
    <t>9780833050465</t>
  </si>
  <si>
    <t>794846792</t>
  </si>
  <si>
    <t>UC263 G54 2010</t>
  </si>
  <si>
    <t>0                      UC 0263000G  54          2010</t>
  </si>
  <si>
    <t>A funding allocation methodology for war reserve secondary items / Kenneth J. Girardini, Carol E. Fan, Candice Miller.</t>
  </si>
  <si>
    <t>Girardini, Ken.</t>
  </si>
  <si>
    <t>Technical report ; TR-793-A</t>
  </si>
  <si>
    <t>376387657:eng</t>
  </si>
  <si>
    <t>503595897</t>
  </si>
  <si>
    <t>ocn503595897</t>
  </si>
  <si>
    <t>31032556006</t>
  </si>
  <si>
    <t>9780833049346</t>
  </si>
  <si>
    <t>794806562</t>
  </si>
  <si>
    <t>UC263 H87 1988</t>
  </si>
  <si>
    <t>0                      UC 0263000H  87          1988</t>
  </si>
  <si>
    <t>Outposts and allies : U.S. Army logistics in the Cold War, 1945-1953 / James A. Huston.</t>
  </si>
  <si>
    <t>Huston, James A. (James Alvin), 1918-</t>
  </si>
  <si>
    <t>Selinsgrove : Susquehanna University Press ; London : Associated University Presses, ©1988.</t>
  </si>
  <si>
    <t>836730820:eng</t>
  </si>
  <si>
    <t>16874766</t>
  </si>
  <si>
    <t>ocm16874766</t>
  </si>
  <si>
    <t>3100879101Q</t>
  </si>
  <si>
    <t>9780941664844</t>
  </si>
  <si>
    <t>792976113</t>
  </si>
  <si>
    <t>UC263 M35 1991</t>
  </si>
  <si>
    <t>0                      UC 0263000M  35          1991</t>
  </si>
  <si>
    <t>The political economy of defense contracting / Kenneth R. Mayer.</t>
  </si>
  <si>
    <t>Mayer, Kenneth R., 1960-</t>
  </si>
  <si>
    <t>New Haven : Yale University Press, ©1991.</t>
  </si>
  <si>
    <t>138706772:eng</t>
  </si>
  <si>
    <t>23655216</t>
  </si>
  <si>
    <t>ocm23655216</t>
  </si>
  <si>
    <t>3102810062N</t>
  </si>
  <si>
    <t>9780300045246</t>
  </si>
  <si>
    <t>793178966</t>
  </si>
  <si>
    <t>UC263 M445 2011</t>
  </si>
  <si>
    <t>0                      UC 0263000M  445         2011</t>
  </si>
  <si>
    <t>A methodology for implementing the Department of Defense's current in-sourcing policy / Jessie Riposo [and others].</t>
  </si>
  <si>
    <t>Technical report ; TR-944-NAVY</t>
  </si>
  <si>
    <t>918585925:eng</t>
  </si>
  <si>
    <t>733546839</t>
  </si>
  <si>
    <t>ocn733546839</t>
  </si>
  <si>
    <t>3103485048Q</t>
  </si>
  <si>
    <t>9780833053114</t>
  </si>
  <si>
    <t>794882103</t>
  </si>
  <si>
    <t>UC263 P452 2014</t>
  </si>
  <si>
    <t>0                      UC 0263000P  452         2014</t>
  </si>
  <si>
    <t>DoD depot-level reparable supply chain management : process effectiveness and opportunities for improvement / Eric Peltz, Marygail K. Brauner, Edward G. Keating, Evan Saltzman, Daniel Tremblay, Patricia Boren.</t>
  </si>
  <si>
    <t>Peltz, Eric, 1968-</t>
  </si>
  <si>
    <t>Santa Monica : Rand Corporation, [2014]</t>
  </si>
  <si>
    <t>1904784831:eng</t>
  </si>
  <si>
    <t>881208126</t>
  </si>
  <si>
    <t>ocn881208126</t>
  </si>
  <si>
    <t>31035180446</t>
  </si>
  <si>
    <t>9780833084958</t>
  </si>
  <si>
    <t>794973942</t>
  </si>
  <si>
    <t>UC263 P455 2012</t>
  </si>
  <si>
    <t>0                      UC 0263000P  455         2012</t>
  </si>
  <si>
    <t>Integrating the Department of Defense supply chain : technical report / Eric Peltz, Marc Robbins ; with Geoffrey McGovern.</t>
  </si>
  <si>
    <t>Santa Monica, CA : RAND/National Defense Research Institute, 2012.</t>
  </si>
  <si>
    <t>Technical report ; TR-1274-OSD</t>
  </si>
  <si>
    <t>1160586016:eng</t>
  </si>
  <si>
    <t>806456441</t>
  </si>
  <si>
    <t>ocn806456441</t>
  </si>
  <si>
    <t>3103441023T</t>
  </si>
  <si>
    <t>9780833076410</t>
  </si>
  <si>
    <t>794926979</t>
  </si>
  <si>
    <t>UC263 P46 2012</t>
  </si>
  <si>
    <t>0                      UC 0263000P  46          2012</t>
  </si>
  <si>
    <t>Lessons from the Army's Future Combat Systems program / Christopher G. Pernin, Elliot Axelband, Jeffrey A. Drezner, Brian B. Dille, John Gordon IV, Bruce J. Held, K. Scott McMahon, Walter L. Perry, Christopher Rizzi, Akhil R. Shah, Peter A. Wilson, Jerry M. Sollinger.</t>
  </si>
  <si>
    <t>Pernin, Christopher G., 1973- author.</t>
  </si>
  <si>
    <t>Santa Monica, CA : RAND, ARROYO CENTER, 2012.</t>
  </si>
  <si>
    <t>1418453868:eng</t>
  </si>
  <si>
    <t>818327364</t>
  </si>
  <si>
    <t>ocn818327364</t>
  </si>
  <si>
    <t>3103141544S</t>
  </si>
  <si>
    <t>9780833076397</t>
  </si>
  <si>
    <t>794933839</t>
  </si>
  <si>
    <t>UC263 S534 2014</t>
  </si>
  <si>
    <t>0                      UC 0263000S  534         2014</t>
  </si>
  <si>
    <t>Soldier-portable battery supply : foreign dependence and policy options / Richard Silberglitt, James T. Bartis, and Kyle Brady.</t>
  </si>
  <si>
    <t>Silberglitt, R. S. (Richard S.), author.</t>
  </si>
  <si>
    <t>1914817239:eng</t>
  </si>
  <si>
    <t>875921124</t>
  </si>
  <si>
    <t>ocn875921124</t>
  </si>
  <si>
    <t>31035645939</t>
  </si>
  <si>
    <t>9780833084033</t>
  </si>
  <si>
    <t>794969731</t>
  </si>
  <si>
    <t>UC265 A78 A76 1998</t>
  </si>
  <si>
    <t>0                      UC 0265000A  78                 A  76          1998</t>
  </si>
  <si>
    <t>Arms procurement decision making / edited by Ravinder Pal Singh.</t>
  </si>
  <si>
    <t>Solna, Sweden : SIPRI ; New York : Oxford University Press, 1998-2000.</t>
  </si>
  <si>
    <t>3901236285:eng</t>
  </si>
  <si>
    <t>38144384</t>
  </si>
  <si>
    <t>ocm38144384</t>
  </si>
  <si>
    <t>31021296575</t>
  </si>
  <si>
    <t>9780198292791</t>
  </si>
  <si>
    <t>793516850</t>
  </si>
  <si>
    <t>2008-03-25</t>
  </si>
  <si>
    <t>3101948934O</t>
  </si>
  <si>
    <t>793516851</t>
  </si>
  <si>
    <t>UC265 C3 N67 2016</t>
  </si>
  <si>
    <t>0                      UC 0265000C  3                  N  67          2016</t>
  </si>
  <si>
    <t>Charlie foxtrot : fixing defence procurement in Canada / Kim Richard Nossal ; foreword by Ferry de Kerckhove.</t>
  </si>
  <si>
    <t>Nossal, Kim Richard, author.</t>
  </si>
  <si>
    <t>Toronto, Ontario : Dundurn : A.J. Patrick Boyer Book, 2016.</t>
  </si>
  <si>
    <t>Point of view</t>
  </si>
  <si>
    <t>3834639129:eng</t>
  </si>
  <si>
    <t>957030747</t>
  </si>
  <si>
    <t>ocn957030747</t>
  </si>
  <si>
    <t>3103646706F</t>
  </si>
  <si>
    <t>9781459736757</t>
  </si>
  <si>
    <t>795020639</t>
  </si>
  <si>
    <t>UC265 C3 W535 2012</t>
  </si>
  <si>
    <t>0                      UC 0265000C  3                  W  535         2012</t>
  </si>
  <si>
    <t>Canada, democracy and the F-35 / Alan S. Williams.</t>
  </si>
  <si>
    <t>Williams, Alan S., 1948-</t>
  </si>
  <si>
    <t>Kingston, Ont. : Defence Management Studies Program, School of Policy Studies, Queen's University, 2012.</t>
  </si>
  <si>
    <t>The Claxton papers, 1491-137X ; 16</t>
  </si>
  <si>
    <t>2014-11-22</t>
  </si>
  <si>
    <t>1086892887:eng</t>
  </si>
  <si>
    <t>779683283</t>
  </si>
  <si>
    <t>ocn779683283</t>
  </si>
  <si>
    <t>3103402838J</t>
  </si>
  <si>
    <t>9781553393221</t>
  </si>
  <si>
    <t>794911199</t>
  </si>
  <si>
    <t>UC265 I4 H35 1987</t>
  </si>
  <si>
    <t>0                      UC 0265000I  4                  H  35          1987</t>
  </si>
  <si>
    <t>Defence purchases : the deals and the drama / S.T. Haider.</t>
  </si>
  <si>
    <t>Haider, S. T.</t>
  </si>
  <si>
    <t>New Delhi : Progressive Peoples Sector Publications, ©1987.</t>
  </si>
  <si>
    <t>16336299:eng</t>
  </si>
  <si>
    <t>18052775</t>
  </si>
  <si>
    <t>ocm18052775</t>
  </si>
  <si>
    <t>3100176660H</t>
  </si>
  <si>
    <t>793012289</t>
  </si>
  <si>
    <t>UC265 I4 J35 1989</t>
  </si>
  <si>
    <t>0                      UC 0265000I  4                  J  35          1989</t>
  </si>
  <si>
    <t>C.A.G. report, the last nail / by Janak Raj Jai.</t>
  </si>
  <si>
    <t>Jai, Janak Raj, 1931-</t>
  </si>
  <si>
    <t>New Delhi, India : Rajiv Publications, [1989]</t>
  </si>
  <si>
    <t>23090483:eng</t>
  </si>
  <si>
    <t>21517491</t>
  </si>
  <si>
    <t>ocm21517491</t>
  </si>
  <si>
    <t>31011882277</t>
  </si>
  <si>
    <t>9788185209012</t>
  </si>
  <si>
    <t>793121007</t>
  </si>
  <si>
    <t>UC265 I4 P73 1990</t>
  </si>
  <si>
    <t>0                      UC 0265000I  4                  P  73          1990</t>
  </si>
  <si>
    <t>Bofors, the selling of a nation / Prashant Bhushan.</t>
  </si>
  <si>
    <t>Prashant Bhushan, 1956-</t>
  </si>
  <si>
    <t>New Delhi : Vision Books, 1990.</t>
  </si>
  <si>
    <t>367794529:eng</t>
  </si>
  <si>
    <t>24407582</t>
  </si>
  <si>
    <t>ocm24407582</t>
  </si>
  <si>
    <t>3101189870E</t>
  </si>
  <si>
    <t>9788170940661</t>
  </si>
  <si>
    <t>793197644</t>
  </si>
  <si>
    <t>UC265 P7 E535 2013</t>
  </si>
  <si>
    <t>0                      UC 0265000P  7                  E  535         2013</t>
  </si>
  <si>
    <t>Das Elbinger Kriegsbuch (1383-1409) : Rechnungen für städtische Aufgebote / bearbeitet von Dieter Heckmann ; unter Mitarbeit von Krzysztof Kwiatkowski.</t>
  </si>
  <si>
    <t>Elbinger Kriegsbuch.</t>
  </si>
  <si>
    <t>Köln : Böhlau Verlag, 2013.</t>
  </si>
  <si>
    <t>Veröffentlichungen aus den Archiven Preussischer Kulturbesitz, 0930-8849 ; Band 68</t>
  </si>
  <si>
    <t>1218460882:ger</t>
  </si>
  <si>
    <t>841753651</t>
  </si>
  <si>
    <t>ocn841753651</t>
  </si>
  <si>
    <t>3103492231T</t>
  </si>
  <si>
    <t>9783412210113</t>
  </si>
  <si>
    <t>794947117</t>
  </si>
  <si>
    <t>UC265 S65 D86 1995</t>
  </si>
  <si>
    <t>0                      UC 0265000S  65                 D  86          1995</t>
  </si>
  <si>
    <t>The Soviet economy and the Red Army, 1930-1945 / Walter S. Dunn, Jr.</t>
  </si>
  <si>
    <t>Westport, Conn. : Praeger, 1995.</t>
  </si>
  <si>
    <t>2573792:eng</t>
  </si>
  <si>
    <t>32090263</t>
  </si>
  <si>
    <t>ocm32090263</t>
  </si>
  <si>
    <t>3101560603T</t>
  </si>
  <si>
    <t>9780275948931</t>
  </si>
  <si>
    <t>793375474</t>
  </si>
  <si>
    <t>UC333 M35 2013</t>
  </si>
  <si>
    <t>0                      UC 0333000M  35          2013</t>
  </si>
  <si>
    <t>Commercial intratheater airlift : cost-effectiveness analysis of use in U.S. Central Command / Ronald G. McGarvey, Thomas Light, Brent Thomas, Ricardo Sanchez ; prepared for the United States Air Force, approved for public release, distribution unlimited.</t>
  </si>
  <si>
    <t>McGarvey, Ronald G.</t>
  </si>
  <si>
    <t>Santa Monica, CA : RAND, PROJECT AIR FORCE, 2013.</t>
  </si>
  <si>
    <t>Report ; TR-1313-AF</t>
  </si>
  <si>
    <t>1412313957:eng</t>
  </si>
  <si>
    <t>827010643</t>
  </si>
  <si>
    <t>ocn827010643</t>
  </si>
  <si>
    <t>31035180720</t>
  </si>
  <si>
    <t>9780833078377</t>
  </si>
  <si>
    <t>794939710</t>
  </si>
  <si>
    <t>UC333 M678 2012</t>
  </si>
  <si>
    <t>0                      UC 0333000M  678         2012</t>
  </si>
  <si>
    <t>Maximizing throughput at soft airfields / Christopher A. Mouton ; prepared for the United States Air Force.</t>
  </si>
  <si>
    <t>Mouton, Christopher A.</t>
  </si>
  <si>
    <t>1219267429:eng</t>
  </si>
  <si>
    <t>835951607</t>
  </si>
  <si>
    <t>ocn835951607</t>
  </si>
  <si>
    <t>31035180544</t>
  </si>
  <si>
    <t>9780833078650</t>
  </si>
  <si>
    <t>794944763</t>
  </si>
  <si>
    <t>UC333 M68 2013</t>
  </si>
  <si>
    <t>0                      UC 0333000M  68          2013</t>
  </si>
  <si>
    <t>Reducing long-term costs while preserving a robust strategic airlift fleet : options for the current fleet and next-generation aircraft / Christopher A. Mouton, David T. Orletsky, Michael Kennedy, Fred Timson.</t>
  </si>
  <si>
    <t>1185069333:eng</t>
  </si>
  <si>
    <t>820349523</t>
  </si>
  <si>
    <t>ocn820349523</t>
  </si>
  <si>
    <t>3103141539U</t>
  </si>
  <si>
    <t>9780833077011</t>
  </si>
  <si>
    <t>794935259</t>
  </si>
  <si>
    <t>UC333 O75 2011</t>
  </si>
  <si>
    <t>0                      UC 0333000O  75          2011</t>
  </si>
  <si>
    <t>Intratheater airlift functional area analysis (FAA) / David T. Orletsky, Anthony D. Rosello, John Stillion.</t>
  </si>
  <si>
    <t>Orletsky, David T., 1963-</t>
  </si>
  <si>
    <t>322513706:eng</t>
  </si>
  <si>
    <t>436310429</t>
  </si>
  <si>
    <t>ocn436310429</t>
  </si>
  <si>
    <t>3103304710O</t>
  </si>
  <si>
    <t>9780833044174</t>
  </si>
  <si>
    <t>794784590</t>
  </si>
  <si>
    <t>UC333 O751 2011</t>
  </si>
  <si>
    <t>0                      UC 0333000O  751         2011</t>
  </si>
  <si>
    <t>Intratheater airlift functional solution analysis (FSA) / David T. Orletsky [and others].</t>
  </si>
  <si>
    <t>777528302:eng</t>
  </si>
  <si>
    <t>700709105</t>
  </si>
  <si>
    <t>ocn700709105</t>
  </si>
  <si>
    <t>3103350385D</t>
  </si>
  <si>
    <t>9780833050854</t>
  </si>
  <si>
    <t>794862230</t>
  </si>
  <si>
    <t>UC333 S75 2011</t>
  </si>
  <si>
    <t>0                      UC 0333000S  75          2011</t>
  </si>
  <si>
    <t>Intratheater airlift functional needs analysis (FNA) / John Stillion, David T. Orletsky, Anthony D. Rosello.</t>
  </si>
  <si>
    <t>Stillion, John.</t>
  </si>
  <si>
    <t>314996798:eng</t>
  </si>
  <si>
    <t>427541901</t>
  </si>
  <si>
    <t>ocn427541901</t>
  </si>
  <si>
    <t>3103304718O</t>
  </si>
  <si>
    <t>9780833047557</t>
  </si>
  <si>
    <t>794681071</t>
  </si>
  <si>
    <t>UC403 M43 2013</t>
  </si>
  <si>
    <t>0                      UC 0403000M  43          2013</t>
  </si>
  <si>
    <t>Exploring the association between military base neighborhood characteristics and soldiers' and airmen's outcomes : technical report / Sarah O. Meadows, Laura L. Miller, Jeremy N.V. Miles, Gabriella C. Gonzalez, Brandon T. Dues.</t>
  </si>
  <si>
    <t>Meadows, Sarah O. (Sarah Opal), 1978-</t>
  </si>
  <si>
    <t>Technical report ; TR-1234-RC/A/AF</t>
  </si>
  <si>
    <t>1202991622:eng</t>
  </si>
  <si>
    <t>824536005</t>
  </si>
  <si>
    <t>ocn824536005</t>
  </si>
  <si>
    <t>3103141546S</t>
  </si>
  <si>
    <t>9780833078513</t>
  </si>
  <si>
    <t>794937910</t>
  </si>
  <si>
    <t>UC485 E85 A25 1999</t>
  </si>
  <si>
    <t>0                      UC 0485000E  85                 A  25          1999</t>
  </si>
  <si>
    <t>Hinterland warriors and military dress : European empires and exotic uniforms / Thomas S. Abler.</t>
  </si>
  <si>
    <t>Abler, Thomas S. (Thomas Struthers), 1941-</t>
  </si>
  <si>
    <t>Oxford ; New York : Berg, ©1999.</t>
  </si>
  <si>
    <t>Dress, body, culture</t>
  </si>
  <si>
    <t>2017-11-03</t>
  </si>
  <si>
    <t>836953355:eng</t>
  </si>
  <si>
    <t>41018051</t>
  </si>
  <si>
    <t>ocm41018051</t>
  </si>
  <si>
    <t>3102110851N</t>
  </si>
  <si>
    <t>9781859732014</t>
  </si>
  <si>
    <t>793582040</t>
  </si>
  <si>
    <t>UC485 G7 B3</t>
  </si>
  <si>
    <t>0                      UC 0485000G  7                  B  3</t>
  </si>
  <si>
    <t>Military uniforms of Britain &amp; the Empire, 1742 to the present time.</t>
  </si>
  <si>
    <t>Barnes, R. Money (Robert Money), 1897-1979.</t>
  </si>
  <si>
    <t>London, Seeley Service [1960]</t>
  </si>
  <si>
    <t>The Imperial services library v. 4</t>
  </si>
  <si>
    <t>428246987:eng</t>
  </si>
  <si>
    <t>1690598</t>
  </si>
  <si>
    <t>ocm01690598</t>
  </si>
  <si>
    <t>3103102771W</t>
  </si>
  <si>
    <t>791833055</t>
  </si>
  <si>
    <t>UC485 G7 C48 2011</t>
  </si>
  <si>
    <t>0                      UC 0485000G  7                  C  48          2011</t>
  </si>
  <si>
    <t>A scarlet coat : uniforms, flags and equipment of the British forces in the War of 1812 / Réne Chartrand.</t>
  </si>
  <si>
    <t>2012-12-04</t>
  </si>
  <si>
    <t>961027016:eng</t>
  </si>
  <si>
    <t>743390456</t>
  </si>
  <si>
    <t>ocn743390456</t>
  </si>
  <si>
    <t>3103326420D</t>
  </si>
  <si>
    <t>9781894581592</t>
  </si>
  <si>
    <t>794885735</t>
  </si>
  <si>
    <t>UC485 G7 L38 1970</t>
  </si>
  <si>
    <t>0                      UC 0485000G  7                  L  38          1970</t>
  </si>
  <si>
    <t>A history of the uniforms of the British army ... With many drawings from original sources.</t>
  </si>
  <si>
    <t>Lawson, Cecil C. P.</t>
  </si>
  <si>
    <t>South Brunswick [N.J.], A.S. Barnes [1970]</t>
  </si>
  <si>
    <t>3855413146:eng</t>
  </si>
  <si>
    <t>22330594</t>
  </si>
  <si>
    <t>ocm22330594</t>
  </si>
  <si>
    <t>3100250066R</t>
  </si>
  <si>
    <t>793141023</t>
  </si>
  <si>
    <t>UC485 P6 W3</t>
  </si>
  <si>
    <t>0                      UC 0485000P  6                  W  3</t>
  </si>
  <si>
    <t>Żołnierz polski : ubiór, uzbrojenie i oporządzenie od wieku XI do roku 1960 / pod redakcją ogólną Rady Muzealnej, Muzeum Wojska Polskiego, do druku przygotowała Sofia Stefańska.</t>
  </si>
  <si>
    <t>Muzeum Wojska Polskiego w Warszawie.</t>
  </si>
  <si>
    <t>Warszawa : Wydawn. Ministerstwa Obrony Narodowej, 1960-</t>
  </si>
  <si>
    <t>Wyd. 1.</t>
  </si>
  <si>
    <t>pol</t>
  </si>
  <si>
    <t>2015-06-01</t>
  </si>
  <si>
    <t>22415683:pol</t>
  </si>
  <si>
    <t>27164807</t>
  </si>
  <si>
    <t>ocm27164807</t>
  </si>
  <si>
    <t>30005609865</t>
  </si>
  <si>
    <t>793260489</t>
  </si>
  <si>
    <t>UC603 E84 1997</t>
  </si>
  <si>
    <t>0                      UC 0603000E  84          1997</t>
  </si>
  <si>
    <t>Shavetails and bell sharps : the history of the U.S. Army mule / Emmett M. Essin.</t>
  </si>
  <si>
    <t>Essin, Emmett M., 1940-</t>
  </si>
  <si>
    <t>Lincoln : University of Nebraska Press, ©1997.</t>
  </si>
  <si>
    <t>2018-07-10</t>
  </si>
  <si>
    <t>137785545:eng</t>
  </si>
  <si>
    <t>35961385</t>
  </si>
  <si>
    <t>ocm35961385</t>
  </si>
  <si>
    <t>31023123551</t>
  </si>
  <si>
    <t>9780803218192</t>
  </si>
  <si>
    <t>793462426</t>
  </si>
  <si>
    <t>UC713 B37 2012</t>
  </si>
  <si>
    <t>0                      UC 0713000B  37          2012</t>
  </si>
  <si>
    <t>Military food engineering and ration technology / Ann H. Barrett, Armand V. Cardello.</t>
  </si>
  <si>
    <t>Barrett, Ann H.</t>
  </si>
  <si>
    <t>Lancaster, PA : DEStech Publications, Inc., ©2012.</t>
  </si>
  <si>
    <t>2017-09-20</t>
  </si>
  <si>
    <t>1084618844:eng</t>
  </si>
  <si>
    <t>779454239</t>
  </si>
  <si>
    <t>ocn779454239</t>
  </si>
  <si>
    <t>31035498352</t>
  </si>
  <si>
    <t>9781605950495</t>
  </si>
  <si>
    <t>794910901</t>
  </si>
  <si>
    <t>UD145 K56 2013</t>
  </si>
  <si>
    <t>0                      UD 0145000K  56          2013</t>
  </si>
  <si>
    <t>The combat soldier : infantry tactics and cohesion in the twentieth and twenty-first centuries / Anthony King.</t>
  </si>
  <si>
    <t xml:space="preserve">UD </t>
  </si>
  <si>
    <t>2013-11-04</t>
  </si>
  <si>
    <t>1169153956:eng</t>
  </si>
  <si>
    <t>810946818</t>
  </si>
  <si>
    <t>ocn810946818</t>
  </si>
  <si>
    <t>3103456847D</t>
  </si>
  <si>
    <t>9780199658848</t>
  </si>
  <si>
    <t>794929586</t>
  </si>
  <si>
    <t>UD160 J36 1994</t>
  </si>
  <si>
    <t>0                      UD 0160000J  36          1994</t>
  </si>
  <si>
    <t>Crossing the deadly ground : United States Army tactics, 1865-1899 / Perry D. Jamieson.</t>
  </si>
  <si>
    <t>Jamieson, Perry D.</t>
  </si>
  <si>
    <t>Tuscaloosa : University of Alabama Press, ©1994.</t>
  </si>
  <si>
    <t>1016000:eng</t>
  </si>
  <si>
    <t>29428003</t>
  </si>
  <si>
    <t>ocm29428003</t>
  </si>
  <si>
    <t>3101486825D</t>
  </si>
  <si>
    <t>9780817307608</t>
  </si>
  <si>
    <t>793310502</t>
  </si>
  <si>
    <t>UD228 H69 1988</t>
  </si>
  <si>
    <t>0                      UD 0228000H  69          1988</t>
  </si>
  <si>
    <t>French arms drill of the 18th century : 1703-1760 / by J.A. Houlding.</t>
  </si>
  <si>
    <t>Houlding, J. A.</t>
  </si>
  <si>
    <t>Alexandria Bay, N.Y. ; Bloomfield, Ont. : Museum Restoration Service, c1988.</t>
  </si>
  <si>
    <t>Historical arms series, 0440-9221 ; no. 19</t>
  </si>
  <si>
    <t>2016-02-22</t>
  </si>
  <si>
    <t>2030042215:eng</t>
  </si>
  <si>
    <t>16180131</t>
  </si>
  <si>
    <t>ocm16180131</t>
  </si>
  <si>
    <t>31019723937</t>
  </si>
  <si>
    <t>9780919316195</t>
  </si>
  <si>
    <t>792957329</t>
  </si>
  <si>
    <t>UD330 D68 2004</t>
  </si>
  <si>
    <t>0                      UD 0330000D  68          2004</t>
  </si>
  <si>
    <t>The hunting of man : a history of the sniper / Andy Dougan.</t>
  </si>
  <si>
    <t>Dougan, Andy.</t>
  </si>
  <si>
    <t>London : Fourth Estate, 2004.</t>
  </si>
  <si>
    <t>2018-07-08</t>
  </si>
  <si>
    <t>14633378:eng</t>
  </si>
  <si>
    <t>55623986</t>
  </si>
  <si>
    <t>ocm55623986</t>
  </si>
  <si>
    <t>3102486030V</t>
  </si>
  <si>
    <t>9781841157566</t>
  </si>
  <si>
    <t>793879641</t>
  </si>
  <si>
    <t>UD380 L54 1999</t>
  </si>
  <si>
    <t>0                      UD 0380000L  54          1999</t>
  </si>
  <si>
    <t>Light weapons and civil conflict : controlling the tools of violence / edited by Jeffrey Boutwell and Michael T. Klare.</t>
  </si>
  <si>
    <t>Lanham, Md. : Rowman &amp; Littlefield, ©1999.</t>
  </si>
  <si>
    <t>Carnegie Commission on Preventing Deadly Conflict series</t>
  </si>
  <si>
    <t>795192408:eng</t>
  </si>
  <si>
    <t>40602677</t>
  </si>
  <si>
    <t>ocm40602677</t>
  </si>
  <si>
    <t>3102198879O</t>
  </si>
  <si>
    <t>9780847694846</t>
  </si>
  <si>
    <t>793570919</t>
  </si>
  <si>
    <t>UD380 P38 2004</t>
  </si>
  <si>
    <t>0                      UD 0380000P  38          2004</t>
  </si>
  <si>
    <t>Firearms : the life story of a technology / Roger Pauly.</t>
  </si>
  <si>
    <t>Pauly, Roger A.</t>
  </si>
  <si>
    <t>Westport, CT : Greenwood Press, 2004.</t>
  </si>
  <si>
    <t>Greenwood technographies</t>
  </si>
  <si>
    <t>46375116:eng</t>
  </si>
  <si>
    <t>55534985</t>
  </si>
  <si>
    <t>ocm55534985</t>
  </si>
  <si>
    <t>31024220107</t>
  </si>
  <si>
    <t>9780313327964</t>
  </si>
  <si>
    <t>793878334</t>
  </si>
  <si>
    <t>UD390 C43 2003</t>
  </si>
  <si>
    <t>0                      UD 0390000C  43          2003</t>
  </si>
  <si>
    <t>Firearms : a global history to 1700 / Kenneth Chase.</t>
  </si>
  <si>
    <t>Chase, Kenneth Warren.</t>
  </si>
  <si>
    <t>Cambridge, UK ; New York, NY : Cambridge University Press, 2003.</t>
  </si>
  <si>
    <t>2015-08-01</t>
  </si>
  <si>
    <t>839526030:eng</t>
  </si>
  <si>
    <t>51022846</t>
  </si>
  <si>
    <t>ocm51022846</t>
  </si>
  <si>
    <t>3103007815R</t>
  </si>
  <si>
    <t>9780521822749</t>
  </si>
  <si>
    <t>793777106</t>
  </si>
  <si>
    <t>UD395 A16 C47 2010</t>
  </si>
  <si>
    <t>0                      UD 0395000A  16                 C  47          2010</t>
  </si>
  <si>
    <t>The gun / C.J. Chivers.</t>
  </si>
  <si>
    <t>Chivers, C. J. (Christopher John)</t>
  </si>
  <si>
    <t>New York : Simon &amp; Schuster, 2010.</t>
  </si>
  <si>
    <t>2014-05-18</t>
  </si>
  <si>
    <t>684216598:eng</t>
  </si>
  <si>
    <t>535493119</t>
  </si>
  <si>
    <t>ocn535493119</t>
  </si>
  <si>
    <t>3103322532O</t>
  </si>
  <si>
    <t>9780743270762</t>
  </si>
  <si>
    <t>794810106</t>
  </si>
  <si>
    <t>UD395 A16 H63 2007</t>
  </si>
  <si>
    <t>0                      UD 0395000A  16                 H  63          2007</t>
  </si>
  <si>
    <t>AK47 : the story of the people's gun / Michael Hodges.</t>
  </si>
  <si>
    <t>Hodges, Michael.</t>
  </si>
  <si>
    <t>London : Sceptre, 2007.</t>
  </si>
  <si>
    <t>836503411:eng</t>
  </si>
  <si>
    <t>191737688</t>
  </si>
  <si>
    <t>ocn191737688</t>
  </si>
  <si>
    <t>3103321622R</t>
  </si>
  <si>
    <t>9780340921050</t>
  </si>
  <si>
    <t>794300800</t>
  </si>
  <si>
    <t>UD395 R6 P55 1984</t>
  </si>
  <si>
    <t>0                      UD 0395000R  6                  P  55          1984</t>
  </si>
  <si>
    <t>The Ross Rifle story / [R. Phillips, F. Dupuis, J. Chadwick].</t>
  </si>
  <si>
    <t>Phillips, Roger F. (Roger Francis), 1923-</t>
  </si>
  <si>
    <t>Sydney, N.S., Canada : J.A. Chadwick, 1984.</t>
  </si>
  <si>
    <t>2018-10-01</t>
  </si>
  <si>
    <t>5055220:eng</t>
  </si>
  <si>
    <t>12225505</t>
  </si>
  <si>
    <t>ocm12225505</t>
  </si>
  <si>
    <t>31029125370</t>
  </si>
  <si>
    <t>9780969190608</t>
  </si>
  <si>
    <t>792806748</t>
  </si>
  <si>
    <t>UD485 C2 H667 2001</t>
  </si>
  <si>
    <t>0                      UD 0485000C  2                  H  667         2001</t>
  </si>
  <si>
    <t>Bastard sons : an examination of Canada's airborne experience, 1942-1995 / Bernd Horn.</t>
  </si>
  <si>
    <t>St. Catharines, Ont. : Vanwell, ©2001.</t>
  </si>
  <si>
    <t>2015-01-06</t>
  </si>
  <si>
    <t>196672136:eng</t>
  </si>
  <si>
    <t>47689839</t>
  </si>
  <si>
    <t>ocm47689839</t>
  </si>
  <si>
    <t>3102189470M</t>
  </si>
  <si>
    <t>9781551250786</t>
  </si>
  <si>
    <t>793705337</t>
  </si>
  <si>
    <t>UD485 I8 K54 2013</t>
  </si>
  <si>
    <t>0                      UD 0485000I  8                  K  54          2013</t>
  </si>
  <si>
    <t>Like dreamers : the story of the Israeli paratroopers who reunited Jerusalem and divided a nation / Yossi Klein Halevi.</t>
  </si>
  <si>
    <t>Klein Halevi, Yossi, 1953- author.</t>
  </si>
  <si>
    <t>New York, NY : HarperCollins, [2013]</t>
  </si>
  <si>
    <t>1412702038:eng</t>
  </si>
  <si>
    <t>827260124</t>
  </si>
  <si>
    <t>ocn827260124</t>
  </si>
  <si>
    <t>3103505041N</t>
  </si>
  <si>
    <t>9780060545765</t>
  </si>
  <si>
    <t>794939956</t>
  </si>
  <si>
    <t>UE15 D74 2004</t>
  </si>
  <si>
    <t>0                      UE 0015000D  74          2004</t>
  </si>
  <si>
    <t>Early riders : the beginnings of mounted warfare in Asia and Europe / Robert Drews.</t>
  </si>
  <si>
    <t>Drews, Robert.</t>
  </si>
  <si>
    <t>New York : Routledge, 2004.</t>
  </si>
  <si>
    <t xml:space="preserve">UE </t>
  </si>
  <si>
    <t>801356861:eng</t>
  </si>
  <si>
    <t>53021519</t>
  </si>
  <si>
    <t>ocm53021519</t>
  </si>
  <si>
    <t>3102464983C</t>
  </si>
  <si>
    <t>9780415326247</t>
  </si>
  <si>
    <t>793819504</t>
  </si>
  <si>
    <t>UE15 H94 1990</t>
  </si>
  <si>
    <t>0                      UE 0015000H  94          1990</t>
  </si>
  <si>
    <t>Equus : the horse in the Roman world / Ann Hyland.</t>
  </si>
  <si>
    <t>Hyland, Ann.</t>
  </si>
  <si>
    <t>London : Batsford, 1990.</t>
  </si>
  <si>
    <t>22074721:eng</t>
  </si>
  <si>
    <t>22183458</t>
  </si>
  <si>
    <t>ocm22183458</t>
  </si>
  <si>
    <t>3100712468N</t>
  </si>
  <si>
    <t>9780713462609</t>
  </si>
  <si>
    <t>793136472</t>
  </si>
  <si>
    <t>UE57 H37 1995</t>
  </si>
  <si>
    <t>0                      UE 0057000H  37          1995</t>
  </si>
  <si>
    <t>Men, ideas, and tanks : British military thought and armoured forces, 1903-1939 / J.P. Harris.</t>
  </si>
  <si>
    <t>Harris, J. P.</t>
  </si>
  <si>
    <t>Manchester ; New York : Manchester University Press ; New York, NY, USA : Distributed exclusively in the USA and Canada by St. Martin's Press, 1995.</t>
  </si>
  <si>
    <t>War, armed forces and society</t>
  </si>
  <si>
    <t>2017-10-22</t>
  </si>
  <si>
    <t>335306172:eng</t>
  </si>
  <si>
    <t>32665047</t>
  </si>
  <si>
    <t>ocm32665047</t>
  </si>
  <si>
    <t>3101558093T</t>
  </si>
  <si>
    <t>9780719037627</t>
  </si>
  <si>
    <t>793391163</t>
  </si>
  <si>
    <t>UE75 G34 2002</t>
  </si>
  <si>
    <t>0                      UE 0075000G  34          2002</t>
  </si>
  <si>
    <t>Cavalry operations in the ancient Greek world / Robert E. Gaebel.</t>
  </si>
  <si>
    <t>Gaebel, Robert E., 1937-</t>
  </si>
  <si>
    <t>Norman : University of Oklahoma Press, ©2002.</t>
  </si>
  <si>
    <t>263269:eng</t>
  </si>
  <si>
    <t>47050006</t>
  </si>
  <si>
    <t>ocm47050006</t>
  </si>
  <si>
    <t>3102406812E</t>
  </si>
  <si>
    <t>9780806133652</t>
  </si>
  <si>
    <t>793697199</t>
  </si>
  <si>
    <t>UE145 D39</t>
  </si>
  <si>
    <t>0                      UE 0145000D  39</t>
  </si>
  <si>
    <t>Modern cavalry : its organisation, armament, and employment in war. With an appendix containing letters from Generals Fitzhugh Lee ... of the Confederate States' Cavalry ; and Col. Jenyns' system of non-pivot drill in use in the 13th Hussars / George T. Denison.</t>
  </si>
  <si>
    <t>Denison, George T. (George Taylor), 1839-1925.</t>
  </si>
  <si>
    <t>London : Thomas Bosworth, 1868.</t>
  </si>
  <si>
    <t>1868</t>
  </si>
  <si>
    <t>17876119:eng</t>
  </si>
  <si>
    <t>223573867</t>
  </si>
  <si>
    <t>ocn223573867</t>
  </si>
  <si>
    <t>3000723725S</t>
  </si>
  <si>
    <t>794335956</t>
  </si>
  <si>
    <t>UE157 S53 2006</t>
  </si>
  <si>
    <t>0                      UE 0157000S  53          2006</t>
  </si>
  <si>
    <t>Warhorse : cavalry in ancient warfare / Phil Sidnell.</t>
  </si>
  <si>
    <t>Sidnell, Philip.</t>
  </si>
  <si>
    <t>London : Hambledon Continuum, 2006.</t>
  </si>
  <si>
    <t>793886000:eng</t>
  </si>
  <si>
    <t>65470029</t>
  </si>
  <si>
    <t>ocm65470029</t>
  </si>
  <si>
    <t>3103038184F</t>
  </si>
  <si>
    <t>9781852853747</t>
  </si>
  <si>
    <t>794134827</t>
  </si>
  <si>
    <t>UE160 H35 2011</t>
  </si>
  <si>
    <t>0                      UE 0160000H  35          2011</t>
  </si>
  <si>
    <t>Improving Soldier and Unit Effectiveness with the Stryker Brigade Combat Team Warfighter's Forum / Bryan W. Hallmark, S. Jamie Gayton.</t>
  </si>
  <si>
    <t>Hallmark, Bryan W., 1963-</t>
  </si>
  <si>
    <t>1003640003:eng</t>
  </si>
  <si>
    <t>747713163</t>
  </si>
  <si>
    <t>ocn747713163</t>
  </si>
  <si>
    <t>3103527177X</t>
  </si>
  <si>
    <t>9780833051363</t>
  </si>
  <si>
    <t>794888403</t>
  </si>
  <si>
    <t>UF465 E18 T87 2001</t>
  </si>
  <si>
    <t>0                      UF 0465000E  18                 T  87          2001</t>
  </si>
  <si>
    <t>Siege weapons of the Far East [Texte imprimé]. 1, AD 300-1300 / illustrated by Wayne Reynolds.</t>
  </si>
  <si>
    <t>Turnbull, Stephen Richard, (1948- ...)</t>
  </si>
  <si>
    <t>Oxford : Osprey Military, 2001.</t>
  </si>
  <si>
    <t>New vanguard ; 43</t>
  </si>
  <si>
    <t xml:space="preserve">UF </t>
  </si>
  <si>
    <t>3769677307:eng</t>
  </si>
  <si>
    <t>492600599</t>
  </si>
  <si>
    <t>ocn492600599</t>
  </si>
  <si>
    <t>3102338984H</t>
  </si>
  <si>
    <t>9781841763392</t>
  </si>
  <si>
    <t>794801154</t>
  </si>
  <si>
    <t>UF500 G8 1995</t>
  </si>
  <si>
    <t>0                      UF 0500000G  8           1995</t>
  </si>
  <si>
    <t>Encyclopedia of the Persian Gulf War / Mark Grossman.</t>
  </si>
  <si>
    <t>Grossman, Mark.</t>
  </si>
  <si>
    <t>Santa Barbara, Calif. : ABC-CLIO, ©1995.</t>
  </si>
  <si>
    <t>1033219:eng</t>
  </si>
  <si>
    <t>33166435</t>
  </si>
  <si>
    <t>ocm33166435</t>
  </si>
  <si>
    <t>31019546733</t>
  </si>
  <si>
    <t>9781576074060</t>
  </si>
  <si>
    <t>793403723</t>
  </si>
  <si>
    <t>UF503 K66 2010</t>
  </si>
  <si>
    <t>0                      UF 0503000K  66          2010</t>
  </si>
  <si>
    <t>Death by moderation : the U.S. Military's quest for useable weapons / David A. Koplow.</t>
  </si>
  <si>
    <t>Koplow, David A., 1951-</t>
  </si>
  <si>
    <t>2012-11-05</t>
  </si>
  <si>
    <t>803387386:eng</t>
  </si>
  <si>
    <t>320434538</t>
  </si>
  <si>
    <t>ocn320434538</t>
  </si>
  <si>
    <t>3103157001M</t>
  </si>
  <si>
    <t>9780521119511</t>
  </si>
  <si>
    <t>794486259</t>
  </si>
  <si>
    <t>UF503 M47 2012</t>
  </si>
  <si>
    <t>0                      UF 0503000M  47          2012</t>
  </si>
  <si>
    <t>Methodologies in analyzing the root causes of Nunn-McCurdy breaches / Irv Blickstein [and others].</t>
  </si>
  <si>
    <t>Technical report ; TR-1248-OSD</t>
  </si>
  <si>
    <t>1170046786:eng</t>
  </si>
  <si>
    <t>812525067</t>
  </si>
  <si>
    <t>ocn812525067</t>
  </si>
  <si>
    <t>3103441022T</t>
  </si>
  <si>
    <t>9780833076304</t>
  </si>
  <si>
    <t>794931030</t>
  </si>
  <si>
    <t>UF503 R66 2011</t>
  </si>
  <si>
    <t>0                      UF 0503000R  66          2011</t>
  </si>
  <si>
    <t>Root cause analyses of Nunn-McCurdy breaches.</t>
  </si>
  <si>
    <t>Santa Monica, CA : RAND Corporation, 2011-</t>
  </si>
  <si>
    <t>4551162668:eng</t>
  </si>
  <si>
    <t>763315067</t>
  </si>
  <si>
    <t>ocn763315067</t>
  </si>
  <si>
    <t>3103564563F</t>
  </si>
  <si>
    <t>9780833059277</t>
  </si>
  <si>
    <t>794900204</t>
  </si>
  <si>
    <t>3103440993T</t>
  </si>
  <si>
    <t>794900205</t>
  </si>
  <si>
    <t>3103437573M</t>
  </si>
  <si>
    <t>794900206</t>
  </si>
  <si>
    <t>UF530 T52 1986b</t>
  </si>
  <si>
    <t>0                      UF 0530000T  52          1986b</t>
  </si>
  <si>
    <t>Military technology, military strategy, and the arms race / Marek Thee.</t>
  </si>
  <si>
    <t>Thee, Marek, 1918-</t>
  </si>
  <si>
    <t>London : Croom Helm, ©1986.</t>
  </si>
  <si>
    <t>PRIO monograph ; no. 21</t>
  </si>
  <si>
    <t>5220302:eng</t>
  </si>
  <si>
    <t>23382170</t>
  </si>
  <si>
    <t>ocm23382170</t>
  </si>
  <si>
    <t>3000529522Q</t>
  </si>
  <si>
    <t>9780709943129</t>
  </si>
  <si>
    <t>793168804</t>
  </si>
  <si>
    <t>UF533 E93 1988</t>
  </si>
  <si>
    <t>0                      UF 0533000E  93          1988</t>
  </si>
  <si>
    <t>Innovation and the arms race : how the United States and the Soviet Union develop new military technologies / Matthew Evangelista.</t>
  </si>
  <si>
    <t>Evangelista, Matthew, 1958-</t>
  </si>
  <si>
    <t>Ithaca : Cornell University Press, 1988.</t>
  </si>
  <si>
    <t>836728601:eng</t>
  </si>
  <si>
    <t>16832001</t>
  </si>
  <si>
    <t>ocm16832001</t>
  </si>
  <si>
    <t>31031466299</t>
  </si>
  <si>
    <t>9780801421655</t>
  </si>
  <si>
    <t>792974240</t>
  </si>
  <si>
    <t>UF533 M67 1988</t>
  </si>
  <si>
    <t>0                      UF 0533000M  67          1988</t>
  </si>
  <si>
    <t>Iron destinies, lost opportunities : the arms race between the U.S.A. and the U.S.S.R., 1945-1987 / Charles R. Morris.</t>
  </si>
  <si>
    <t>Morris, Charles R.</t>
  </si>
  <si>
    <t>New York : Harper &amp; Row, ©1988.</t>
  </si>
  <si>
    <t>198280991:eng</t>
  </si>
  <si>
    <t>17295950</t>
  </si>
  <si>
    <t>ocm17295950</t>
  </si>
  <si>
    <t>31037422613</t>
  </si>
  <si>
    <t>9780060390822</t>
  </si>
  <si>
    <t>792986707</t>
  </si>
  <si>
    <t>UF535 G3 B6</t>
  </si>
  <si>
    <t>0                      UF 0535000G  3                  B  6</t>
  </si>
  <si>
    <t>Deutschlands Rüstung im Zweiten Weltkrieg; Hitlers Konferenzen mit Albert Speer 1942-1945.</t>
  </si>
  <si>
    <t>Boelcke, Willi A., compiler.</t>
  </si>
  <si>
    <t>[Frankfurt am Main] Akademische Verlagsgesellschaft Athenaion [1969]</t>
  </si>
  <si>
    <t>Athenaion-Bibliothek der Geschichte</t>
  </si>
  <si>
    <t>2019-07-24</t>
  </si>
  <si>
    <t>860464864:ger</t>
  </si>
  <si>
    <t>845739</t>
  </si>
  <si>
    <t>ocm00845739</t>
  </si>
  <si>
    <t>3000560853O</t>
  </si>
  <si>
    <t>791485255</t>
  </si>
  <si>
    <t>UF535 I7 B46 1992</t>
  </si>
  <si>
    <t>0                      UF 0535000I  7                  B  46          1992</t>
  </si>
  <si>
    <t>Profits of war : inside the secret U.S.-Israeli arms network / Ari Ben-Menashe.</t>
  </si>
  <si>
    <t>Ben-Menashe, Ari, 1951-</t>
  </si>
  <si>
    <t>New York : Sheridan Square Press ; Lanham, MD : Distributed to the trade by National Book Network, ©1992.</t>
  </si>
  <si>
    <t>10539749:eng</t>
  </si>
  <si>
    <t>26586922</t>
  </si>
  <si>
    <t>ocm26586922</t>
  </si>
  <si>
    <t>3101208151I</t>
  </si>
  <si>
    <t>9781879823013</t>
  </si>
  <si>
    <t>793247480</t>
  </si>
  <si>
    <t>UF543 A3 K43 2012</t>
  </si>
  <si>
    <t>0                      UF 0543000A  3                  K  43          2012</t>
  </si>
  <si>
    <t>Funding ammunition ports / Edward G. Keating, Daniel Sommerhauser.</t>
  </si>
  <si>
    <t>Keating, Edward G. (Edward Geoffrey), 1965-</t>
  </si>
  <si>
    <t>Technical report ; TR-1204-A</t>
  </si>
  <si>
    <t>1108321649:eng</t>
  </si>
  <si>
    <t>792889858</t>
  </si>
  <si>
    <t>ocn792889858</t>
  </si>
  <si>
    <t>31034397768</t>
  </si>
  <si>
    <t>9780833060389</t>
  </si>
  <si>
    <t>794917312</t>
  </si>
  <si>
    <t>UF543 H37 S63</t>
  </si>
  <si>
    <t>0                      UF 0543000H  37                 S  63</t>
  </si>
  <si>
    <t>Harpers Ferry armory and the new technology : the challenge of change / Merritt Roe Smith.</t>
  </si>
  <si>
    <t>Smith, Merritt Roe, 1940-</t>
  </si>
  <si>
    <t>Ithaca, N.Y. : Cornell University Press, 1977.</t>
  </si>
  <si>
    <t>2015-10-30</t>
  </si>
  <si>
    <t>5629819:eng</t>
  </si>
  <si>
    <t>2542466</t>
  </si>
  <si>
    <t>ocm02542466</t>
  </si>
  <si>
    <t>31002506388</t>
  </si>
  <si>
    <t>9780801409844</t>
  </si>
  <si>
    <t>792141389</t>
  </si>
  <si>
    <t>UF565 E9 C5 1965a</t>
  </si>
  <si>
    <t>0                      UF 0565000E  9                  C  5           1965a</t>
  </si>
  <si>
    <t>Guns, sails and empires : technological innovation and the early phases of European expansion, 1400-1700 / Carlo M. Cipolla.</t>
  </si>
  <si>
    <t>Cipolla, Carlo M.</t>
  </si>
  <si>
    <t>[New York] : Minerva Press, 1965.</t>
  </si>
  <si>
    <t>1251655:eng</t>
  </si>
  <si>
    <t>1947867</t>
  </si>
  <si>
    <t>ocm01947867</t>
  </si>
  <si>
    <t>3000229052L</t>
  </si>
  <si>
    <t>9780308600140</t>
  </si>
  <si>
    <t>792016570</t>
  </si>
  <si>
    <t>2002-08-13</t>
  </si>
  <si>
    <t>3100010244U</t>
  </si>
  <si>
    <t>792016569</t>
  </si>
  <si>
    <t>Uf750 C76 2002</t>
  </si>
  <si>
    <t>0                      UF 0750000C  76          2002</t>
  </si>
  <si>
    <t>Throwing fire : projectile technology through history / Alfred W. Crosby.</t>
  </si>
  <si>
    <t>Crosby, Alfred W.</t>
  </si>
  <si>
    <t>Cambridge, U.K. ; New York : Cambridge University Press, 2002.</t>
  </si>
  <si>
    <t>9559409:eng</t>
  </si>
  <si>
    <t>52265535</t>
  </si>
  <si>
    <t>ocm52265535</t>
  </si>
  <si>
    <t>3103025372S</t>
  </si>
  <si>
    <t>9780521791588</t>
  </si>
  <si>
    <t>793802212</t>
  </si>
  <si>
    <t>UF767 F773 1983</t>
  </si>
  <si>
    <t>0                      UF 0767000F  773         1983</t>
  </si>
  <si>
    <t>The evolution of nuclear strategy / Lawrence Freedman.</t>
  </si>
  <si>
    <t>New York : St. Martin's Press, 1983.</t>
  </si>
  <si>
    <t>Studies in international security ; 20</t>
  </si>
  <si>
    <t>681024:eng</t>
  </si>
  <si>
    <t>9308772</t>
  </si>
  <si>
    <t>ocm09308772</t>
  </si>
  <si>
    <t>3102721258G</t>
  </si>
  <si>
    <t>9780312272708</t>
  </si>
  <si>
    <t>792669356</t>
  </si>
  <si>
    <t>UF767 G53 1983</t>
  </si>
  <si>
    <t>0                      UF 0767000G  53          1983</t>
  </si>
  <si>
    <t>The nuclear north : the people, the regions, and the arms race / Carole Giangrande.</t>
  </si>
  <si>
    <t>Giangrande, Carole, 1945-</t>
  </si>
  <si>
    <t>Toronto ; Buffalo : Anansi, ©1983.</t>
  </si>
  <si>
    <t>943466548:eng</t>
  </si>
  <si>
    <t>11443860</t>
  </si>
  <si>
    <t>ocm11443860</t>
  </si>
  <si>
    <t>3000164747V</t>
  </si>
  <si>
    <t>9780887841361</t>
  </si>
  <si>
    <t>792773547</t>
  </si>
  <si>
    <t>UF767 G624</t>
  </si>
  <si>
    <t>0                      UF 0767000G  624</t>
  </si>
  <si>
    <t>Nuclear war, the facts on our survival / Peter Goodwin.</t>
  </si>
  <si>
    <t>Goodwin, Peter, 1945 November 9-</t>
  </si>
  <si>
    <t>New York, N.Y. : Rutledge Press, 1981.</t>
  </si>
  <si>
    <t>7058898:eng</t>
  </si>
  <si>
    <t>7555943</t>
  </si>
  <si>
    <t>ocm07555943</t>
  </si>
  <si>
    <t>3103736159H</t>
  </si>
  <si>
    <t>9780831764579</t>
  </si>
  <si>
    <t>792565889</t>
  </si>
  <si>
    <t>UF767 K25 1961</t>
  </si>
  <si>
    <t>0                      UF 0767000K  25          1961</t>
  </si>
  <si>
    <t>On thermonuclear war / by Herman Kahn.</t>
  </si>
  <si>
    <t>Princeton, N.J. : Princeton University Press, 1961, ©1960.</t>
  </si>
  <si>
    <t>Second edition with index.</t>
  </si>
  <si>
    <t>2016-05-09</t>
  </si>
  <si>
    <t>179353300:eng</t>
  </si>
  <si>
    <t>8546432</t>
  </si>
  <si>
    <t>ocm08546432</t>
  </si>
  <si>
    <t>3000694985$</t>
  </si>
  <si>
    <t>792626397</t>
  </si>
  <si>
    <t>UF767 L37 1946</t>
  </si>
  <si>
    <t>0                      UF 0767000L  37          1946</t>
  </si>
  <si>
    <t>Dawn over zero : the story of the atomic bomb / William L. Laurence.</t>
  </si>
  <si>
    <t>Laurence, William L., 1888-1977.</t>
  </si>
  <si>
    <t>New York : A.A. Knopf, 1946.</t>
  </si>
  <si>
    <t>1946</t>
  </si>
  <si>
    <t>500410:eng</t>
  </si>
  <si>
    <t>4354887</t>
  </si>
  <si>
    <t>ocm04354887</t>
  </si>
  <si>
    <t>3000694399C</t>
  </si>
  <si>
    <t>792343250</t>
  </si>
  <si>
    <t>UF767 L75 1950</t>
  </si>
  <si>
    <t>0                      UF 0767000L  75          1950</t>
  </si>
  <si>
    <t>The effects of atomic weapons. Prepared for and in cooperation with the U.S. Department of Defense and the U.S. Atomic Energy Commission; under the direction of the Los Alamos Scientific Laboratory, Los Alamos, New Mexico.</t>
  </si>
  <si>
    <t>United States. Scientific Laboratory, Los Alamos, New Mexico.</t>
  </si>
  <si>
    <t>1372326:eng</t>
  </si>
  <si>
    <t>34436555</t>
  </si>
  <si>
    <t>ocm34436555</t>
  </si>
  <si>
    <t>3000356280Z</t>
  </si>
  <si>
    <t>793426717</t>
  </si>
  <si>
    <t>UF767 M3 1946</t>
  </si>
  <si>
    <t>0                      UF 0767000M  3           1946</t>
  </si>
  <si>
    <t>One world or none, edited by Dexter Masters and Katharine Way. Foreword by Niels Bohr, introduction by Arthur H. Compton. Contributors: H.H. Arnold, Hans Bethe, E.U. Condon [and others].</t>
  </si>
  <si>
    <t>Masters, Dexter, editor.</t>
  </si>
  <si>
    <t>[New York] Whittlesey House, McGraw-Hill Book Co., 1946.</t>
  </si>
  <si>
    <t>421234410:eng</t>
  </si>
  <si>
    <t>1469185</t>
  </si>
  <si>
    <t>ocm01469185</t>
  </si>
  <si>
    <t>3103000251S</t>
  </si>
  <si>
    <t>791640509</t>
  </si>
  <si>
    <t>UF767 S2365 1982b</t>
  </si>
  <si>
    <t>0                      UF 0767000S  2365        1982b</t>
  </si>
  <si>
    <t>The fate of the Earth / Jonathan Schell.</t>
  </si>
  <si>
    <t>Schell, Jonathan, 1943-2014.</t>
  </si>
  <si>
    <t>New York : Avon, ©1982.</t>
  </si>
  <si>
    <t>2007-03-07</t>
  </si>
  <si>
    <t>463554:eng</t>
  </si>
  <si>
    <t>427169591</t>
  </si>
  <si>
    <t>ocn427169591</t>
  </si>
  <si>
    <t>3000156630B</t>
  </si>
  <si>
    <t>Book_LargePrint</t>
  </si>
  <si>
    <t>9780380613250</t>
  </si>
  <si>
    <t>794524105</t>
  </si>
  <si>
    <t>3000156629X</t>
  </si>
  <si>
    <t>794524104</t>
  </si>
  <si>
    <t>UF767 S93</t>
  </si>
  <si>
    <t>0                      UF 0767000S  93</t>
  </si>
  <si>
    <t>The Superpowers in a multinuclear world. Edited by Geoffrey Kemp, Robert L. Pfaltzgraff, Jr. [and] Uri Ra'anan.</t>
  </si>
  <si>
    <t>Lexington, Mass., Lexington Books [1974]</t>
  </si>
  <si>
    <t>2018-06-14</t>
  </si>
  <si>
    <t>917479814:eng</t>
  </si>
  <si>
    <t>799647</t>
  </si>
  <si>
    <t>ocm00799647</t>
  </si>
  <si>
    <t>30004203094</t>
  </si>
  <si>
    <t>9780669913484</t>
  </si>
  <si>
    <t>791472851</t>
  </si>
  <si>
    <t>UF820 B79 2019</t>
  </si>
  <si>
    <t>0                      UF 0820000B  79          2019</t>
  </si>
  <si>
    <t>The science of small arm ballistics / Alvah Buckmore, Jr., ballistician &amp; theoretician.</t>
  </si>
  <si>
    <t>Buckmore, Alvah, Jr., 1944- author.</t>
  </si>
  <si>
    <t>Oakville, ON, Canada ; Waretown, NJ : Apple Academic Press, [2018]</t>
  </si>
  <si>
    <t>4721459959:eng</t>
  </si>
  <si>
    <t>1050142150</t>
  </si>
  <si>
    <t>on1050142150</t>
  </si>
  <si>
    <t>31037304548</t>
  </si>
  <si>
    <t>9781771886505</t>
  </si>
  <si>
    <t>795061350</t>
  </si>
  <si>
    <t>UF820 D46 2011</t>
  </si>
  <si>
    <t>0                      UF 0820000D  46          2011</t>
  </si>
  <si>
    <t>Their arrows will darken the sun : the evolution and science of ballistics / Mark Denny.</t>
  </si>
  <si>
    <t>Denny, Mark, 1953-</t>
  </si>
  <si>
    <t>Baltimore : Johns Hopkins University Press, 2011.</t>
  </si>
  <si>
    <t>865815944:eng</t>
  </si>
  <si>
    <t>643322569</t>
  </si>
  <si>
    <t>ocn643322569</t>
  </si>
  <si>
    <t>3103343962T</t>
  </si>
  <si>
    <t>9780801898563</t>
  </si>
  <si>
    <t>794828731</t>
  </si>
  <si>
    <t>UG22.3 R63 2014</t>
  </si>
  <si>
    <t>0                      UG 0022300R  63          2014</t>
  </si>
  <si>
    <t>Psychological fitness and resilience : a review of relevant constructs, measures, and links to well-being / Sean Robson.</t>
  </si>
  <si>
    <t>Robson, Sean, author.</t>
  </si>
  <si>
    <t>RAND Project Air Force series on resiliency</t>
  </si>
  <si>
    <t xml:space="preserve">UG </t>
  </si>
  <si>
    <t>1416063563:eng</t>
  </si>
  <si>
    <t>862883349</t>
  </si>
  <si>
    <t>ocn862883349</t>
  </si>
  <si>
    <t>3103564578D</t>
  </si>
  <si>
    <t>9780833080769</t>
  </si>
  <si>
    <t>794960662</t>
  </si>
  <si>
    <t>UG400 F59 1986</t>
  </si>
  <si>
    <t>0                      UG 0400000F  59          1986</t>
  </si>
  <si>
    <t>Byzantine fortifications : an introduction / Clive Foss, David Winfield.</t>
  </si>
  <si>
    <t>Foss, Clive.</t>
  </si>
  <si>
    <t>Pretoria : University of South Africa, 1986.</t>
  </si>
  <si>
    <t>148854157:eng</t>
  </si>
  <si>
    <t>17447748</t>
  </si>
  <si>
    <t>ocm17447748</t>
  </si>
  <si>
    <t>3102952286G</t>
  </si>
  <si>
    <t>9780869813218</t>
  </si>
  <si>
    <t>792991631</t>
  </si>
  <si>
    <t>UG405.15 G54 2017</t>
  </si>
  <si>
    <t>0                      UG 0405150G  54          2017</t>
  </si>
  <si>
    <t>Berlin Story Bunker : Geschichte des Bunkers, Hitler-Dokumentation, Berlin Museum - History of the Bunker, Hitler documentation, Berlin Museum / Wieland Giebel</t>
  </si>
  <si>
    <t>Giebel, Wieland, author.</t>
  </si>
  <si>
    <t>Berlin : Berlin Story Verlag GmbH, 2017</t>
  </si>
  <si>
    <t>1. Auflage</t>
  </si>
  <si>
    <t>4826585662:eng</t>
  </si>
  <si>
    <t>1028981032</t>
  </si>
  <si>
    <t>on1028981032</t>
  </si>
  <si>
    <t>3103766472W</t>
  </si>
  <si>
    <t>9783957231246</t>
  </si>
  <si>
    <t>795053658</t>
  </si>
  <si>
    <t>UG405.2 C58 2000</t>
  </si>
  <si>
    <t>0                      UG 0405200C  58          2000</t>
  </si>
  <si>
    <t>City walls : the urban enceinte in global perspective / edited by James D. Tracy.</t>
  </si>
  <si>
    <t>New York : Cambridge University Press, 2000.</t>
  </si>
  <si>
    <t>Studies in comparative early modern history</t>
  </si>
  <si>
    <t>807191461:eng</t>
  </si>
  <si>
    <t>42397400</t>
  </si>
  <si>
    <t>ocm42397400</t>
  </si>
  <si>
    <t>3102180031J</t>
  </si>
  <si>
    <t>9780521652216</t>
  </si>
  <si>
    <t>793606581</t>
  </si>
  <si>
    <t>UG407 F57 2010</t>
  </si>
  <si>
    <t>0                      UG 0407000F  57          2010</t>
  </si>
  <si>
    <t>First forts : essays on the archaeology of proto-colonial fortifications / edited by Eric Klingelhofer.</t>
  </si>
  <si>
    <t>History of warfare ; v. 60</t>
  </si>
  <si>
    <t>796711270:eng</t>
  </si>
  <si>
    <t>647901936</t>
  </si>
  <si>
    <t>ocn647901936</t>
  </si>
  <si>
    <t>3103312248$</t>
  </si>
  <si>
    <t>9789004187542</t>
  </si>
  <si>
    <t>794830941</t>
  </si>
  <si>
    <t>UG413 S37 1996</t>
  </si>
  <si>
    <t>0                      UG 0413000S  37          1996</t>
  </si>
  <si>
    <t>The maritime defence of Canada / Roger Sarty.</t>
  </si>
  <si>
    <t>Sarty, Roger, 1952-</t>
  </si>
  <si>
    <t>[Toronto] : Canadian Institute of Strategic Studies, ©1996.</t>
  </si>
  <si>
    <t>138822666:eng</t>
  </si>
  <si>
    <t>36337946</t>
  </si>
  <si>
    <t>ocm36337946</t>
  </si>
  <si>
    <t>3101723758W</t>
  </si>
  <si>
    <t>9780919769632</t>
  </si>
  <si>
    <t>793472857</t>
  </si>
  <si>
    <t>UG415 L68 F78 1984</t>
  </si>
  <si>
    <t>0                      UG 0415000L  68                 F  78          1984</t>
  </si>
  <si>
    <t>"An appearance of strength" : the fortifications of Louisbourg / Bruce W. Fry.</t>
  </si>
  <si>
    <t>Fry, Bruce W.</t>
  </si>
  <si>
    <t>Ottawa, Ont. : National Historic Parks and Sites Branch, Parks Canada, Environment Canada ; Hull, Quebec, Canada : Canadian Govt. Pub. Centre, Supply and Services Canada [distributor], 1984.</t>
  </si>
  <si>
    <t>Studies in archaeology, architecture, and history, 0821-1027</t>
  </si>
  <si>
    <t>2018-11-13</t>
  </si>
  <si>
    <t>8907133461:eng</t>
  </si>
  <si>
    <t>11420000</t>
  </si>
  <si>
    <t>ocm11420000</t>
  </si>
  <si>
    <t>3101188791F</t>
  </si>
  <si>
    <t>9780660115511</t>
  </si>
  <si>
    <t>792772770</t>
  </si>
  <si>
    <t>2005-01-03</t>
  </si>
  <si>
    <t>3102952223S</t>
  </si>
  <si>
    <t>792772769</t>
  </si>
  <si>
    <t>3101188792D</t>
  </si>
  <si>
    <t>792772771</t>
  </si>
  <si>
    <t>3102952227S</t>
  </si>
  <si>
    <t>792772768</t>
  </si>
  <si>
    <t>UG428 J6 1983</t>
  </si>
  <si>
    <t>0                      UG 0428000J  6           1983</t>
  </si>
  <si>
    <t>Roman forts of the 1st and 2nd centuries AD in Britain and the German Provinces / Anne Johnson.</t>
  </si>
  <si>
    <t>Johnson, Anne, 1951 August 28-</t>
  </si>
  <si>
    <t>London : A. &amp; C. Black, 1983.</t>
  </si>
  <si>
    <t>2829689426:eng</t>
  </si>
  <si>
    <t>10268448</t>
  </si>
  <si>
    <t>ocm10268448</t>
  </si>
  <si>
    <t>3102889722D</t>
  </si>
  <si>
    <t>9780713622232</t>
  </si>
  <si>
    <t>792717028</t>
  </si>
  <si>
    <t>UG428 K46 1990</t>
  </si>
  <si>
    <t>0                      UG 0428000K  46          1990</t>
  </si>
  <si>
    <t>Medieval fortifications / John R. Kenyon.</t>
  </si>
  <si>
    <t>Kenyon, John R.</t>
  </si>
  <si>
    <t>Leicester : Leicester University Press, 1990.</t>
  </si>
  <si>
    <t>The Archaeology of medieval Britain</t>
  </si>
  <si>
    <t>14669088:eng</t>
  </si>
  <si>
    <t>20560536</t>
  </si>
  <si>
    <t>ocm20560536</t>
  </si>
  <si>
    <t>3100683830T</t>
  </si>
  <si>
    <t>9780718512897</t>
  </si>
  <si>
    <t>793091377</t>
  </si>
  <si>
    <t>UG428 L36 2013</t>
  </si>
  <si>
    <t>0                      UG 0428000L  36          2013</t>
  </si>
  <si>
    <t>Landscapes of defence in early medieval Europe / edited by John Baker, Stuart Brookes and Andrew Reynolds.</t>
  </si>
  <si>
    <t>Turnhout : Brepols, [2013]</t>
  </si>
  <si>
    <t>Studies in the early Middle Ages ; volume 28</t>
  </si>
  <si>
    <t>2015-07-17</t>
  </si>
  <si>
    <t>1638288040:eng</t>
  </si>
  <si>
    <t>858012069</t>
  </si>
  <si>
    <t>ocn858012069</t>
  </si>
  <si>
    <t>3103505342E</t>
  </si>
  <si>
    <t>9782503529561</t>
  </si>
  <si>
    <t>794955746</t>
  </si>
  <si>
    <t>UG428 L47 2002</t>
  </si>
  <si>
    <t>0                      UG 0428000L  47          2002</t>
  </si>
  <si>
    <t>Castles and fortified cities of medieval Europe : an illustrated history / Jean-Denis G.G. Lepage.</t>
  </si>
  <si>
    <t>Jefferson, N.C. : McFarland, ©2002.</t>
  </si>
  <si>
    <t>1036070511:eng</t>
  </si>
  <si>
    <t>48951670</t>
  </si>
  <si>
    <t>ocm48951670</t>
  </si>
  <si>
    <t>3102952238Q</t>
  </si>
  <si>
    <t>9780786410927</t>
  </si>
  <si>
    <t>793731267</t>
  </si>
  <si>
    <t>UG429 F8 V38 2007</t>
  </si>
  <si>
    <t>0                      UG 0429000F  8                  V  38          2007</t>
  </si>
  <si>
    <t>Les oisivetés de monsieur de Vauban, ou ramas de plusieurs mémoires de sa façon sur différents sujets / édition intégrale établie sous la direction de Michèle Virol.</t>
  </si>
  <si>
    <t>Vauban, Sébastien Le Prestre de, 1633-1707.</t>
  </si>
  <si>
    <t>Seyssel : Champ Vallon, ©2007.</t>
  </si>
  <si>
    <t>Les classiques de Champ Vallon</t>
  </si>
  <si>
    <t>140847363:fre</t>
  </si>
  <si>
    <t>176929204</t>
  </si>
  <si>
    <t>ocn176929204</t>
  </si>
  <si>
    <t>3102870063U</t>
  </si>
  <si>
    <t>9782876734715</t>
  </si>
  <si>
    <t>794277985</t>
  </si>
  <si>
    <t>UG429 F8 V5213 1994</t>
  </si>
  <si>
    <t>0                      UG 0429000F  8                  V  5213        1994</t>
  </si>
  <si>
    <t>Bunker archeology : texts and photographs / Paul Virilio ; translated from the French by George Collins.</t>
  </si>
  <si>
    <t>New York, N.Y. : Princeton Architectural Press, ©1994.</t>
  </si>
  <si>
    <t>2017-02-21</t>
  </si>
  <si>
    <t>5612613832:eng</t>
  </si>
  <si>
    <t>31042479</t>
  </si>
  <si>
    <t>ocm31042479</t>
  </si>
  <si>
    <t>3102767037J</t>
  </si>
  <si>
    <t>9781568980157</t>
  </si>
  <si>
    <t>793352019</t>
  </si>
  <si>
    <t>UG429 G7 S76 2005</t>
  </si>
  <si>
    <t>0                      UG 0429000G  7                  S  76          2005</t>
  </si>
  <si>
    <t>Medieval castles / Marilyn Stokstad.</t>
  </si>
  <si>
    <t>Stokstad, Marilyn, 1929-2016.</t>
  </si>
  <si>
    <t>Westport, Conn. : Greenwood Press, 2005.</t>
  </si>
  <si>
    <t>Greenwood guides to historic events of the medieval world</t>
  </si>
  <si>
    <t>2016-03-05</t>
  </si>
  <si>
    <t>14427679:eng</t>
  </si>
  <si>
    <t>57186498</t>
  </si>
  <si>
    <t>ocm57186498</t>
  </si>
  <si>
    <t>31025624490</t>
  </si>
  <si>
    <t>9780313325250</t>
  </si>
  <si>
    <t>793908452</t>
  </si>
  <si>
    <t>UG429 G8 L3</t>
  </si>
  <si>
    <t>0                      UG 0429000G  8                  L  3</t>
  </si>
  <si>
    <t>Greek aims in fortification / A.W. Lawrence.</t>
  </si>
  <si>
    <t>Lawrence, A. W. (Arnold Walter), 1900-1991.</t>
  </si>
  <si>
    <t>Oxford : Clarendon Press, ©1979.</t>
  </si>
  <si>
    <t>415845:eng</t>
  </si>
  <si>
    <t>237439448</t>
  </si>
  <si>
    <t>ocn237439448</t>
  </si>
  <si>
    <t>3000414686Y</t>
  </si>
  <si>
    <t>9780198148241</t>
  </si>
  <si>
    <t>794373332</t>
  </si>
  <si>
    <t>UG429 I8 H35</t>
  </si>
  <si>
    <t>0                      UG 0429000I  8                  H  35</t>
  </si>
  <si>
    <t>Renaissance fortification : art or engineering? / J.R. Hale.</t>
  </si>
  <si>
    <t>[London] : Thames and Hudson, ©1977.</t>
  </si>
  <si>
    <t>Walter Neurath memorial lecture ; 8th</t>
  </si>
  <si>
    <t>865028921:eng</t>
  </si>
  <si>
    <t>3763255</t>
  </si>
  <si>
    <t>ocm03763255</t>
  </si>
  <si>
    <t>3102952262K</t>
  </si>
  <si>
    <t>9780500550090</t>
  </si>
  <si>
    <t>792288789</t>
  </si>
  <si>
    <t>UG430 S54 P47 1986</t>
  </si>
  <si>
    <t>0                      UG 0430000S  54                 P  47          1986</t>
  </si>
  <si>
    <t>Firearms &amp; fortifications : military architecture and siege warfare in sixteenth-century Siena / Simon Pepper and Nicholas Adams.</t>
  </si>
  <si>
    <t>Pepper, Simon, author.</t>
  </si>
  <si>
    <t>Chicago : University of Chicago Press, 1986.</t>
  </si>
  <si>
    <t>5436760:eng</t>
  </si>
  <si>
    <t>12809001</t>
  </si>
  <si>
    <t>ocm12809001</t>
  </si>
  <si>
    <t>3102952257M</t>
  </si>
  <si>
    <t>9780226005355</t>
  </si>
  <si>
    <t>792829070</t>
  </si>
  <si>
    <t>UG432 C6 C44 2015</t>
  </si>
  <si>
    <t>0                      UG 0432000C  6                  C  44          2015</t>
  </si>
  <si>
    <t>Min Tai gu cheng bao / Chen Mingshi zhu.</t>
  </si>
  <si>
    <t>Chen, Mingshi, author.</t>
  </si>
  <si>
    <t>Xiamen Shi : Xiamen da xue chu ban she, 2015.</t>
  </si>
  <si>
    <t>Fujian wen shi cong shu</t>
  </si>
  <si>
    <t>4427270935:chi</t>
  </si>
  <si>
    <t>921829998</t>
  </si>
  <si>
    <t>ocn921829998</t>
  </si>
  <si>
    <t>3103724126B</t>
  </si>
  <si>
    <t>9787561555897</t>
  </si>
  <si>
    <t>795003307</t>
  </si>
  <si>
    <t>UG432 C6 C65 2014</t>
  </si>
  <si>
    <t>0                      UG 0432000C  6                  C  65          2014</t>
  </si>
  <si>
    <t>Chungguk yŏktae changsŏng ŭi yŏn'gu = A study of fortifications throughout Chinese history / Hong Sŭng-hyŏn, Song Chin, Ch'oe Chin-yŏl, Hŏ In-uk, Yi Sŏng-je chiŭm.</t>
  </si>
  <si>
    <t>Sŏul-si : Tongbuga Yŏksa Chaedan, 2014.</t>
  </si>
  <si>
    <t>Ch'op'an.</t>
  </si>
  <si>
    <t>kor</t>
  </si>
  <si>
    <t>Tongbuga Yŏksa Chaedan kihoek yŏn'gu ; 62</t>
  </si>
  <si>
    <t>2474562004:kor</t>
  </si>
  <si>
    <t>905335843</t>
  </si>
  <si>
    <t>ocn905335843</t>
  </si>
  <si>
    <t>3103201168D</t>
  </si>
  <si>
    <t>9788961873499</t>
  </si>
  <si>
    <t>794991225</t>
  </si>
  <si>
    <t>UG432 K6 C46 2017</t>
  </si>
  <si>
    <t>0                      UG 0432000K  6                  C  46          2017</t>
  </si>
  <si>
    <t>Koguryŏ sansŏng yŏn'gu / Chŏng Wŏn-ch'ŏl chŏ.</t>
  </si>
  <si>
    <t>Chŏng, Wŏn-ch'ŏl, 1975-2016, author.</t>
  </si>
  <si>
    <t>Sŏul-si : Tongbuga Yŏksa Chaedan, 2017.</t>
  </si>
  <si>
    <t>4704116935:kor</t>
  </si>
  <si>
    <t>1017661006</t>
  </si>
  <si>
    <t>on1017661006</t>
  </si>
  <si>
    <t>3103765963I</t>
  </si>
  <si>
    <t>9788961874632</t>
  </si>
  <si>
    <t>795048712</t>
  </si>
  <si>
    <t>UG433 R42 J47 2000</t>
  </si>
  <si>
    <t>0                      UG 0433000R  42                 J  47          2000</t>
  </si>
  <si>
    <t>Forts and palaces of the Western Himalaya / Ashok Jerath.</t>
  </si>
  <si>
    <t>Jeratha, Aśoka, 1946-</t>
  </si>
  <si>
    <t>New Delhi : Indus Pub. Co., ©2000.</t>
  </si>
  <si>
    <t>32967062:eng</t>
  </si>
  <si>
    <t>43852554</t>
  </si>
  <si>
    <t>ocm43852554</t>
  </si>
  <si>
    <t>31033283630</t>
  </si>
  <si>
    <t>9788173871047</t>
  </si>
  <si>
    <t>793636900</t>
  </si>
  <si>
    <t>UG443 P455 2016</t>
  </si>
  <si>
    <t>0                      UG 0443000P  455         2016</t>
  </si>
  <si>
    <t>Philo Mechanicus : on sieges, translated with introduction and commentary / David Whitehead.</t>
  </si>
  <si>
    <t>Philo, of Byzantium, author.</t>
  </si>
  <si>
    <t>Stuttgart : Franz Steiner Verlag, [2016]</t>
  </si>
  <si>
    <t>Alte Geschichte (Stuttgart, Germany)</t>
  </si>
  <si>
    <t>2958340027:eng</t>
  </si>
  <si>
    <t>952958339</t>
  </si>
  <si>
    <t>ocn952958339</t>
  </si>
  <si>
    <t>3103688815D</t>
  </si>
  <si>
    <t>9783515113434</t>
  </si>
  <si>
    <t>795018483</t>
  </si>
  <si>
    <t>UG443 P47 2013</t>
  </si>
  <si>
    <t>0                      UG 0443000P  47          2013</t>
  </si>
  <si>
    <t>Siege warfare and military organization in the successor states (400-800 AD) : Byzantium, the West and Islam / by Leif Inge Ree Petersen.</t>
  </si>
  <si>
    <t>Petersen, Leif Inge Ree.</t>
  </si>
  <si>
    <t>History of warfare ; volume 91</t>
  </si>
  <si>
    <t>1349615880:eng</t>
  </si>
  <si>
    <t>845085569</t>
  </si>
  <si>
    <t>ocn845085569</t>
  </si>
  <si>
    <t>3103502553I</t>
  </si>
  <si>
    <t>9789004251991</t>
  </si>
  <si>
    <t>794948910</t>
  </si>
  <si>
    <t>UG443 V3613 1968</t>
  </si>
  <si>
    <t>0                      UG 0443000V  3613        1968</t>
  </si>
  <si>
    <t>A manual of siegecraft and fortification / by Sebastien LePrestre de Vauban ; Translated, with an introduction, by George A. Rothrock.</t>
  </si>
  <si>
    <t>Ann Arbor : University of Michigan Press, [1968]</t>
  </si>
  <si>
    <t>2014-02-07</t>
  </si>
  <si>
    <t>2015-03-26</t>
  </si>
  <si>
    <t>472177977:eng</t>
  </si>
  <si>
    <t>1263721</t>
  </si>
  <si>
    <t>ocm01263721</t>
  </si>
  <si>
    <t>3102952247O</t>
  </si>
  <si>
    <t>791587182</t>
  </si>
  <si>
    <t>3000646411V</t>
  </si>
  <si>
    <t>791587183</t>
  </si>
  <si>
    <t>UG444 B83 1992</t>
  </si>
  <si>
    <t>0                      UG 0444000B  83          1992</t>
  </si>
  <si>
    <t>The medieval siege / Jim Bradbury.</t>
  </si>
  <si>
    <t>Woodbridge, Suffolk, UK ; Rochester, NY : Boydell Press, 1992.</t>
  </si>
  <si>
    <t>1028675:eng</t>
  </si>
  <si>
    <t>25787029</t>
  </si>
  <si>
    <t>ocm25787029</t>
  </si>
  <si>
    <t>3101215141U</t>
  </si>
  <si>
    <t>9780851153124</t>
  </si>
  <si>
    <t>793229803</t>
  </si>
  <si>
    <t>UG446.5 G7813 1992</t>
  </si>
  <si>
    <t>0                      UG 0446500G  7813        1992</t>
  </si>
  <si>
    <t>Achtung-Panzer! : the development of armoured forces, their tactics and operational potential / Heinz Guderian ; translated by Christopher Duffy ; introduction and notes by Paul Harris.</t>
  </si>
  <si>
    <t>Guderian, Heinz, 1888-1954.</t>
  </si>
  <si>
    <t>London : Arms and Armour, 1992.</t>
  </si>
  <si>
    <t>1151577818:eng</t>
  </si>
  <si>
    <t>27431727</t>
  </si>
  <si>
    <t>ocm27431727</t>
  </si>
  <si>
    <t>31011615372</t>
  </si>
  <si>
    <t>9781854091383</t>
  </si>
  <si>
    <t>793266534</t>
  </si>
  <si>
    <t>UG446.5 J56 2010</t>
  </si>
  <si>
    <t>0                      UG 0446500J  56          2010</t>
  </si>
  <si>
    <t>Observations on recent trends in armored forces / David E. Johnson, John Gordon.</t>
  </si>
  <si>
    <t>Santa Monica, CA : RAND Corp., 2010.</t>
  </si>
  <si>
    <t>Occasional paper ; OP-287-A</t>
  </si>
  <si>
    <t>503456542:eng</t>
  </si>
  <si>
    <t>642509842</t>
  </si>
  <si>
    <t>ocn642509842</t>
  </si>
  <si>
    <t>3103349162T</t>
  </si>
  <si>
    <t>9780833049278</t>
  </si>
  <si>
    <t>794828271</t>
  </si>
  <si>
    <t>UG446.5 O5</t>
  </si>
  <si>
    <t>0                      UG 0446500O  5</t>
  </si>
  <si>
    <t>Armor; a history of mechanized forces.</t>
  </si>
  <si>
    <t>Ogorkiewicz, Richard M., author.</t>
  </si>
  <si>
    <t>2411517:eng</t>
  </si>
  <si>
    <t>1492911</t>
  </si>
  <si>
    <t>ocm01492911</t>
  </si>
  <si>
    <t>3000728773T</t>
  </si>
  <si>
    <t>791673931</t>
  </si>
  <si>
    <t>UG446.5 P64 2016</t>
  </si>
  <si>
    <t>0                      UG 0446500P  64          2016</t>
  </si>
  <si>
    <t>Der Panzer und die Mechanisierung des Krieges : eine deutsche Geschichte 1890 bis 1945 / Markus Pöhlmann.</t>
  </si>
  <si>
    <t>Pöhlmann, Markus, 1967- author.</t>
  </si>
  <si>
    <t>Paderborn : Ferdinand Schöningh, 2016.</t>
  </si>
  <si>
    <t>Zeitalter der Weltkriege ; Band 14</t>
  </si>
  <si>
    <t>3926551903:ger</t>
  </si>
  <si>
    <t>961475193</t>
  </si>
  <si>
    <t>ocn961475193</t>
  </si>
  <si>
    <t>31037153094</t>
  </si>
  <si>
    <t>9783506783554</t>
  </si>
  <si>
    <t>795023907</t>
  </si>
  <si>
    <t>UG446.5 S595 1986</t>
  </si>
  <si>
    <t>0                      UG 0446500S  595         1986</t>
  </si>
  <si>
    <t>A new Excalibur : the development of the tank, 1909-1939 / A.J. Smithers.</t>
  </si>
  <si>
    <t>Smithers, A. J., 1919-</t>
  </si>
  <si>
    <t>London : L. Cooper in association with Secker &amp; Warburg, 1986.</t>
  </si>
  <si>
    <t>21250926:eng</t>
  </si>
  <si>
    <t>19459511</t>
  </si>
  <si>
    <t>ocm19459511</t>
  </si>
  <si>
    <t>3101447413I</t>
  </si>
  <si>
    <t>9780436475207</t>
  </si>
  <si>
    <t>793058773</t>
  </si>
  <si>
    <t>UG447 B73</t>
  </si>
  <si>
    <t>0                      UG 0447000B  73</t>
  </si>
  <si>
    <t>Chemical warfare; a study in restraints, by Frederic J. Brown.</t>
  </si>
  <si>
    <t>Brown, Frederic Joseph.</t>
  </si>
  <si>
    <t>Princeton, N.J., Princeton University Press, 1968.</t>
  </si>
  <si>
    <t>1569533:eng</t>
  </si>
  <si>
    <t>441703</t>
  </si>
  <si>
    <t>ocm00441703</t>
  </si>
  <si>
    <t>3000229064E</t>
  </si>
  <si>
    <t>791379648</t>
  </si>
  <si>
    <t>2007-03-05</t>
  </si>
  <si>
    <t>3000514621I</t>
  </si>
  <si>
    <t>791379647</t>
  </si>
  <si>
    <t>UG447 B79 1989</t>
  </si>
  <si>
    <t>0                      UG 0447000B  79          1989</t>
  </si>
  <si>
    <t>Deadly allies : Canada's secret war, 1937-1947 / John Bryden.</t>
  </si>
  <si>
    <t>Bryden, John, 1943-</t>
  </si>
  <si>
    <t>Toronto, Ont. : McClelland &amp; Stewart, ©1989.</t>
  </si>
  <si>
    <t>2019-04-13</t>
  </si>
  <si>
    <t>22142490:eng</t>
  </si>
  <si>
    <t>21157387</t>
  </si>
  <si>
    <t>ocm21157387</t>
  </si>
  <si>
    <t>3102386257R</t>
  </si>
  <si>
    <t>9780771017247</t>
  </si>
  <si>
    <t>793110948</t>
  </si>
  <si>
    <t>UG447 C5224 1992</t>
  </si>
  <si>
    <t>0                      UG 0447000C  5224        1992</t>
  </si>
  <si>
    <t>Chemical weapons in Soviet military doctrine : military and historical experience, 1915-1991 / Joachim Krause and Charles K. Mallory.</t>
  </si>
  <si>
    <t>Krause, Joachim, 1951-</t>
  </si>
  <si>
    <t>Boulder : Westview Press, 1992.</t>
  </si>
  <si>
    <t>365401738:eng</t>
  </si>
  <si>
    <t>25317795</t>
  </si>
  <si>
    <t>ocm25317795</t>
  </si>
  <si>
    <t>3103773847O</t>
  </si>
  <si>
    <t>9780813384061</t>
  </si>
  <si>
    <t>793216815</t>
  </si>
  <si>
    <t>UG447 C637 2005</t>
  </si>
  <si>
    <t>0                      UG 0447000C  637         2005</t>
  </si>
  <si>
    <t>A history of chemical warfare / Kim Coleman.</t>
  </si>
  <si>
    <t>Coleman, Kim, 1953-</t>
  </si>
  <si>
    <t>Basingstoke, Hampshire ; New York : Palgrave Macmillan, 2005.</t>
  </si>
  <si>
    <t>991275:eng</t>
  </si>
  <si>
    <t>57211009</t>
  </si>
  <si>
    <t>ocm57211009</t>
  </si>
  <si>
    <t>3102542247G</t>
  </si>
  <si>
    <t>9781403934598</t>
  </si>
  <si>
    <t>793909100</t>
  </si>
  <si>
    <t>UG447 C655 1968a</t>
  </si>
  <si>
    <t>0                      UG 0447000C  655         1968a</t>
  </si>
  <si>
    <t>C.B.W.: chemical and biological warfare; London Conference on C.B.W.; edited by Steven Rose.</t>
  </si>
  <si>
    <t>Conference on Chemical and Biological Warfare, London, 1968.</t>
  </si>
  <si>
    <t>London, Toronto Harrap, 1968.</t>
  </si>
  <si>
    <t>4020215787:eng</t>
  </si>
  <si>
    <t>43385</t>
  </si>
  <si>
    <t>ocm00043385</t>
  </si>
  <si>
    <t>3100147952H</t>
  </si>
  <si>
    <t>9780245594854</t>
  </si>
  <si>
    <t>791237437</t>
  </si>
  <si>
    <t>30002510259</t>
  </si>
  <si>
    <t>791237436</t>
  </si>
  <si>
    <t>2010-03-13</t>
  </si>
  <si>
    <t>3000523963Q</t>
  </si>
  <si>
    <t>791237438</t>
  </si>
  <si>
    <t>UG447 C66 1999</t>
  </si>
  <si>
    <t>0                      UG 0447000C  66          1999</t>
  </si>
  <si>
    <t>No place to run : the Canadian Corps and gas warfare in the First World War / Tim Cook.</t>
  </si>
  <si>
    <t>Cook, Tim, 1971-</t>
  </si>
  <si>
    <t>Vancouver : UBC Press, ©1999.</t>
  </si>
  <si>
    <t>687881030:eng</t>
  </si>
  <si>
    <t>42683133</t>
  </si>
  <si>
    <t>ocm42683133</t>
  </si>
  <si>
    <t>31028097628</t>
  </si>
  <si>
    <t>9780774807395</t>
  </si>
  <si>
    <t>793611735</t>
  </si>
  <si>
    <t>UG447 C664 1971</t>
  </si>
  <si>
    <t>0                      UG 0447000C  664         1971</t>
  </si>
  <si>
    <t>A survey of chemical and biological warfare [by] John Cookson and Judith Nottingham.</t>
  </si>
  <si>
    <t>Cookson, John, 1946-</t>
  </si>
  <si>
    <t>New York [Monthly Review Press], [1971, ©1969]</t>
  </si>
  <si>
    <t>509977:eng</t>
  </si>
  <si>
    <t>109932</t>
  </si>
  <si>
    <t>ocm00109932</t>
  </si>
  <si>
    <t>3000198676R</t>
  </si>
  <si>
    <t>9780853451433</t>
  </si>
  <si>
    <t>791260109</t>
  </si>
  <si>
    <t>UG447 C755 2002</t>
  </si>
  <si>
    <t>0                      UG 0447000C  755         2002</t>
  </si>
  <si>
    <t>Chemical and biological warfare : a comprehensive survey for the concerned citizen / Eric Croddy.</t>
  </si>
  <si>
    <t>Croddy, Eric, 1966-</t>
  </si>
  <si>
    <t>New York : Copernicus Books, ©2002.</t>
  </si>
  <si>
    <t>837083887:eng</t>
  </si>
  <si>
    <t>48162561</t>
  </si>
  <si>
    <t>ocm48162561</t>
  </si>
  <si>
    <t>31021636953</t>
  </si>
  <si>
    <t>9780387950761</t>
  </si>
  <si>
    <t>793717272</t>
  </si>
  <si>
    <t>UG447 H255 1986</t>
  </si>
  <si>
    <t>0                      UG 0447000H  255         1986</t>
  </si>
  <si>
    <t>The poisonous cloud : chemical warfare in the First World War / L.F. Haber.</t>
  </si>
  <si>
    <t>Haber, L. F. (Ludwig Fritz)</t>
  </si>
  <si>
    <t>Oxford [Oxfordshire] : Clarendon Press ; New York : Oxford University Press, 1986.</t>
  </si>
  <si>
    <t>807121383:eng</t>
  </si>
  <si>
    <t>12051072</t>
  </si>
  <si>
    <t>ocm12051072</t>
  </si>
  <si>
    <t>31023241240</t>
  </si>
  <si>
    <t>9780198581420</t>
  </si>
  <si>
    <t>792798615</t>
  </si>
  <si>
    <t>UG447 H42</t>
  </si>
  <si>
    <t>0                      UG 0447000H  42</t>
  </si>
  <si>
    <t>Chemical and biological warfare : America's hidden arsenal / by Seymour M. Hersh.</t>
  </si>
  <si>
    <t>Hersh, Seymour M., author.</t>
  </si>
  <si>
    <t>Indianapolis : The Bobbs-Merrill Company, [1968]</t>
  </si>
  <si>
    <t>2010-02-19</t>
  </si>
  <si>
    <t>1320374:eng</t>
  </si>
  <si>
    <t>313596</t>
  </si>
  <si>
    <t>ocm00313596</t>
  </si>
  <si>
    <t>3103147679W</t>
  </si>
  <si>
    <t>791333663</t>
  </si>
  <si>
    <t>30010460133</t>
  </si>
  <si>
    <t>791333664</t>
  </si>
  <si>
    <t>UG447 H62 2002</t>
  </si>
  <si>
    <t>0                      UG 0447000H  62          2002</t>
  </si>
  <si>
    <t>Handbook of chemical warfare and terrorism / Steven L. Hoenig.</t>
  </si>
  <si>
    <t>Hoenig, Steven L., 1957-</t>
  </si>
  <si>
    <t>Westport, Conn. : Greenwood Press, 2002.</t>
  </si>
  <si>
    <t>1003697:eng</t>
  </si>
  <si>
    <t>49647868</t>
  </si>
  <si>
    <t>ocm49647868</t>
  </si>
  <si>
    <t>3102272079J</t>
  </si>
  <si>
    <t>9780313324079</t>
  </si>
  <si>
    <t>793744786</t>
  </si>
  <si>
    <t>UG447 L4 1923a</t>
  </si>
  <si>
    <t>0                      UG 0447000L  4           1923a</t>
  </si>
  <si>
    <t>The riddle of the Rhine : chemical strategy in peace and war : an account of the critical struggle for power and for the decisive war initiative, the campaign fostered by the great Rhine factories and the pressing problems which they represent, a matter of pre-eminent public interest concerning the sincerity of disarmament, the future of warfare, and the stability of peace / by Victor Lefebure ; with a preface by Marshal Foch and an introduction by Field-Marshal Sir Henry Wilson.</t>
  </si>
  <si>
    <t>Lefebure, Victor.</t>
  </si>
  <si>
    <t>New York City : Chemical Foundation, Inc., ©1923.</t>
  </si>
  <si>
    <t>1923</t>
  </si>
  <si>
    <t>792947665:eng</t>
  </si>
  <si>
    <t>1475439</t>
  </si>
  <si>
    <t>ocm01475439</t>
  </si>
  <si>
    <t>3000713942Q</t>
  </si>
  <si>
    <t>791641573</t>
  </si>
  <si>
    <t>UG447 P756 1997</t>
  </si>
  <si>
    <t>0                      UG 0447000P  756         1997</t>
  </si>
  <si>
    <t>The chemical weapons taboo / Richard M. Price.</t>
  </si>
  <si>
    <t>Price, Richard M. (Richard MacKay), 1964-</t>
  </si>
  <si>
    <t>Ithaca : Cornell University Press, 1997.</t>
  </si>
  <si>
    <t>44285804:eng</t>
  </si>
  <si>
    <t>36191915</t>
  </si>
  <si>
    <t>ocm36191915</t>
  </si>
  <si>
    <t>3101829097D</t>
  </si>
  <si>
    <t>9780801433061</t>
  </si>
  <si>
    <t>793468887</t>
  </si>
  <si>
    <t>UG447 R498 1992</t>
  </si>
  <si>
    <t>0                      UG 0447000R  498         1992</t>
  </si>
  <si>
    <t>Chemical soldiers : British gas warfare in World War I / Donald Richter.</t>
  </si>
  <si>
    <t>Richter, Donald C., 1934-</t>
  </si>
  <si>
    <t>2015-05-26</t>
  </si>
  <si>
    <t>836892582:eng</t>
  </si>
  <si>
    <t>25675127</t>
  </si>
  <si>
    <t>ocm25675127</t>
  </si>
  <si>
    <t>3100999166G</t>
  </si>
  <si>
    <t>9780700605446</t>
  </si>
  <si>
    <t>793227468</t>
  </si>
  <si>
    <t>UG447 S35 2015</t>
  </si>
  <si>
    <t>0                      UG 0447000S  35          2015</t>
  </si>
  <si>
    <t>Secret science : a century of poison warfare and human experiments / Ulf Schmidt.</t>
  </si>
  <si>
    <t>Schmidt, Ulf, 1967- author.</t>
  </si>
  <si>
    <t>Oxford, United Kingdom : Oxford University Press, 2015.</t>
  </si>
  <si>
    <t>2276241251:eng</t>
  </si>
  <si>
    <t>914324716</t>
  </si>
  <si>
    <t>ocn914324716</t>
  </si>
  <si>
    <t>31038097280</t>
  </si>
  <si>
    <t>9780199299799</t>
  </si>
  <si>
    <t>795000117</t>
  </si>
  <si>
    <t>UG447 S64 1986</t>
  </si>
  <si>
    <t>0                      UG 0447000S  64          1986</t>
  </si>
  <si>
    <t>Chemical warfare / Edward M. Spiers.</t>
  </si>
  <si>
    <t>Spiers, Edward M.</t>
  </si>
  <si>
    <t>Urbana : University of Illinois Press, ©1986.</t>
  </si>
  <si>
    <t>4949344:eng</t>
  </si>
  <si>
    <t>12238396</t>
  </si>
  <si>
    <t>ocm12238396</t>
  </si>
  <si>
    <t>3000474637B</t>
  </si>
  <si>
    <t>9780252012730</t>
  </si>
  <si>
    <t>792807400</t>
  </si>
  <si>
    <t>UG447 S72 1971</t>
  </si>
  <si>
    <t>0                      UG 0447000S  72          1971</t>
  </si>
  <si>
    <t>The problem of chemical and biological warfare; a study of the historical, technical, military, legal and political aspects of CBW, and possible disarmament measures.</t>
  </si>
  <si>
    <t>Stockholm, Almqvist &amp; Wiksell; New York, Humanities Press [1971-75]</t>
  </si>
  <si>
    <t>3134629790:eng</t>
  </si>
  <si>
    <t>277801</t>
  </si>
  <si>
    <t>ocm00277801</t>
  </si>
  <si>
    <t>3000405803K</t>
  </si>
  <si>
    <t>9780391002005</t>
  </si>
  <si>
    <t>791321097</t>
  </si>
  <si>
    <t>2004-05-03</t>
  </si>
  <si>
    <t>3100136224O</t>
  </si>
  <si>
    <t>791321091</t>
  </si>
  <si>
    <t>2007-06-01</t>
  </si>
  <si>
    <t>31008494567</t>
  </si>
  <si>
    <t>791321092</t>
  </si>
  <si>
    <t>2001-11-29</t>
  </si>
  <si>
    <t>3100849452F</t>
  </si>
  <si>
    <t>791321096</t>
  </si>
  <si>
    <t>3100136225M</t>
  </si>
  <si>
    <t>791321090</t>
  </si>
  <si>
    <t>2007-12-06</t>
  </si>
  <si>
    <t>31008494559</t>
  </si>
  <si>
    <t>791321093</t>
  </si>
  <si>
    <t>3100849454B</t>
  </si>
  <si>
    <t>791321094</t>
  </si>
  <si>
    <t>3100849453D</t>
  </si>
  <si>
    <t>791321095</t>
  </si>
  <si>
    <t>UG447 S73 1980</t>
  </si>
  <si>
    <t>0                      UG 0447000S  73          1980</t>
  </si>
  <si>
    <t>Chemical weapons : destruction and conversion / SIPRI, Stockholm International Peace Research Institute.</t>
  </si>
  <si>
    <t>London : Taylor &amp; Francis ; New York : Crane, Russak, 1980.</t>
  </si>
  <si>
    <t>8910294415:eng</t>
  </si>
  <si>
    <t>6197010</t>
  </si>
  <si>
    <t>ocm06197010</t>
  </si>
  <si>
    <t>3000328665N</t>
  </si>
  <si>
    <t>9780844813493</t>
  </si>
  <si>
    <t>792482497</t>
  </si>
  <si>
    <t>UG447.8 B34 2002</t>
  </si>
  <si>
    <t>0                      UG 0447800B  34          2002</t>
  </si>
  <si>
    <t>The plague makers : the secret world of biological warfare / Wendy Barnaby.</t>
  </si>
  <si>
    <t>Barnaby, Wendy.</t>
  </si>
  <si>
    <t>New York : Continuum, ©2002.</t>
  </si>
  <si>
    <t>1024190:eng</t>
  </si>
  <si>
    <t>50208089</t>
  </si>
  <si>
    <t>ocm50208089</t>
  </si>
  <si>
    <t>3102205907T</t>
  </si>
  <si>
    <t>9780826414151</t>
  </si>
  <si>
    <t>793757996</t>
  </si>
  <si>
    <t>UG447.8 B56 1986</t>
  </si>
  <si>
    <t>0                      UG 0447800B  56          1986</t>
  </si>
  <si>
    <t>Biological and toxin weapons today / edited by Erhard Geissler.</t>
  </si>
  <si>
    <t>Oxford ; New York : Oxford University Press, 1986.</t>
  </si>
  <si>
    <t>350393013:eng</t>
  </si>
  <si>
    <t>13642811</t>
  </si>
  <si>
    <t>ocm13642811</t>
  </si>
  <si>
    <t>3102042844$</t>
  </si>
  <si>
    <t>9780198291084</t>
  </si>
  <si>
    <t>792861042</t>
  </si>
  <si>
    <t>UG447.8 E275 2011</t>
  </si>
  <si>
    <t>0                      UG 0447800E  275         2011</t>
  </si>
  <si>
    <t>Early observations on possible defenses by the emerging threat agent project / Bruce W. Bennett [and others].</t>
  </si>
  <si>
    <t>Occasional paper ; OP-290-DTRA</t>
  </si>
  <si>
    <t>867831587:eng</t>
  </si>
  <si>
    <t>701806484</t>
  </si>
  <si>
    <t>ocn701806484</t>
  </si>
  <si>
    <t>3103394623H</t>
  </si>
  <si>
    <t>9780833050700</t>
  </si>
  <si>
    <t>794863475</t>
  </si>
  <si>
    <t>UG447.8 E53 1998</t>
  </si>
  <si>
    <t>0                      UG 0447800E  53          1998</t>
  </si>
  <si>
    <t>The United States and biological warfare : secrets from the early cold war and Korea / Stephen Endicott and Edward Hagerman.</t>
  </si>
  <si>
    <t>Endicott, Stephen Lyon, 1928-</t>
  </si>
  <si>
    <t>Bloomington : Indiana University Press, ©1998.</t>
  </si>
  <si>
    <t>2017-05-29</t>
  </si>
  <si>
    <t>143386921:eng</t>
  </si>
  <si>
    <t>39465223</t>
  </si>
  <si>
    <t>ocm39465223</t>
  </si>
  <si>
    <t>3101970270X</t>
  </si>
  <si>
    <t>9780253334725</t>
  </si>
  <si>
    <t>793546296</t>
  </si>
  <si>
    <t>UG449 B7</t>
  </si>
  <si>
    <t>0                      UG 0449000B  7</t>
  </si>
  <si>
    <t>Modern camouflage : the new science of protective concealment / by Robert P. Breckenridge ... with a foreword by Brigadier General U.S. Grant, 3d.</t>
  </si>
  <si>
    <t>Breckenridge, Robert P.</t>
  </si>
  <si>
    <t>New York ; Toronto : Farrar &amp; Rinehart, Inc., [1942]</t>
  </si>
  <si>
    <t>2016-05-26</t>
  </si>
  <si>
    <t>2355134:eng</t>
  </si>
  <si>
    <t>1472974</t>
  </si>
  <si>
    <t>ocm01472974</t>
  </si>
  <si>
    <t>3102952242O</t>
  </si>
  <si>
    <t>791641167</t>
  </si>
  <si>
    <t>UG449 C48</t>
  </si>
  <si>
    <t>0                      UG 0449000C  48</t>
  </si>
  <si>
    <t>The art of camouflage, by Lieut.-Colonel C.H.R. Chesney ... With four chapters written by J. Huddlestone.</t>
  </si>
  <si>
    <t>Chesney, Clement Hope Rawdon, 1883-</t>
  </si>
  <si>
    <t>London, R. Hale Ltd. [1941]</t>
  </si>
  <si>
    <t>2578091:eng</t>
  </si>
  <si>
    <t>2001881</t>
  </si>
  <si>
    <t>ocm02001881</t>
  </si>
  <si>
    <t>3102952243O</t>
  </si>
  <si>
    <t>792026425</t>
  </si>
  <si>
    <t>UG449 P45 1941</t>
  </si>
  <si>
    <t>0                      UG 0449000P  45          1941</t>
  </si>
  <si>
    <t>Home guard manual of camouflage, by Roland Penrose.</t>
  </si>
  <si>
    <t>Penrose, Roland.</t>
  </si>
  <si>
    <t>London, G. Routledge &amp; Sons, Ltd. [1941]</t>
  </si>
  <si>
    <t>8701061:eng</t>
  </si>
  <si>
    <t>3185312</t>
  </si>
  <si>
    <t>ocm03185312</t>
  </si>
  <si>
    <t>3103049669W</t>
  </si>
  <si>
    <t>792226914</t>
  </si>
  <si>
    <t>UG460 I584 2012</t>
  </si>
  <si>
    <t>0                      UG 0460000I  584         2012</t>
  </si>
  <si>
    <t>Defence sites : heritage and future / editors, C. Clark, C.A. Brebbia.</t>
  </si>
  <si>
    <t>International Conference on Defence Sites: Heritage and Future (1st : 2012 : Portsmouth, England)</t>
  </si>
  <si>
    <t>Southampton [England] ; Boston : WIT Press : WIT eLibrary, [2012]</t>
  </si>
  <si>
    <t>WIT transactions on the built environment, 1746-4498 ; volume 123</t>
  </si>
  <si>
    <t>1121080181:eng</t>
  </si>
  <si>
    <t>741023650</t>
  </si>
  <si>
    <t>ocn741023650</t>
  </si>
  <si>
    <t>3103455287R</t>
  </si>
  <si>
    <t>9781845645908</t>
  </si>
  <si>
    <t>794883531</t>
  </si>
  <si>
    <t>UG475 B87 1986</t>
  </si>
  <si>
    <t>0                      UG 0475000B  87          1986</t>
  </si>
  <si>
    <t>Deep black : space espionage and national security / William E. Burrows.</t>
  </si>
  <si>
    <t>Burrows, William E., 1937-</t>
  </si>
  <si>
    <t>New York : Random House, ©1986.</t>
  </si>
  <si>
    <t>3943305790:eng</t>
  </si>
  <si>
    <t>13581120</t>
  </si>
  <si>
    <t>ocm13581120</t>
  </si>
  <si>
    <t>3000525331G</t>
  </si>
  <si>
    <t>9780394541242</t>
  </si>
  <si>
    <t>792858691</t>
  </si>
  <si>
    <t>UG476 L36 2011</t>
  </si>
  <si>
    <t>0                      UG 0476000L  36          2011</t>
  </si>
  <si>
    <t>A Cold War tourist and his camera / Martha Langford and John Langford.</t>
  </si>
  <si>
    <t>Langford, Martha.</t>
  </si>
  <si>
    <t>Montréal : McGill-Queen's University Press, ©2011.</t>
  </si>
  <si>
    <t>674462713:eng</t>
  </si>
  <si>
    <t>667805538</t>
  </si>
  <si>
    <t>ocn667805538</t>
  </si>
  <si>
    <t>3103268046$</t>
  </si>
  <si>
    <t>9780773538214</t>
  </si>
  <si>
    <t>794845657</t>
  </si>
  <si>
    <t>UG478 D4 1990</t>
  </si>
  <si>
    <t>0                      UG 0478000D  4           1990</t>
  </si>
  <si>
    <t>War in the age of intelligent machines / by Manuel de Landa.</t>
  </si>
  <si>
    <t>De Landa, Manuel.</t>
  </si>
  <si>
    <t>New York, N.Y. : Zone Books, 1990.</t>
  </si>
  <si>
    <t>2015-03-11</t>
  </si>
  <si>
    <t>22670455:eng</t>
  </si>
  <si>
    <t>427893183</t>
  </si>
  <si>
    <t>ocn427893183</t>
  </si>
  <si>
    <t>3102173613P</t>
  </si>
  <si>
    <t>9780942299755</t>
  </si>
  <si>
    <t>794706426</t>
  </si>
  <si>
    <t>31011124049</t>
  </si>
  <si>
    <t>794706427</t>
  </si>
  <si>
    <t>UG479 C53 2015</t>
  </si>
  <si>
    <t>0                      UG 0479000C  53          2015</t>
  </si>
  <si>
    <t>A theory of the drone / Gregoire Chamayou ; translated by Janet Lloyd.</t>
  </si>
  <si>
    <t>Chamayou, Grégoire.</t>
  </si>
  <si>
    <t>New York : The New Press, [2015]</t>
  </si>
  <si>
    <t>1332317330:eng</t>
  </si>
  <si>
    <t>890011437</t>
  </si>
  <si>
    <t>ocn890011437</t>
  </si>
  <si>
    <t>3103612689R</t>
  </si>
  <si>
    <t>9781595589750</t>
  </si>
  <si>
    <t>794978789</t>
  </si>
  <si>
    <t>UG490 C43 2010</t>
  </si>
  <si>
    <t>0                      UG 0490000C  43          2010</t>
  </si>
  <si>
    <t>A gender perspective on landmine management in Kampuchea / Jean Chapman.</t>
  </si>
  <si>
    <t>Chapman, Jean.</t>
  </si>
  <si>
    <t>Saarbrücken, Germany : LAP Lambert Academic Publishing, ©2010.</t>
  </si>
  <si>
    <t>866909100:eng</t>
  </si>
  <si>
    <t>713041180</t>
  </si>
  <si>
    <t>ocn713041180</t>
  </si>
  <si>
    <t>31033344706</t>
  </si>
  <si>
    <t>9783843359719</t>
  </si>
  <si>
    <t>794872518</t>
  </si>
  <si>
    <t>UG490 T62 1998</t>
  </si>
  <si>
    <t>0                      UG 0490000T  62          1998</t>
  </si>
  <si>
    <t>To walk without fear : the global movement to ban landmines / edited by Maxwell A. Cameron, Robert J. Lawson, and Brian W. Tomlin.</t>
  </si>
  <si>
    <t>Toronto ; New York : Oxford University Press, 1998.</t>
  </si>
  <si>
    <t>2017-03-11</t>
  </si>
  <si>
    <t>836979625:eng</t>
  </si>
  <si>
    <t>39662622</t>
  </si>
  <si>
    <t>ocm39662622</t>
  </si>
  <si>
    <t>31023544713</t>
  </si>
  <si>
    <t>9780195414141</t>
  </si>
  <si>
    <t>793550411</t>
  </si>
  <si>
    <t>2007-11-13</t>
  </si>
  <si>
    <t>3101953888O</t>
  </si>
  <si>
    <t>793550410</t>
  </si>
  <si>
    <t>UG615 U86 2013</t>
  </si>
  <si>
    <t>0                      UG 0615000U  86          2013</t>
  </si>
  <si>
    <t>U.S. Navy employment options for unmanned surface vehicles (USVs) / Scott Savitz [and fourteen others].</t>
  </si>
  <si>
    <t>Savitz, Scott, author.</t>
  </si>
  <si>
    <t>1749219174:eng</t>
  </si>
  <si>
    <t>867481355</t>
  </si>
  <si>
    <t>ocn867481355</t>
  </si>
  <si>
    <t>31035180358</t>
  </si>
  <si>
    <t>9780833081438</t>
  </si>
  <si>
    <t>794963904</t>
  </si>
  <si>
    <t>UG618 A76 2011</t>
  </si>
  <si>
    <t>0                      UG 0618000A  76          2011</t>
  </si>
  <si>
    <t>Army Tactical Wheeled Vehicles : Current Fleet Profiles and Potential Strategy Implications / Carolyn Wong, Louis R. Moore, Elvira N. Loredo, Aimee Bower, Brian Pascuzzi, Keenan D. Yoho.</t>
  </si>
  <si>
    <t>Wong, Carolyn, 1952-</t>
  </si>
  <si>
    <t>Technical report ; TR-890</t>
  </si>
  <si>
    <t>864086009:eng</t>
  </si>
  <si>
    <t>704340501</t>
  </si>
  <si>
    <t>ocn704340501</t>
  </si>
  <si>
    <t>3103355772K</t>
  </si>
  <si>
    <t>9780833050939</t>
  </si>
  <si>
    <t>794865450</t>
  </si>
  <si>
    <t>UG618 U6 2011</t>
  </si>
  <si>
    <t>0                      UG 0618000U  6           2011</t>
  </si>
  <si>
    <t>The U.S. combat and tactical wheeled vehicle fleets : issues and suggestions for Congress / Terrence K. Kelly [and others].</t>
  </si>
  <si>
    <t>Rand Corporation monograph series ; MG-1093-OSD</t>
  </si>
  <si>
    <t>2909311433:eng</t>
  </si>
  <si>
    <t>704340508</t>
  </si>
  <si>
    <t>ocn704340508</t>
  </si>
  <si>
    <t>3103334220M</t>
  </si>
  <si>
    <t>9780833051738</t>
  </si>
  <si>
    <t>794865451</t>
  </si>
  <si>
    <t>UG626.2 F34 A3 2004</t>
  </si>
  <si>
    <t>0                      UG 0626200F  34                 A  3           2004</t>
  </si>
  <si>
    <t>Falkenjahre : Erinnerungen 1910-2003 / Wolfgang Falck ; herausgegeben von Kurt Braatz.</t>
  </si>
  <si>
    <t>Falck, Wolfgang.</t>
  </si>
  <si>
    <t>Moosburg : NeunundzwanzigSechs Verlag, 2004.</t>
  </si>
  <si>
    <t>3. Aufl.</t>
  </si>
  <si>
    <t>2016-01-13</t>
  </si>
  <si>
    <t>261825158:ger</t>
  </si>
  <si>
    <t>724649801</t>
  </si>
  <si>
    <t>ocn724649801</t>
  </si>
  <si>
    <t>3103338827P</t>
  </si>
  <si>
    <t>9783980793520</t>
  </si>
  <si>
    <t>794876500</t>
  </si>
  <si>
    <t>UG626.2 S73 B73 2005</t>
  </si>
  <si>
    <t>0                      UG 0626200S  73                 B  73          2005</t>
  </si>
  <si>
    <t>Melitta Gräfin Stauffenberg : das Leben einer Fliegerin / Gerhard Bracke.</t>
  </si>
  <si>
    <t>Bracke, Gerhard.</t>
  </si>
  <si>
    <t>Köln : Komet, [2005?]</t>
  </si>
  <si>
    <t>2019-02-26</t>
  </si>
  <si>
    <t>897949183:ger</t>
  </si>
  <si>
    <t>724616918</t>
  </si>
  <si>
    <t>ocn724616918</t>
  </si>
  <si>
    <t>3103338749O</t>
  </si>
  <si>
    <t>9783898364492</t>
  </si>
  <si>
    <t>794876384</t>
  </si>
  <si>
    <t>UG626.2 W46 A36 1977</t>
  </si>
  <si>
    <t>0                      UG 0626200W  46                 A  36          1977</t>
  </si>
  <si>
    <t>On eagles' wings : the personal story of the leading commander of the Israeli Air Force / Ezer Weizman.</t>
  </si>
  <si>
    <t>Weizman, Ezer, 1924-2005.</t>
  </si>
  <si>
    <t>New York : MacMillan, 1977, ©1976.</t>
  </si>
  <si>
    <t>52425025:eng</t>
  </si>
  <si>
    <t>2373481</t>
  </si>
  <si>
    <t>ocm02373481</t>
  </si>
  <si>
    <t>3103643545S</t>
  </si>
  <si>
    <t>9780026257909</t>
  </si>
  <si>
    <t>792111525</t>
  </si>
  <si>
    <t>UG630 H63</t>
  </si>
  <si>
    <t>0                      UG 0630000H  63</t>
  </si>
  <si>
    <t>Die Waffen der Luftstreitkräfte, von ingenieur Fritz Hohm. Mit 247 Zeichnungen und Abbildungen im Text.</t>
  </si>
  <si>
    <t>Hohm, Fritz.</t>
  </si>
  <si>
    <t>Berlin, Verlag "Offene Worte", 1935.</t>
  </si>
  <si>
    <t>1935</t>
  </si>
  <si>
    <t>2019-01-14</t>
  </si>
  <si>
    <t>424506405:ger</t>
  </si>
  <si>
    <t>3676183</t>
  </si>
  <si>
    <t>ocm03676183</t>
  </si>
  <si>
    <t>30007456802</t>
  </si>
  <si>
    <t>792279874</t>
  </si>
  <si>
    <t>UG630 S64 1939</t>
  </si>
  <si>
    <t>0                      UG 0630000S  64          1939</t>
  </si>
  <si>
    <t>Ahriman : a study in air bombardment / by Oliver Lyman Spaulding.</t>
  </si>
  <si>
    <t>Boston : World Peace Foundation, 1939.</t>
  </si>
  <si>
    <t>2018-08-13</t>
  </si>
  <si>
    <t>2589664:eng</t>
  </si>
  <si>
    <t>1713427</t>
  </si>
  <si>
    <t>ocm01713427</t>
  </si>
  <si>
    <t>3101827491J</t>
  </si>
  <si>
    <t>791842140</t>
  </si>
  <si>
    <t>UG630 T38</t>
  </si>
  <si>
    <t>0                      UG 0630000T  38</t>
  </si>
  <si>
    <t>Planned A.R.P. Based on the investigation of structural protection against air attack in the metropolitan borough of Finsbury, by Tecton, architects.</t>
  </si>
  <si>
    <t>Tecton (Firm)</t>
  </si>
  <si>
    <t>Westminster [London] architectural Press, 1939.</t>
  </si>
  <si>
    <t>2016-12-20</t>
  </si>
  <si>
    <t>500129262:eng</t>
  </si>
  <si>
    <t>1986116</t>
  </si>
  <si>
    <t>ocm01986116</t>
  </si>
  <si>
    <t>3102952248O</t>
  </si>
  <si>
    <t>792023393</t>
  </si>
  <si>
    <t>UG632 M84 2013</t>
  </si>
  <si>
    <t>0                      UG 0632000M  84          2013</t>
  </si>
  <si>
    <t>Denying flight : strategic options for employing no-fly zones / Karl P. Mueller.</t>
  </si>
  <si>
    <t>Mueller, Karl P.</t>
  </si>
  <si>
    <t>1435202878:eng</t>
  </si>
  <si>
    <t>864299625</t>
  </si>
  <si>
    <t>ocn864299625</t>
  </si>
  <si>
    <t>3103564500R</t>
  </si>
  <si>
    <t>9780833081780</t>
  </si>
  <si>
    <t>794961784</t>
  </si>
  <si>
    <t>UG633 A37784 no.155 1968</t>
  </si>
  <si>
    <t>0                      UG 0633000A  37784                                                   no.155 1968</t>
  </si>
  <si>
    <t>The German Air Force versus Russia, 1943. Edited by Harry R. Fletcher. With an introd. by Telford Taylor. Air University, USAF Historical Division, 1967.</t>
  </si>
  <si>
    <t>no.155 1968*</t>
  </si>
  <si>
    <t>Plocher, Hermann, 1901-</t>
  </si>
  <si>
    <t>New York, Arno Press [1968]</t>
  </si>
  <si>
    <t>2015-07-02</t>
  </si>
  <si>
    <t>2998050290:eng</t>
  </si>
  <si>
    <t>2478401</t>
  </si>
  <si>
    <t>ocm02478401</t>
  </si>
  <si>
    <t>30005755608</t>
  </si>
  <si>
    <t>792133089</t>
  </si>
  <si>
    <t>UG633 A37784 no.176 1968</t>
  </si>
  <si>
    <t>0                      UG 0633000A  37784                                                   no.176 1968</t>
  </si>
  <si>
    <t>Russian reactions to German airpower in World War II. With an introd. by Telford Taylor. [Maxwell Air Force Base, Ala] USAF Historical Division, Air University, 1964.</t>
  </si>
  <si>
    <t>no.176 1968*</t>
  </si>
  <si>
    <t>Uebe, Klaus, 1900-</t>
  </si>
  <si>
    <t>USAF historical studies, no. 176</t>
  </si>
  <si>
    <t>2015-07-09</t>
  </si>
  <si>
    <t>59239715:eng</t>
  </si>
  <si>
    <t>248202</t>
  </si>
  <si>
    <t>ocm00248202</t>
  </si>
  <si>
    <t>3000555031A</t>
  </si>
  <si>
    <t>791308465</t>
  </si>
  <si>
    <t>UG633 A37784 no.189 1968</t>
  </si>
  <si>
    <t>0                      UG 0633000A  37784                                                   no.189 1968</t>
  </si>
  <si>
    <t>Historical turning points in the German Air Force war effort. With an introd. by Telford Taylor. [Maxwell Air Force Base, Ala.] USAF Historical Division, Air University [1959].</t>
  </si>
  <si>
    <t>no.189 1968*</t>
  </si>
  <si>
    <t>Suchenwirth, Richard, 1896-1965.</t>
  </si>
  <si>
    <t>USAF historical studies, no. 189</t>
  </si>
  <si>
    <t>2015-08-27</t>
  </si>
  <si>
    <t>1572058:eng</t>
  </si>
  <si>
    <t>442524</t>
  </si>
  <si>
    <t>ocm00442524</t>
  </si>
  <si>
    <t>30005608796</t>
  </si>
  <si>
    <t>791379882</t>
  </si>
  <si>
    <t>UG633 A438 2010</t>
  </si>
  <si>
    <t>0                      UG 0633000A  438         2010</t>
  </si>
  <si>
    <t>Adding value to Air Force management through building partnerships assessment / Jefferson P. Marquis [and others].</t>
  </si>
  <si>
    <t>Technical report (Rand Corporation) ; TR-907-AF</t>
  </si>
  <si>
    <t>767466038:eng</t>
  </si>
  <si>
    <t>688643482</t>
  </si>
  <si>
    <t>ocn688643482</t>
  </si>
  <si>
    <t>B001394055</t>
  </si>
  <si>
    <t>9780833050892</t>
  </si>
  <si>
    <t>794854632</t>
  </si>
  <si>
    <t>UG633 A6926 2010</t>
  </si>
  <si>
    <t>0                      UG 0633000A  6926        2010</t>
  </si>
  <si>
    <t>Air Force Cyber Command (provisional) decision support / Richard Mesic [and others].</t>
  </si>
  <si>
    <t>486124380:eng</t>
  </si>
  <si>
    <t>519834350</t>
  </si>
  <si>
    <t>ocn519834350</t>
  </si>
  <si>
    <t>31032556066</t>
  </si>
  <si>
    <t>9780833048882</t>
  </si>
  <si>
    <t>794808570</t>
  </si>
  <si>
    <t>UG633 C688 2010</t>
  </si>
  <si>
    <t>0                      UG 0633000C  688         2010</t>
  </si>
  <si>
    <t>Courses of action for enhancing U.S. Air Force "irregular warfare" capabilities : a functional solutions analysis / Richard Mesic [and others].</t>
  </si>
  <si>
    <t>Santa Monica, CA : RAND, ©2010.</t>
  </si>
  <si>
    <t>Rand Corporation monograph series ; MG-913-AF</t>
  </si>
  <si>
    <t>793313077:eng</t>
  </si>
  <si>
    <t>496742298</t>
  </si>
  <si>
    <t>ocn496742298</t>
  </si>
  <si>
    <t>3103255695P</t>
  </si>
  <si>
    <t>9780833048745</t>
  </si>
  <si>
    <t>794802686</t>
  </si>
  <si>
    <t>UG633 H356 2012</t>
  </si>
  <si>
    <t>0                      UG 0633000H  356         2012</t>
  </si>
  <si>
    <t>Expendable missiles vs. reusable platform costs and historical data / Thomas Hamilton.</t>
  </si>
  <si>
    <t>Hamilton, Thomas (Physical scientist)</t>
  </si>
  <si>
    <t>Technical report ; TR-1230-AF</t>
  </si>
  <si>
    <t>1163573503:eng</t>
  </si>
  <si>
    <t>808009692</t>
  </si>
  <si>
    <t>ocn808009692</t>
  </si>
  <si>
    <t>3103441025T</t>
  </si>
  <si>
    <t>9780833074553</t>
  </si>
  <si>
    <t>794927350</t>
  </si>
  <si>
    <t>UG633 M296 2011</t>
  </si>
  <si>
    <t>0                      UG 0633000M  296         2011</t>
  </si>
  <si>
    <t>Managing Air Force joint expeditionary taskings in an uncertain environment / John A. Ausink [and others].</t>
  </si>
  <si>
    <t>Santa Monica, CA. : RAND Corp., 2011.</t>
  </si>
  <si>
    <t>Report (RAND Corporation) ; TR-808-AF</t>
  </si>
  <si>
    <t>666094341:eng</t>
  </si>
  <si>
    <t>666573555</t>
  </si>
  <si>
    <t>ocn666573555</t>
  </si>
  <si>
    <t>3103346638W</t>
  </si>
  <si>
    <t>9780833049476</t>
  </si>
  <si>
    <t>794845293</t>
  </si>
  <si>
    <t>UG633 M3445 2012</t>
  </si>
  <si>
    <t>0                      UG 0633000M  3445        2012</t>
  </si>
  <si>
    <t>Methodology for constructing a modernization roadmap for Air Force automatic test systems / Lionel A. Galway [and others].</t>
  </si>
  <si>
    <t>Report ; TR-1147-AF</t>
  </si>
  <si>
    <t>1077287389:eng</t>
  </si>
  <si>
    <t>774982570</t>
  </si>
  <si>
    <t>ocn774982570</t>
  </si>
  <si>
    <t>31034397826</t>
  </si>
  <si>
    <t>9780833058997</t>
  </si>
  <si>
    <t>794907082</t>
  </si>
  <si>
    <t>UG633 P474 2012</t>
  </si>
  <si>
    <t>0                      UG 0633000P  474         2012</t>
  </si>
  <si>
    <t>Understanding country planning : a guide for Air Force component planners / Heather Peterson, Joe Hogler.</t>
  </si>
  <si>
    <t>Peterson, Heather.</t>
  </si>
  <si>
    <t>Santa Monica, California : Rand Corporation, [2012]</t>
  </si>
  <si>
    <t>Technical report ; TR-1186-AF</t>
  </si>
  <si>
    <t>1148531650:eng</t>
  </si>
  <si>
    <t>802326840</t>
  </si>
  <si>
    <t>ocn802326840</t>
  </si>
  <si>
    <t>3103467247M</t>
  </si>
  <si>
    <t>9780833060280</t>
  </si>
  <si>
    <t>794925706</t>
  </si>
  <si>
    <t>UG633 R3925 2010</t>
  </si>
  <si>
    <t>0                      UG 0633000R  3925        2010</t>
  </si>
  <si>
    <t>Reflecting warfighter needs in Air Force programs : prototype analysis / Paul K. Davis [and others].</t>
  </si>
  <si>
    <t>RAND Corporation report series ; TR-754-AF</t>
  </si>
  <si>
    <t>766930419:eng</t>
  </si>
  <si>
    <t>649827266</t>
  </si>
  <si>
    <t>ocn649827266</t>
  </si>
  <si>
    <t>31032995560</t>
  </si>
  <si>
    <t>9780833049490</t>
  </si>
  <si>
    <t>794832024</t>
  </si>
  <si>
    <t>UG633 S457 1987</t>
  </si>
  <si>
    <t>0                      UG 0633000S  457         1987</t>
  </si>
  <si>
    <t>The rise of American air power : the creation of Armageddon / Michael S. Sherry.</t>
  </si>
  <si>
    <t>New Haven : Yale University Press, 1987.</t>
  </si>
  <si>
    <t>2019-04-20</t>
  </si>
  <si>
    <t>7523968:eng</t>
  </si>
  <si>
    <t>14130372</t>
  </si>
  <si>
    <t>ocm14130372</t>
  </si>
  <si>
    <t>3103087852G</t>
  </si>
  <si>
    <t>9780300036008</t>
  </si>
  <si>
    <t>792879094</t>
  </si>
  <si>
    <t>UG633 S59 2013</t>
  </si>
  <si>
    <t>0                      UG 0633000S  59          2013</t>
  </si>
  <si>
    <t>Sustaining the U.S. Air Force nuclear mission / Don Snyder, Sarah Nowak, Mahyar A. Amouzegar, Julie Kim, Richard Mesic.</t>
  </si>
  <si>
    <t>Snyder, Don, 1962-</t>
  </si>
  <si>
    <t>Report ; TR-1240-AF</t>
  </si>
  <si>
    <t>1371846689:eng</t>
  </si>
  <si>
    <t>845349900</t>
  </si>
  <si>
    <t>ocn845349900</t>
  </si>
  <si>
    <t>3103564574D</t>
  </si>
  <si>
    <t>9780833078520</t>
  </si>
  <si>
    <t>794948989</t>
  </si>
  <si>
    <t>UG633 S77</t>
  </si>
  <si>
    <t>0                      UG 0633000S  77</t>
  </si>
  <si>
    <t>Bombs away; the story of a bomber team, written for the United States Army Air Forces by John Steinbeck, with 60 photographs by John Swope.</t>
  </si>
  <si>
    <t>Steinbeck, John, 1902-1968.</t>
  </si>
  <si>
    <t>New York, The Viking Press, 1942.</t>
  </si>
  <si>
    <t>2016-12-09</t>
  </si>
  <si>
    <t>1821914:eng</t>
  </si>
  <si>
    <t>745538</t>
  </si>
  <si>
    <t>ocm00745538</t>
  </si>
  <si>
    <t>30005608869</t>
  </si>
  <si>
    <t>791460025</t>
  </si>
  <si>
    <t>UG633 W67 2012</t>
  </si>
  <si>
    <t>0                      UG 0633000W  67          2012</t>
  </si>
  <si>
    <t>Working with allies and partners : a cost-based analysis of U.S. Air Forces in Europe / Jennifer D.P. Moroney, Patrick Mills, David T. Orletsky, David E. Thaler.</t>
  </si>
  <si>
    <t>Moroney, Jennifer D. P., 1973- author.</t>
  </si>
  <si>
    <t>Santa Monica, CA : Rand Corporation, [2012]</t>
  </si>
  <si>
    <t>Technical report ; TR-1241-AF</t>
  </si>
  <si>
    <t>1173802065:eng</t>
  </si>
  <si>
    <t>813931976</t>
  </si>
  <si>
    <t>ocn813931976</t>
  </si>
  <si>
    <t>31035063794</t>
  </si>
  <si>
    <t>9780833076250</t>
  </si>
  <si>
    <t>794931996</t>
  </si>
  <si>
    <t>UG633 Y43 2011</t>
  </si>
  <si>
    <t>0                      UG 0633000Y  43          2011</t>
  </si>
  <si>
    <t>Year of the Air Force family : 2009 survey of active-duty spouses / Laura L. Miller [and others].</t>
  </si>
  <si>
    <t>Technical report ; TR-879-AF</t>
  </si>
  <si>
    <t>815111315:eng</t>
  </si>
  <si>
    <t>699009815</t>
  </si>
  <si>
    <t>ocn699009815</t>
  </si>
  <si>
    <t>3103369082I</t>
  </si>
  <si>
    <t>9780833050960</t>
  </si>
  <si>
    <t>794861326</t>
  </si>
  <si>
    <t>UG633.2 I6 2006</t>
  </si>
  <si>
    <t>0                      UG 0633200I  6           2006</t>
  </si>
  <si>
    <t>Impossible certainty : cost risk analysis for Air Force systems / Mark V. Arena [and others].</t>
  </si>
  <si>
    <t>137538689:eng</t>
  </si>
  <si>
    <t>61757988</t>
  </si>
  <si>
    <t>ocm61757988</t>
  </si>
  <si>
    <t>31026209721</t>
  </si>
  <si>
    <t>9780833038630</t>
  </si>
  <si>
    <t>794098052</t>
  </si>
  <si>
    <t>UG633.2 I63 2012</t>
  </si>
  <si>
    <t>0                      UG 0633200I  63          2012</t>
  </si>
  <si>
    <t>Improving Air Force depot programming by linking resources to capabilities / Don Snyder [and others].</t>
  </si>
  <si>
    <t>Report ; TR-905-AF</t>
  </si>
  <si>
    <t>1183361939:eng</t>
  </si>
  <si>
    <t>794228003</t>
  </si>
  <si>
    <t>ocn794228003</t>
  </si>
  <si>
    <t>3103141576M</t>
  </si>
  <si>
    <t>9780833059673</t>
  </si>
  <si>
    <t>794919405</t>
  </si>
  <si>
    <t>UG633.2 R57 2013</t>
  </si>
  <si>
    <t>0                      UG 0633200R  57          2013</t>
  </si>
  <si>
    <t>Improving Air Force enterprise resource planning-enabled business transformation / Jessie Riposo, Guy Weichenberg, Chelsea Kaihoi Duran, Bernard Fox, William Shelton, Andreas Thorsen.</t>
  </si>
  <si>
    <t>Riposo, Jessie.</t>
  </si>
  <si>
    <t>1412377538:eng</t>
  </si>
  <si>
    <t>855043625</t>
  </si>
  <si>
    <t>ocn855043625</t>
  </si>
  <si>
    <t>31035180584</t>
  </si>
  <si>
    <t>9780833080387</t>
  </si>
  <si>
    <t>794953062</t>
  </si>
  <si>
    <t>UG634.49 A46 2002</t>
  </si>
  <si>
    <t>0                      UG 0634490A  46          2002</t>
  </si>
  <si>
    <t>Supporting expeditionary aerospace forces : alternatives for jet engine intermediate maintenance / Mahyar A. Amouzegar, Lionel A. Galway, Amanda Geller.</t>
  </si>
  <si>
    <t>Amouzegar, Mahyar A.</t>
  </si>
  <si>
    <t>2863955278:eng</t>
  </si>
  <si>
    <t>48391272</t>
  </si>
  <si>
    <t>ocm48391272</t>
  </si>
  <si>
    <t>31022055044</t>
  </si>
  <si>
    <t>9780833031037</t>
  </si>
  <si>
    <t>793720140</t>
  </si>
  <si>
    <t>UG634.49 G573 2010</t>
  </si>
  <si>
    <t>0                      UG 0634490G  573         2010</t>
  </si>
  <si>
    <t>Global combat support basing : robust prepositioning strategies for Air Force war reserve matériel / Ronald G. McGarvey [and others].</t>
  </si>
  <si>
    <t>836381573:eng</t>
  </si>
  <si>
    <t>458583012</t>
  </si>
  <si>
    <t>ocn458583012</t>
  </si>
  <si>
    <t>3103225468F</t>
  </si>
  <si>
    <t>9780833047663</t>
  </si>
  <si>
    <t>794790411</t>
  </si>
  <si>
    <t>UG634.49 P48 2013</t>
  </si>
  <si>
    <t>0                      UG 0634490P  48          2013</t>
  </si>
  <si>
    <t>The posture triangle : a new framework for U.S. Air Force global presence / Stacie L. Pettyjohn, Alan J. Vick.</t>
  </si>
  <si>
    <t>Pettyjohn, Stacie L., author.</t>
  </si>
  <si>
    <t>Santa Monica, California : Rand Corporation, [2013]</t>
  </si>
  <si>
    <t>1416063564:eng</t>
  </si>
  <si>
    <t>862883350</t>
  </si>
  <si>
    <t>ocn862883350</t>
  </si>
  <si>
    <t>3103564570D</t>
  </si>
  <si>
    <t>9780833081674</t>
  </si>
  <si>
    <t>794960663</t>
  </si>
  <si>
    <t>UG634.49 P74 2011</t>
  </si>
  <si>
    <t>0                      UG 0634490P  74          2011</t>
  </si>
  <si>
    <t>Preserving range and airspace access for the Air Force mission : striving for a strategic vantage point / William A. Williams [and others].</t>
  </si>
  <si>
    <t>text + CD-ROM</t>
  </si>
  <si>
    <t>Report ; TR-874-AF</t>
  </si>
  <si>
    <t>903477514:eng</t>
  </si>
  <si>
    <t>727074192</t>
  </si>
  <si>
    <t>ocn727074192</t>
  </si>
  <si>
    <t>3103368898X</t>
  </si>
  <si>
    <t>9780833051400</t>
  </si>
  <si>
    <t>794877706</t>
  </si>
  <si>
    <t>UG635 C2 S59 1984</t>
  </si>
  <si>
    <t>0                      UG 0635000C  2                  S  59          1984</t>
  </si>
  <si>
    <t>Sixty years : the RCAF and CF Air Command 1924-1984 / Larry Milberry, general editor.</t>
  </si>
  <si>
    <t>Toronto : CANAV Books, ©1984.</t>
  </si>
  <si>
    <t>54750848:eng</t>
  </si>
  <si>
    <t>12582777</t>
  </si>
  <si>
    <t>ocm12582777</t>
  </si>
  <si>
    <t>3000358958R</t>
  </si>
  <si>
    <t>9780969070344</t>
  </si>
  <si>
    <t>792820032</t>
  </si>
  <si>
    <t>UG635 C2 S778 2015</t>
  </si>
  <si>
    <t>0                      UG 0635000C  2                  S  778         2015</t>
  </si>
  <si>
    <t>Swords, Clunks and Widowmakers : the Tumultuous Life of the RCAF's Original 1 Canadian Air Division / Ray Stouffer.</t>
  </si>
  <si>
    <t>Stouffer, Ray, author.</t>
  </si>
  <si>
    <t>[Ottawa, ON] : Royal Canadian Air Force, [2015]</t>
  </si>
  <si>
    <t>2943732828:eng</t>
  </si>
  <si>
    <t>916492335</t>
  </si>
  <si>
    <t>ocn916492335</t>
  </si>
  <si>
    <t>31036289611</t>
  </si>
  <si>
    <t>9780660024233</t>
  </si>
  <si>
    <t>795000744</t>
  </si>
  <si>
    <t>UG635 C2 W57</t>
  </si>
  <si>
    <t>0                      UG 0635000C  2                  W  57</t>
  </si>
  <si>
    <t>The Official history of the Royal Canadian Air Force.</t>
  </si>
  <si>
    <t>[Toronto] : University of Toronto Press in co-operation with the Dept. of National Defence and the Canadian Govt. Pub. Centre, Supply and Services Canada, ©1980-&lt;c1994&gt;</t>
  </si>
  <si>
    <t>2013-07-27</t>
  </si>
  <si>
    <t>4672825170:eng</t>
  </si>
  <si>
    <t>7596341</t>
  </si>
  <si>
    <t>ocm07596341</t>
  </si>
  <si>
    <t>3000147412M</t>
  </si>
  <si>
    <t>9780802023797</t>
  </si>
  <si>
    <t>792568632</t>
  </si>
  <si>
    <t>2010-03-25</t>
  </si>
  <si>
    <t>31011862772</t>
  </si>
  <si>
    <t>792568635</t>
  </si>
  <si>
    <t>31034874662</t>
  </si>
  <si>
    <t>792568633</t>
  </si>
  <si>
    <t>2011-03-25</t>
  </si>
  <si>
    <t>3101017531L</t>
  </si>
  <si>
    <t>792568634</t>
  </si>
  <si>
    <t>2003-11-05</t>
  </si>
  <si>
    <t>30003071996</t>
  </si>
  <si>
    <t>792568631</t>
  </si>
  <si>
    <t>2005-01-27</t>
  </si>
  <si>
    <t>31013371322</t>
  </si>
  <si>
    <t>792568630</t>
  </si>
  <si>
    <t>UG635 C22 L65 2010</t>
  </si>
  <si>
    <t>0                      UG 0635000C  22                 L  65          2010</t>
  </si>
  <si>
    <t>Le 438e Escadron, 1934-2009 / Jerry Fielden, Michel Pratt.</t>
  </si>
  <si>
    <t>Fielden, Jerry, 1957-</t>
  </si>
  <si>
    <t>Montréal : Éditions Histoire Québec, [2010?]</t>
  </si>
  <si>
    <t>Collection Société historique et culturelle du Marigot</t>
  </si>
  <si>
    <t>761562913:fre</t>
  </si>
  <si>
    <t>841630624</t>
  </si>
  <si>
    <t>ocn841630624</t>
  </si>
  <si>
    <t>3103542967L</t>
  </si>
  <si>
    <t>9782895860501</t>
  </si>
  <si>
    <t>794947029</t>
  </si>
  <si>
    <t>UG635 C6 R36 2018</t>
  </si>
  <si>
    <t>0                      UG 0635000C  6                  R  36          2018</t>
  </si>
  <si>
    <t>Modern Chinese warplanes : Chinese Air Force, aircraft and units / Andreas Rupprecht.</t>
  </si>
  <si>
    <t>Rupprecht, Andreas, author.</t>
  </si>
  <si>
    <t>Houston, TX : Harpia Publishing, [2018]</t>
  </si>
  <si>
    <t>4764334159:eng</t>
  </si>
  <si>
    <t>1023093099</t>
  </si>
  <si>
    <t>on1023093099</t>
  </si>
  <si>
    <t>3103812425A</t>
  </si>
  <si>
    <t>9780997309263</t>
  </si>
  <si>
    <t>795051672</t>
  </si>
  <si>
    <t>UG635 G3 L4</t>
  </si>
  <si>
    <t>0                      UG 0635000G  3                  L  4</t>
  </si>
  <si>
    <t>Germany's air force, by Otto Lehmann-Russbueldt; with an introduction by Wickham Steed and an appendix.</t>
  </si>
  <si>
    <t>Lehmann-Russbüldt, Otto, 1873-1964.</t>
  </si>
  <si>
    <t>London, G. Allen &amp; Unwin Ltd. [1935]</t>
  </si>
  <si>
    <t>101475627:eng</t>
  </si>
  <si>
    <t>3679160</t>
  </si>
  <si>
    <t>ocm03679160</t>
  </si>
  <si>
    <t>30003059449</t>
  </si>
  <si>
    <t>792280198</t>
  </si>
  <si>
    <t>UG635 G7 D96 2012</t>
  </si>
  <si>
    <t>0                      UG 0635000G  7                  D  96          2012</t>
  </si>
  <si>
    <t>Land based air power or aircraft carriers? : a case study of the British debate about maritime air power in the 1960s / Gjert Lage Dyndal.</t>
  </si>
  <si>
    <t>Dyndal, Gjert Lage.</t>
  </si>
  <si>
    <t>Burlington, VT : Ashgate Pub. Co, ©2012.</t>
  </si>
  <si>
    <t>Corbett Centre for Maritime Policy Studies series</t>
  </si>
  <si>
    <t>1020099289:eng</t>
  </si>
  <si>
    <t>756045569</t>
  </si>
  <si>
    <t>ocn756045569</t>
  </si>
  <si>
    <t>3103469497Z</t>
  </si>
  <si>
    <t>9781409433354</t>
  </si>
  <si>
    <t>794894192</t>
  </si>
  <si>
    <t>UG635 G7 H9</t>
  </si>
  <si>
    <t>0                      UG 0635000G  7                  H  9</t>
  </si>
  <si>
    <t>British air policy between the wars, 1918-1939 / H. Montgomery Hyde ; with a foreword by John Slessor.</t>
  </si>
  <si>
    <t>London : Heinemann, ©1976.</t>
  </si>
  <si>
    <t>345808046:eng</t>
  </si>
  <si>
    <t>2654895</t>
  </si>
  <si>
    <t>ocm02654895</t>
  </si>
  <si>
    <t>3102560229I</t>
  </si>
  <si>
    <t>9780434479832</t>
  </si>
  <si>
    <t>792158502</t>
  </si>
  <si>
    <t>UG635 G7 S49 1984</t>
  </si>
  <si>
    <t>0                      UG 0635000G  7                  S  49          1984</t>
  </si>
  <si>
    <t>British air strategy between the wars / Malcolm Smith.</t>
  </si>
  <si>
    <t>Smith, Malcolm, 1947-</t>
  </si>
  <si>
    <t>Oxford [Oxfordshire] : Clarendon Press ; New York : Oxford University Press, 1984.</t>
  </si>
  <si>
    <t>2830084:eng</t>
  </si>
  <si>
    <t>10300707</t>
  </si>
  <si>
    <t>ocm10300707</t>
  </si>
  <si>
    <t>3000363478N</t>
  </si>
  <si>
    <t>9780198227670</t>
  </si>
  <si>
    <t>792718901</t>
  </si>
  <si>
    <t>UG635 I8 C64</t>
  </si>
  <si>
    <t>0                      UG 0635000I  8                  C  64</t>
  </si>
  <si>
    <t>Uomini e aerei : nella storia dell'aeronautica militare italiana / Giuliano Colliva ; illustrazioni grafiche e disegni tecnici a cura di Elio Andò ; con tavole a colori di Pietro Mazzardi.</t>
  </si>
  <si>
    <t>Colliva, Giuliano, 1939-</t>
  </si>
  <si>
    <t>Milano : Bramante editrice, ©1973.</t>
  </si>
  <si>
    <t>Storia e tecnica</t>
  </si>
  <si>
    <t>2018-03-13</t>
  </si>
  <si>
    <t>4018927:ita</t>
  </si>
  <si>
    <t>11329894</t>
  </si>
  <si>
    <t>ocm11329894</t>
  </si>
  <si>
    <t>3000561152C</t>
  </si>
  <si>
    <t>792768874</t>
  </si>
  <si>
    <t>UG635 P3 H8 1982</t>
  </si>
  <si>
    <t>0                      UG 0635000P  3                  H  8           1982</t>
  </si>
  <si>
    <t>History of the Pakistan Air Force, 1947-1982 / Syed Shabbir Hussain, M. Tariq Qureshi.</t>
  </si>
  <si>
    <t>Hussain, Syed Shabbir.</t>
  </si>
  <si>
    <t>[Place of publication not identified] : [publisher not identified], 1982</t>
  </si>
  <si>
    <t>43839048:eng</t>
  </si>
  <si>
    <t>9748813</t>
  </si>
  <si>
    <t>ocm09748813</t>
  </si>
  <si>
    <t>30003509606</t>
  </si>
  <si>
    <t>792691556</t>
  </si>
  <si>
    <t>UG638 E93 2014</t>
  </si>
  <si>
    <t>0                      UG 0638000E  93          2014</t>
  </si>
  <si>
    <t>An evaluation of the implementation and perceived utility of the Airman Resilience Training Program / Gabriella C. Gonzalez, Reema Singh, Terry L. Schell, Robin M. Weinick.</t>
  </si>
  <si>
    <t>Gonzalez, Gabriella, author.</t>
  </si>
  <si>
    <t>1907782663:eng</t>
  </si>
  <si>
    <t>881399541</t>
  </si>
  <si>
    <t>ocn881399541</t>
  </si>
  <si>
    <t>3103482494G</t>
  </si>
  <si>
    <t>9780833086280</t>
  </si>
  <si>
    <t>794974285</t>
  </si>
  <si>
    <t>UG638 I58 2011</t>
  </si>
  <si>
    <t>0                      UG 0638000I  58          2011</t>
  </si>
  <si>
    <t>Investment strategies for improving fifth-generation fighter training / John A. Ausink [and others].</t>
  </si>
  <si>
    <t>Report (Rand Corporation) ; TR-871-AF</t>
  </si>
  <si>
    <t>769718226:eng</t>
  </si>
  <si>
    <t>696561288</t>
  </si>
  <si>
    <t>ocn696561288</t>
  </si>
  <si>
    <t>3103346642U</t>
  </si>
  <si>
    <t>9780833050601</t>
  </si>
  <si>
    <t>794859193</t>
  </si>
  <si>
    <t>UG638 M318 2011</t>
  </si>
  <si>
    <t>0                      UG 0638000M  318         2011</t>
  </si>
  <si>
    <t>Customized learning : potential Air Force applications / Thomas Manacapilli, Edward O'Connell, Cheryl Benard.</t>
  </si>
  <si>
    <t>Manacapilli, Thomas.</t>
  </si>
  <si>
    <t>Santa Monica, Calif. : RAND, ©2011.</t>
  </si>
  <si>
    <t>Report ; TR-880-AF</t>
  </si>
  <si>
    <t>896261028:eng</t>
  </si>
  <si>
    <t>678924410</t>
  </si>
  <si>
    <t>ocn678924410</t>
  </si>
  <si>
    <t>3103368899X</t>
  </si>
  <si>
    <t>9780833050618</t>
  </si>
  <si>
    <t>794850576</t>
  </si>
  <si>
    <t>UG638 M37 2010</t>
  </si>
  <si>
    <t>0                      UG 0638000M  37          2010</t>
  </si>
  <si>
    <t>Targeting the occupational skill pairings needed in new Air Force colonels / S. Craig Moore, Brent Thomas, Raymond E. Conley.</t>
  </si>
  <si>
    <t>Moore, S. Craig, 1946-</t>
  </si>
  <si>
    <t>Santa Monica, Calif. : Rand Corporation, 2010.</t>
  </si>
  <si>
    <t>Technical report / RAND Corporation ; TR-759-AF</t>
  </si>
  <si>
    <t>495518392:eng</t>
  </si>
  <si>
    <t>630469393</t>
  </si>
  <si>
    <t>ocn630469393</t>
  </si>
  <si>
    <t>3103370961Q</t>
  </si>
  <si>
    <t>9780833049315</t>
  </si>
  <si>
    <t>794824513</t>
  </si>
  <si>
    <t>UG638 R43 2012</t>
  </si>
  <si>
    <t>0                      UG 0638000R  43          2012</t>
  </si>
  <si>
    <t>Reducing attrition in selected Air Force training pipelines / Thomas Manacapilli [and others].</t>
  </si>
  <si>
    <t>Rand Corporation technical report series</t>
  </si>
  <si>
    <t>1062271162:eng</t>
  </si>
  <si>
    <t>768417989</t>
  </si>
  <si>
    <t>ocn768417989</t>
  </si>
  <si>
    <t>3103485052O</t>
  </si>
  <si>
    <t>9780833052612</t>
  </si>
  <si>
    <t>794902339</t>
  </si>
  <si>
    <t>UG638 S43 2012</t>
  </si>
  <si>
    <t>0                      UG 0638000S  43          2012</t>
  </si>
  <si>
    <t>Second language skills for all? : analyzing a proposed language requirement for U.S. Air Force officers / Chaitra M. Hardison [and others].</t>
  </si>
  <si>
    <t>Report ; TR-1189-AF.</t>
  </si>
  <si>
    <t>1171670562:eng</t>
  </si>
  <si>
    <t>812531832</t>
  </si>
  <si>
    <t>ocn812531832</t>
  </si>
  <si>
    <t>3103141545S</t>
  </si>
  <si>
    <t>9780833060341</t>
  </si>
  <si>
    <t>794931045</t>
  </si>
  <si>
    <t>UG638.5 Q1 K45 2013</t>
  </si>
  <si>
    <t>0                      UG 0638500Q  1                  K  45          2013</t>
  </si>
  <si>
    <t>The mix of military and civilian faculty at the United States Air Force Academy : finding a sustainable balance for enduring success / Kirsten M. Keller, Nelson Lim, Lisa M. Harrington, Kevin O'Neill, Abigail Haddad.</t>
  </si>
  <si>
    <t>Keller, Kirsten M.</t>
  </si>
  <si>
    <t>Rand Corporation monograph series ; MG-1237-AF</t>
  </si>
  <si>
    <t>1749215145:eng</t>
  </si>
  <si>
    <t>830322035</t>
  </si>
  <si>
    <t>ocn830322035</t>
  </si>
  <si>
    <t>31034856742</t>
  </si>
  <si>
    <t>9780833076939</t>
  </si>
  <si>
    <t>794943269</t>
  </si>
  <si>
    <t>UG700 P365 1996</t>
  </si>
  <si>
    <t>0                      UG 0700000P  365         1996</t>
  </si>
  <si>
    <t>Bombing to win : air power and coercion in war / Robert A. Pape.</t>
  </si>
  <si>
    <t>Pape, Robert Anthony, 1960-</t>
  </si>
  <si>
    <t>837010969:eng</t>
  </si>
  <si>
    <t>33334826</t>
  </si>
  <si>
    <t>ocm33334826</t>
  </si>
  <si>
    <t>3102051007$</t>
  </si>
  <si>
    <t>9780801431340</t>
  </si>
  <si>
    <t>793407201</t>
  </si>
  <si>
    <t>UG703 A74 2014</t>
  </si>
  <si>
    <t>0                      UG 0703000A  74          2014</t>
  </si>
  <si>
    <t>The American way of bombing : changing ethical and legal norms, from flying fortresses to drones / edited by Matthew Evangelista and Henry Shue.</t>
  </si>
  <si>
    <t>Ithaca ; London : Cornell University Press, 2014.</t>
  </si>
  <si>
    <t>1821835601:eng</t>
  </si>
  <si>
    <t>871219642</t>
  </si>
  <si>
    <t>ocn871219642</t>
  </si>
  <si>
    <t>3103608642T</t>
  </si>
  <si>
    <t>9780801452802</t>
  </si>
  <si>
    <t>794967413</t>
  </si>
  <si>
    <t>UG705 S95 M84 2013</t>
  </si>
  <si>
    <t>0                      UG 0705000S  95                 M  84          2013</t>
  </si>
  <si>
    <t>Airpower options for Syria : assessing objectives and missions for aerial intervention / Karl P. Mueller, Jeffrey Martini, and Thomas Hamilton.</t>
  </si>
  <si>
    <t>Mueller, Karl P., author.</t>
  </si>
  <si>
    <t>[Santa Monica, California] : RAND Corporation, [2013]</t>
  </si>
  <si>
    <t>2014-10-23</t>
  </si>
  <si>
    <t>1403525748:eng</t>
  </si>
  <si>
    <t>859201839</t>
  </si>
  <si>
    <t>ocn859201839</t>
  </si>
  <si>
    <t>3103518085Z</t>
  </si>
  <si>
    <t>9780833082046</t>
  </si>
  <si>
    <t>794957573</t>
  </si>
  <si>
    <t>UG735 C3 J6 1987</t>
  </si>
  <si>
    <t>0                      UG 0735000C  3                  J  6           1987</t>
  </si>
  <si>
    <t>No boundaries upstairs : Canada, the United States, and the origins of North American air defence, 1945-1958 / Joseph T. Jockel.</t>
  </si>
  <si>
    <t>Vancouver : University of British Columbia Press, 1987.</t>
  </si>
  <si>
    <t>366227640:eng</t>
  </si>
  <si>
    <t>18379835</t>
  </si>
  <si>
    <t>ocm18379835</t>
  </si>
  <si>
    <t>3000527210I</t>
  </si>
  <si>
    <t>9780774802710</t>
  </si>
  <si>
    <t>793023389</t>
  </si>
  <si>
    <t>UG735 C6 Z56 2017</t>
  </si>
  <si>
    <t>0                      UG 0735000C  6                  Z  56          2017</t>
  </si>
  <si>
    <t>Zhongguo zhan shi shou du dang an wen xian. Fan hong zha = Zhongguo zhanshi shoudu dang'an wenxian. Fan hongzha / zhu bian Tang Runming.</t>
  </si>
  <si>
    <t>Chongqing : Xi nan shi fan da xue chu ban she, 2017.</t>
  </si>
  <si>
    <t>4791040546:chi</t>
  </si>
  <si>
    <t>1026305536</t>
  </si>
  <si>
    <t>on1026305536</t>
  </si>
  <si>
    <t>3103862941$</t>
  </si>
  <si>
    <t>9787562176428</t>
  </si>
  <si>
    <t>795052335</t>
  </si>
  <si>
    <t>3103862946Q</t>
  </si>
  <si>
    <t>795052336</t>
  </si>
  <si>
    <t>UG743 F885 2013</t>
  </si>
  <si>
    <t>0                      UG 0743000F  885         2013</t>
  </si>
  <si>
    <t>Ballistic missile defence and US national security policy : normalisation and acceptance after the Cold War / Andrew Futter.</t>
  </si>
  <si>
    <t>Futter, Andrew, 1983-</t>
  </si>
  <si>
    <t>New York, NY : Routledge, 2013.</t>
  </si>
  <si>
    <t>Routledge global security studies</t>
  </si>
  <si>
    <t>2016-02-03</t>
  </si>
  <si>
    <t>1173274967:eng</t>
  </si>
  <si>
    <t>813415354</t>
  </si>
  <si>
    <t>ocn813415354</t>
  </si>
  <si>
    <t>31034999789</t>
  </si>
  <si>
    <t>9780415817325</t>
  </si>
  <si>
    <t>794931656</t>
  </si>
  <si>
    <t>UG743 S66 2013</t>
  </si>
  <si>
    <t>0                      UG 0743000S  66          2013</t>
  </si>
  <si>
    <t>Penaid nonproliferation : hindering the spread of countermeasures against ballistic missile defenses / Richard H. Speier, K. Scott McMahon, George Nacouzi.</t>
  </si>
  <si>
    <t>Speier, Richard, author.</t>
  </si>
  <si>
    <t>1847972570:eng</t>
  </si>
  <si>
    <t>867838985</t>
  </si>
  <si>
    <t>ocn867838985</t>
  </si>
  <si>
    <t>3103564587B</t>
  </si>
  <si>
    <t>9780833081490</t>
  </si>
  <si>
    <t>794964177</t>
  </si>
  <si>
    <t>UG743 S738 2013</t>
  </si>
  <si>
    <t>0                      UG 0743000S  738         2013</t>
  </si>
  <si>
    <t>Strategic thinking, deterrence and the US ballistic missile defense project : from Truman to Obama / Reuben Steff.</t>
  </si>
  <si>
    <t>Steff, Reuben.</t>
  </si>
  <si>
    <t>Farnham, Surrey, UK ; Burlington, Vermont : Ashgate, [2013]</t>
  </si>
  <si>
    <t>1410482962:eng</t>
  </si>
  <si>
    <t>843810348</t>
  </si>
  <si>
    <t>ocn843810348</t>
  </si>
  <si>
    <t>31035044847</t>
  </si>
  <si>
    <t>9781409469353</t>
  </si>
  <si>
    <t>794948195</t>
  </si>
  <si>
    <t>UG745 E85 P48 2011</t>
  </si>
  <si>
    <t>0                      UG 0745000E  85                 P  48          2011</t>
  </si>
  <si>
    <t>European security, East and West : the significance of the Missile Shield Proposal / James W. Peterson.</t>
  </si>
  <si>
    <t>Peterson, James W. (James Walter), 1945-</t>
  </si>
  <si>
    <t>Pittsburgh, PA : Center for Russian and East European Studies, University of Pittsburgh, 2011.</t>
  </si>
  <si>
    <t>The Carl Beck papers in Russian &amp; East European studies, 0889-275X ; no. 2102</t>
  </si>
  <si>
    <t>2012-09-28</t>
  </si>
  <si>
    <t>1009894739:eng</t>
  </si>
  <si>
    <t>752132235</t>
  </si>
  <si>
    <t>ocn752132235</t>
  </si>
  <si>
    <t>3103423349I</t>
  </si>
  <si>
    <t>794891562</t>
  </si>
  <si>
    <t>UG745 S65 G78 2015</t>
  </si>
  <si>
    <t>0                      UG 0745000S  65                 G  78          2015</t>
  </si>
  <si>
    <t>Intercept 1961 : the birth of Soviet missile defense / Mike Gruntman, University of Southern California.</t>
  </si>
  <si>
    <t>Gruntman, Mike, 1954- author.</t>
  </si>
  <si>
    <t>Reston, VA : American Institute of Aeronautics and Astronautics, Inc., [2015]</t>
  </si>
  <si>
    <t>Library of flight</t>
  </si>
  <si>
    <t>2643464729:eng</t>
  </si>
  <si>
    <t>911004679</t>
  </si>
  <si>
    <t>ocn911004679</t>
  </si>
  <si>
    <t>3103608753K</t>
  </si>
  <si>
    <t>9781624103490</t>
  </si>
  <si>
    <t>794996951</t>
  </si>
  <si>
    <t>UG763 F88 2012</t>
  </si>
  <si>
    <t>0                      UG 0763000F  88          2012</t>
  </si>
  <si>
    <t>The future of Air Force motion imagery exploitation : lessons from the commercial world / Lance Menthe [and others].</t>
  </si>
  <si>
    <t>1075037659:eng</t>
  </si>
  <si>
    <t>773534862</t>
  </si>
  <si>
    <t>ocn773534862</t>
  </si>
  <si>
    <t>3103527185V</t>
  </si>
  <si>
    <t>9780833059642</t>
  </si>
  <si>
    <t>794905755</t>
  </si>
  <si>
    <t>UG773 M55 2014</t>
  </si>
  <si>
    <t>0                      UG 0773000M  55          2014</t>
  </si>
  <si>
    <t>Balancing agile combat support manpower to better meet the future security environment / Patrick Mills, John G. Drew, John A. Ausink, Daniel M. Romano, Rachel Costello ; prepared for the United States Air Force.</t>
  </si>
  <si>
    <t>Mills, Patrick, 1975- author.</t>
  </si>
  <si>
    <t>Research report ; RR-337-AF</t>
  </si>
  <si>
    <t>1894793473:eng</t>
  </si>
  <si>
    <t>880565122</t>
  </si>
  <si>
    <t>ocn880565122</t>
  </si>
  <si>
    <t>3103564556H</t>
  </si>
  <si>
    <t>9780833082084</t>
  </si>
  <si>
    <t>794973194</t>
  </si>
  <si>
    <t>UG793 A53 2010</t>
  </si>
  <si>
    <t>0                      UG 0793000A  53          2010</t>
  </si>
  <si>
    <t>An analysis of the populations of the Air Force's medical and professional officer corps / Edward G. Keating [and others].</t>
  </si>
  <si>
    <t>Technical report ; TR-782-AF</t>
  </si>
  <si>
    <t>1055787538:eng</t>
  </si>
  <si>
    <t>612961771</t>
  </si>
  <si>
    <t>ocn612961771</t>
  </si>
  <si>
    <t>3103290248A</t>
  </si>
  <si>
    <t>9780833049513</t>
  </si>
  <si>
    <t>794821698</t>
  </si>
  <si>
    <t>UG793 B54 2011</t>
  </si>
  <si>
    <t>0                      UG 0793000B  54          2011</t>
  </si>
  <si>
    <t>Balancing rated personnel requirements and inventories / James H. Bigelow, Albert A. Robbert.</t>
  </si>
  <si>
    <t>Bigelow, J. H.</t>
  </si>
  <si>
    <t>Report ; TR-869-AF</t>
  </si>
  <si>
    <t>865269747:eng</t>
  </si>
  <si>
    <t>711959770</t>
  </si>
  <si>
    <t>ocn711959770</t>
  </si>
  <si>
    <t>31026693328</t>
  </si>
  <si>
    <t>9780833050946</t>
  </si>
  <si>
    <t>794871447</t>
  </si>
  <si>
    <t>UG793 H37 2010</t>
  </si>
  <si>
    <t>0                      UG 0793000H  37          2010</t>
  </si>
  <si>
    <t>The Air Force Officer Qualifying Test : Validity, Fairness, and Bias / Chaitra M. Hardison, Carra S. Sims, Eunice C. Wong.</t>
  </si>
  <si>
    <t>Hardison, Chaitra M.</t>
  </si>
  <si>
    <t>Santa Monica, CA. : RAND, 2010.</t>
  </si>
  <si>
    <t>349541856:eng</t>
  </si>
  <si>
    <t>467359366</t>
  </si>
  <si>
    <t>ocn467359366</t>
  </si>
  <si>
    <t>3103290233C</t>
  </si>
  <si>
    <t>9780833047793</t>
  </si>
  <si>
    <t>794795052</t>
  </si>
  <si>
    <t>UG793 I45 2014</t>
  </si>
  <si>
    <t>0                      UG 0793000I  45          2014</t>
  </si>
  <si>
    <t>Improving demographic diversity in the U.S. Air Force officer corps / Nelson Lim, Louis T. Mariano, Amy G. Cox, David Schulker, Lawrence M. Hanser.</t>
  </si>
  <si>
    <t>2043966247:eng</t>
  </si>
  <si>
    <t>878836302</t>
  </si>
  <si>
    <t>ocn878836302</t>
  </si>
  <si>
    <t>3103482479K</t>
  </si>
  <si>
    <t>9780833084286</t>
  </si>
  <si>
    <t>794971622</t>
  </si>
  <si>
    <t>UG793 T42 2013</t>
  </si>
  <si>
    <t>0                      UG 0793000T  42          2013</t>
  </si>
  <si>
    <t>A methodology for determining Air Force Education Requirements Board (AFERB) advanced academic degree (AAD) requirements / Tara L. Terry, Albert A. Robbert, John E. Boon, Jr., Perry Shameem Firoz, S. Craig Moore.</t>
  </si>
  <si>
    <t>Terry, Tara L., author.</t>
  </si>
  <si>
    <t>1856485542:eng</t>
  </si>
  <si>
    <t>867481329</t>
  </si>
  <si>
    <t>ocn867481329</t>
  </si>
  <si>
    <t>3103564495C</t>
  </si>
  <si>
    <t>9780833081292</t>
  </si>
  <si>
    <t>794963903</t>
  </si>
  <si>
    <t>UG835 C3 B79 2010</t>
  </si>
  <si>
    <t>0                      UG 0835000C  3                  B  79          2010</t>
  </si>
  <si>
    <t>First in, last out : the RCAF, Women's Division and nursing sisters in World War II / by Glad Bryce.</t>
  </si>
  <si>
    <t>Bryce, Gladysann.</t>
  </si>
  <si>
    <t>Toronto : University Women's Club of Toronto, ©2010.</t>
  </si>
  <si>
    <t>2012-11-27</t>
  </si>
  <si>
    <t>375690391:eng</t>
  </si>
  <si>
    <t>502633372</t>
  </si>
  <si>
    <t>ocn502633372</t>
  </si>
  <si>
    <t>31032679815</t>
  </si>
  <si>
    <t>9780986519505</t>
  </si>
  <si>
    <t>794805838</t>
  </si>
  <si>
    <t>UG853 R62 2014</t>
  </si>
  <si>
    <t>0                      UG 0853000R  62          2014</t>
  </si>
  <si>
    <t>Suitability of missions for the Air Force Reserve components / Albert A. Robbert, James H. Bigelow, John E. Boon, Jr., Lisa M. Harrington, Michael McGee, S. Craig Moore, Daniel M. Norton, William W. Taylor.</t>
  </si>
  <si>
    <t>Robbert, Albert A., 1944-</t>
  </si>
  <si>
    <t>1923480059:eng</t>
  </si>
  <si>
    <t>870248625</t>
  </si>
  <si>
    <t>ocn870248625</t>
  </si>
  <si>
    <t>31035180710</t>
  </si>
  <si>
    <t>9780833082152</t>
  </si>
  <si>
    <t>794966236</t>
  </si>
  <si>
    <t>UG883 I53 2012</t>
  </si>
  <si>
    <t>0                      UG 0883000I  53          2012</t>
  </si>
  <si>
    <t>Incentive pay for remotely piloted aircraft career fields / Chaitra M. Hardison, Michael G. Mattock, Maria C. Lytell.</t>
  </si>
  <si>
    <t>1073402740:eng</t>
  </si>
  <si>
    <t>772611146</t>
  </si>
  <si>
    <t>ocn772611146</t>
  </si>
  <si>
    <t>31035271422</t>
  </si>
  <si>
    <t>9780833059659</t>
  </si>
  <si>
    <t>794904748</t>
  </si>
  <si>
    <t>UG983 B85 2012</t>
  </si>
  <si>
    <t>0                      UG 0983000B  85          2012</t>
  </si>
  <si>
    <t>Building partner health capacity with U.S. military forces : enhancing AFSOC health engagement missions / David E. Thaler [and others].</t>
  </si>
  <si>
    <t>Technical report ; TR-1201-AF</t>
  </si>
  <si>
    <t>1122834216:eng</t>
  </si>
  <si>
    <t>797970056</t>
  </si>
  <si>
    <t>ocn797970056</t>
  </si>
  <si>
    <t>31034678542</t>
  </si>
  <si>
    <t>9780833068460</t>
  </si>
  <si>
    <t>794922922</t>
  </si>
  <si>
    <t>UG983 E35 2010</t>
  </si>
  <si>
    <t>0                      UG 0983000E  35          2010</t>
  </si>
  <si>
    <t>The economics of Air Force Medical Service readiness / John C. Graser [and others].</t>
  </si>
  <si>
    <t>1044436699:eng</t>
  </si>
  <si>
    <t>682903847</t>
  </si>
  <si>
    <t>ocn682903847</t>
  </si>
  <si>
    <t>3103346633W</t>
  </si>
  <si>
    <t>9780833050229</t>
  </si>
  <si>
    <t>794853191</t>
  </si>
  <si>
    <t>UG1103 C48 2010</t>
  </si>
  <si>
    <t>0                      UG 1103000C  48          2010</t>
  </si>
  <si>
    <t>Best practices in developing proactive supply strategies for Air Force low-demand service parts / Mary E. Chenoweth, Jeremy Arkes, Nancy Y. Moore.</t>
  </si>
  <si>
    <t>Chenoweth, Mary E.</t>
  </si>
  <si>
    <t>Rand Corporation monograph series ; MG-858-AF</t>
  </si>
  <si>
    <t>477039467:eng</t>
  </si>
  <si>
    <t>608298990</t>
  </si>
  <si>
    <t>ocn608298990</t>
  </si>
  <si>
    <t>3103285195P</t>
  </si>
  <si>
    <t>9780833048783</t>
  </si>
  <si>
    <t>794819189</t>
  </si>
  <si>
    <t>UG1103 M657 2013</t>
  </si>
  <si>
    <t>0                      UG 1103000M  657         2013</t>
  </si>
  <si>
    <t>A cost analysis of the U.S. Air Force overseas posture : informing strategic choices / Patrick Mills, Adam Grissom, Jennifer Kavanagh, Leila Mahnad, Stephen M. Worman ; prepared for the United States Air Force.</t>
  </si>
  <si>
    <t>Mills, Patrick, 1975-</t>
  </si>
  <si>
    <t>Santa Monica. CA : Rand Corporation, [2013]</t>
  </si>
  <si>
    <t>Research report ; RR-150-AF</t>
  </si>
  <si>
    <t>1414788860:eng</t>
  </si>
  <si>
    <t>856976978</t>
  </si>
  <si>
    <t>ocn856976978</t>
  </si>
  <si>
    <t>3103564506R</t>
  </si>
  <si>
    <t>9780833080370</t>
  </si>
  <si>
    <t>794954688</t>
  </si>
  <si>
    <t>UG1123 A34 2012</t>
  </si>
  <si>
    <t>0                      UG 1123000A  34          2012</t>
  </si>
  <si>
    <t>The Air Force's experience with should-cost reviews and options for enhancing its capability to conduct them / Michael Boito [and others].</t>
  </si>
  <si>
    <t>Rand Corporation report series ; TR-1184-AF</t>
  </si>
  <si>
    <t>1168487202:eng</t>
  </si>
  <si>
    <t>793973967</t>
  </si>
  <si>
    <t>ocn793973967</t>
  </si>
  <si>
    <t>3103441021T</t>
  </si>
  <si>
    <t>9780833060273</t>
  </si>
  <si>
    <t>794918907</t>
  </si>
  <si>
    <t>UG1123 A37 2012</t>
  </si>
  <si>
    <t>0                      UG 1123000A  37          2012</t>
  </si>
  <si>
    <t>Air Force Materiel Command reorganization analysis : final report / Robert S. Tripp [and others].</t>
  </si>
  <si>
    <t>1173301293:eng</t>
  </si>
  <si>
    <t>802326848</t>
  </si>
  <si>
    <t>ocn802326848</t>
  </si>
  <si>
    <t>3103466833A</t>
  </si>
  <si>
    <t>9780833076243</t>
  </si>
  <si>
    <t>794925707</t>
  </si>
  <si>
    <t>UG1123 A67 2013</t>
  </si>
  <si>
    <t>0                      UG 1123000A  67          2013</t>
  </si>
  <si>
    <t>Implications of an Air Force budget downturn on the aircraft industrial base : an exploratory analysis / Mark V. Arena, John C. Graser, Paul DeLuca.</t>
  </si>
  <si>
    <t>Arena, Mark V.</t>
  </si>
  <si>
    <t>Santa Monica, CA : RAND, ©2013.</t>
  </si>
  <si>
    <t>1372598203:eng</t>
  </si>
  <si>
    <t>854980500</t>
  </si>
  <si>
    <t>ocn854980500</t>
  </si>
  <si>
    <t>3103564573D</t>
  </si>
  <si>
    <t>9780833080233</t>
  </si>
  <si>
    <t>794952970</t>
  </si>
  <si>
    <t>UG1123 A848 2011</t>
  </si>
  <si>
    <t>0                      UG 1123000A  848         2011</t>
  </si>
  <si>
    <t>Air Force contingency contracting : reachback and other opportunities for improvement / John A. Ausink, Laura Werber Castaneda, Mary E. Chenoweth.</t>
  </si>
  <si>
    <t>Ausink, John A.</t>
  </si>
  <si>
    <t>783157269:eng</t>
  </si>
  <si>
    <t>701242483</t>
  </si>
  <si>
    <t>ocn701242483</t>
  </si>
  <si>
    <t>3103369083I</t>
  </si>
  <si>
    <t>9780833050120</t>
  </si>
  <si>
    <t>794862697</t>
  </si>
  <si>
    <t>UG1123 B47 2012</t>
  </si>
  <si>
    <t>0                      UG 1123000B  47          2012</t>
  </si>
  <si>
    <t>Best practices in supplier relationship management and their early implementation in the Air Force Materiel Command / Mary E. Chenoweth [and others].</t>
  </si>
  <si>
    <t>Report ; TR-904-AF</t>
  </si>
  <si>
    <t>866628537:eng</t>
  </si>
  <si>
    <t>712780964</t>
  </si>
  <si>
    <t>ocn712780964</t>
  </si>
  <si>
    <t>3103527183V</t>
  </si>
  <si>
    <t>9780833051448</t>
  </si>
  <si>
    <t>794872242</t>
  </si>
  <si>
    <t>UG1123 R63 2013</t>
  </si>
  <si>
    <t>0                      UG 1123000R  63          2013</t>
  </si>
  <si>
    <t>Costs of flying units in Air Force active and reserve components / Albert A. Robbert ; prepared for the United States Air Force.</t>
  </si>
  <si>
    <t>Robbert, Albert A., 1944- author.</t>
  </si>
  <si>
    <t>Technical report ; TR-1275-AF</t>
  </si>
  <si>
    <t>1375106541:eng</t>
  </si>
  <si>
    <t>853278671</t>
  </si>
  <si>
    <t>ocn853278671</t>
  </si>
  <si>
    <t>31035180476</t>
  </si>
  <si>
    <t>9780833076663</t>
  </si>
  <si>
    <t>794951994</t>
  </si>
  <si>
    <t>UG1125 G7 S87 2010</t>
  </si>
  <si>
    <t>0                      UG 1125000G  7                  S  87          2010</t>
  </si>
  <si>
    <t>Sustaining key skills in the UK military aircraft industry / Matt Bassford [and others].</t>
  </si>
  <si>
    <t>1123626465:eng</t>
  </si>
  <si>
    <t>649927347</t>
  </si>
  <si>
    <t>ocn649927347</t>
  </si>
  <si>
    <t>31035271442</t>
  </si>
  <si>
    <t>9780833050410</t>
  </si>
  <si>
    <t>794832127</t>
  </si>
  <si>
    <t>UG1133 M43 2013</t>
  </si>
  <si>
    <t>0                      UG 1133000M  43          2013</t>
  </si>
  <si>
    <t>The association between base-area social and economic characteristics and airmen's outcomes / Sarah O. Meadows, Laura L. Miller, Jeremy N.V. Miles.</t>
  </si>
  <si>
    <t>Meadows, Sarah O. (Sarah Opal), 1978- author.</t>
  </si>
  <si>
    <t>1856485543:eng</t>
  </si>
  <si>
    <t>863684639</t>
  </si>
  <si>
    <t>ocn863684639</t>
  </si>
  <si>
    <t>3103482484I</t>
  </si>
  <si>
    <t>9780833078599</t>
  </si>
  <si>
    <t>794961457</t>
  </si>
  <si>
    <t>UG1242 D7 A66 2010</t>
  </si>
  <si>
    <t>0                      UG 1242000D  7                  A  66          2010</t>
  </si>
  <si>
    <t>Applications for NAVY UNMANNED AIRCRAFT SYSTEMS / BRIEN ALKIRE, JAMES G. KALLIMANI, PETER A. WILSON, LOUIS R. MOORE.</t>
  </si>
  <si>
    <t>Alkire, Brien.</t>
  </si>
  <si>
    <t>Santa Monica, CA : RAND, 2010, ©2010.</t>
  </si>
  <si>
    <t>503426259:eng</t>
  </si>
  <si>
    <t>642464827</t>
  </si>
  <si>
    <t>ocn642464827</t>
  </si>
  <si>
    <t>3103255813Z</t>
  </si>
  <si>
    <t>9780833049650</t>
  </si>
  <si>
    <t>794828251</t>
  </si>
  <si>
    <t>UG1242 D7 B46 2013</t>
  </si>
  <si>
    <t>0                      UG 1242000D  7                  B  46          2013</t>
  </si>
  <si>
    <t>Drone warfare : killing by remote control / Medea Benjamin.</t>
  </si>
  <si>
    <t>Benjamin, Medea, 1952-</t>
  </si>
  <si>
    <t>London ; New York : Verso, 2013.</t>
  </si>
  <si>
    <t>1107542071:eng</t>
  </si>
  <si>
    <t>813931562</t>
  </si>
  <si>
    <t>ocn813931562</t>
  </si>
  <si>
    <t>3103528614Q</t>
  </si>
  <si>
    <t>9781781680773</t>
  </si>
  <si>
    <t>794931983</t>
  </si>
  <si>
    <t>UG1242 D7 C5313 2015</t>
  </si>
  <si>
    <t>0                      UG 1242000D  7                  C  5313        2015</t>
  </si>
  <si>
    <t>Drone theory / Grégoire Chamayou ; translated by Janet Lloyd.</t>
  </si>
  <si>
    <t>Chamayou, Grégoire, author.</t>
  </si>
  <si>
    <t>[London] : Penguin Books, 2015.</t>
  </si>
  <si>
    <t>Penguin special</t>
  </si>
  <si>
    <t>2018-02-06</t>
  </si>
  <si>
    <t>903527249</t>
  </si>
  <si>
    <t>ocn903527249</t>
  </si>
  <si>
    <t>3103611637E</t>
  </si>
  <si>
    <t>9780241970348</t>
  </si>
  <si>
    <t>794989337</t>
  </si>
  <si>
    <t>UG1242 D7 C63 2015</t>
  </si>
  <si>
    <t>0                      UG 1242000D  7                  C  63          2015</t>
  </si>
  <si>
    <t>Kill chain : the rise of the high-tech assassins / Andrew Cockburn.</t>
  </si>
  <si>
    <t>Cockburn, Andrew, 1947- author.</t>
  </si>
  <si>
    <t>New York : Henry Holt and Company, 2015.</t>
  </si>
  <si>
    <t>2019-10-01</t>
  </si>
  <si>
    <t>1901989149:eng</t>
  </si>
  <si>
    <t>904972176</t>
  </si>
  <si>
    <t>ocn904972176</t>
  </si>
  <si>
    <t>3103612255N</t>
  </si>
  <si>
    <t>9780805099263</t>
  </si>
  <si>
    <t>794991058</t>
  </si>
  <si>
    <t>UG1242 D7 D385 2014</t>
  </si>
  <si>
    <t>0                      UG 1242000D  7                  D  385         2014</t>
  </si>
  <si>
    <t>Armed and dangerous? : UAVs and U.S. security / Lynn E. Davis, Michael J. McNerney, James Chow, Thomas Hamilton, Sarah Harting, and Daniel Byman.</t>
  </si>
  <si>
    <t>Davis, Lynn E. (Lynn Etheridge), 1943- author.</t>
  </si>
  <si>
    <t>[Santa Monica, CA] : RAND Corporation, [2014]</t>
  </si>
  <si>
    <t>1870046108:eng</t>
  </si>
  <si>
    <t>877369408</t>
  </si>
  <si>
    <t>ocn877369408</t>
  </si>
  <si>
    <t>3103564617M</t>
  </si>
  <si>
    <t>9780833085887</t>
  </si>
  <si>
    <t>794970861</t>
  </si>
  <si>
    <t>UG1242 D7 D76 2015</t>
  </si>
  <si>
    <t>0                      UG 1242000D  7                  D  76          2015</t>
  </si>
  <si>
    <t>Drones and targeted killing : legal, moral, and geopolitical issues / edited by Marjorie Cohn ; with a foreword by Archbishop Desmond Tutu.</t>
  </si>
  <si>
    <t>Northampton MA : Olive Branch Press, an imprint of Interlink Publishing Group, Inc., 2015.</t>
  </si>
  <si>
    <t>2224157339:eng</t>
  </si>
  <si>
    <t>889426560</t>
  </si>
  <si>
    <t>ocn889426560</t>
  </si>
  <si>
    <t>3103609723O</t>
  </si>
  <si>
    <t>9781566569897</t>
  </si>
  <si>
    <t>794978387</t>
  </si>
  <si>
    <t>UG1242 D7 G88 2016</t>
  </si>
  <si>
    <t>0                      UG 1242000D  7                  G  88          2016</t>
  </si>
  <si>
    <t>Drone : remote control warfare / Hugh Gusterson.</t>
  </si>
  <si>
    <t>3039888167:eng</t>
  </si>
  <si>
    <t>927438386</t>
  </si>
  <si>
    <t>ocn927438386</t>
  </si>
  <si>
    <t>3103654572E</t>
  </si>
  <si>
    <t>9780262034678</t>
  </si>
  <si>
    <t>795005934</t>
  </si>
  <si>
    <t>UG1242 D7 M35 2011</t>
  </si>
  <si>
    <t>0                      UG 1242000D  7                  M  35          2011</t>
  </si>
  <si>
    <t>Feasibility of laser power transmission to a high-altitude unmanned aerial vehicle / Richard Mason.</t>
  </si>
  <si>
    <t>Mason, Richard, 1970-</t>
  </si>
  <si>
    <t>890157960:eng</t>
  </si>
  <si>
    <t>716070908</t>
  </si>
  <si>
    <t>ocn716070908</t>
  </si>
  <si>
    <t>31026693398</t>
  </si>
  <si>
    <t>9780833051356</t>
  </si>
  <si>
    <t>794874001</t>
  </si>
  <si>
    <t>UG1242 D7 M45 2014</t>
  </si>
  <si>
    <t>0                      UG 1242000D  7                  M  45          2014</t>
  </si>
  <si>
    <t>The effectiveness of remotely piloted aircraft in a permissive hunter-killer scenario / Lance Menthe, Myron Hura, Carl Rhodes.</t>
  </si>
  <si>
    <t>Menthe, Lance, author.</t>
  </si>
  <si>
    <t>1784501008:eng</t>
  </si>
  <si>
    <t>898066353</t>
  </si>
  <si>
    <t>ocn898066353</t>
  </si>
  <si>
    <t>3103518089Z</t>
  </si>
  <si>
    <t>9780833083975</t>
  </si>
  <si>
    <t>794985679</t>
  </si>
  <si>
    <t>UG1242 D7 R65 2014</t>
  </si>
  <si>
    <t>0                      UG 1242000D  7                  R  65          2014</t>
  </si>
  <si>
    <t>Unmanned : drone warfare and global security / Ann Rogers and John Hill.</t>
  </si>
  <si>
    <t>Rogers, Ann, 1964- author.</t>
  </si>
  <si>
    <t>Toronto : Between the Lines, 2014.</t>
  </si>
  <si>
    <t>1749338857:eng</t>
  </si>
  <si>
    <t>867557098</t>
  </si>
  <si>
    <t>ocn867557098</t>
  </si>
  <si>
    <t>3103644665D</t>
  </si>
  <si>
    <t>9781771131537</t>
  </si>
  <si>
    <t>794963942</t>
  </si>
  <si>
    <t>UG1242 D7 R68 2015</t>
  </si>
  <si>
    <t>0                      UG 1242000D  7                  R  68          2015</t>
  </si>
  <si>
    <t>Drone / by Adam Rothstein.</t>
  </si>
  <si>
    <t>Rothstein, Adam, author.</t>
  </si>
  <si>
    <t>New York : Bloomsbury Academic, an imprint of Bloomsbury Publishing Inc, [2015]</t>
  </si>
  <si>
    <t>Object lessons</t>
  </si>
  <si>
    <t>2045359860:eng</t>
  </si>
  <si>
    <t>885378116</t>
  </si>
  <si>
    <t>ocn885378116</t>
  </si>
  <si>
    <t>3103607234C</t>
  </si>
  <si>
    <t>9781628927689</t>
  </si>
  <si>
    <t>794977273</t>
  </si>
  <si>
    <t>UG1242 D7 S33 2016</t>
  </si>
  <si>
    <t>0                      UG 1242000D  7                  S  33          2016</t>
  </si>
  <si>
    <t>The assassination complex : inside the government's secret drone warfare programme / Jeremy Scahill ; foreword by Edward Snowden.</t>
  </si>
  <si>
    <t>Scahill, Jeremy, author.</t>
  </si>
  <si>
    <t>London : Serpent's Tail, 2016.</t>
  </si>
  <si>
    <t>2018-02-09</t>
  </si>
  <si>
    <t>2899988828:eng</t>
  </si>
  <si>
    <t>950962840</t>
  </si>
  <si>
    <t>ocn950962840</t>
  </si>
  <si>
    <t>3103655097D</t>
  </si>
  <si>
    <t>9781781257722</t>
  </si>
  <si>
    <t>795017001</t>
  </si>
  <si>
    <t>UG1242 F5 D79 2013</t>
  </si>
  <si>
    <t>0                      UG 1242000F  5                  D  79          2013</t>
  </si>
  <si>
    <t>Enabling early sustainment decisions : application to F-35 depot-level maintenance / John G. Drew, Ronald G. McGarvey, Peter Buryk.</t>
  </si>
  <si>
    <t>Drew, John G., 1956- author.</t>
  </si>
  <si>
    <t>1788528302:eng</t>
  </si>
  <si>
    <t>867481374</t>
  </si>
  <si>
    <t>ocn867481374</t>
  </si>
  <si>
    <t>3103564580B</t>
  </si>
  <si>
    <t>9780833081650</t>
  </si>
  <si>
    <t>794963905</t>
  </si>
  <si>
    <t>UG1242 F5 E53 2010</t>
  </si>
  <si>
    <t>0                      UG 1242000F  5                  E  53          2010</t>
  </si>
  <si>
    <t>Ending F-22A production : costs and industrial base implications of alternative options / Obaid Younossi [and others].</t>
  </si>
  <si>
    <t>Santa Monica, Calif : RAND, 2010.</t>
  </si>
  <si>
    <t>Rand Corporation monograph series ; MG-797-AF</t>
  </si>
  <si>
    <t>1083175564:eng</t>
  </si>
  <si>
    <t>423389347</t>
  </si>
  <si>
    <t>ocn423389347</t>
  </si>
  <si>
    <t>31032556036</t>
  </si>
  <si>
    <t>9780833046499</t>
  </si>
  <si>
    <t>794506058</t>
  </si>
  <si>
    <t>UG1242 F5 L67 2013</t>
  </si>
  <si>
    <t>0                      UG 1242000F  5                  L  67          2013</t>
  </si>
  <si>
    <t>Do joint fighter programs save money? / Mark A. Lorell, Michael Kennedy, Robert S. Leonard, Ken Munson, Shmuel Abramzon, David L. An, Robert A. Guffey.</t>
  </si>
  <si>
    <t>Lorell, Mark A., 1947- author.</t>
  </si>
  <si>
    <t>1749215641:eng</t>
  </si>
  <si>
    <t>867478205</t>
  </si>
  <si>
    <t>ocn867478205</t>
  </si>
  <si>
    <t>31035180790</t>
  </si>
  <si>
    <t>9780833074560</t>
  </si>
  <si>
    <t>794963900</t>
  </si>
  <si>
    <t>UG1242 F5 L674 2013</t>
  </si>
  <si>
    <t>0                      UG 1242000F  5                  L  674         2013</t>
  </si>
  <si>
    <t>Do joint fighter programs save money? : technical appendixes on methodology / Mark A. Lorell, Michael Kennedy, Robert S. Leonard, Ken Munson, Shmuel Abramzon, David L. An, Robert A. Guffey.</t>
  </si>
  <si>
    <t>867478202</t>
  </si>
  <si>
    <t>ocn867478202</t>
  </si>
  <si>
    <t>31035180730</t>
  </si>
  <si>
    <t>9780833079329</t>
  </si>
  <si>
    <t>794963899</t>
  </si>
  <si>
    <t>UG1242 F5 M397 2013</t>
  </si>
  <si>
    <t>0                      UG 1242000F  5                  M  397         2013</t>
  </si>
  <si>
    <t>Assessment of beddown alternatives for the F-35 : research report / Ronald G. McGarvey, James H. Bigelow, Gary James Briggs, Peter Buryk, Raymond E. Conley, John G. Drew, Perry Shameem Firoz, Julie Kim, Lance Menthe, S. Craig Moore, William W. Taylor, William A. Williams ; RAND Project Air Force ; Prepared for the United States Air Force, approved for public release, distribution unlimited.</t>
  </si>
  <si>
    <t>1356648343:eng</t>
  </si>
  <si>
    <t>827724519</t>
  </si>
  <si>
    <t>ocn827724519</t>
  </si>
  <si>
    <t>31034856684</t>
  </si>
  <si>
    <t>9780833078070</t>
  </si>
  <si>
    <t>794940195</t>
  </si>
  <si>
    <t>UG1242 F5 M39715 2013</t>
  </si>
  <si>
    <t>0                      UG 1242000F  5                  M  39715       2013</t>
  </si>
  <si>
    <t>Assessment of beddown alternatives for the F-35 : executive summary / Ronald G. McGarvey, James H. Bigelow, Gary James Briggs, Peter Buryk, Raymond E. Conley, John G. Drew, Perry Shameem Firoz, Julie Kim, Lance Menthe, S. Craig Moore, William W. Taylor, William A. Williams.</t>
  </si>
  <si>
    <t>Santa Monica, California : RAND Corporation, 2013.</t>
  </si>
  <si>
    <t>828611117</t>
  </si>
  <si>
    <t>ocn828611117</t>
  </si>
  <si>
    <t>31034856712</t>
  </si>
  <si>
    <t>9780833078087</t>
  </si>
  <si>
    <t>794941378</t>
  </si>
  <si>
    <t>UG1242 F5 M49 2011</t>
  </si>
  <si>
    <t>0                      UG 1242000F  5                  M  49          2011</t>
  </si>
  <si>
    <t>A methodology for comparing costs and benefits of management alternatives for F-22 sustainment / Cynthia R. Cook [and others].</t>
  </si>
  <si>
    <t>497496161:eng</t>
  </si>
  <si>
    <t>633144848</t>
  </si>
  <si>
    <t>ocn633144848</t>
  </si>
  <si>
    <t>31033466091</t>
  </si>
  <si>
    <t>9780833048943</t>
  </si>
  <si>
    <t>794825271</t>
  </si>
  <si>
    <t>UG1242 F5 R47 2011</t>
  </si>
  <si>
    <t>0                      UG 1242000F  5                  R  47          2011</t>
  </si>
  <si>
    <t>Retaining F-22A tooling : options and costs / John C. Graser [and others].</t>
  </si>
  <si>
    <t>Report ; TR-831-AF</t>
  </si>
  <si>
    <t>769718223:eng</t>
  </si>
  <si>
    <t>696561284</t>
  </si>
  <si>
    <t>ocn696561284</t>
  </si>
  <si>
    <t>3103346643U</t>
  </si>
  <si>
    <t>9780833050984</t>
  </si>
  <si>
    <t>794859190</t>
  </si>
  <si>
    <t>UG1242 T36 U74 2011</t>
  </si>
  <si>
    <t>0                      UG 1242000T  36                 U  74          2011</t>
  </si>
  <si>
    <t>Upgrading the Extender : which options are cost-effective for modernizing the KC-10? / Anthony D. Rosello [and others].</t>
  </si>
  <si>
    <t>Rand Corporation technical report series ; TR-901-AF</t>
  </si>
  <si>
    <t>796043417:eng</t>
  </si>
  <si>
    <t>696561287</t>
  </si>
  <si>
    <t>ocn696561287</t>
  </si>
  <si>
    <t>3103346614$</t>
  </si>
  <si>
    <t>9780833051097</t>
  </si>
  <si>
    <t>794859192</t>
  </si>
  <si>
    <t>UG1242 T7 A63 2011</t>
  </si>
  <si>
    <t>0                      UG 1242000T  7                  A  63          2011</t>
  </si>
  <si>
    <t>Analysis of the Air Force logistics enterprise : evaluation of global repair network options for supporting the C-130 / Ben D. Van Roo [and others].</t>
  </si>
  <si>
    <t>Report ; TR-813-AF</t>
  </si>
  <si>
    <t>762098215:eng</t>
  </si>
  <si>
    <t>688643560</t>
  </si>
  <si>
    <t>ocn688643560</t>
  </si>
  <si>
    <t>3103485051O</t>
  </si>
  <si>
    <t>9780833049575</t>
  </si>
  <si>
    <t>794854637</t>
  </si>
  <si>
    <t>UG1242 T7 U74 2010</t>
  </si>
  <si>
    <t>0                      UG 1242000T  7                  U  74          2010</t>
  </si>
  <si>
    <t>Use of the C-27J fixed-wing aircraft for conducting Army mission critical, time sensitive missions in counterinsurgency operations / Kenneth Horn [and others].</t>
  </si>
  <si>
    <t>Santa Monica, Calif. : RAND, ©2010.</t>
  </si>
  <si>
    <t>Occasional paper ; OP-254-A</t>
  </si>
  <si>
    <t>596472670:eng</t>
  </si>
  <si>
    <t>659413024</t>
  </si>
  <si>
    <t>ocn659413024</t>
  </si>
  <si>
    <t>3103299976L</t>
  </si>
  <si>
    <t>9780833047571</t>
  </si>
  <si>
    <t>794836308</t>
  </si>
  <si>
    <t>UG1243 R46 2010</t>
  </si>
  <si>
    <t>0                      UG 1243000R  46          2010</t>
  </si>
  <si>
    <t>A repair network concept for Air Force maintenance : conclusions from analysis of C-130, F-16, and KC-135 fleets / Robert S. Tripp [and others].</t>
  </si>
  <si>
    <t>Rand Corporation monograph series ; MG-919-AF</t>
  </si>
  <si>
    <t>502164339:eng</t>
  </si>
  <si>
    <t>468857463</t>
  </si>
  <si>
    <t>ocn468857463</t>
  </si>
  <si>
    <t>3103249918L</t>
  </si>
  <si>
    <t>9780833048042</t>
  </si>
  <si>
    <t>794795498</t>
  </si>
  <si>
    <t>UG1282 A8 O39 1995</t>
  </si>
  <si>
    <t>0                      UG 1282000A  8                  O  39          1995</t>
  </si>
  <si>
    <t>The firecracker boys / by Dan O'Neill.</t>
  </si>
  <si>
    <t>O'Neill, Dan (Daniel T.)</t>
  </si>
  <si>
    <t>New York : St. Martin's Griffin, 1995.</t>
  </si>
  <si>
    <t>32296171:eng</t>
  </si>
  <si>
    <t>32894910</t>
  </si>
  <si>
    <t>ocm32894910</t>
  </si>
  <si>
    <t>3101512013X</t>
  </si>
  <si>
    <t>9780312134167</t>
  </si>
  <si>
    <t>793397030</t>
  </si>
  <si>
    <t>UG1312 A7 K45 2013</t>
  </si>
  <si>
    <t>0                      UG 1312000A  7                  K  45          2013</t>
  </si>
  <si>
    <t>Employing land-based anti-ship missiles in the western Pacific / Terrence K. Kelly, Anthony Atler, Todd Nichols, Lloyd Thrall.</t>
  </si>
  <si>
    <t>Technical report ; TR-1321-A</t>
  </si>
  <si>
    <t>2014-10-09</t>
  </si>
  <si>
    <t>1404991816:eng</t>
  </si>
  <si>
    <t>859446788</t>
  </si>
  <si>
    <t>ocn859446788</t>
  </si>
  <si>
    <t>31035180602</t>
  </si>
  <si>
    <t>9780833077929</t>
  </si>
  <si>
    <t>794957839</t>
  </si>
  <si>
    <t>UG1312 B34 M33 1990</t>
  </si>
  <si>
    <t>0                      UG 1312000B  34                 M  33          1990</t>
  </si>
  <si>
    <t>Inventing accuracy : a historical sociology of nuclear missile guidance / Donald MacKenzie.</t>
  </si>
  <si>
    <t>Mackenzie, Donald A.</t>
  </si>
  <si>
    <t>Cambridge, Mass. : MIT Press, ©1990.</t>
  </si>
  <si>
    <t>Inside technology</t>
  </si>
  <si>
    <t>809361699:eng</t>
  </si>
  <si>
    <t>21376843</t>
  </si>
  <si>
    <t>ocm21376843</t>
  </si>
  <si>
    <t>3100676006C</t>
  </si>
  <si>
    <t>9780262132589</t>
  </si>
  <si>
    <t>793117277</t>
  </si>
  <si>
    <t>UG1312 C7 C78 1981</t>
  </si>
  <si>
    <t>0                      UG 1312000C  7                  C  78          1981</t>
  </si>
  <si>
    <t>Cruise missiles : technology, strategy, politics / Richard K. Betts, editor.</t>
  </si>
  <si>
    <t>909821163:eng</t>
  </si>
  <si>
    <t>8006385</t>
  </si>
  <si>
    <t>ocm08006385</t>
  </si>
  <si>
    <t>30003533566</t>
  </si>
  <si>
    <t>9780815709329</t>
  </si>
  <si>
    <t>792592970</t>
  </si>
  <si>
    <t>UG1312 I2 B4</t>
  </si>
  <si>
    <t>0                      UG 1312000I  2                  B  4</t>
  </si>
  <si>
    <t>Developing the ICBM : a study in bureaucratic politics / Edmund Beard.</t>
  </si>
  <si>
    <t>Beard, Edmund, 1944-</t>
  </si>
  <si>
    <t>New York : Columbia University Press, 1976.</t>
  </si>
  <si>
    <t>Institute of war and peace studies</t>
  </si>
  <si>
    <t>4395286:eng</t>
  </si>
  <si>
    <t>2225012</t>
  </si>
  <si>
    <t>ocm02225012</t>
  </si>
  <si>
    <t>30004409079</t>
  </si>
  <si>
    <t>9780231040129</t>
  </si>
  <si>
    <t>792069974</t>
  </si>
  <si>
    <t>UG1312 I2 C38 2014</t>
  </si>
  <si>
    <t>0                      UG 1312000I  2                  C  38          2014</t>
  </si>
  <si>
    <t>The future of the U.S. intercontinental ballistic missile force / Lauren Caston, Robert S. Leonard, Christopher A. Mouton, Chad J.R. Ohlandt, S. Craig Moore, Raymond E. Conley, Glenn Buchan.</t>
  </si>
  <si>
    <t>Caston, Lauren.</t>
  </si>
  <si>
    <t>1778672020:eng</t>
  </si>
  <si>
    <t>868648624</t>
  </si>
  <si>
    <t>ocn868648624</t>
  </si>
  <si>
    <t>3103518019C</t>
  </si>
  <si>
    <t>9780833076236</t>
  </si>
  <si>
    <t>794964879</t>
  </si>
  <si>
    <t>UG1423 M65 2012</t>
  </si>
  <si>
    <t>0                      UG 1423000M  65          2012</t>
  </si>
  <si>
    <t>Modernizing the mobility Air Force for tomorrow's air traffic management system / Sean Bednarz [and others].</t>
  </si>
  <si>
    <t>1128670571:eng</t>
  </si>
  <si>
    <t>801681552</t>
  </si>
  <si>
    <t>ocn801681552</t>
  </si>
  <si>
    <t>3103141565O</t>
  </si>
  <si>
    <t>9780833070623</t>
  </si>
  <si>
    <t>794925208</t>
  </si>
  <si>
    <t>UG1520 K44 2004</t>
  </si>
  <si>
    <t>0                      UG 1520000K  44          2004</t>
  </si>
  <si>
    <t>Commercial satellite imagery, and United Nations peacekeeping : a view from above / edited by James F. Keeley, Rob Huebert.</t>
  </si>
  <si>
    <t>Keeley, James F.</t>
  </si>
  <si>
    <t>1042703:eng</t>
  </si>
  <si>
    <t>53361568</t>
  </si>
  <si>
    <t>ocm53361568</t>
  </si>
  <si>
    <t>3102412724Q</t>
  </si>
  <si>
    <t>9780754610724</t>
  </si>
  <si>
    <t>793827109</t>
  </si>
  <si>
    <t>UG1523 M587 2010</t>
  </si>
  <si>
    <t>0                      UG 1523000M  587         2010</t>
  </si>
  <si>
    <t>Deterrence and first-strike stability in space : a preliminary assessment / Forrest E. Morgan.</t>
  </si>
  <si>
    <t>Morgan, Forrest E.</t>
  </si>
  <si>
    <t>409535127:eng</t>
  </si>
  <si>
    <t>537652613</t>
  </si>
  <si>
    <t>ocn537652613</t>
  </si>
  <si>
    <t>3103251995W</t>
  </si>
  <si>
    <t>9780833049131</t>
  </si>
  <si>
    <t>794810326</t>
  </si>
  <si>
    <t>UG1523 S83 1985</t>
  </si>
  <si>
    <t>0                      UG 1523000S  83          1985</t>
  </si>
  <si>
    <t>The militarization of space : U.S. policy, 1945-1984 / Paul B. Stares.</t>
  </si>
  <si>
    <t>Stares, Paul B.</t>
  </si>
  <si>
    <t>Ithaca, N.Y. : Cornell University Press, 1985.</t>
  </si>
  <si>
    <t>2018-12-06</t>
  </si>
  <si>
    <t>4315682:eng</t>
  </si>
  <si>
    <t>11756366</t>
  </si>
  <si>
    <t>ocm11756366</t>
  </si>
  <si>
    <t>3000374155$</t>
  </si>
  <si>
    <t>9780801418105</t>
  </si>
  <si>
    <t>792786561</t>
  </si>
  <si>
    <t>UG1530 C36 1982</t>
  </si>
  <si>
    <t>0                      UG 1530000C  36          1982</t>
  </si>
  <si>
    <t>War in space / James Canan.</t>
  </si>
  <si>
    <t>Canan, James W.</t>
  </si>
  <si>
    <t>New York : Harper &amp; Row, ©1982.</t>
  </si>
  <si>
    <t>403510:eng</t>
  </si>
  <si>
    <t>8344740</t>
  </si>
  <si>
    <t>ocm08344740</t>
  </si>
  <si>
    <t>3000158719M</t>
  </si>
  <si>
    <t>9780060380229</t>
  </si>
  <si>
    <t>792614019</t>
  </si>
  <si>
    <t>UG1530 K58 2006</t>
  </si>
  <si>
    <t>0                      UG 1530000K  58          2006</t>
  </si>
  <si>
    <t>Space warfare : strategy, principles, and policy / John J. Klein.</t>
  </si>
  <si>
    <t>Klein, John J.</t>
  </si>
  <si>
    <t>Space power and politics ; 1</t>
  </si>
  <si>
    <t>2009-06-09</t>
  </si>
  <si>
    <t>2016-07-23</t>
  </si>
  <si>
    <t>919193298:eng</t>
  </si>
  <si>
    <t>60454479</t>
  </si>
  <si>
    <t>ocm60454479</t>
  </si>
  <si>
    <t>31025489860</t>
  </si>
  <si>
    <t>9780415770019</t>
  </si>
  <si>
    <t>793938000</t>
  </si>
  <si>
    <t>UH25 C2 B45 2011</t>
  </si>
  <si>
    <t>0                      UH 0025000C  2                  B  45          2011</t>
  </si>
  <si>
    <t>Religion in the ranks : belief and religious experience in the Canadian Forces / Joanne Benham Rennick.</t>
  </si>
  <si>
    <t>Benham Rennick, Joanne, 1970-</t>
  </si>
  <si>
    <t>Toronto : University of Toronto Press, [2011]</t>
  </si>
  <si>
    <t xml:space="preserve">UH </t>
  </si>
  <si>
    <t>2017-05-15</t>
  </si>
  <si>
    <t>783214236:eng</t>
  </si>
  <si>
    <t>701243936</t>
  </si>
  <si>
    <t>ocn701243936</t>
  </si>
  <si>
    <t>31033255960</t>
  </si>
  <si>
    <t>9781442642874</t>
  </si>
  <si>
    <t>794862734</t>
  </si>
  <si>
    <t>UH25 C2 C53 2006</t>
  </si>
  <si>
    <t>0                      UH 0025000C  2                  C  53          2006</t>
  </si>
  <si>
    <t>Chaplains in war and peace : ethical dilemmas of conscience and conflicting professional roles in military chaplaincy in Canada / Joanne Benham Rennick ... [et al.] ; edited by Michael L. Hadley and Leslie A. Kenny.</t>
  </si>
  <si>
    <t>Victoria, B.C. : Centre for Studies in Religion and Society, University of Victoria, c2006.</t>
  </si>
  <si>
    <t>Community seminar series ; ; 12</t>
  </si>
  <si>
    <t>5616970198:eng</t>
  </si>
  <si>
    <t>64670567</t>
  </si>
  <si>
    <t>ocm64670567</t>
  </si>
  <si>
    <t>3102533783V</t>
  </si>
  <si>
    <t>9781550583298</t>
  </si>
  <si>
    <t>794131271</t>
  </si>
  <si>
    <t>UH35 C3 G64 2018</t>
  </si>
  <si>
    <t>0                      UH 0035000C  3                  G  64          2018</t>
  </si>
  <si>
    <t>Riding into battle : Canadian cyclists in the Great War / Ted Glenn.</t>
  </si>
  <si>
    <t>Glenn, Ted, author.</t>
  </si>
  <si>
    <t>Toronto : Dundurn, [2018]</t>
  </si>
  <si>
    <t>2019-03-22</t>
  </si>
  <si>
    <t>5452689386:eng</t>
  </si>
  <si>
    <t>1016021645</t>
  </si>
  <si>
    <t>on1016021645</t>
  </si>
  <si>
    <t>3103730800F</t>
  </si>
  <si>
    <t>9781459742611</t>
  </si>
  <si>
    <t>795048279</t>
  </si>
  <si>
    <t>UH215 R67 2013</t>
  </si>
  <si>
    <t>0                      UH 0215000R  67          2013</t>
  </si>
  <si>
    <t>Providing for the casualties of war : the American experience through World War II / Bernard Rostker.</t>
  </si>
  <si>
    <t>1783362795:eng</t>
  </si>
  <si>
    <t>829999724</t>
  </si>
  <si>
    <t>ocn829999724</t>
  </si>
  <si>
    <t>3103513695Z</t>
  </si>
  <si>
    <t>9780833078360</t>
  </si>
  <si>
    <t>794942989</t>
  </si>
  <si>
    <t>UH223 A92 2011</t>
  </si>
  <si>
    <t>0                      UH 0223000A  92          2011</t>
  </si>
  <si>
    <t>Assessing the performance of military treatment facilities / Nancy Nicosia [and others].</t>
  </si>
  <si>
    <t>Santa Monica, Calif. : RAND, 2011.</t>
  </si>
  <si>
    <t>1012583304:eng</t>
  </si>
  <si>
    <t>727357001</t>
  </si>
  <si>
    <t>ocn727357001</t>
  </si>
  <si>
    <t>31035247142</t>
  </si>
  <si>
    <t>9780833047779</t>
  </si>
  <si>
    <t>794877948</t>
  </si>
  <si>
    <t>UH223 H327 2010</t>
  </si>
  <si>
    <t>0                      UH 0223000H  327         2010</t>
  </si>
  <si>
    <t>Harnessing full value from the DoD Serum Repository and the Defense Medical Surveillance System / Melinda Moore [and others].</t>
  </si>
  <si>
    <t>Rand Corporation monograph series ; MG-875-A</t>
  </si>
  <si>
    <t>1046019574:eng</t>
  </si>
  <si>
    <t>642351715</t>
  </si>
  <si>
    <t>ocn642351715</t>
  </si>
  <si>
    <t>3103286138X</t>
  </si>
  <si>
    <t>9780833049100</t>
  </si>
  <si>
    <t>794828159</t>
  </si>
  <si>
    <t>UH223 H65 2012</t>
  </si>
  <si>
    <t>0                      UH 0223000H  65          2012</t>
  </si>
  <si>
    <t>Healthcare coverage and disability evaluation for reserve component personnel : research for the 11th Quadrennial Review of Military Compensation / Susan D. Hosek.</t>
  </si>
  <si>
    <t>Hosek, Susan D.</t>
  </si>
  <si>
    <t>Santa Monica, Calif. : Rand Corporation, 2012.</t>
  </si>
  <si>
    <t>1749212950:eng</t>
  </si>
  <si>
    <t>805560458</t>
  </si>
  <si>
    <t>ocn805560458</t>
  </si>
  <si>
    <t>3103467146P</t>
  </si>
  <si>
    <t>9780833059369</t>
  </si>
  <si>
    <t>794926332</t>
  </si>
  <si>
    <t>UH223 S63 2013</t>
  </si>
  <si>
    <t>0                      UH 0223000S  63          2013</t>
  </si>
  <si>
    <t>Improving the deployment of Army health care professionals : an evaluation of PROFIS / Melony E. Sorbero, Stuart S. Olmsted, Kristy Gonzalez Morganti, Rachel M. Burns, Ann C. Haas, Kimberlie Biever ; prepared for the United States Army, approved for public release, distribution unlimited.</t>
  </si>
  <si>
    <t>Sorbero, Melony E.</t>
  </si>
  <si>
    <t>Report ; TR-1227-A</t>
  </si>
  <si>
    <t>1349698779:eng</t>
  </si>
  <si>
    <t>830646599</t>
  </si>
  <si>
    <t>ocn830646599</t>
  </si>
  <si>
    <t>3103518081Z</t>
  </si>
  <si>
    <t>9780833078049</t>
  </si>
  <si>
    <t>794943551</t>
  </si>
  <si>
    <t>UH295 S4 S8</t>
  </si>
  <si>
    <t>0                      UH 0295000S  4                  S  8</t>
  </si>
  <si>
    <t>Istorija srpskog vojnog saniteta. Naše ratno sanitetsko iskustvo. Prikupio, sredio za štampu i izdao Vlad. Stanojević. Saradnici: A. Radoslavljević [i dr.].</t>
  </si>
  <si>
    <t>Stanojević, Vladimir, 1886-1978.</t>
  </si>
  <si>
    <t>Beograd, Štamp. Zlatibor, 1925.</t>
  </si>
  <si>
    <t>srp</t>
  </si>
  <si>
    <t>2016-03-29</t>
  </si>
  <si>
    <t>9593553784:srp</t>
  </si>
  <si>
    <t>42784774</t>
  </si>
  <si>
    <t>ocm42784774</t>
  </si>
  <si>
    <t>31035776351</t>
  </si>
  <si>
    <t>793614271</t>
  </si>
  <si>
    <t>UH347 L3 R52</t>
  </si>
  <si>
    <t>0                      UH 0347000L  3                  R  52</t>
  </si>
  <si>
    <t>Larrey: surgeon to Napoleon's Imperial Guard [by] Robert G. Richardson.</t>
  </si>
  <si>
    <t>Richardson, Robert G.</t>
  </si>
  <si>
    <t>[London] Murray [1974]</t>
  </si>
  <si>
    <t>1981567:eng</t>
  </si>
  <si>
    <t>1032436</t>
  </si>
  <si>
    <t>ocm01032436</t>
  </si>
  <si>
    <t>3000388479L</t>
  </si>
  <si>
    <t>9780719531033</t>
  </si>
  <si>
    <t>791529372</t>
  </si>
  <si>
    <t>UH347 M23 M35 2010</t>
  </si>
  <si>
    <t>0                      UH 0347000M  23                 M  35          2010</t>
  </si>
  <si>
    <t>Margaret MacDonald : imperial daughter / Susan Mann.</t>
  </si>
  <si>
    <t>Mann, Susan, 1941-</t>
  </si>
  <si>
    <t>Montréal, Québec : McGill-Queen's University Press ; Chesham : Combined Academic [distributor], 2010.</t>
  </si>
  <si>
    <t>Footprints series</t>
  </si>
  <si>
    <t>793957834:eng</t>
  </si>
  <si>
    <t>642824462</t>
  </si>
  <si>
    <t>ocn642824462</t>
  </si>
  <si>
    <t>3103267161X</t>
  </si>
  <si>
    <t>9780773538009</t>
  </si>
  <si>
    <t>794828417</t>
  </si>
  <si>
    <t>UH347 N6 A62</t>
  </si>
  <si>
    <t>0                      UH 0347000N  6                  A  62</t>
  </si>
  <si>
    <t>Florence Nightingale as seen in her portraits : with a sketch of her life, and an account of her relation to the origin of the Red Cross Society / by Maude E. Seymour Abbott.</t>
  </si>
  <si>
    <t>Abbott, Maude E. (Maude Elizabeth), 1869-1940.</t>
  </si>
  <si>
    <t>Boston : [publisher not identified], [1916?]</t>
  </si>
  <si>
    <t>20034194:eng</t>
  </si>
  <si>
    <t>5877417</t>
  </si>
  <si>
    <t>ocm05877417</t>
  </si>
  <si>
    <t>30007293385</t>
  </si>
  <si>
    <t>792460367</t>
  </si>
  <si>
    <t>UH347 S36 A3 1998</t>
  </si>
  <si>
    <t>0                      UH 0347000S  36                 A  3           1998</t>
  </si>
  <si>
    <t>Medic : the mission of an American military doctor in occupied Japan and wartorn Korea / Crawford F. Sams ; edited, with an introduction and notes by Zabelle Zakarian.</t>
  </si>
  <si>
    <t>Sams, Crawford F.</t>
  </si>
  <si>
    <t>Armonk, N.Y. : M.E. Sharpe, ©1998.</t>
  </si>
  <si>
    <t>836994843:eng</t>
  </si>
  <si>
    <t>37518781</t>
  </si>
  <si>
    <t>ocm37518781</t>
  </si>
  <si>
    <t>3101870727L</t>
  </si>
  <si>
    <t>9780765600301</t>
  </si>
  <si>
    <t>793500610</t>
  </si>
  <si>
    <t>UH394 I67 2012</t>
  </si>
  <si>
    <t>0                      UH 0394000I  67          2012</t>
  </si>
  <si>
    <t>Improving joint expeditionary medical planning tools based on a patient flow approach / Edward W. Chan [and others].</t>
  </si>
  <si>
    <t>Technical report ; TR-1003-AF</t>
  </si>
  <si>
    <t>1072116317:eng</t>
  </si>
  <si>
    <t>772452983</t>
  </si>
  <si>
    <t>ocn772452983</t>
  </si>
  <si>
    <t>3103438346U</t>
  </si>
  <si>
    <t>9780833059000</t>
  </si>
  <si>
    <t>794904578</t>
  </si>
  <si>
    <t>UH394 R36 2014</t>
  </si>
  <si>
    <t>0                      UH 0394000R  36          2014</t>
  </si>
  <si>
    <t>Hidden heroes : America's military caregivers / Rajeev Ramchand, Terri Tanielian, Michael P. Fisher, Christine Anne Vaughan, Thomas E. Trail, Caroline Epley, Phoenix Voorhies, Michael William Robbins, Eric Robinson, Bonnie Ghosh-Dastidar ; sponsored by Caring for Military Families: The Elizabeth Dole Foundation.</t>
  </si>
  <si>
    <t>Ramchand, Rajeev, author.</t>
  </si>
  <si>
    <t>Santa Monica, Calif. : Rand Corporation, [2014]</t>
  </si>
  <si>
    <t>1848820967:eng</t>
  </si>
  <si>
    <t>874735688</t>
  </si>
  <si>
    <t>ocn874735688</t>
  </si>
  <si>
    <t>3103554382M</t>
  </si>
  <si>
    <t>9780833085580</t>
  </si>
  <si>
    <t>794968989</t>
  </si>
  <si>
    <t>UH394 R362 2014</t>
  </si>
  <si>
    <t>0                      UH 0394000R  362         2014</t>
  </si>
  <si>
    <t>Hidden heroes : America's military caregivers. Executive summary / Rajeev Ramchand [and nine others].</t>
  </si>
  <si>
    <t>875247551</t>
  </si>
  <si>
    <t>ocn875247551</t>
  </si>
  <si>
    <t>B001573137</t>
  </si>
  <si>
    <t>9780833085603</t>
  </si>
  <si>
    <t>794969339</t>
  </si>
  <si>
    <t>UH443 A884 2010</t>
  </si>
  <si>
    <t>0                      UH 0443000A  884         2010</t>
  </si>
  <si>
    <t>Assessment of the USCENTCOM medical distribution structure / William Welser, IV [and others].</t>
  </si>
  <si>
    <t>416303768:eng</t>
  </si>
  <si>
    <t>544474618</t>
  </si>
  <si>
    <t>ocn544474618</t>
  </si>
  <si>
    <t>3103249920J</t>
  </si>
  <si>
    <t>9780833049230</t>
  </si>
  <si>
    <t>794810888</t>
  </si>
  <si>
    <t>UH473 N38 2010</t>
  </si>
  <si>
    <t>0                      UH 0473000N  38          2010</t>
  </si>
  <si>
    <t>New equipping strategies for combat support hospitals / Matthew W. Lewis [and others].</t>
  </si>
  <si>
    <t>766930391:eng</t>
  </si>
  <si>
    <t>629700494</t>
  </si>
  <si>
    <t>ocn629700494</t>
  </si>
  <si>
    <t>31032995580</t>
  </si>
  <si>
    <t>9780833049964</t>
  </si>
  <si>
    <t>794824281</t>
  </si>
  <si>
    <t>UH495 C2 Q56 2002a</t>
  </si>
  <si>
    <t>0                      UH 0495000C  2                  Q  56          2002a</t>
  </si>
  <si>
    <t>"Assistant angels" : Canadian women as Voluntary Aid Detachment nurses during and after the Great War, 1914-1930 / by Linda J. Quiney.</t>
  </si>
  <si>
    <t>Quiney, Linda J.</t>
  </si>
  <si>
    <t>10510235:eng</t>
  </si>
  <si>
    <t>53058695</t>
  </si>
  <si>
    <t>ocm53058695</t>
  </si>
  <si>
    <t>31025427441</t>
  </si>
  <si>
    <t>9780612679870</t>
  </si>
  <si>
    <t>793820401</t>
  </si>
  <si>
    <t>UH495 C3 N53</t>
  </si>
  <si>
    <t>0                      UH 0495000C  3                  N  53</t>
  </si>
  <si>
    <t>Canada's nursing sisters / G.W.L. Nicholson.</t>
  </si>
  <si>
    <t>Toronto : S. Stevens, ©1975.</t>
  </si>
  <si>
    <t>Historical publication - Canadian War Museum, National Museum of Man, National Museums of Canada ; 13</t>
  </si>
  <si>
    <t>5610650702:eng</t>
  </si>
  <si>
    <t>2472470</t>
  </si>
  <si>
    <t>ocm02472470</t>
  </si>
  <si>
    <t>3000429574E</t>
  </si>
  <si>
    <t>9780888665676</t>
  </si>
  <si>
    <t>792132359</t>
  </si>
  <si>
    <t>UH535 B5 1914</t>
  </si>
  <si>
    <t>0                      UH 0535000B  5           1914</t>
  </si>
  <si>
    <t>The Red Cross in war, woman's part in the relief of suffering, by Mary Frances Billington ...</t>
  </si>
  <si>
    <t>Billington, Mary Frances.</t>
  </si>
  <si>
    <t>London, New York Hodder and Stoughton, 1914.</t>
  </si>
  <si>
    <t>The Daily telegraph war books</t>
  </si>
  <si>
    <t>2015-10-18</t>
  </si>
  <si>
    <t>2730791:eng</t>
  </si>
  <si>
    <t>1871679</t>
  </si>
  <si>
    <t>ocm01871679</t>
  </si>
  <si>
    <t>3101115873X</t>
  </si>
  <si>
    <t>792003173</t>
  </si>
  <si>
    <t>UH605 A9 M64 1984</t>
  </si>
  <si>
    <t>0                      UH 0605000A  9                  M  64          1984</t>
  </si>
  <si>
    <t>Das österreichische Militärsanitätswesen im Zeitalter des aufgeklärten Absolutismus / Joachim Moerchel.</t>
  </si>
  <si>
    <t>Moerchel, Joachim.</t>
  </si>
  <si>
    <t>Frankfurt am Main ; New York : P. Lang, ©1984.</t>
  </si>
  <si>
    <t>Europäische Hochschulschriften. Reihe III, Geschichte und ihre Hilfswissenschaften, 0531-7320 ; Bd. 233 = Publications universitaires européennes. Série III, Histoire sciences auxiliaires de l'histoire ; vol. 233 = European university studies. Series III, History and allied studies ; vol. 233</t>
  </si>
  <si>
    <t>2018-05-15</t>
  </si>
  <si>
    <t>9964654791:ger</t>
  </si>
  <si>
    <t>11577009</t>
  </si>
  <si>
    <t>ocm11577009</t>
  </si>
  <si>
    <t>3101380916A</t>
  </si>
  <si>
    <t>9783820480771</t>
  </si>
  <si>
    <t>792779200</t>
  </si>
  <si>
    <t>UH629.3 A77 2012</t>
  </si>
  <si>
    <t>0                      UH 0629300A  77          2012</t>
  </si>
  <si>
    <t>Assessment of the content, design, and dissemination of the Real Warriors Campaign / Joie D. Acosta [and others].</t>
  </si>
  <si>
    <t>Technical report ; TR-1176-OSD</t>
  </si>
  <si>
    <t>1090432763:eng</t>
  </si>
  <si>
    <t>781279072</t>
  </si>
  <si>
    <t>ocn781279072</t>
  </si>
  <si>
    <t>3103438345U</t>
  </si>
  <si>
    <t>9780833063106</t>
  </si>
  <si>
    <t>794912557</t>
  </si>
  <si>
    <t>UH629.3 M665 2011</t>
  </si>
  <si>
    <t>0                      UH 0629300M  665         2011</t>
  </si>
  <si>
    <t>Wheels down : adjusting to life after deployment / Bret A. Moore and Carrie H. Kennedy.</t>
  </si>
  <si>
    <t>APA LifeTools</t>
  </si>
  <si>
    <t>793078095:eng</t>
  </si>
  <si>
    <t>607975736</t>
  </si>
  <si>
    <t>ocn607975736</t>
  </si>
  <si>
    <t>3103226298B</t>
  </si>
  <si>
    <t>9781433808722</t>
  </si>
  <si>
    <t>794818613</t>
  </si>
  <si>
    <t>UH629.3 P77 2011</t>
  </si>
  <si>
    <t>0                      UH 0629300P  77          2011</t>
  </si>
  <si>
    <t>Programs addressing psychological health and traumatic brain injury among U.S. military servicemembers and their families / Robin M. Weinick [and others].</t>
  </si>
  <si>
    <t>Technical report ; TR-950-OSD</t>
  </si>
  <si>
    <t>1035898115:eng</t>
  </si>
  <si>
    <t>758845998</t>
  </si>
  <si>
    <t>ocn758845998</t>
  </si>
  <si>
    <t>3103485054O</t>
  </si>
  <si>
    <t>9780833052360</t>
  </si>
  <si>
    <t>794896666</t>
  </si>
  <si>
    <t>UH629.5 C2 C66 1990</t>
  </si>
  <si>
    <t>0                      UH 0629500C  2                  C  66          1990</t>
  </si>
  <si>
    <t>Battle exhaustion : soldiers and psychiatrists in the Canadian Army, 1939-1945 / Terry Copp, Bill McAndrew.</t>
  </si>
  <si>
    <t>Copp, J. T.</t>
  </si>
  <si>
    <t>Montreal ; Buffalo : McGill-Queen's University Press, ©1990.</t>
  </si>
  <si>
    <t>2017-10-14</t>
  </si>
  <si>
    <t>800499427:eng</t>
  </si>
  <si>
    <t>26094763</t>
  </si>
  <si>
    <t>ocm26094763</t>
  </si>
  <si>
    <t>3102795358$</t>
  </si>
  <si>
    <t>9780773507746</t>
  </si>
  <si>
    <t>793237106</t>
  </si>
  <si>
    <t>2005-02-08</t>
  </si>
  <si>
    <t>31007540936</t>
  </si>
  <si>
    <t>793237107</t>
  </si>
  <si>
    <t>UH705 C3 B35 2011</t>
  </si>
  <si>
    <t>0                      UH 0705000C  3                  B  35          2011</t>
  </si>
  <si>
    <t>The information front : the Canadian Army and news management during the second World War / Timothy Balzer.</t>
  </si>
  <si>
    <t>Balzer, Timothy, 1966-</t>
  </si>
  <si>
    <t>Vancouver : UBC Press, ©2011.</t>
  </si>
  <si>
    <t>2018-02-18</t>
  </si>
  <si>
    <t>766872387:eng</t>
  </si>
  <si>
    <t>694225424</t>
  </si>
  <si>
    <t>ocn694225424</t>
  </si>
  <si>
    <t>3103267715P</t>
  </si>
  <si>
    <t>9780774818995</t>
  </si>
  <si>
    <t>794857276</t>
  </si>
  <si>
    <t>UH723 C44 2013</t>
  </si>
  <si>
    <t>0                      UH 0723000C  44          2013</t>
  </si>
  <si>
    <t>The U.S. military response to the 2010 Haiti earthquake : considerations for Army leaders / Gary Cecchine ... [and five others].</t>
  </si>
  <si>
    <t>Cecchine, Gary, author.</t>
  </si>
  <si>
    <t>1882277755:eng</t>
  </si>
  <si>
    <t>859446786</t>
  </si>
  <si>
    <t>ocn859446786</t>
  </si>
  <si>
    <t>31035180308</t>
  </si>
  <si>
    <t>9780833080752</t>
  </si>
  <si>
    <t>794957838</t>
  </si>
  <si>
    <t>UH723 H54</t>
  </si>
  <si>
    <t>0                      UH 0723000H  54</t>
  </si>
  <si>
    <t>Bayonets in the streets; the use of troops in civil disturbances, edited by Robin Higham.</t>
  </si>
  <si>
    <t>Higham, Robin, 1925-2015.</t>
  </si>
  <si>
    <t>Lawrence, University Press of Kansas [1969]</t>
  </si>
  <si>
    <t>2018-10-27</t>
  </si>
  <si>
    <t>1145242:eng</t>
  </si>
  <si>
    <t>23077</t>
  </si>
  <si>
    <t>ocm00023077</t>
  </si>
  <si>
    <t>30005146381</t>
  </si>
  <si>
    <t>9780700600236</t>
  </si>
  <si>
    <t>791231598</t>
  </si>
  <si>
    <t>UH723 M69 2013</t>
  </si>
  <si>
    <t>0                      UH 0723000M  69          2013</t>
  </si>
  <si>
    <t>Lessons from Department of Defense disaster relief efforts in the Asia-Pacific Region / Jennifer D.P. Moroney, Stephanie Pezard, Laurel E. Miller, Jeffrey Engstrom, Abby Doll.</t>
  </si>
  <si>
    <t>[Report] ; RR-146-OSD</t>
  </si>
  <si>
    <t>1394004014:eng</t>
  </si>
  <si>
    <t>858777970</t>
  </si>
  <si>
    <t>ocn858777970</t>
  </si>
  <si>
    <t>3103518008E</t>
  </si>
  <si>
    <t>9780833080431</t>
  </si>
  <si>
    <t>794956587</t>
  </si>
  <si>
    <t>folio U29 W37 1980</t>
  </si>
  <si>
    <t>0folio                 U  0029000W  37          1980</t>
  </si>
  <si>
    <t>Warfare in the classical world : an illustrated encyclopaedia of weapons, warriors, and warfare in the ancient civilisations of Greece and Rome / John Warry.</t>
  </si>
  <si>
    <t>Warry, John Gibson.</t>
  </si>
  <si>
    <t>London : Salamander Books, 1980.</t>
  </si>
  <si>
    <t>2267905:eng</t>
  </si>
  <si>
    <t>7308492</t>
  </si>
  <si>
    <t>ocm07308492</t>
  </si>
  <si>
    <t>3000365140D</t>
  </si>
  <si>
    <t>9780861010349</t>
  </si>
  <si>
    <t>792552676</t>
  </si>
  <si>
    <t>folio UC315 A3 G6</t>
  </si>
  <si>
    <t>0folio                 UC 0315000A  3                  G  6</t>
  </si>
  <si>
    <t>Detailed history of the railways in the South African War, 1899-1902.</t>
  </si>
  <si>
    <t>Chatham [England] : Royal Engineers Institute, 1904.</t>
  </si>
  <si>
    <t>1904</t>
  </si>
  <si>
    <t>5482432:eng</t>
  </si>
  <si>
    <t>12961910</t>
  </si>
  <si>
    <t>ocm12961910</t>
  </si>
  <si>
    <t>30007298984</t>
  </si>
  <si>
    <t>792834730</t>
  </si>
  <si>
    <t>3100425081A</t>
  </si>
  <si>
    <t>792834729</t>
  </si>
  <si>
    <t>folio UG429 I8 M37 1984</t>
  </si>
  <si>
    <t>0folio                 UG 0429000I  8                  M  37          1984</t>
  </si>
  <si>
    <t>L'architettura fortificata negli studi di Leonardo da Vinci : con il catalogo completo dei disegni / Pietro C. Marani.</t>
  </si>
  <si>
    <t>Marani, Pietro C.</t>
  </si>
  <si>
    <t>Firenze : L.S. Olschki, 1984.</t>
  </si>
  <si>
    <t>Arte e archeologia ; 21</t>
  </si>
  <si>
    <t>353810249:ita</t>
  </si>
  <si>
    <t>12972409</t>
  </si>
  <si>
    <t>ocm12972409</t>
  </si>
  <si>
    <t>3000915604M</t>
  </si>
  <si>
    <t>9788822232083</t>
  </si>
  <si>
    <t>792835222</t>
  </si>
  <si>
    <t>folio UG432 K6 H92 2015</t>
  </si>
  <si>
    <t>0folio                 UG 0432000K  6                  H  92          2015</t>
  </si>
  <si>
    <t>Hwanghaedo chiyŏk Koguryŏ sansŏng / Tongbuga Yŏksa Chaedan p'yŏn.</t>
  </si>
  <si>
    <t>Sŏul-si : Tongbuga Yŏksa Chaedan, 2015.</t>
  </si>
  <si>
    <t>10177687292:kor</t>
  </si>
  <si>
    <t>933263258</t>
  </si>
  <si>
    <t>ocn933263258</t>
  </si>
  <si>
    <t>31036672806</t>
  </si>
  <si>
    <t>9788961873659</t>
  </si>
  <si>
    <t>795008934</t>
  </si>
  <si>
    <t>folio UG432 K7 P96 2017</t>
  </si>
  <si>
    <t>0folio                 UG 0432000K  7                  P  96          2017</t>
  </si>
  <si>
    <t>P'yŏngan-do chiyŏk Koguryŏ sansŏng = Koguryo fortresses in Pyongan province / Tongbuga Yŏksa Chaedan p'yŏn.</t>
  </si>
  <si>
    <t>9093449530:kor</t>
  </si>
  <si>
    <t>1024317913</t>
  </si>
  <si>
    <t>on1024317913</t>
  </si>
  <si>
    <t>3103762550L</t>
  </si>
  <si>
    <t>9788961874649</t>
  </si>
  <si>
    <t>795052224</t>
  </si>
  <si>
    <t>- Reserves and A/V Room - A/V Collection - A/V Loan</t>
  </si>
  <si>
    <t>10487</t>
  </si>
  <si>
    <t>810487</t>
  </si>
  <si>
    <t>Sisters in arms.</t>
  </si>
  <si>
    <t>[Canada] : SIA Productions Inc. ; [Vancouver, B.C.] : Moving Images Distribution [distributor], 2010.</t>
  </si>
  <si>
    <t>2016-04-27</t>
  </si>
  <si>
    <t>1380324278:eng</t>
  </si>
  <si>
    <t>747862678</t>
  </si>
  <si>
    <t>ocn747862678</t>
  </si>
  <si>
    <t>3103550792O</t>
  </si>
  <si>
    <t>Video_DVD</t>
  </si>
  <si>
    <t>794888631</t>
  </si>
  <si>
    <t>10540</t>
  </si>
  <si>
    <t>810540</t>
  </si>
  <si>
    <t>Dirty wars / IFC Films ; Sundance Selects ; Civic Bakery presents a Big Noise film ; directed and filmed by Richard Rowley ; produced by Anthony Arnove, Brenda Coughlin, Jeremy Scahill ; written by Jeremy Scahill &amp; David Riker ; executive producers, Scott Roth, Jess Search, Randall Wallace, Sandra Whipham.</t>
  </si>
  <si>
    <t>Dirty wars (Motion picture)</t>
  </si>
  <si>
    <t>[Cambridge, Massachusetts] : [Big Noise Films] ; [Place of publication not identified] : [Civic Bakery], [2013]</t>
  </si>
  <si>
    <t>2017-06-15</t>
  </si>
  <si>
    <t>1831381369:eng</t>
  </si>
  <si>
    <t>857795510</t>
  </si>
  <si>
    <t>ocn857795510</t>
  </si>
  <si>
    <t>3103551051C</t>
  </si>
  <si>
    <t>9780788617201</t>
  </si>
  <si>
    <t>794955422</t>
  </si>
  <si>
    <t>11031</t>
  </si>
  <si>
    <t>811031</t>
  </si>
  <si>
    <t>Korengal / Saboteur ; Goldcrest Films presents in association with Outpost Films ; directed by Sebastian Junger ; produced by Nick Quested ; Battle Films LLC.</t>
  </si>
  <si>
    <t>New York, NY : Virgil Films, [2014]</t>
  </si>
  <si>
    <t>[Widescreen format].</t>
  </si>
  <si>
    <t>2015-01-13</t>
  </si>
  <si>
    <t>5093443968:eng</t>
  </si>
  <si>
    <t>884826297</t>
  </si>
  <si>
    <t>ocn884826297</t>
  </si>
  <si>
    <t>3103589606V</t>
  </si>
  <si>
    <t>9786315578434</t>
  </si>
  <si>
    <t>794976794</t>
  </si>
  <si>
    <t>11152</t>
  </si>
  <si>
    <t>811152</t>
  </si>
  <si>
    <t>Serious games = Ernste Spiele / by Farun Farocki ; Harun Farocki Filmproduktion.</t>
  </si>
  <si>
    <t>Berlin : Harun Farocki Filmpriduktion, 2010.</t>
  </si>
  <si>
    <t>2016-03-16</t>
  </si>
  <si>
    <t>2261667690:eng</t>
  </si>
  <si>
    <t>696002230</t>
  </si>
  <si>
    <t>ocn696002230</t>
  </si>
  <si>
    <t>3102513628J</t>
  </si>
  <si>
    <t>794858819</t>
  </si>
  <si>
    <t>12175</t>
  </si>
  <si>
    <t>812175</t>
  </si>
  <si>
    <t>Facts about the North Korean military / created by Institute for Unification Education.</t>
  </si>
  <si>
    <t>Seoul : Ministry of Unification, Institute for Unification Education, 2016.</t>
  </si>
  <si>
    <t>5114056989:eng</t>
  </si>
  <si>
    <t>975694526</t>
  </si>
  <si>
    <t>ocn975694526</t>
  </si>
  <si>
    <t>3103759832J</t>
  </si>
  <si>
    <t>795030234</t>
  </si>
  <si>
    <t>81957</t>
  </si>
  <si>
    <t>Inside CSIS.</t>
  </si>
  <si>
    <t>[Toronto, Ont.] : Canadian Broadcasting Corporation, 2010 : CBC Learning [distributor]</t>
  </si>
  <si>
    <t>The National</t>
  </si>
  <si>
    <t>2017-10-11</t>
  </si>
  <si>
    <t>1905602705:eng</t>
  </si>
  <si>
    <t>704768205</t>
  </si>
  <si>
    <t>ocn704768205</t>
  </si>
  <si>
    <t>3103436543W</t>
  </si>
  <si>
    <t>794865875</t>
  </si>
  <si>
    <t>450</t>
  </si>
  <si>
    <t>8450</t>
  </si>
  <si>
    <t>Refuseniks / a Reel Revolution film ; produced and directed by Sonja de Vries.</t>
  </si>
  <si>
    <t>[New York, N.Y.] : Third World Newsreel, [2006?]</t>
  </si>
  <si>
    <t>2017-10-10</t>
  </si>
  <si>
    <t>136948566:eng</t>
  </si>
  <si>
    <t>227192251</t>
  </si>
  <si>
    <t>ocn227192251</t>
  </si>
  <si>
    <t>31028707875</t>
  </si>
  <si>
    <t>794347313</t>
  </si>
  <si>
    <t>634</t>
  </si>
  <si>
    <t>8634</t>
  </si>
  <si>
    <t>O Herói = The Hero / David &amp; Golias apresenta uma co-produção David &amp; Golias (Portugal), Gamboa &amp; Gamboa (Angola), Les films de L'après-midi (France) ; produtor, Fernando Vendrell ; argumento e diálogos, Carla Baptista, a partir de una idéia original de Fernando Vendrell ; realizado por Zézé Gamboa.</t>
  </si>
  <si>
    <t>Herói (Motion picture)</t>
  </si>
  <si>
    <t>[San Francisco] : California Newsreel, [2005]</t>
  </si>
  <si>
    <t>por</t>
  </si>
  <si>
    <t>2019-04-24</t>
  </si>
  <si>
    <t>4921847294:por</t>
  </si>
  <si>
    <t>67537293</t>
  </si>
  <si>
    <t>ocm67537293</t>
  </si>
  <si>
    <t>31026675674</t>
  </si>
  <si>
    <t>794140955</t>
  </si>
  <si>
    <t>8620</t>
  </si>
  <si>
    <t>88620</t>
  </si>
  <si>
    <t>Pax Americana and the weaponization of space / a Kinosmith release ; director and writer, Denis Delestrac.</t>
  </si>
  <si>
    <t>[United States] : Kinosmith, 2010.</t>
  </si>
  <si>
    <t>Hot docs collection</t>
  </si>
  <si>
    <t>2012-11-20</t>
  </si>
  <si>
    <t>687572852:eng</t>
  </si>
  <si>
    <t>671655382</t>
  </si>
  <si>
    <t>ocn671655382</t>
  </si>
  <si>
    <t>31033040394</t>
  </si>
  <si>
    <t>794848922</t>
  </si>
  <si>
    <t>88634</t>
  </si>
  <si>
    <t>To see if I'm smiling / First Hand Films ; Noga Communications ; director and producer, Tamar Yarom.</t>
  </si>
  <si>
    <t>New York, NY : Women Make Movies, [2007?]</t>
  </si>
  <si>
    <t>Widescreen format.</t>
  </si>
  <si>
    <t>2018-11-26</t>
  </si>
  <si>
    <t>1368847399:heb</t>
  </si>
  <si>
    <t>228136923</t>
  </si>
  <si>
    <t>ocn228136923</t>
  </si>
  <si>
    <t>3102942085R</t>
  </si>
  <si>
    <t>794348900</t>
  </si>
  <si>
    <t>8635</t>
  </si>
  <si>
    <t>88635</t>
  </si>
  <si>
    <t>Coming out under fire / a DeepFocus production ; producer, director, Arthur Dong.</t>
  </si>
  <si>
    <t>New York : Docurama : Distributed by New Video Group, ©2005.</t>
  </si>
  <si>
    <t>Arthur Dong collection</t>
  </si>
  <si>
    <t>386638850:eng</t>
  </si>
  <si>
    <t>166486902</t>
  </si>
  <si>
    <t>ocn166486902</t>
  </si>
  <si>
    <t>3103302270Z</t>
  </si>
  <si>
    <t>9780767080903</t>
  </si>
  <si>
    <t>794261583</t>
  </si>
  <si>
    <t>8636</t>
  </si>
  <si>
    <t>88636</t>
  </si>
  <si>
    <t>Munich: Operation Bayonet.</t>
  </si>
  <si>
    <t>Munich: Operation Bayonet (Television program)</t>
  </si>
  <si>
    <t>[Israel] : Highlight, [2006]</t>
  </si>
  <si>
    <t>2016-11-23</t>
  </si>
  <si>
    <t>315238246:eng</t>
  </si>
  <si>
    <t>427799150</t>
  </si>
  <si>
    <t>ocn427799150</t>
  </si>
  <si>
    <t>31028050844</t>
  </si>
  <si>
    <t>794698813</t>
  </si>
  <si>
    <t>8771</t>
  </si>
  <si>
    <t>88771</t>
  </si>
  <si>
    <t>Seeds of summer / Eden Productions in association with Sapir Academic College. A co-production with ITVS International.</t>
  </si>
  <si>
    <t>Zirʻe ḳayits.</t>
  </si>
  <si>
    <t>[Tel Aviv?] : Eden Productions, ©2008.</t>
  </si>
  <si>
    <t>1766796304:heb</t>
  </si>
  <si>
    <t>261127817</t>
  </si>
  <si>
    <t>ocn261127817</t>
  </si>
  <si>
    <t>31034418187</t>
  </si>
  <si>
    <t>794400629</t>
  </si>
  <si>
    <t>9515</t>
  </si>
  <si>
    <t>89515</t>
  </si>
  <si>
    <t>The Invisible War / New Video ; Docurama Films ; Girls Club Entertainment ; ITVS ; Independent Lens ; Rise Films ; Chain Camera Pictures and Regina Kulik Scully and Jennifer Siebel Newsom present in association with Rise Films and ITVS, Fork Films, Cuomo Cole Productions, Canal Plus ; a film by Kirby Dick &amp; Amy Ziering ; executive producers, Teddy Leifer, Nicole Boxer-Keegan, Sally Jo Fifer ; executive producers, Sarah Johnson Redlich, Women Donors Network ; executive producers, Abigail Disney, Maria Cuomo Cole ; executive producers, Regina Kulik Scully, Jennifer Siebel Newsom, Geralyn Dreyfous ; produced by Tanner King Barklow ; produced by Amy Ziering ; written and directed by Kirby Dick.</t>
  </si>
  <si>
    <t>Invisible war (Motion picture : 2012)</t>
  </si>
  <si>
    <t>[New York] : Docurama, Cinedigm Entertainment Group, [2012]</t>
  </si>
  <si>
    <t>2018-03-05</t>
  </si>
  <si>
    <t>1167724979:eng</t>
  </si>
  <si>
    <t>809948829</t>
  </si>
  <si>
    <t>ocn809948829</t>
  </si>
  <si>
    <t>3103480188Z</t>
  </si>
  <si>
    <t>9781422922002</t>
  </si>
  <si>
    <t>794928937</t>
  </si>
  <si>
    <t>- Government Document Collection - In Library Use</t>
  </si>
  <si>
    <t>CA1 XC24 2010 T37</t>
  </si>
  <si>
    <t>8CA1 XC24 2010 T37</t>
  </si>
  <si>
    <t>A timely tune-up for the living New Veterans Charter : report of the Standing Committee on Veterans Affairs / David Sweet, chair.</t>
  </si>
  <si>
    <t>Canada. Parliament. House of Commons. Standing Committee on Veterans Affairs.</t>
  </si>
  <si>
    <t>[Ottawa] : [Parliament of Canada], [2010]</t>
  </si>
  <si>
    <t>5091839662:eng</t>
  </si>
  <si>
    <t>666513235</t>
  </si>
  <si>
    <t>ocn666513235</t>
  </si>
  <si>
    <t>3103479396X</t>
  </si>
  <si>
    <t>794845256</t>
  </si>
  <si>
    <t>CA1 XC24 2011 C57</t>
  </si>
  <si>
    <t>8CA1 XC24 2011 C57</t>
  </si>
  <si>
    <t>Commemoration in the 21st century : report of the Standing Committee on Veterans Affairs.</t>
  </si>
  <si>
    <t>[Ottawa] : House of Commons Canada, 2011.</t>
  </si>
  <si>
    <t>[Sessional paper / House of Commons = Document parlementaire / Chambre des communes ; 8510-411-30]</t>
  </si>
  <si>
    <t>2517422719:eng</t>
  </si>
  <si>
    <t>797261597</t>
  </si>
  <si>
    <t>ocn797261597</t>
  </si>
  <si>
    <t>3103479387Z</t>
  </si>
  <si>
    <t>794922823</t>
  </si>
  <si>
    <t>CA1 XC24 2012 I57</t>
  </si>
  <si>
    <t>8CA1 XC24 2012 I57</t>
  </si>
  <si>
    <t>Improving services to improve quality of life for veterans and their families : report of the Standing Committee on Veterans Affairs / Greg Kerr, chair.</t>
  </si>
  <si>
    <t>[Ottawa] : Standing Committee on Veterans Affairs, 2012.</t>
  </si>
  <si>
    <t>1124069994:eng</t>
  </si>
  <si>
    <t>798628783</t>
  </si>
  <si>
    <t>ocn798628783</t>
  </si>
  <si>
    <t>3103479393X</t>
  </si>
  <si>
    <t>9780660673950</t>
  </si>
  <si>
    <t>794923956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</si>
</sst>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3" x14ac:knownFonts="1">
    <font>
      <sz val="11"/>
      <color theme="1"/>
      <name val="Calibri"/>
      <family val="2"/>
      <scheme val="minor"/>
    </font>
    <font>
      <b/>
      <sz val="11"/>
      <color theme="1"/>
      <name val="Calibri"/>
      <family val="2"/>
      <scheme val="minor"/>
    </font>
    <font>
      <u/>
      <sz val="11"/>
      <color rgb="FF0000FF"/>
      <name val="Calibri"/>
      <family val="2"/>
      <scheme val="minor"/>
    </font>
  </fonts>
  <fills count="3">
    <fill>
      <patternFill patternType="none"/>
    </fill>
    <fill>
      <patternFill patternType="gray125"/>
    </fill>
    <fill>
      <patternFill patternType="solid">
        <fgColor rgb="FFC0C0C0"/>
        <bgColor indexed="64"/>
      </patternFill>
    </fill>
  </fills>
  <borders count="1">
    <border>
      <left/>
      <right/>
      <top/>
      <bottom/>
      <diagonal/>
    </border>
  </borders>
  <cellStyleXfs count="1">
    <xf numFmtId="0" fontId="0" fillId="0" borderId="0"/>
  </cellStyleXfs>
  <cellXfs count="7">
    <xf numFmtId="0" fontId="0" fillId="0" borderId="0" xfId="0"/>
    <xf numFmtId="0" fontId="1" fillId="2" borderId="0" xfId="0" applyFont="1" applyFill="1" applyAlignment="1">
      <alignment horizontal="center" vertical="center" wrapText="1"/>
    </xf>
    <xf numFmtId="0" fontId="0" fillId="0" borderId="0" xfId="0" applyAlignment="1">
      <alignment vertical="center" wrapText="1"/>
    </xf>
    <xf numFmtId="49" fontId="0" fillId="0" borderId="0" xfId="0" applyNumberFormat="1" applyAlignment="1">
      <alignment horizontal="center" vertical="center"/>
    </xf>
    <xf numFmtId="3" fontId="0" fillId="0" borderId="0" xfId="0" applyNumberFormat="1" applyAlignment="1">
      <alignment horizontal="center" vertical="center"/>
    </xf>
    <xf numFmtId="164" fontId="0" fillId="0" borderId="0" xfId="0" applyNumberFormat="1" applyAlignment="1">
      <alignment horizontal="center" vertical="center"/>
    </xf>
    <xf numFmtId="0" fontId="2" fillId="0" borderId="0" xfId="0" applyFont="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2267"/>
  <sheetViews>
    <sheetView tabSelected="1" workbookViewId="0">
      <pane ySplit="1" topLeftCell="A2" activePane="bottomLeft" state="frozen"/>
      <selection pane="bottomLeft" activeCell="A2" sqref="A2"/>
    </sheetView>
  </sheetViews>
  <sheetFormatPr defaultRowHeight="14.5" x14ac:dyDescent="0.35"/>
  <cols>
    <col min="1" max="1" width="12.7265625" customWidth="1"/>
    <col min="2" max="3" width="10.7265625" customWidth="1"/>
    <col min="4" max="4" width="12.7265625" hidden="1" customWidth="1"/>
    <col min="5" max="5" width="38.6328125" customWidth="1"/>
    <col min="6" max="6" width="13.7265625" customWidth="1"/>
    <col min="7" max="7" width="10.7265625" hidden="1" customWidth="1"/>
    <col min="8" max="8" width="8.7265625" hidden="1" customWidth="1"/>
    <col min="9" max="9" width="11.7265625" hidden="1" customWidth="1"/>
    <col min="10" max="10" width="9.7265625" hidden="1" customWidth="1"/>
    <col min="11" max="11" width="10.7265625" customWidth="1"/>
    <col min="12" max="13" width="35.7265625" customWidth="1"/>
    <col min="14" max="14" width="13.7265625" customWidth="1"/>
    <col min="15" max="15" width="9.7265625" customWidth="1"/>
    <col min="16" max="16" width="10.7265625" customWidth="1"/>
    <col min="17" max="17" width="35.7265625" customWidth="1"/>
    <col min="18" max="18" width="10.7265625" customWidth="1"/>
    <col min="19" max="29" width="10.7265625" hidden="1" customWidth="1"/>
    <col min="30" max="31" width="12.7265625" hidden="1" customWidth="1"/>
    <col min="32" max="33" width="9.7265625" hidden="1" customWidth="1"/>
    <col min="34" max="35" width="11.7265625" hidden="1" customWidth="1"/>
    <col min="36" max="39" width="9.7265625" hidden="1" customWidth="1"/>
    <col min="40" max="41" width="13.7265625" hidden="1" customWidth="1"/>
    <col min="42" max="43" width="9.7265625" hidden="1" customWidth="1"/>
    <col min="44" max="44" width="11.7265625" hidden="1" customWidth="1"/>
    <col min="45" max="47" width="12.7265625" hidden="1" customWidth="1"/>
    <col min="48" max="48" width="10.7265625" customWidth="1"/>
    <col min="49" max="49" width="10.7265625" hidden="1" customWidth="1"/>
    <col min="50" max="50" width="15.7265625" hidden="1" customWidth="1"/>
    <col min="51" max="54" width="20.7265625" hidden="1" customWidth="1"/>
    <col min="55" max="55" width="15.7265625" customWidth="1"/>
    <col min="56" max="57" width="15.7265625" hidden="1" customWidth="1"/>
    <col min="58" max="58" width="25.7265625" customWidth="1"/>
    <col min="59" max="59" width="10.7265625" hidden="1" customWidth="1"/>
  </cols>
  <sheetData>
    <row r="1" spans="1:59" ht="72.5" x14ac:dyDescent="0.3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40</v>
      </c>
      <c r="AP1" s="1" t="s">
        <v>41</v>
      </c>
      <c r="AQ1" s="1" t="s">
        <v>42</v>
      </c>
      <c r="AR1" s="1" t="s">
        <v>43</v>
      </c>
      <c r="AS1" s="1" t="s">
        <v>44</v>
      </c>
      <c r="AT1" s="1" t="s">
        <v>45</v>
      </c>
      <c r="AU1" s="1" t="s">
        <v>46</v>
      </c>
      <c r="AV1" s="1" t="s">
        <v>47</v>
      </c>
      <c r="AW1" s="1" t="s">
        <v>48</v>
      </c>
      <c r="AX1" s="1" t="s">
        <v>49</v>
      </c>
      <c r="AY1" s="1" t="s">
        <v>50</v>
      </c>
      <c r="AZ1" s="1" t="s">
        <v>51</v>
      </c>
      <c r="BA1" s="1" t="s">
        <v>52</v>
      </c>
      <c r="BB1" s="1" t="s">
        <v>53</v>
      </c>
      <c r="BC1" s="1" t="s">
        <v>54</v>
      </c>
      <c r="BD1" s="1" t="s">
        <v>55</v>
      </c>
      <c r="BE1" s="1" t="s">
        <v>56</v>
      </c>
      <c r="BF1" s="1" t="s">
        <v>57</v>
      </c>
      <c r="BG1" s="1" t="s">
        <v>58</v>
      </c>
    </row>
    <row r="2" spans="1:59" ht="72.5" x14ac:dyDescent="0.35">
      <c r="A2" s="2" t="s">
        <v>59</v>
      </c>
      <c r="B2" s="2" t="s">
        <v>60</v>
      </c>
      <c r="C2" s="2" t="s">
        <v>61</v>
      </c>
      <c r="D2" s="2" t="s">
        <v>62</v>
      </c>
      <c r="E2" s="2" t="s">
        <v>63</v>
      </c>
      <c r="G2" s="3" t="s">
        <v>64</v>
      </c>
      <c r="I2" s="3" t="s">
        <v>64</v>
      </c>
      <c r="J2" s="3" t="s">
        <v>64</v>
      </c>
      <c r="K2" s="3" t="s">
        <v>65</v>
      </c>
      <c r="L2" s="2" t="s">
        <v>66</v>
      </c>
      <c r="M2" s="2" t="s">
        <v>67</v>
      </c>
      <c r="N2" s="3" t="s">
        <v>68</v>
      </c>
      <c r="P2" s="3" t="s">
        <v>69</v>
      </c>
      <c r="R2" s="3" t="s">
        <v>70</v>
      </c>
      <c r="S2" s="4">
        <v>21</v>
      </c>
      <c r="T2" s="4">
        <v>21</v>
      </c>
      <c r="U2" s="5" t="s">
        <v>71</v>
      </c>
      <c r="V2" s="5" t="s">
        <v>71</v>
      </c>
      <c r="W2" s="5" t="s">
        <v>72</v>
      </c>
      <c r="X2" s="5" t="s">
        <v>72</v>
      </c>
      <c r="Y2" s="4">
        <v>85</v>
      </c>
      <c r="Z2" s="4">
        <v>60</v>
      </c>
      <c r="AA2" s="4">
        <v>90</v>
      </c>
      <c r="AB2" s="4">
        <v>6</v>
      </c>
      <c r="AC2" s="4">
        <v>12</v>
      </c>
      <c r="AD2" s="4">
        <v>40</v>
      </c>
      <c r="AE2" s="4">
        <v>52</v>
      </c>
      <c r="AF2" s="4">
        <v>1</v>
      </c>
      <c r="AG2" s="4">
        <v>3</v>
      </c>
      <c r="AH2" s="4">
        <v>24</v>
      </c>
      <c r="AI2" s="4">
        <v>25</v>
      </c>
      <c r="AJ2" s="4">
        <v>22</v>
      </c>
      <c r="AK2" s="4">
        <v>23</v>
      </c>
      <c r="AL2" s="4">
        <v>11</v>
      </c>
      <c r="AM2" s="4">
        <v>13</v>
      </c>
      <c r="AN2" s="4">
        <v>0</v>
      </c>
      <c r="AO2" s="4">
        <v>0</v>
      </c>
      <c r="AP2" s="4">
        <v>25</v>
      </c>
      <c r="AQ2" s="4">
        <v>34</v>
      </c>
      <c r="AR2" s="3" t="s">
        <v>73</v>
      </c>
      <c r="AS2" s="3" t="s">
        <v>64</v>
      </c>
      <c r="AT2" s="3" t="s">
        <v>64</v>
      </c>
      <c r="AV2" s="6" t="str">
        <f>HYPERLINK("http://mcgill.on.worldcat.org/oclc/65206207","Catalog Record")</f>
        <v>Catalog Record</v>
      </c>
      <c r="AW2" s="6" t="str">
        <f>HYPERLINK("http://www.worldcat.org/oclc/65206207","WorldCat Record")</f>
        <v>WorldCat Record</v>
      </c>
      <c r="AX2" s="3" t="s">
        <v>74</v>
      </c>
      <c r="AY2" s="3" t="s">
        <v>75</v>
      </c>
      <c r="AZ2" s="3" t="s">
        <v>76</v>
      </c>
      <c r="BA2" s="3" t="s">
        <v>76</v>
      </c>
      <c r="BB2" s="3" t="s">
        <v>77</v>
      </c>
      <c r="BC2" s="3" t="s">
        <v>78</v>
      </c>
      <c r="BD2" s="3" t="s">
        <v>79</v>
      </c>
      <c r="BE2" s="3" t="s">
        <v>80</v>
      </c>
      <c r="BF2" s="3" t="s">
        <v>77</v>
      </c>
      <c r="BG2" s="3" t="s">
        <v>81</v>
      </c>
    </row>
    <row r="3" spans="1:59" ht="72.5" x14ac:dyDescent="0.35">
      <c r="A3" s="2" t="s">
        <v>59</v>
      </c>
      <c r="B3" s="2" t="s">
        <v>60</v>
      </c>
      <c r="C3" s="2" t="s">
        <v>82</v>
      </c>
      <c r="D3" s="2" t="s">
        <v>83</v>
      </c>
      <c r="E3" s="2" t="s">
        <v>84</v>
      </c>
      <c r="G3" s="3" t="s">
        <v>64</v>
      </c>
      <c r="I3" s="3" t="s">
        <v>64</v>
      </c>
      <c r="J3" s="3" t="s">
        <v>64</v>
      </c>
      <c r="K3" s="3" t="s">
        <v>65</v>
      </c>
      <c r="L3" s="2" t="s">
        <v>85</v>
      </c>
      <c r="M3" s="2" t="s">
        <v>86</v>
      </c>
      <c r="N3" s="3" t="s">
        <v>87</v>
      </c>
      <c r="P3" s="3" t="s">
        <v>69</v>
      </c>
      <c r="R3" s="3" t="s">
        <v>70</v>
      </c>
      <c r="S3" s="4">
        <v>1</v>
      </c>
      <c r="T3" s="4">
        <v>1</v>
      </c>
      <c r="U3" s="5" t="s">
        <v>71</v>
      </c>
      <c r="V3" s="5" t="s">
        <v>71</v>
      </c>
      <c r="W3" s="5" t="s">
        <v>72</v>
      </c>
      <c r="X3" s="5" t="s">
        <v>72</v>
      </c>
      <c r="Y3" s="4">
        <v>10</v>
      </c>
      <c r="Z3" s="4">
        <v>9</v>
      </c>
      <c r="AA3" s="4">
        <v>13</v>
      </c>
      <c r="AB3" s="4">
        <v>1</v>
      </c>
      <c r="AC3" s="4">
        <v>5</v>
      </c>
      <c r="AD3" s="4">
        <v>4</v>
      </c>
      <c r="AE3" s="4">
        <v>5</v>
      </c>
      <c r="AF3" s="4">
        <v>0</v>
      </c>
      <c r="AG3" s="4">
        <v>1</v>
      </c>
      <c r="AH3" s="4">
        <v>2</v>
      </c>
      <c r="AI3" s="4">
        <v>2</v>
      </c>
      <c r="AJ3" s="4">
        <v>4</v>
      </c>
      <c r="AK3" s="4">
        <v>5</v>
      </c>
      <c r="AL3" s="4">
        <v>1</v>
      </c>
      <c r="AM3" s="4">
        <v>1</v>
      </c>
      <c r="AN3" s="4">
        <v>0</v>
      </c>
      <c r="AO3" s="4">
        <v>0</v>
      </c>
      <c r="AP3" s="4">
        <v>3</v>
      </c>
      <c r="AQ3" s="4">
        <v>3</v>
      </c>
      <c r="AR3" s="3" t="s">
        <v>73</v>
      </c>
      <c r="AS3" s="3" t="s">
        <v>64</v>
      </c>
      <c r="AT3" s="3" t="s">
        <v>64</v>
      </c>
      <c r="AV3" s="6" t="str">
        <f>HYPERLINK("http://mcgill.on.worldcat.org/oclc/928680379","Catalog Record")</f>
        <v>Catalog Record</v>
      </c>
      <c r="AW3" s="6" t="str">
        <f>HYPERLINK("http://www.worldcat.org/oclc/928680379","WorldCat Record")</f>
        <v>WorldCat Record</v>
      </c>
      <c r="AX3" s="3" t="s">
        <v>88</v>
      </c>
      <c r="AY3" s="3" t="s">
        <v>89</v>
      </c>
      <c r="AZ3" s="3" t="s">
        <v>90</v>
      </c>
      <c r="BA3" s="3" t="s">
        <v>90</v>
      </c>
      <c r="BB3" s="3" t="s">
        <v>91</v>
      </c>
      <c r="BC3" s="3" t="s">
        <v>78</v>
      </c>
      <c r="BD3" s="3" t="s">
        <v>79</v>
      </c>
      <c r="BE3" s="3" t="s">
        <v>92</v>
      </c>
      <c r="BF3" s="3" t="s">
        <v>91</v>
      </c>
      <c r="BG3" s="3" t="s">
        <v>93</v>
      </c>
    </row>
    <row r="4" spans="1:59" ht="72.5" x14ac:dyDescent="0.35">
      <c r="A4" s="2" t="s">
        <v>59</v>
      </c>
      <c r="B4" s="2" t="s">
        <v>94</v>
      </c>
      <c r="C4" s="2" t="s">
        <v>95</v>
      </c>
      <c r="D4" s="2" t="s">
        <v>96</v>
      </c>
      <c r="E4" s="2" t="s">
        <v>97</v>
      </c>
      <c r="G4" s="3" t="s">
        <v>64</v>
      </c>
      <c r="I4" s="3" t="s">
        <v>64</v>
      </c>
      <c r="J4" s="3" t="s">
        <v>64</v>
      </c>
      <c r="K4" s="3" t="s">
        <v>65</v>
      </c>
      <c r="L4" s="2" t="s">
        <v>98</v>
      </c>
      <c r="M4" s="2" t="s">
        <v>99</v>
      </c>
      <c r="N4" s="3" t="s">
        <v>100</v>
      </c>
      <c r="P4" s="3" t="s">
        <v>69</v>
      </c>
      <c r="R4" s="3" t="s">
        <v>70</v>
      </c>
      <c r="S4" s="4">
        <v>3</v>
      </c>
      <c r="T4" s="4">
        <v>3</v>
      </c>
      <c r="U4" s="5" t="s">
        <v>101</v>
      </c>
      <c r="V4" s="5" t="s">
        <v>101</v>
      </c>
      <c r="W4" s="5" t="s">
        <v>72</v>
      </c>
      <c r="X4" s="5" t="s">
        <v>72</v>
      </c>
      <c r="Y4" s="4">
        <v>227</v>
      </c>
      <c r="Z4" s="4">
        <v>11</v>
      </c>
      <c r="AA4" s="4">
        <v>11</v>
      </c>
      <c r="AB4" s="4">
        <v>1</v>
      </c>
      <c r="AC4" s="4">
        <v>1</v>
      </c>
      <c r="AD4" s="4">
        <v>72</v>
      </c>
      <c r="AE4" s="4">
        <v>73</v>
      </c>
      <c r="AF4" s="4">
        <v>0</v>
      </c>
      <c r="AG4" s="4">
        <v>0</v>
      </c>
      <c r="AH4" s="4">
        <v>65</v>
      </c>
      <c r="AI4" s="4">
        <v>66</v>
      </c>
      <c r="AJ4" s="4">
        <v>10</v>
      </c>
      <c r="AK4" s="4">
        <v>10</v>
      </c>
      <c r="AL4" s="4">
        <v>41</v>
      </c>
      <c r="AM4" s="4">
        <v>42</v>
      </c>
      <c r="AN4" s="4">
        <v>0</v>
      </c>
      <c r="AO4" s="4">
        <v>1</v>
      </c>
      <c r="AP4" s="4">
        <v>10</v>
      </c>
      <c r="AQ4" s="4">
        <v>10</v>
      </c>
      <c r="AR4" s="3" t="s">
        <v>64</v>
      </c>
      <c r="AS4" s="3" t="s">
        <v>64</v>
      </c>
      <c r="AT4" s="3" t="s">
        <v>73</v>
      </c>
      <c r="AU4" s="6" t="str">
        <f>HYPERLINK("http://catalog.hathitrust.org/Record/012269907","HathiTrust Record")</f>
        <v>HathiTrust Record</v>
      </c>
      <c r="AV4" s="6" t="str">
        <f>HYPERLINK("http://mcgill.on.worldcat.org/oclc/567771","Catalog Record")</f>
        <v>Catalog Record</v>
      </c>
      <c r="AW4" s="6" t="str">
        <f>HYPERLINK("http://www.worldcat.org/oclc/567771","WorldCat Record")</f>
        <v>WorldCat Record</v>
      </c>
      <c r="AX4" s="3" t="s">
        <v>102</v>
      </c>
      <c r="AY4" s="3" t="s">
        <v>103</v>
      </c>
      <c r="AZ4" s="3" t="s">
        <v>104</v>
      </c>
      <c r="BA4" s="3" t="s">
        <v>104</v>
      </c>
      <c r="BB4" s="3" t="s">
        <v>105</v>
      </c>
      <c r="BC4" s="3" t="s">
        <v>78</v>
      </c>
      <c r="BD4" s="3" t="s">
        <v>79</v>
      </c>
      <c r="BF4" s="3" t="s">
        <v>105</v>
      </c>
      <c r="BG4" s="3" t="s">
        <v>106</v>
      </c>
    </row>
    <row r="5" spans="1:59" ht="58" x14ac:dyDescent="0.35">
      <c r="A5" s="2" t="s">
        <v>59</v>
      </c>
      <c r="B5" s="2" t="s">
        <v>94</v>
      </c>
      <c r="C5" s="2" t="s">
        <v>107</v>
      </c>
      <c r="D5" s="2" t="s">
        <v>108</v>
      </c>
      <c r="E5" s="2" t="s">
        <v>109</v>
      </c>
      <c r="G5" s="3" t="s">
        <v>64</v>
      </c>
      <c r="I5" s="3" t="s">
        <v>64</v>
      </c>
      <c r="J5" s="3" t="s">
        <v>64</v>
      </c>
      <c r="K5" s="3" t="s">
        <v>65</v>
      </c>
      <c r="L5" s="2" t="s">
        <v>110</v>
      </c>
      <c r="M5" s="2" t="s">
        <v>111</v>
      </c>
      <c r="N5" s="3" t="s">
        <v>112</v>
      </c>
      <c r="O5" s="2" t="s">
        <v>113</v>
      </c>
      <c r="P5" s="3" t="s">
        <v>69</v>
      </c>
      <c r="Q5" s="2" t="s">
        <v>114</v>
      </c>
      <c r="R5" s="3" t="s">
        <v>70</v>
      </c>
      <c r="S5" s="4">
        <v>3</v>
      </c>
      <c r="T5" s="4">
        <v>3</v>
      </c>
      <c r="U5" s="5" t="s">
        <v>115</v>
      </c>
      <c r="V5" s="5" t="s">
        <v>115</v>
      </c>
      <c r="W5" s="5" t="s">
        <v>72</v>
      </c>
      <c r="X5" s="5" t="s">
        <v>72</v>
      </c>
      <c r="Y5" s="4">
        <v>7</v>
      </c>
      <c r="Z5" s="4">
        <v>4</v>
      </c>
      <c r="AA5" s="4">
        <v>15</v>
      </c>
      <c r="AB5" s="4">
        <v>1</v>
      </c>
      <c r="AC5" s="4">
        <v>2</v>
      </c>
      <c r="AD5" s="4">
        <v>2</v>
      </c>
      <c r="AE5" s="4">
        <v>63</v>
      </c>
      <c r="AF5" s="4">
        <v>0</v>
      </c>
      <c r="AG5" s="4">
        <v>0</v>
      </c>
      <c r="AH5" s="4">
        <v>2</v>
      </c>
      <c r="AI5" s="4">
        <v>55</v>
      </c>
      <c r="AJ5" s="4">
        <v>1</v>
      </c>
      <c r="AK5" s="4">
        <v>10</v>
      </c>
      <c r="AL5" s="4">
        <v>1</v>
      </c>
      <c r="AM5" s="4">
        <v>34</v>
      </c>
      <c r="AN5" s="4">
        <v>0</v>
      </c>
      <c r="AO5" s="4">
        <v>0</v>
      </c>
      <c r="AP5" s="4">
        <v>2</v>
      </c>
      <c r="AQ5" s="4">
        <v>11</v>
      </c>
      <c r="AR5" s="3" t="s">
        <v>64</v>
      </c>
      <c r="AS5" s="3" t="s">
        <v>64</v>
      </c>
      <c r="AT5" s="3" t="s">
        <v>64</v>
      </c>
      <c r="AV5" s="6" t="str">
        <f>HYPERLINK("http://mcgill.on.worldcat.org/oclc/270651098","Catalog Record")</f>
        <v>Catalog Record</v>
      </c>
      <c r="AW5" s="6" t="str">
        <f>HYPERLINK("http://www.worldcat.org/oclc/270651098","WorldCat Record")</f>
        <v>WorldCat Record</v>
      </c>
      <c r="AX5" s="3" t="s">
        <v>116</v>
      </c>
      <c r="AY5" s="3" t="s">
        <v>117</v>
      </c>
      <c r="AZ5" s="3" t="s">
        <v>118</v>
      </c>
      <c r="BA5" s="3" t="s">
        <v>118</v>
      </c>
      <c r="BB5" s="3" t="s">
        <v>119</v>
      </c>
      <c r="BC5" s="3" t="s">
        <v>78</v>
      </c>
      <c r="BD5" s="3" t="s">
        <v>79</v>
      </c>
      <c r="BF5" s="3" t="s">
        <v>119</v>
      </c>
      <c r="BG5" s="3" t="s">
        <v>120</v>
      </c>
    </row>
    <row r="6" spans="1:59" ht="58" x14ac:dyDescent="0.35">
      <c r="A6" s="2" t="s">
        <v>59</v>
      </c>
      <c r="B6" s="2" t="s">
        <v>94</v>
      </c>
      <c r="C6" s="2" t="s">
        <v>121</v>
      </c>
      <c r="D6" s="2" t="s">
        <v>122</v>
      </c>
      <c r="E6" s="2" t="s">
        <v>123</v>
      </c>
      <c r="G6" s="3" t="s">
        <v>64</v>
      </c>
      <c r="I6" s="3" t="s">
        <v>64</v>
      </c>
      <c r="J6" s="3" t="s">
        <v>64</v>
      </c>
      <c r="K6" s="3" t="s">
        <v>65</v>
      </c>
      <c r="L6" s="2" t="s">
        <v>124</v>
      </c>
      <c r="M6" s="2" t="s">
        <v>125</v>
      </c>
      <c r="N6" s="3" t="s">
        <v>87</v>
      </c>
      <c r="P6" s="3" t="s">
        <v>69</v>
      </c>
      <c r="R6" s="3" t="s">
        <v>70</v>
      </c>
      <c r="S6" s="4">
        <v>0</v>
      </c>
      <c r="T6" s="4">
        <v>0</v>
      </c>
      <c r="W6" s="5" t="s">
        <v>72</v>
      </c>
      <c r="X6" s="5" t="s">
        <v>72</v>
      </c>
      <c r="Y6" s="4">
        <v>171</v>
      </c>
      <c r="Z6" s="4">
        <v>8</v>
      </c>
      <c r="AA6" s="4">
        <v>16</v>
      </c>
      <c r="AB6" s="4">
        <v>1</v>
      </c>
      <c r="AC6" s="4">
        <v>4</v>
      </c>
      <c r="AD6" s="4">
        <v>49</v>
      </c>
      <c r="AE6" s="4">
        <v>52</v>
      </c>
      <c r="AF6" s="4">
        <v>0</v>
      </c>
      <c r="AG6" s="4">
        <v>1</v>
      </c>
      <c r="AH6" s="4">
        <v>47</v>
      </c>
      <c r="AI6" s="4">
        <v>49</v>
      </c>
      <c r="AJ6" s="4">
        <v>5</v>
      </c>
      <c r="AK6" s="4">
        <v>6</v>
      </c>
      <c r="AL6" s="4">
        <v>27</v>
      </c>
      <c r="AM6" s="4">
        <v>28</v>
      </c>
      <c r="AN6" s="4">
        <v>0</v>
      </c>
      <c r="AO6" s="4">
        <v>0</v>
      </c>
      <c r="AP6" s="4">
        <v>6</v>
      </c>
      <c r="AQ6" s="4">
        <v>7</v>
      </c>
      <c r="AR6" s="3" t="s">
        <v>64</v>
      </c>
      <c r="AS6" s="3" t="s">
        <v>64</v>
      </c>
      <c r="AT6" s="3" t="s">
        <v>64</v>
      </c>
      <c r="AV6" s="6" t="str">
        <f>HYPERLINK("http://mcgill.on.worldcat.org/oclc/900306760","Catalog Record")</f>
        <v>Catalog Record</v>
      </c>
      <c r="AW6" s="6" t="str">
        <f>HYPERLINK("http://www.worldcat.org/oclc/900306760","WorldCat Record")</f>
        <v>WorldCat Record</v>
      </c>
      <c r="AX6" s="3" t="s">
        <v>126</v>
      </c>
      <c r="AY6" s="3" t="s">
        <v>127</v>
      </c>
      <c r="AZ6" s="3" t="s">
        <v>128</v>
      </c>
      <c r="BA6" s="3" t="s">
        <v>128</v>
      </c>
      <c r="BB6" s="3" t="s">
        <v>129</v>
      </c>
      <c r="BC6" s="3" t="s">
        <v>78</v>
      </c>
      <c r="BD6" s="3" t="s">
        <v>79</v>
      </c>
      <c r="BE6" s="3" t="s">
        <v>130</v>
      </c>
      <c r="BF6" s="3" t="s">
        <v>129</v>
      </c>
      <c r="BG6" s="3" t="s">
        <v>131</v>
      </c>
    </row>
    <row r="7" spans="1:59" ht="58" x14ac:dyDescent="0.35">
      <c r="A7" s="2" t="s">
        <v>59</v>
      </c>
      <c r="B7" s="2" t="s">
        <v>94</v>
      </c>
      <c r="C7" s="2" t="s">
        <v>132</v>
      </c>
      <c r="D7" s="2" t="s">
        <v>133</v>
      </c>
      <c r="E7" s="2" t="s">
        <v>134</v>
      </c>
      <c r="G7" s="3" t="s">
        <v>64</v>
      </c>
      <c r="I7" s="3" t="s">
        <v>64</v>
      </c>
      <c r="J7" s="3" t="s">
        <v>73</v>
      </c>
      <c r="K7" s="3" t="s">
        <v>65</v>
      </c>
      <c r="M7" s="2" t="s">
        <v>135</v>
      </c>
      <c r="N7" s="3" t="s">
        <v>136</v>
      </c>
      <c r="P7" s="3" t="s">
        <v>69</v>
      </c>
      <c r="R7" s="3" t="s">
        <v>70</v>
      </c>
      <c r="S7" s="4">
        <v>26</v>
      </c>
      <c r="T7" s="4">
        <v>26</v>
      </c>
      <c r="U7" s="5" t="s">
        <v>137</v>
      </c>
      <c r="V7" s="5" t="s">
        <v>137</v>
      </c>
      <c r="W7" s="5" t="s">
        <v>72</v>
      </c>
      <c r="X7" s="5" t="s">
        <v>72</v>
      </c>
      <c r="Y7" s="4">
        <v>194</v>
      </c>
      <c r="Z7" s="4">
        <v>10</v>
      </c>
      <c r="AA7" s="4">
        <v>28</v>
      </c>
      <c r="AB7" s="4">
        <v>1</v>
      </c>
      <c r="AC7" s="4">
        <v>3</v>
      </c>
      <c r="AD7" s="4">
        <v>46</v>
      </c>
      <c r="AE7" s="4">
        <v>66</v>
      </c>
      <c r="AF7" s="4">
        <v>0</v>
      </c>
      <c r="AG7" s="4">
        <v>1</v>
      </c>
      <c r="AH7" s="4">
        <v>45</v>
      </c>
      <c r="AI7" s="4">
        <v>59</v>
      </c>
      <c r="AJ7" s="4">
        <v>3</v>
      </c>
      <c r="AK7" s="4">
        <v>8</v>
      </c>
      <c r="AL7" s="4">
        <v>23</v>
      </c>
      <c r="AM7" s="4">
        <v>34</v>
      </c>
      <c r="AN7" s="4">
        <v>0</v>
      </c>
      <c r="AO7" s="4">
        <v>0</v>
      </c>
      <c r="AP7" s="4">
        <v>3</v>
      </c>
      <c r="AQ7" s="4">
        <v>12</v>
      </c>
      <c r="AR7" s="3" t="s">
        <v>64</v>
      </c>
      <c r="AS7" s="3" t="s">
        <v>64</v>
      </c>
      <c r="AT7" s="3" t="s">
        <v>64</v>
      </c>
      <c r="AV7" s="6" t="str">
        <f>HYPERLINK("http://mcgill.on.worldcat.org/oclc/42475643","Catalog Record")</f>
        <v>Catalog Record</v>
      </c>
      <c r="AW7" s="6" t="str">
        <f>HYPERLINK("http://www.worldcat.org/oclc/42475643","WorldCat Record")</f>
        <v>WorldCat Record</v>
      </c>
      <c r="AX7" s="3" t="s">
        <v>138</v>
      </c>
      <c r="AY7" s="3" t="s">
        <v>139</v>
      </c>
      <c r="AZ7" s="3" t="s">
        <v>140</v>
      </c>
      <c r="BA7" s="3" t="s">
        <v>140</v>
      </c>
      <c r="BB7" s="3" t="s">
        <v>141</v>
      </c>
      <c r="BC7" s="3" t="s">
        <v>78</v>
      </c>
      <c r="BD7" s="3" t="s">
        <v>79</v>
      </c>
      <c r="BE7" s="3" t="s">
        <v>142</v>
      </c>
      <c r="BF7" s="3" t="s">
        <v>141</v>
      </c>
      <c r="BG7" s="3" t="s">
        <v>143</v>
      </c>
    </row>
    <row r="8" spans="1:59" ht="58" x14ac:dyDescent="0.35">
      <c r="A8" s="2" t="s">
        <v>59</v>
      </c>
      <c r="B8" s="2" t="s">
        <v>94</v>
      </c>
      <c r="C8" s="2" t="s">
        <v>144</v>
      </c>
      <c r="D8" s="2" t="s">
        <v>145</v>
      </c>
      <c r="E8" s="2" t="s">
        <v>146</v>
      </c>
      <c r="G8" s="3" t="s">
        <v>64</v>
      </c>
      <c r="I8" s="3" t="s">
        <v>64</v>
      </c>
      <c r="J8" s="3" t="s">
        <v>73</v>
      </c>
      <c r="K8" s="3" t="s">
        <v>65</v>
      </c>
      <c r="M8" s="2" t="s">
        <v>147</v>
      </c>
      <c r="N8" s="3" t="s">
        <v>148</v>
      </c>
      <c r="P8" s="3" t="s">
        <v>69</v>
      </c>
      <c r="R8" s="3" t="s">
        <v>70</v>
      </c>
      <c r="S8" s="4">
        <v>3</v>
      </c>
      <c r="T8" s="4">
        <v>3</v>
      </c>
      <c r="U8" s="5" t="s">
        <v>149</v>
      </c>
      <c r="V8" s="5" t="s">
        <v>149</v>
      </c>
      <c r="W8" s="5" t="s">
        <v>72</v>
      </c>
      <c r="X8" s="5" t="s">
        <v>72</v>
      </c>
      <c r="Y8" s="4">
        <v>580</v>
      </c>
      <c r="Z8" s="4">
        <v>31</v>
      </c>
      <c r="AA8" s="4">
        <v>52</v>
      </c>
      <c r="AB8" s="4">
        <v>2</v>
      </c>
      <c r="AC8" s="4">
        <v>7</v>
      </c>
      <c r="AD8" s="4">
        <v>102</v>
      </c>
      <c r="AE8" s="4">
        <v>130</v>
      </c>
      <c r="AF8" s="4">
        <v>1</v>
      </c>
      <c r="AG8" s="4">
        <v>3</v>
      </c>
      <c r="AH8" s="4">
        <v>87</v>
      </c>
      <c r="AI8" s="4">
        <v>105</v>
      </c>
      <c r="AJ8" s="4">
        <v>18</v>
      </c>
      <c r="AK8" s="4">
        <v>21</v>
      </c>
      <c r="AL8" s="4">
        <v>51</v>
      </c>
      <c r="AM8" s="4">
        <v>58</v>
      </c>
      <c r="AN8" s="4">
        <v>0</v>
      </c>
      <c r="AO8" s="4">
        <v>0</v>
      </c>
      <c r="AP8" s="4">
        <v>21</v>
      </c>
      <c r="AQ8" s="4">
        <v>31</v>
      </c>
      <c r="AR8" s="3" t="s">
        <v>64</v>
      </c>
      <c r="AS8" s="3" t="s">
        <v>64</v>
      </c>
      <c r="AT8" s="3" t="s">
        <v>73</v>
      </c>
      <c r="AU8" s="6" t="str">
        <f>HYPERLINK("http://catalog.hathitrust.org/Record/001046850","HathiTrust Record")</f>
        <v>HathiTrust Record</v>
      </c>
      <c r="AV8" s="6" t="str">
        <f>HYPERLINK("http://mcgill.on.worldcat.org/oclc/567776","Catalog Record")</f>
        <v>Catalog Record</v>
      </c>
      <c r="AW8" s="6" t="str">
        <f>HYPERLINK("http://www.worldcat.org/oclc/567776","WorldCat Record")</f>
        <v>WorldCat Record</v>
      </c>
      <c r="AX8" s="3" t="s">
        <v>150</v>
      </c>
      <c r="AY8" s="3" t="s">
        <v>151</v>
      </c>
      <c r="AZ8" s="3" t="s">
        <v>152</v>
      </c>
      <c r="BA8" s="3" t="s">
        <v>152</v>
      </c>
      <c r="BB8" s="3" t="s">
        <v>153</v>
      </c>
      <c r="BC8" s="3" t="s">
        <v>78</v>
      </c>
      <c r="BD8" s="3" t="s">
        <v>79</v>
      </c>
      <c r="BF8" s="3" t="s">
        <v>153</v>
      </c>
      <c r="BG8" s="3" t="s">
        <v>154</v>
      </c>
    </row>
    <row r="9" spans="1:59" ht="72.5" x14ac:dyDescent="0.35">
      <c r="A9" s="2" t="s">
        <v>59</v>
      </c>
      <c r="B9" s="2" t="s">
        <v>94</v>
      </c>
      <c r="C9" s="2" t="s">
        <v>155</v>
      </c>
      <c r="D9" s="2" t="s">
        <v>156</v>
      </c>
      <c r="E9" s="2" t="s">
        <v>157</v>
      </c>
      <c r="F9" s="3" t="s">
        <v>158</v>
      </c>
      <c r="G9" s="3" t="s">
        <v>64</v>
      </c>
      <c r="I9" s="3" t="s">
        <v>64</v>
      </c>
      <c r="J9" s="3" t="s">
        <v>64</v>
      </c>
      <c r="K9" s="3" t="s">
        <v>65</v>
      </c>
      <c r="L9" s="2" t="s">
        <v>159</v>
      </c>
      <c r="M9" s="2" t="s">
        <v>160</v>
      </c>
      <c r="N9" s="3" t="s">
        <v>161</v>
      </c>
      <c r="P9" s="3" t="s">
        <v>162</v>
      </c>
      <c r="Q9" s="2" t="s">
        <v>163</v>
      </c>
      <c r="R9" s="3" t="s">
        <v>70</v>
      </c>
      <c r="S9" s="4">
        <v>1</v>
      </c>
      <c r="T9" s="4">
        <v>1</v>
      </c>
      <c r="U9" s="5" t="s">
        <v>164</v>
      </c>
      <c r="V9" s="5" t="s">
        <v>164</v>
      </c>
      <c r="W9" s="5" t="s">
        <v>72</v>
      </c>
      <c r="X9" s="5" t="s">
        <v>72</v>
      </c>
      <c r="Y9" s="4">
        <v>25</v>
      </c>
      <c r="Z9" s="4">
        <v>5</v>
      </c>
      <c r="AA9" s="4">
        <v>9</v>
      </c>
      <c r="AB9" s="4">
        <v>1</v>
      </c>
      <c r="AC9" s="4">
        <v>2</v>
      </c>
      <c r="AD9" s="4">
        <v>16</v>
      </c>
      <c r="AE9" s="4">
        <v>20</v>
      </c>
      <c r="AF9" s="4">
        <v>0</v>
      </c>
      <c r="AG9" s="4">
        <v>1</v>
      </c>
      <c r="AH9" s="4">
        <v>14</v>
      </c>
      <c r="AI9" s="4">
        <v>15</v>
      </c>
      <c r="AJ9" s="4">
        <v>4</v>
      </c>
      <c r="AK9" s="4">
        <v>7</v>
      </c>
      <c r="AL9" s="4">
        <v>8</v>
      </c>
      <c r="AM9" s="4">
        <v>8</v>
      </c>
      <c r="AN9" s="4">
        <v>0</v>
      </c>
      <c r="AO9" s="4">
        <v>0</v>
      </c>
      <c r="AP9" s="4">
        <v>4</v>
      </c>
      <c r="AQ9" s="4">
        <v>6</v>
      </c>
      <c r="AR9" s="3" t="s">
        <v>64</v>
      </c>
      <c r="AS9" s="3" t="s">
        <v>64</v>
      </c>
      <c r="AT9" s="3" t="s">
        <v>73</v>
      </c>
      <c r="AU9" s="6" t="str">
        <f>HYPERLINK("http://catalog.hathitrust.org/Record/001036631","HathiTrust Record")</f>
        <v>HathiTrust Record</v>
      </c>
      <c r="AV9" s="6" t="str">
        <f>HYPERLINK("http://mcgill.on.worldcat.org/oclc/1497198","Catalog Record")</f>
        <v>Catalog Record</v>
      </c>
      <c r="AW9" s="6" t="str">
        <f>HYPERLINK("http://www.worldcat.org/oclc/1497198","WorldCat Record")</f>
        <v>WorldCat Record</v>
      </c>
      <c r="AX9" s="3" t="s">
        <v>165</v>
      </c>
      <c r="AY9" s="3" t="s">
        <v>166</v>
      </c>
      <c r="AZ9" s="3" t="s">
        <v>167</v>
      </c>
      <c r="BA9" s="3" t="s">
        <v>167</v>
      </c>
      <c r="BB9" s="3" t="s">
        <v>168</v>
      </c>
      <c r="BC9" s="3" t="s">
        <v>78</v>
      </c>
      <c r="BD9" s="3" t="s">
        <v>79</v>
      </c>
      <c r="BF9" s="3" t="s">
        <v>168</v>
      </c>
      <c r="BG9" s="3" t="s">
        <v>169</v>
      </c>
    </row>
    <row r="10" spans="1:59" ht="58" x14ac:dyDescent="0.35">
      <c r="A10" s="2" t="s">
        <v>59</v>
      </c>
      <c r="B10" s="2" t="s">
        <v>94</v>
      </c>
      <c r="C10" s="2" t="s">
        <v>170</v>
      </c>
      <c r="D10" s="2" t="s">
        <v>171</v>
      </c>
      <c r="E10" s="2" t="s">
        <v>172</v>
      </c>
      <c r="G10" s="3" t="s">
        <v>64</v>
      </c>
      <c r="I10" s="3" t="s">
        <v>64</v>
      </c>
      <c r="J10" s="3" t="s">
        <v>64</v>
      </c>
      <c r="K10" s="3" t="s">
        <v>65</v>
      </c>
      <c r="L10" s="2" t="s">
        <v>173</v>
      </c>
      <c r="M10" s="2" t="s">
        <v>174</v>
      </c>
      <c r="N10" s="3" t="s">
        <v>175</v>
      </c>
      <c r="O10" s="2" t="s">
        <v>176</v>
      </c>
      <c r="P10" s="3" t="s">
        <v>69</v>
      </c>
      <c r="R10" s="3" t="s">
        <v>70</v>
      </c>
      <c r="S10" s="4">
        <v>1</v>
      </c>
      <c r="T10" s="4">
        <v>1</v>
      </c>
      <c r="U10" s="5" t="s">
        <v>177</v>
      </c>
      <c r="V10" s="5" t="s">
        <v>177</v>
      </c>
      <c r="W10" s="5" t="s">
        <v>72</v>
      </c>
      <c r="X10" s="5" t="s">
        <v>72</v>
      </c>
      <c r="Y10" s="4">
        <v>32</v>
      </c>
      <c r="Z10" s="4">
        <v>2</v>
      </c>
      <c r="AA10" s="4">
        <v>12</v>
      </c>
      <c r="AB10" s="4">
        <v>1</v>
      </c>
      <c r="AC10" s="4">
        <v>1</v>
      </c>
      <c r="AD10" s="4">
        <v>7</v>
      </c>
      <c r="AE10" s="4">
        <v>64</v>
      </c>
      <c r="AF10" s="4">
        <v>0</v>
      </c>
      <c r="AG10" s="4">
        <v>0</v>
      </c>
      <c r="AH10" s="4">
        <v>7</v>
      </c>
      <c r="AI10" s="4">
        <v>59</v>
      </c>
      <c r="AJ10" s="4">
        <v>1</v>
      </c>
      <c r="AK10" s="4">
        <v>7</v>
      </c>
      <c r="AL10" s="4">
        <v>5</v>
      </c>
      <c r="AM10" s="4">
        <v>33</v>
      </c>
      <c r="AN10" s="4">
        <v>0</v>
      </c>
      <c r="AO10" s="4">
        <v>0</v>
      </c>
      <c r="AP10" s="4">
        <v>1</v>
      </c>
      <c r="AQ10" s="4">
        <v>8</v>
      </c>
      <c r="AR10" s="3" t="s">
        <v>64</v>
      </c>
      <c r="AS10" s="3" t="s">
        <v>64</v>
      </c>
      <c r="AT10" s="3" t="s">
        <v>64</v>
      </c>
      <c r="AV10" s="6" t="str">
        <f>HYPERLINK("http://mcgill.on.worldcat.org/oclc/883483758","Catalog Record")</f>
        <v>Catalog Record</v>
      </c>
      <c r="AW10" s="6" t="str">
        <f>HYPERLINK("http://www.worldcat.org/oclc/883483758","WorldCat Record")</f>
        <v>WorldCat Record</v>
      </c>
      <c r="AX10" s="3" t="s">
        <v>178</v>
      </c>
      <c r="AY10" s="3" t="s">
        <v>179</v>
      </c>
      <c r="AZ10" s="3" t="s">
        <v>180</v>
      </c>
      <c r="BA10" s="3" t="s">
        <v>180</v>
      </c>
      <c r="BB10" s="3" t="s">
        <v>181</v>
      </c>
      <c r="BC10" s="3" t="s">
        <v>78</v>
      </c>
      <c r="BD10" s="3" t="s">
        <v>79</v>
      </c>
      <c r="BE10" s="3" t="s">
        <v>182</v>
      </c>
      <c r="BF10" s="3" t="s">
        <v>181</v>
      </c>
      <c r="BG10" s="3" t="s">
        <v>183</v>
      </c>
    </row>
    <row r="11" spans="1:59" ht="58" x14ac:dyDescent="0.35">
      <c r="A11" s="2" t="s">
        <v>59</v>
      </c>
      <c r="B11" s="2" t="s">
        <v>94</v>
      </c>
      <c r="C11" s="2" t="s">
        <v>184</v>
      </c>
      <c r="D11" s="2" t="s">
        <v>185</v>
      </c>
      <c r="E11" s="2" t="s">
        <v>186</v>
      </c>
      <c r="G11" s="3" t="s">
        <v>64</v>
      </c>
      <c r="I11" s="3" t="s">
        <v>64</v>
      </c>
      <c r="J11" s="3" t="s">
        <v>73</v>
      </c>
      <c r="K11" s="3" t="s">
        <v>65</v>
      </c>
      <c r="L11" s="2" t="s">
        <v>187</v>
      </c>
      <c r="M11" s="2" t="s">
        <v>188</v>
      </c>
      <c r="N11" s="3" t="s">
        <v>189</v>
      </c>
      <c r="P11" s="3" t="s">
        <v>69</v>
      </c>
      <c r="R11" s="3" t="s">
        <v>70</v>
      </c>
      <c r="S11" s="4">
        <v>3</v>
      </c>
      <c r="T11" s="4">
        <v>3</v>
      </c>
      <c r="U11" s="5" t="s">
        <v>190</v>
      </c>
      <c r="V11" s="5" t="s">
        <v>190</v>
      </c>
      <c r="W11" s="5" t="s">
        <v>72</v>
      </c>
      <c r="X11" s="5" t="s">
        <v>72</v>
      </c>
      <c r="Y11" s="4">
        <v>557</v>
      </c>
      <c r="Z11" s="4">
        <v>23</v>
      </c>
      <c r="AA11" s="4">
        <v>34</v>
      </c>
      <c r="AB11" s="4">
        <v>3</v>
      </c>
      <c r="AC11" s="4">
        <v>3</v>
      </c>
      <c r="AD11" s="4">
        <v>100</v>
      </c>
      <c r="AE11" s="4">
        <v>122</v>
      </c>
      <c r="AF11" s="4">
        <v>1</v>
      </c>
      <c r="AG11" s="4">
        <v>1</v>
      </c>
      <c r="AH11" s="4">
        <v>85</v>
      </c>
      <c r="AI11" s="4">
        <v>100</v>
      </c>
      <c r="AJ11" s="4">
        <v>13</v>
      </c>
      <c r="AK11" s="4">
        <v>18</v>
      </c>
      <c r="AL11" s="4">
        <v>48</v>
      </c>
      <c r="AM11" s="4">
        <v>54</v>
      </c>
      <c r="AN11" s="4">
        <v>0</v>
      </c>
      <c r="AO11" s="4">
        <v>0</v>
      </c>
      <c r="AP11" s="4">
        <v>17</v>
      </c>
      <c r="AQ11" s="4">
        <v>28</v>
      </c>
      <c r="AR11" s="3" t="s">
        <v>64</v>
      </c>
      <c r="AS11" s="3" t="s">
        <v>64</v>
      </c>
      <c r="AT11" s="3" t="s">
        <v>73</v>
      </c>
      <c r="AU11" s="6" t="str">
        <f>HYPERLINK("http://catalog.hathitrust.org/Record/001046862","HathiTrust Record")</f>
        <v>HathiTrust Record</v>
      </c>
      <c r="AV11" s="6" t="str">
        <f>HYPERLINK("http://mcgill.on.worldcat.org/oclc/567816","Catalog Record")</f>
        <v>Catalog Record</v>
      </c>
      <c r="AW11" s="6" t="str">
        <f>HYPERLINK("http://www.worldcat.org/oclc/567816","WorldCat Record")</f>
        <v>WorldCat Record</v>
      </c>
      <c r="AX11" s="3" t="s">
        <v>191</v>
      </c>
      <c r="AY11" s="3" t="s">
        <v>192</v>
      </c>
      <c r="AZ11" s="3" t="s">
        <v>193</v>
      </c>
      <c r="BA11" s="3" t="s">
        <v>193</v>
      </c>
      <c r="BB11" s="3" t="s">
        <v>194</v>
      </c>
      <c r="BC11" s="3" t="s">
        <v>78</v>
      </c>
      <c r="BD11" s="3" t="s">
        <v>79</v>
      </c>
      <c r="BF11" s="3" t="s">
        <v>194</v>
      </c>
      <c r="BG11" s="3" t="s">
        <v>195</v>
      </c>
    </row>
    <row r="12" spans="1:59" ht="58" x14ac:dyDescent="0.35">
      <c r="A12" s="2" t="s">
        <v>59</v>
      </c>
      <c r="B12" s="2" t="s">
        <v>94</v>
      </c>
      <c r="C12" s="2" t="s">
        <v>196</v>
      </c>
      <c r="D12" s="2" t="s">
        <v>197</v>
      </c>
      <c r="E12" s="2" t="s">
        <v>198</v>
      </c>
      <c r="G12" s="3" t="s">
        <v>64</v>
      </c>
      <c r="I12" s="3" t="s">
        <v>64</v>
      </c>
      <c r="J12" s="3" t="s">
        <v>64</v>
      </c>
      <c r="K12" s="3" t="s">
        <v>65</v>
      </c>
      <c r="L12" s="2" t="s">
        <v>199</v>
      </c>
      <c r="M12" s="2" t="s">
        <v>200</v>
      </c>
      <c r="N12" s="3" t="s">
        <v>201</v>
      </c>
      <c r="P12" s="3" t="s">
        <v>202</v>
      </c>
      <c r="R12" s="3" t="s">
        <v>70</v>
      </c>
      <c r="S12" s="4">
        <v>1</v>
      </c>
      <c r="T12" s="4">
        <v>1</v>
      </c>
      <c r="U12" s="5" t="s">
        <v>203</v>
      </c>
      <c r="V12" s="5" t="s">
        <v>203</v>
      </c>
      <c r="W12" s="5" t="s">
        <v>72</v>
      </c>
      <c r="X12" s="5" t="s">
        <v>72</v>
      </c>
      <c r="Y12" s="4">
        <v>45</v>
      </c>
      <c r="Z12" s="4">
        <v>4</v>
      </c>
      <c r="AA12" s="4">
        <v>6</v>
      </c>
      <c r="AB12" s="4">
        <v>1</v>
      </c>
      <c r="AC12" s="4">
        <v>1</v>
      </c>
      <c r="AD12" s="4">
        <v>33</v>
      </c>
      <c r="AE12" s="4">
        <v>34</v>
      </c>
      <c r="AF12" s="4">
        <v>0</v>
      </c>
      <c r="AG12" s="4">
        <v>0</v>
      </c>
      <c r="AH12" s="4">
        <v>31</v>
      </c>
      <c r="AI12" s="4">
        <v>32</v>
      </c>
      <c r="AJ12" s="4">
        <v>3</v>
      </c>
      <c r="AK12" s="4">
        <v>4</v>
      </c>
      <c r="AL12" s="4">
        <v>21</v>
      </c>
      <c r="AM12" s="4">
        <v>22</v>
      </c>
      <c r="AN12" s="4">
        <v>0</v>
      </c>
      <c r="AO12" s="4">
        <v>0</v>
      </c>
      <c r="AP12" s="4">
        <v>3</v>
      </c>
      <c r="AQ12" s="4">
        <v>4</v>
      </c>
      <c r="AR12" s="3" t="s">
        <v>64</v>
      </c>
      <c r="AS12" s="3" t="s">
        <v>64</v>
      </c>
      <c r="AT12" s="3" t="s">
        <v>73</v>
      </c>
      <c r="AU12" s="6" t="str">
        <f>HYPERLINK("http://catalog.hathitrust.org/Record/001046864","HathiTrust Record")</f>
        <v>HathiTrust Record</v>
      </c>
      <c r="AV12" s="6" t="str">
        <f>HYPERLINK("http://mcgill.on.worldcat.org/oclc/9564218","Catalog Record")</f>
        <v>Catalog Record</v>
      </c>
      <c r="AW12" s="6" t="str">
        <f>HYPERLINK("http://www.worldcat.org/oclc/9564218","WorldCat Record")</f>
        <v>WorldCat Record</v>
      </c>
      <c r="AX12" s="3" t="s">
        <v>204</v>
      </c>
      <c r="AY12" s="3" t="s">
        <v>205</v>
      </c>
      <c r="AZ12" s="3" t="s">
        <v>206</v>
      </c>
      <c r="BA12" s="3" t="s">
        <v>206</v>
      </c>
      <c r="BB12" s="3" t="s">
        <v>207</v>
      </c>
      <c r="BC12" s="3" t="s">
        <v>78</v>
      </c>
      <c r="BD12" s="3" t="s">
        <v>79</v>
      </c>
      <c r="BF12" s="3" t="s">
        <v>207</v>
      </c>
      <c r="BG12" s="3" t="s">
        <v>208</v>
      </c>
    </row>
    <row r="13" spans="1:59" ht="58" x14ac:dyDescent="0.35">
      <c r="A13" s="2" t="s">
        <v>59</v>
      </c>
      <c r="B13" s="2" t="s">
        <v>94</v>
      </c>
      <c r="C13" s="2" t="s">
        <v>209</v>
      </c>
      <c r="D13" s="2" t="s">
        <v>210</v>
      </c>
      <c r="E13" s="2" t="s">
        <v>211</v>
      </c>
      <c r="G13" s="3" t="s">
        <v>64</v>
      </c>
      <c r="I13" s="3" t="s">
        <v>64</v>
      </c>
      <c r="J13" s="3" t="s">
        <v>64</v>
      </c>
      <c r="K13" s="3" t="s">
        <v>65</v>
      </c>
      <c r="L13" s="2" t="s">
        <v>212</v>
      </c>
      <c r="M13" s="2" t="s">
        <v>213</v>
      </c>
      <c r="N13" s="3" t="s">
        <v>214</v>
      </c>
      <c r="P13" s="3" t="s">
        <v>69</v>
      </c>
      <c r="R13" s="3" t="s">
        <v>70</v>
      </c>
      <c r="S13" s="4">
        <v>3</v>
      </c>
      <c r="T13" s="4">
        <v>3</v>
      </c>
      <c r="U13" s="5" t="s">
        <v>215</v>
      </c>
      <c r="V13" s="5" t="s">
        <v>215</v>
      </c>
      <c r="W13" s="5" t="s">
        <v>72</v>
      </c>
      <c r="X13" s="5" t="s">
        <v>72</v>
      </c>
      <c r="Y13" s="4">
        <v>531</v>
      </c>
      <c r="Z13" s="4">
        <v>22</v>
      </c>
      <c r="AA13" s="4">
        <v>87</v>
      </c>
      <c r="AB13" s="4">
        <v>2</v>
      </c>
      <c r="AC13" s="4">
        <v>16</v>
      </c>
      <c r="AD13" s="4">
        <v>95</v>
      </c>
      <c r="AE13" s="4">
        <v>141</v>
      </c>
      <c r="AF13" s="4">
        <v>1</v>
      </c>
      <c r="AG13" s="4">
        <v>8</v>
      </c>
      <c r="AH13" s="4">
        <v>82</v>
      </c>
      <c r="AI13" s="4">
        <v>104</v>
      </c>
      <c r="AJ13" s="4">
        <v>10</v>
      </c>
      <c r="AK13" s="4">
        <v>21</v>
      </c>
      <c r="AL13" s="4">
        <v>49</v>
      </c>
      <c r="AM13" s="4">
        <v>57</v>
      </c>
      <c r="AN13" s="4">
        <v>0</v>
      </c>
      <c r="AO13" s="4">
        <v>0</v>
      </c>
      <c r="AP13" s="4">
        <v>16</v>
      </c>
      <c r="AQ13" s="4">
        <v>44</v>
      </c>
      <c r="AR13" s="3" t="s">
        <v>64</v>
      </c>
      <c r="AS13" s="3" t="s">
        <v>64</v>
      </c>
      <c r="AT13" s="3" t="s">
        <v>64</v>
      </c>
      <c r="AV13" s="6" t="str">
        <f>HYPERLINK("http://mcgill.on.worldcat.org/oclc/406945805","Catalog Record")</f>
        <v>Catalog Record</v>
      </c>
      <c r="AW13" s="6" t="str">
        <f>HYPERLINK("http://www.worldcat.org/oclc/406945805","WorldCat Record")</f>
        <v>WorldCat Record</v>
      </c>
      <c r="AX13" s="3" t="s">
        <v>216</v>
      </c>
      <c r="AY13" s="3" t="s">
        <v>217</v>
      </c>
      <c r="AZ13" s="3" t="s">
        <v>218</v>
      </c>
      <c r="BA13" s="3" t="s">
        <v>218</v>
      </c>
      <c r="BB13" s="3" t="s">
        <v>219</v>
      </c>
      <c r="BC13" s="3" t="s">
        <v>78</v>
      </c>
      <c r="BD13" s="3" t="s">
        <v>79</v>
      </c>
      <c r="BE13" s="3" t="s">
        <v>220</v>
      </c>
      <c r="BF13" s="3" t="s">
        <v>219</v>
      </c>
      <c r="BG13" s="3" t="s">
        <v>221</v>
      </c>
    </row>
    <row r="14" spans="1:59" ht="58" x14ac:dyDescent="0.35">
      <c r="A14" s="2" t="s">
        <v>59</v>
      </c>
      <c r="B14" s="2" t="s">
        <v>94</v>
      </c>
      <c r="C14" s="2" t="s">
        <v>222</v>
      </c>
      <c r="D14" s="2" t="s">
        <v>223</v>
      </c>
      <c r="E14" s="2" t="s">
        <v>224</v>
      </c>
      <c r="G14" s="3" t="s">
        <v>64</v>
      </c>
      <c r="I14" s="3" t="s">
        <v>64</v>
      </c>
      <c r="J14" s="3" t="s">
        <v>64</v>
      </c>
      <c r="K14" s="3" t="s">
        <v>65</v>
      </c>
      <c r="M14" s="2" t="s">
        <v>225</v>
      </c>
      <c r="N14" s="3" t="s">
        <v>226</v>
      </c>
      <c r="P14" s="3" t="s">
        <v>69</v>
      </c>
      <c r="Q14" s="2" t="s">
        <v>227</v>
      </c>
      <c r="R14" s="3" t="s">
        <v>70</v>
      </c>
      <c r="S14" s="4">
        <v>16</v>
      </c>
      <c r="T14" s="4">
        <v>16</v>
      </c>
      <c r="U14" s="5" t="s">
        <v>228</v>
      </c>
      <c r="V14" s="5" t="s">
        <v>228</v>
      </c>
      <c r="W14" s="5" t="s">
        <v>72</v>
      </c>
      <c r="X14" s="5" t="s">
        <v>72</v>
      </c>
      <c r="Y14" s="4">
        <v>370</v>
      </c>
      <c r="Z14" s="4">
        <v>17</v>
      </c>
      <c r="AA14" s="4">
        <v>63</v>
      </c>
      <c r="AB14" s="4">
        <v>1</v>
      </c>
      <c r="AC14" s="4">
        <v>8</v>
      </c>
      <c r="AD14" s="4">
        <v>104</v>
      </c>
      <c r="AE14" s="4">
        <v>136</v>
      </c>
      <c r="AF14" s="4">
        <v>0</v>
      </c>
      <c r="AG14" s="4">
        <v>2</v>
      </c>
      <c r="AH14" s="4">
        <v>94</v>
      </c>
      <c r="AI14" s="4">
        <v>109</v>
      </c>
      <c r="AJ14" s="4">
        <v>9</v>
      </c>
      <c r="AK14" s="4">
        <v>17</v>
      </c>
      <c r="AL14" s="4">
        <v>53</v>
      </c>
      <c r="AM14" s="4">
        <v>60</v>
      </c>
      <c r="AN14" s="4">
        <v>0</v>
      </c>
      <c r="AO14" s="4">
        <v>0</v>
      </c>
      <c r="AP14" s="4">
        <v>13</v>
      </c>
      <c r="AQ14" s="4">
        <v>33</v>
      </c>
      <c r="AR14" s="3" t="s">
        <v>64</v>
      </c>
      <c r="AS14" s="3" t="s">
        <v>64</v>
      </c>
      <c r="AT14" s="3" t="s">
        <v>64</v>
      </c>
      <c r="AV14" s="6" t="str">
        <f>HYPERLINK("http://mcgill.on.worldcat.org/oclc/37595156","Catalog Record")</f>
        <v>Catalog Record</v>
      </c>
      <c r="AW14" s="6" t="str">
        <f>HYPERLINK("http://www.worldcat.org/oclc/37595156","WorldCat Record")</f>
        <v>WorldCat Record</v>
      </c>
      <c r="AX14" s="3" t="s">
        <v>229</v>
      </c>
      <c r="AY14" s="3" t="s">
        <v>230</v>
      </c>
      <c r="AZ14" s="3" t="s">
        <v>231</v>
      </c>
      <c r="BA14" s="3" t="s">
        <v>231</v>
      </c>
      <c r="BB14" s="3" t="s">
        <v>232</v>
      </c>
      <c r="BC14" s="3" t="s">
        <v>78</v>
      </c>
      <c r="BD14" s="3" t="s">
        <v>79</v>
      </c>
      <c r="BE14" s="3" t="s">
        <v>233</v>
      </c>
      <c r="BF14" s="3" t="s">
        <v>232</v>
      </c>
      <c r="BG14" s="3" t="s">
        <v>234</v>
      </c>
    </row>
    <row r="15" spans="1:59" ht="58" x14ac:dyDescent="0.35">
      <c r="A15" s="2" t="s">
        <v>59</v>
      </c>
      <c r="B15" s="2" t="s">
        <v>94</v>
      </c>
      <c r="C15" s="2" t="s">
        <v>235</v>
      </c>
      <c r="D15" s="2" t="s">
        <v>236</v>
      </c>
      <c r="E15" s="2" t="s">
        <v>237</v>
      </c>
      <c r="G15" s="3" t="s">
        <v>64</v>
      </c>
      <c r="I15" s="3" t="s">
        <v>64</v>
      </c>
      <c r="J15" s="3" t="s">
        <v>64</v>
      </c>
      <c r="K15" s="3" t="s">
        <v>65</v>
      </c>
      <c r="L15" s="2" t="s">
        <v>238</v>
      </c>
      <c r="M15" s="2" t="s">
        <v>239</v>
      </c>
      <c r="N15" s="3" t="s">
        <v>87</v>
      </c>
      <c r="P15" s="3" t="s">
        <v>69</v>
      </c>
      <c r="R15" s="3" t="s">
        <v>70</v>
      </c>
      <c r="S15" s="4">
        <v>1</v>
      </c>
      <c r="T15" s="4">
        <v>1</v>
      </c>
      <c r="U15" s="5" t="s">
        <v>240</v>
      </c>
      <c r="V15" s="5" t="s">
        <v>240</v>
      </c>
      <c r="W15" s="5" t="s">
        <v>72</v>
      </c>
      <c r="X15" s="5" t="s">
        <v>72</v>
      </c>
      <c r="Y15" s="4">
        <v>70</v>
      </c>
      <c r="Z15" s="4">
        <v>5</v>
      </c>
      <c r="AA15" s="4">
        <v>14</v>
      </c>
      <c r="AB15" s="4">
        <v>1</v>
      </c>
      <c r="AC15" s="4">
        <v>3</v>
      </c>
      <c r="AD15" s="4">
        <v>34</v>
      </c>
      <c r="AE15" s="4">
        <v>53</v>
      </c>
      <c r="AF15" s="4">
        <v>0</v>
      </c>
      <c r="AG15" s="4">
        <v>1</v>
      </c>
      <c r="AH15" s="4">
        <v>32</v>
      </c>
      <c r="AI15" s="4">
        <v>46</v>
      </c>
      <c r="AJ15" s="4">
        <v>3</v>
      </c>
      <c r="AK15" s="4">
        <v>8</v>
      </c>
      <c r="AL15" s="4">
        <v>22</v>
      </c>
      <c r="AM15" s="4">
        <v>29</v>
      </c>
      <c r="AN15" s="4">
        <v>0</v>
      </c>
      <c r="AO15" s="4">
        <v>0</v>
      </c>
      <c r="AP15" s="4">
        <v>3</v>
      </c>
      <c r="AQ15" s="4">
        <v>10</v>
      </c>
      <c r="AR15" s="3" t="s">
        <v>64</v>
      </c>
      <c r="AS15" s="3" t="s">
        <v>64</v>
      </c>
      <c r="AT15" s="3" t="s">
        <v>64</v>
      </c>
      <c r="AV15" s="6" t="str">
        <f>HYPERLINK("http://mcgill.on.worldcat.org/oclc/902661014","Catalog Record")</f>
        <v>Catalog Record</v>
      </c>
      <c r="AW15" s="6" t="str">
        <f>HYPERLINK("http://www.worldcat.org/oclc/902661014","WorldCat Record")</f>
        <v>WorldCat Record</v>
      </c>
      <c r="AX15" s="3" t="s">
        <v>241</v>
      </c>
      <c r="AY15" s="3" t="s">
        <v>242</v>
      </c>
      <c r="AZ15" s="3" t="s">
        <v>243</v>
      </c>
      <c r="BA15" s="3" t="s">
        <v>243</v>
      </c>
      <c r="BB15" s="3" t="s">
        <v>244</v>
      </c>
      <c r="BC15" s="3" t="s">
        <v>78</v>
      </c>
      <c r="BD15" s="3" t="s">
        <v>79</v>
      </c>
      <c r="BE15" s="3" t="s">
        <v>245</v>
      </c>
      <c r="BF15" s="3" t="s">
        <v>244</v>
      </c>
      <c r="BG15" s="3" t="s">
        <v>246</v>
      </c>
    </row>
    <row r="16" spans="1:59" ht="58" x14ac:dyDescent="0.35">
      <c r="A16" s="2" t="s">
        <v>59</v>
      </c>
      <c r="B16" s="2" t="s">
        <v>94</v>
      </c>
      <c r="C16" s="2" t="s">
        <v>247</v>
      </c>
      <c r="D16" s="2" t="s">
        <v>248</v>
      </c>
      <c r="E16" s="2" t="s">
        <v>249</v>
      </c>
      <c r="G16" s="3" t="s">
        <v>64</v>
      </c>
      <c r="I16" s="3" t="s">
        <v>64</v>
      </c>
      <c r="J16" s="3" t="s">
        <v>73</v>
      </c>
      <c r="K16" s="3" t="s">
        <v>65</v>
      </c>
      <c r="L16" s="2" t="s">
        <v>250</v>
      </c>
      <c r="M16" s="2" t="s">
        <v>251</v>
      </c>
      <c r="N16" s="3" t="s">
        <v>252</v>
      </c>
      <c r="P16" s="3" t="s">
        <v>69</v>
      </c>
      <c r="R16" s="3" t="s">
        <v>70</v>
      </c>
      <c r="S16" s="4">
        <v>8</v>
      </c>
      <c r="T16" s="4">
        <v>8</v>
      </c>
      <c r="U16" s="5" t="s">
        <v>253</v>
      </c>
      <c r="V16" s="5" t="s">
        <v>253</v>
      </c>
      <c r="W16" s="5" t="s">
        <v>72</v>
      </c>
      <c r="X16" s="5" t="s">
        <v>72</v>
      </c>
      <c r="Y16" s="4">
        <v>778</v>
      </c>
      <c r="Z16" s="4">
        <v>25</v>
      </c>
      <c r="AA16" s="4">
        <v>55</v>
      </c>
      <c r="AB16" s="4">
        <v>2</v>
      </c>
      <c r="AC16" s="4">
        <v>6</v>
      </c>
      <c r="AD16" s="4">
        <v>89</v>
      </c>
      <c r="AE16" s="4">
        <v>140</v>
      </c>
      <c r="AF16" s="4">
        <v>1</v>
      </c>
      <c r="AG16" s="4">
        <v>5</v>
      </c>
      <c r="AH16" s="4">
        <v>74</v>
      </c>
      <c r="AI16" s="4">
        <v>113</v>
      </c>
      <c r="AJ16" s="4">
        <v>11</v>
      </c>
      <c r="AK16" s="4">
        <v>25</v>
      </c>
      <c r="AL16" s="4">
        <v>43</v>
      </c>
      <c r="AM16" s="4">
        <v>61</v>
      </c>
      <c r="AN16" s="4">
        <v>0</v>
      </c>
      <c r="AO16" s="4">
        <v>4</v>
      </c>
      <c r="AP16" s="4">
        <v>19</v>
      </c>
      <c r="AQ16" s="4">
        <v>35</v>
      </c>
      <c r="AR16" s="3" t="s">
        <v>64</v>
      </c>
      <c r="AS16" s="3" t="s">
        <v>64</v>
      </c>
      <c r="AT16" s="3" t="s">
        <v>73</v>
      </c>
      <c r="AU16" s="6" t="str">
        <f>HYPERLINK("http://catalog.hathitrust.org/Record/001046895","HathiTrust Record")</f>
        <v>HathiTrust Record</v>
      </c>
      <c r="AV16" s="6" t="str">
        <f>HYPERLINK("http://mcgill.on.worldcat.org/oclc/695491","Catalog Record")</f>
        <v>Catalog Record</v>
      </c>
      <c r="AW16" s="6" t="str">
        <f>HYPERLINK("http://www.worldcat.org/oclc/695491","WorldCat Record")</f>
        <v>WorldCat Record</v>
      </c>
      <c r="AX16" s="3" t="s">
        <v>254</v>
      </c>
      <c r="AY16" s="3" t="s">
        <v>255</v>
      </c>
      <c r="AZ16" s="3" t="s">
        <v>256</v>
      </c>
      <c r="BA16" s="3" t="s">
        <v>256</v>
      </c>
      <c r="BB16" s="3" t="s">
        <v>257</v>
      </c>
      <c r="BC16" s="3" t="s">
        <v>78</v>
      </c>
      <c r="BD16" s="3" t="s">
        <v>79</v>
      </c>
      <c r="BE16" s="3" t="s">
        <v>258</v>
      </c>
      <c r="BF16" s="3" t="s">
        <v>257</v>
      </c>
      <c r="BG16" s="3" t="s">
        <v>259</v>
      </c>
    </row>
    <row r="17" spans="1:59" ht="58" x14ac:dyDescent="0.35">
      <c r="A17" s="2" t="s">
        <v>59</v>
      </c>
      <c r="B17" s="2" t="s">
        <v>94</v>
      </c>
      <c r="C17" s="2" t="s">
        <v>260</v>
      </c>
      <c r="D17" s="2" t="s">
        <v>261</v>
      </c>
      <c r="E17" s="2" t="s">
        <v>249</v>
      </c>
      <c r="G17" s="3" t="s">
        <v>64</v>
      </c>
      <c r="I17" s="3" t="s">
        <v>64</v>
      </c>
      <c r="J17" s="3" t="s">
        <v>73</v>
      </c>
      <c r="K17" s="3" t="s">
        <v>65</v>
      </c>
      <c r="L17" s="2" t="s">
        <v>262</v>
      </c>
      <c r="M17" s="2" t="s">
        <v>263</v>
      </c>
      <c r="N17" s="3" t="s">
        <v>264</v>
      </c>
      <c r="P17" s="3" t="s">
        <v>69</v>
      </c>
      <c r="R17" s="3" t="s">
        <v>70</v>
      </c>
      <c r="S17" s="4">
        <v>17</v>
      </c>
      <c r="T17" s="4">
        <v>17</v>
      </c>
      <c r="U17" s="5" t="s">
        <v>265</v>
      </c>
      <c r="V17" s="5" t="s">
        <v>265</v>
      </c>
      <c r="W17" s="5" t="s">
        <v>72</v>
      </c>
      <c r="X17" s="5" t="s">
        <v>72</v>
      </c>
      <c r="Y17" s="4">
        <v>82</v>
      </c>
      <c r="Z17" s="4">
        <v>4</v>
      </c>
      <c r="AA17" s="4">
        <v>55</v>
      </c>
      <c r="AB17" s="4">
        <v>1</v>
      </c>
      <c r="AC17" s="4">
        <v>6</v>
      </c>
      <c r="AD17" s="4">
        <v>7</v>
      </c>
      <c r="AE17" s="4">
        <v>140</v>
      </c>
      <c r="AF17" s="4">
        <v>0</v>
      </c>
      <c r="AG17" s="4">
        <v>5</v>
      </c>
      <c r="AH17" s="4">
        <v>6</v>
      </c>
      <c r="AI17" s="4">
        <v>113</v>
      </c>
      <c r="AJ17" s="4">
        <v>3</v>
      </c>
      <c r="AK17" s="4">
        <v>25</v>
      </c>
      <c r="AL17" s="4">
        <v>2</v>
      </c>
      <c r="AM17" s="4">
        <v>61</v>
      </c>
      <c r="AN17" s="4">
        <v>0</v>
      </c>
      <c r="AO17" s="4">
        <v>4</v>
      </c>
      <c r="AP17" s="4">
        <v>2</v>
      </c>
      <c r="AQ17" s="4">
        <v>35</v>
      </c>
      <c r="AR17" s="3" t="s">
        <v>64</v>
      </c>
      <c r="AS17" s="3" t="s">
        <v>64</v>
      </c>
      <c r="AT17" s="3" t="s">
        <v>64</v>
      </c>
      <c r="AV17" s="6" t="str">
        <f>HYPERLINK("http://mcgill.on.worldcat.org/oclc/29321145","Catalog Record")</f>
        <v>Catalog Record</v>
      </c>
      <c r="AW17" s="6" t="str">
        <f>HYPERLINK("http://www.worldcat.org/oclc/29321145","WorldCat Record")</f>
        <v>WorldCat Record</v>
      </c>
      <c r="AX17" s="3" t="s">
        <v>254</v>
      </c>
      <c r="AY17" s="3" t="s">
        <v>266</v>
      </c>
      <c r="AZ17" s="3" t="s">
        <v>267</v>
      </c>
      <c r="BA17" s="3" t="s">
        <v>267</v>
      </c>
      <c r="BB17" s="3" t="s">
        <v>268</v>
      </c>
      <c r="BC17" s="3" t="s">
        <v>78</v>
      </c>
      <c r="BD17" s="3" t="s">
        <v>79</v>
      </c>
      <c r="BE17" s="3" t="s">
        <v>269</v>
      </c>
      <c r="BF17" s="3" t="s">
        <v>268</v>
      </c>
      <c r="BG17" s="3" t="s">
        <v>270</v>
      </c>
    </row>
    <row r="18" spans="1:59" ht="58" x14ac:dyDescent="0.35">
      <c r="A18" s="2" t="s">
        <v>59</v>
      </c>
      <c r="B18" s="2" t="s">
        <v>94</v>
      </c>
      <c r="C18" s="2" t="s">
        <v>271</v>
      </c>
      <c r="D18" s="2" t="s">
        <v>272</v>
      </c>
      <c r="E18" s="2" t="s">
        <v>249</v>
      </c>
      <c r="G18" s="3" t="s">
        <v>64</v>
      </c>
      <c r="I18" s="3" t="s">
        <v>64</v>
      </c>
      <c r="J18" s="3" t="s">
        <v>73</v>
      </c>
      <c r="K18" s="3" t="s">
        <v>65</v>
      </c>
      <c r="L18" s="2" t="s">
        <v>250</v>
      </c>
      <c r="M18" s="2" t="s">
        <v>273</v>
      </c>
      <c r="N18" s="3" t="s">
        <v>274</v>
      </c>
      <c r="O18" s="2" t="s">
        <v>275</v>
      </c>
      <c r="P18" s="3" t="s">
        <v>69</v>
      </c>
      <c r="R18" s="3" t="s">
        <v>70</v>
      </c>
      <c r="S18" s="4">
        <v>31</v>
      </c>
      <c r="T18" s="4">
        <v>31</v>
      </c>
      <c r="U18" s="5" t="s">
        <v>276</v>
      </c>
      <c r="V18" s="5" t="s">
        <v>276</v>
      </c>
      <c r="W18" s="5" t="s">
        <v>72</v>
      </c>
      <c r="X18" s="5" t="s">
        <v>72</v>
      </c>
      <c r="Y18" s="4">
        <v>99</v>
      </c>
      <c r="Z18" s="4">
        <v>14</v>
      </c>
      <c r="AA18" s="4">
        <v>55</v>
      </c>
      <c r="AB18" s="4">
        <v>1</v>
      </c>
      <c r="AC18" s="4">
        <v>6</v>
      </c>
      <c r="AD18" s="4">
        <v>46</v>
      </c>
      <c r="AE18" s="4">
        <v>140</v>
      </c>
      <c r="AF18" s="4">
        <v>0</v>
      </c>
      <c r="AG18" s="4">
        <v>5</v>
      </c>
      <c r="AH18" s="4">
        <v>42</v>
      </c>
      <c r="AI18" s="4">
        <v>113</v>
      </c>
      <c r="AJ18" s="4">
        <v>8</v>
      </c>
      <c r="AK18" s="4">
        <v>25</v>
      </c>
      <c r="AL18" s="4">
        <v>27</v>
      </c>
      <c r="AM18" s="4">
        <v>61</v>
      </c>
      <c r="AN18" s="4">
        <v>0</v>
      </c>
      <c r="AO18" s="4">
        <v>4</v>
      </c>
      <c r="AP18" s="4">
        <v>10</v>
      </c>
      <c r="AQ18" s="4">
        <v>35</v>
      </c>
      <c r="AR18" s="3" t="s">
        <v>64</v>
      </c>
      <c r="AS18" s="3" t="s">
        <v>64</v>
      </c>
      <c r="AT18" s="3" t="s">
        <v>73</v>
      </c>
      <c r="AU18" s="6" t="str">
        <f>HYPERLINK("http://catalog.hathitrust.org/Record/101891948","HathiTrust Record")</f>
        <v>HathiTrust Record</v>
      </c>
      <c r="AV18" s="6" t="str">
        <f>HYPERLINK("http://mcgill.on.worldcat.org/oclc/28995459","Catalog Record")</f>
        <v>Catalog Record</v>
      </c>
      <c r="AW18" s="6" t="str">
        <f>HYPERLINK("http://www.worldcat.org/oclc/28995459","WorldCat Record")</f>
        <v>WorldCat Record</v>
      </c>
      <c r="AX18" s="3" t="s">
        <v>254</v>
      </c>
      <c r="AY18" s="3" t="s">
        <v>277</v>
      </c>
      <c r="AZ18" s="3" t="s">
        <v>278</v>
      </c>
      <c r="BA18" s="3" t="s">
        <v>278</v>
      </c>
      <c r="BB18" s="3" t="s">
        <v>279</v>
      </c>
      <c r="BC18" s="3" t="s">
        <v>78</v>
      </c>
      <c r="BD18" s="3" t="s">
        <v>79</v>
      </c>
      <c r="BE18" s="3" t="s">
        <v>280</v>
      </c>
      <c r="BF18" s="3" t="s">
        <v>279</v>
      </c>
      <c r="BG18" s="3" t="s">
        <v>281</v>
      </c>
    </row>
    <row r="19" spans="1:59" ht="58" x14ac:dyDescent="0.35">
      <c r="A19" s="2" t="s">
        <v>59</v>
      </c>
      <c r="B19" s="2" t="s">
        <v>94</v>
      </c>
      <c r="C19" s="2" t="s">
        <v>282</v>
      </c>
      <c r="D19" s="2" t="s">
        <v>283</v>
      </c>
      <c r="E19" s="2" t="s">
        <v>284</v>
      </c>
      <c r="G19" s="3" t="s">
        <v>64</v>
      </c>
      <c r="I19" s="3" t="s">
        <v>73</v>
      </c>
      <c r="J19" s="3" t="s">
        <v>64</v>
      </c>
      <c r="K19" s="3" t="s">
        <v>65</v>
      </c>
      <c r="L19" s="2" t="s">
        <v>285</v>
      </c>
      <c r="M19" s="2" t="s">
        <v>286</v>
      </c>
      <c r="N19" s="3" t="s">
        <v>287</v>
      </c>
      <c r="P19" s="3" t="s">
        <v>69</v>
      </c>
      <c r="R19" s="3" t="s">
        <v>70</v>
      </c>
      <c r="S19" s="4">
        <v>33</v>
      </c>
      <c r="T19" s="4">
        <v>53</v>
      </c>
      <c r="U19" s="5" t="s">
        <v>288</v>
      </c>
      <c r="V19" s="5" t="s">
        <v>288</v>
      </c>
      <c r="W19" s="5" t="s">
        <v>72</v>
      </c>
      <c r="X19" s="5" t="s">
        <v>72</v>
      </c>
      <c r="Y19" s="4">
        <v>536</v>
      </c>
      <c r="Z19" s="4">
        <v>26</v>
      </c>
      <c r="AA19" s="4">
        <v>26</v>
      </c>
      <c r="AB19" s="4">
        <v>1</v>
      </c>
      <c r="AC19" s="4">
        <v>1</v>
      </c>
      <c r="AD19" s="4">
        <v>124</v>
      </c>
      <c r="AE19" s="4">
        <v>124</v>
      </c>
      <c r="AF19" s="4">
        <v>0</v>
      </c>
      <c r="AG19" s="4">
        <v>0</v>
      </c>
      <c r="AH19" s="4">
        <v>109</v>
      </c>
      <c r="AI19" s="4">
        <v>109</v>
      </c>
      <c r="AJ19" s="4">
        <v>18</v>
      </c>
      <c r="AK19" s="4">
        <v>18</v>
      </c>
      <c r="AL19" s="4">
        <v>59</v>
      </c>
      <c r="AM19" s="4">
        <v>59</v>
      </c>
      <c r="AN19" s="4">
        <v>0</v>
      </c>
      <c r="AO19" s="4">
        <v>0</v>
      </c>
      <c r="AP19" s="4">
        <v>22</v>
      </c>
      <c r="AQ19" s="4">
        <v>22</v>
      </c>
      <c r="AR19" s="3" t="s">
        <v>64</v>
      </c>
      <c r="AS19" s="3" t="s">
        <v>64</v>
      </c>
      <c r="AT19" s="3" t="s">
        <v>64</v>
      </c>
      <c r="AV19" s="6" t="str">
        <f>HYPERLINK("http://mcgill.on.worldcat.org/oclc/6891318","Catalog Record")</f>
        <v>Catalog Record</v>
      </c>
      <c r="AW19" s="6" t="str">
        <f>HYPERLINK("http://www.worldcat.org/oclc/6891318","WorldCat Record")</f>
        <v>WorldCat Record</v>
      </c>
      <c r="AX19" s="3" t="s">
        <v>289</v>
      </c>
      <c r="AY19" s="3" t="s">
        <v>290</v>
      </c>
      <c r="AZ19" s="3" t="s">
        <v>291</v>
      </c>
      <c r="BA19" s="3" t="s">
        <v>291</v>
      </c>
      <c r="BB19" s="3" t="s">
        <v>292</v>
      </c>
      <c r="BC19" s="3" t="s">
        <v>78</v>
      </c>
      <c r="BD19" s="3" t="s">
        <v>79</v>
      </c>
      <c r="BE19" s="3" t="s">
        <v>293</v>
      </c>
      <c r="BF19" s="3" t="s">
        <v>292</v>
      </c>
      <c r="BG19" s="3" t="s">
        <v>294</v>
      </c>
    </row>
    <row r="20" spans="1:59" ht="58" x14ac:dyDescent="0.35">
      <c r="A20" s="2" t="s">
        <v>59</v>
      </c>
      <c r="B20" s="2" t="s">
        <v>94</v>
      </c>
      <c r="C20" s="2" t="s">
        <v>282</v>
      </c>
      <c r="D20" s="2" t="s">
        <v>283</v>
      </c>
      <c r="E20" s="2" t="s">
        <v>284</v>
      </c>
      <c r="G20" s="3" t="s">
        <v>64</v>
      </c>
      <c r="I20" s="3" t="s">
        <v>73</v>
      </c>
      <c r="J20" s="3" t="s">
        <v>64</v>
      </c>
      <c r="K20" s="3" t="s">
        <v>65</v>
      </c>
      <c r="L20" s="2" t="s">
        <v>285</v>
      </c>
      <c r="M20" s="2" t="s">
        <v>286</v>
      </c>
      <c r="N20" s="3" t="s">
        <v>287</v>
      </c>
      <c r="P20" s="3" t="s">
        <v>69</v>
      </c>
      <c r="R20" s="3" t="s">
        <v>70</v>
      </c>
      <c r="S20" s="4">
        <v>20</v>
      </c>
      <c r="T20" s="4">
        <v>53</v>
      </c>
      <c r="U20" s="5" t="s">
        <v>295</v>
      </c>
      <c r="V20" s="5" t="s">
        <v>288</v>
      </c>
      <c r="W20" s="5" t="s">
        <v>72</v>
      </c>
      <c r="X20" s="5" t="s">
        <v>72</v>
      </c>
      <c r="Y20" s="4">
        <v>536</v>
      </c>
      <c r="Z20" s="4">
        <v>26</v>
      </c>
      <c r="AA20" s="4">
        <v>26</v>
      </c>
      <c r="AB20" s="4">
        <v>1</v>
      </c>
      <c r="AC20" s="4">
        <v>1</v>
      </c>
      <c r="AD20" s="4">
        <v>124</v>
      </c>
      <c r="AE20" s="4">
        <v>124</v>
      </c>
      <c r="AF20" s="4">
        <v>0</v>
      </c>
      <c r="AG20" s="4">
        <v>0</v>
      </c>
      <c r="AH20" s="4">
        <v>109</v>
      </c>
      <c r="AI20" s="4">
        <v>109</v>
      </c>
      <c r="AJ20" s="4">
        <v>18</v>
      </c>
      <c r="AK20" s="4">
        <v>18</v>
      </c>
      <c r="AL20" s="4">
        <v>59</v>
      </c>
      <c r="AM20" s="4">
        <v>59</v>
      </c>
      <c r="AN20" s="4">
        <v>0</v>
      </c>
      <c r="AO20" s="4">
        <v>0</v>
      </c>
      <c r="AP20" s="4">
        <v>22</v>
      </c>
      <c r="AQ20" s="4">
        <v>22</v>
      </c>
      <c r="AR20" s="3" t="s">
        <v>64</v>
      </c>
      <c r="AS20" s="3" t="s">
        <v>64</v>
      </c>
      <c r="AT20" s="3" t="s">
        <v>64</v>
      </c>
      <c r="AV20" s="6" t="str">
        <f>HYPERLINK("http://mcgill.on.worldcat.org/oclc/6891318","Catalog Record")</f>
        <v>Catalog Record</v>
      </c>
      <c r="AW20" s="6" t="str">
        <f>HYPERLINK("http://www.worldcat.org/oclc/6891318","WorldCat Record")</f>
        <v>WorldCat Record</v>
      </c>
      <c r="AX20" s="3" t="s">
        <v>289</v>
      </c>
      <c r="AY20" s="3" t="s">
        <v>290</v>
      </c>
      <c r="AZ20" s="3" t="s">
        <v>291</v>
      </c>
      <c r="BA20" s="3" t="s">
        <v>291</v>
      </c>
      <c r="BB20" s="3" t="s">
        <v>296</v>
      </c>
      <c r="BC20" s="3" t="s">
        <v>78</v>
      </c>
      <c r="BD20" s="3" t="s">
        <v>79</v>
      </c>
      <c r="BE20" s="3" t="s">
        <v>293</v>
      </c>
      <c r="BF20" s="3" t="s">
        <v>296</v>
      </c>
      <c r="BG20" s="3" t="s">
        <v>297</v>
      </c>
    </row>
    <row r="21" spans="1:59" ht="58" x14ac:dyDescent="0.35">
      <c r="A21" s="2" t="s">
        <v>59</v>
      </c>
      <c r="B21" s="2" t="s">
        <v>94</v>
      </c>
      <c r="C21" s="2" t="s">
        <v>298</v>
      </c>
      <c r="D21" s="2" t="s">
        <v>299</v>
      </c>
      <c r="E21" s="2" t="s">
        <v>300</v>
      </c>
      <c r="G21" s="3" t="s">
        <v>64</v>
      </c>
      <c r="I21" s="3" t="s">
        <v>64</v>
      </c>
      <c r="J21" s="3" t="s">
        <v>64</v>
      </c>
      <c r="K21" s="3" t="s">
        <v>65</v>
      </c>
      <c r="L21" s="2" t="s">
        <v>301</v>
      </c>
      <c r="M21" s="2" t="s">
        <v>302</v>
      </c>
      <c r="N21" s="3" t="s">
        <v>303</v>
      </c>
      <c r="P21" s="3" t="s">
        <v>69</v>
      </c>
      <c r="R21" s="3" t="s">
        <v>70</v>
      </c>
      <c r="S21" s="4">
        <v>220</v>
      </c>
      <c r="T21" s="4">
        <v>220</v>
      </c>
      <c r="U21" s="5" t="s">
        <v>149</v>
      </c>
      <c r="V21" s="5" t="s">
        <v>149</v>
      </c>
      <c r="W21" s="5" t="s">
        <v>72</v>
      </c>
      <c r="X21" s="5" t="s">
        <v>72</v>
      </c>
      <c r="Y21" s="4">
        <v>287</v>
      </c>
      <c r="Z21" s="4">
        <v>20</v>
      </c>
      <c r="AA21" s="4">
        <v>57</v>
      </c>
      <c r="AB21" s="4">
        <v>2</v>
      </c>
      <c r="AC21" s="4">
        <v>9</v>
      </c>
      <c r="AD21" s="4">
        <v>81</v>
      </c>
      <c r="AE21" s="4">
        <v>114</v>
      </c>
      <c r="AF21" s="4">
        <v>0</v>
      </c>
      <c r="AG21" s="4">
        <v>4</v>
      </c>
      <c r="AH21" s="4">
        <v>73</v>
      </c>
      <c r="AI21" s="4">
        <v>95</v>
      </c>
      <c r="AJ21" s="4">
        <v>11</v>
      </c>
      <c r="AK21" s="4">
        <v>16</v>
      </c>
      <c r="AL21" s="4">
        <v>42</v>
      </c>
      <c r="AM21" s="4">
        <v>54</v>
      </c>
      <c r="AN21" s="4">
        <v>0</v>
      </c>
      <c r="AO21" s="4">
        <v>0</v>
      </c>
      <c r="AP21" s="4">
        <v>14</v>
      </c>
      <c r="AQ21" s="4">
        <v>26</v>
      </c>
      <c r="AR21" s="3" t="s">
        <v>64</v>
      </c>
      <c r="AS21" s="3" t="s">
        <v>64</v>
      </c>
      <c r="AT21" s="3" t="s">
        <v>73</v>
      </c>
      <c r="AU21" s="6" t="str">
        <f>HYPERLINK("http://catalog.hathitrust.org/Record/002620129","HathiTrust Record")</f>
        <v>HathiTrust Record</v>
      </c>
      <c r="AV21" s="6" t="str">
        <f>HYPERLINK("http://mcgill.on.worldcat.org/oclc/27012226","Catalog Record")</f>
        <v>Catalog Record</v>
      </c>
      <c r="AW21" s="6" t="str">
        <f>HYPERLINK("http://www.worldcat.org/oclc/27012226","WorldCat Record")</f>
        <v>WorldCat Record</v>
      </c>
      <c r="AX21" s="3" t="s">
        <v>304</v>
      </c>
      <c r="AY21" s="3" t="s">
        <v>305</v>
      </c>
      <c r="AZ21" s="3" t="s">
        <v>306</v>
      </c>
      <c r="BA21" s="3" t="s">
        <v>306</v>
      </c>
      <c r="BB21" s="3" t="s">
        <v>307</v>
      </c>
      <c r="BC21" s="3" t="s">
        <v>78</v>
      </c>
      <c r="BD21" s="3" t="s">
        <v>79</v>
      </c>
      <c r="BE21" s="3" t="s">
        <v>308</v>
      </c>
      <c r="BF21" s="3" t="s">
        <v>307</v>
      </c>
      <c r="BG21" s="3" t="s">
        <v>309</v>
      </c>
    </row>
    <row r="22" spans="1:59" ht="58" x14ac:dyDescent="0.35">
      <c r="A22" s="2" t="s">
        <v>59</v>
      </c>
      <c r="B22" s="2" t="s">
        <v>94</v>
      </c>
      <c r="C22" s="2" t="s">
        <v>310</v>
      </c>
      <c r="D22" s="2" t="s">
        <v>311</v>
      </c>
      <c r="E22" s="2" t="s">
        <v>312</v>
      </c>
      <c r="G22" s="3" t="s">
        <v>64</v>
      </c>
      <c r="I22" s="3" t="s">
        <v>64</v>
      </c>
      <c r="J22" s="3" t="s">
        <v>64</v>
      </c>
      <c r="K22" s="3" t="s">
        <v>65</v>
      </c>
      <c r="L22" s="2" t="s">
        <v>313</v>
      </c>
      <c r="M22" s="2" t="s">
        <v>314</v>
      </c>
      <c r="N22" s="3" t="s">
        <v>315</v>
      </c>
      <c r="P22" s="3" t="s">
        <v>69</v>
      </c>
      <c r="Q22" s="2" t="s">
        <v>316</v>
      </c>
      <c r="R22" s="3" t="s">
        <v>70</v>
      </c>
      <c r="S22" s="4">
        <v>11</v>
      </c>
      <c r="T22" s="4">
        <v>11</v>
      </c>
      <c r="U22" s="5" t="s">
        <v>317</v>
      </c>
      <c r="V22" s="5" t="s">
        <v>317</v>
      </c>
      <c r="W22" s="5" t="s">
        <v>72</v>
      </c>
      <c r="X22" s="5" t="s">
        <v>72</v>
      </c>
      <c r="Y22" s="4">
        <v>364</v>
      </c>
      <c r="Z22" s="4">
        <v>24</v>
      </c>
      <c r="AA22" s="4">
        <v>36</v>
      </c>
      <c r="AB22" s="4">
        <v>2</v>
      </c>
      <c r="AC22" s="4">
        <v>3</v>
      </c>
      <c r="AD22" s="4">
        <v>104</v>
      </c>
      <c r="AE22" s="4">
        <v>112</v>
      </c>
      <c r="AF22" s="4">
        <v>1</v>
      </c>
      <c r="AG22" s="4">
        <v>2</v>
      </c>
      <c r="AH22" s="4">
        <v>90</v>
      </c>
      <c r="AI22" s="4">
        <v>92</v>
      </c>
      <c r="AJ22" s="4">
        <v>15</v>
      </c>
      <c r="AK22" s="4">
        <v>16</v>
      </c>
      <c r="AL22" s="4">
        <v>52</v>
      </c>
      <c r="AM22" s="4">
        <v>53</v>
      </c>
      <c r="AN22" s="4">
        <v>0</v>
      </c>
      <c r="AO22" s="4">
        <v>0</v>
      </c>
      <c r="AP22" s="4">
        <v>19</v>
      </c>
      <c r="AQ22" s="4">
        <v>24</v>
      </c>
      <c r="AR22" s="3" t="s">
        <v>64</v>
      </c>
      <c r="AS22" s="3" t="s">
        <v>64</v>
      </c>
      <c r="AT22" s="3" t="s">
        <v>73</v>
      </c>
      <c r="AU22" s="6" t="str">
        <f>HYPERLINK("http://catalog.hathitrust.org/Record/000868816","HathiTrust Record")</f>
        <v>HathiTrust Record</v>
      </c>
      <c r="AV22" s="6" t="str">
        <f>HYPERLINK("http://mcgill.on.worldcat.org/oclc/15283178","Catalog Record")</f>
        <v>Catalog Record</v>
      </c>
      <c r="AW22" s="6" t="str">
        <f>HYPERLINK("http://www.worldcat.org/oclc/15283178","WorldCat Record")</f>
        <v>WorldCat Record</v>
      </c>
      <c r="AX22" s="3" t="s">
        <v>318</v>
      </c>
      <c r="AY22" s="3" t="s">
        <v>319</v>
      </c>
      <c r="AZ22" s="3" t="s">
        <v>320</v>
      </c>
      <c r="BA22" s="3" t="s">
        <v>320</v>
      </c>
      <c r="BB22" s="3" t="s">
        <v>321</v>
      </c>
      <c r="BC22" s="3" t="s">
        <v>78</v>
      </c>
      <c r="BD22" s="3" t="s">
        <v>79</v>
      </c>
      <c r="BE22" s="3" t="s">
        <v>322</v>
      </c>
      <c r="BF22" s="3" t="s">
        <v>321</v>
      </c>
      <c r="BG22" s="3" t="s">
        <v>323</v>
      </c>
    </row>
    <row r="23" spans="1:59" ht="58" x14ac:dyDescent="0.35">
      <c r="A23" s="2" t="s">
        <v>59</v>
      </c>
      <c r="B23" s="2" t="s">
        <v>94</v>
      </c>
      <c r="C23" s="2" t="s">
        <v>324</v>
      </c>
      <c r="D23" s="2" t="s">
        <v>325</v>
      </c>
      <c r="E23" s="2" t="s">
        <v>326</v>
      </c>
      <c r="G23" s="3" t="s">
        <v>64</v>
      </c>
      <c r="I23" s="3" t="s">
        <v>64</v>
      </c>
      <c r="J23" s="3" t="s">
        <v>64</v>
      </c>
      <c r="K23" s="3" t="s">
        <v>65</v>
      </c>
      <c r="M23" s="2" t="s">
        <v>327</v>
      </c>
      <c r="N23" s="3" t="s">
        <v>328</v>
      </c>
      <c r="P23" s="3" t="s">
        <v>69</v>
      </c>
      <c r="R23" s="3" t="s">
        <v>70</v>
      </c>
      <c r="S23" s="4">
        <v>6</v>
      </c>
      <c r="T23" s="4">
        <v>6</v>
      </c>
      <c r="U23" s="5" t="s">
        <v>329</v>
      </c>
      <c r="V23" s="5" t="s">
        <v>329</v>
      </c>
      <c r="W23" s="5" t="s">
        <v>72</v>
      </c>
      <c r="X23" s="5" t="s">
        <v>72</v>
      </c>
      <c r="Y23" s="4">
        <v>242</v>
      </c>
      <c r="Z23" s="4">
        <v>18</v>
      </c>
      <c r="AA23" s="4">
        <v>25</v>
      </c>
      <c r="AB23" s="4">
        <v>1</v>
      </c>
      <c r="AC23" s="4">
        <v>8</v>
      </c>
      <c r="AD23" s="4">
        <v>71</v>
      </c>
      <c r="AE23" s="4">
        <v>78</v>
      </c>
      <c r="AF23" s="4">
        <v>0</v>
      </c>
      <c r="AG23" s="4">
        <v>3</v>
      </c>
      <c r="AH23" s="4">
        <v>65</v>
      </c>
      <c r="AI23" s="4">
        <v>70</v>
      </c>
      <c r="AJ23" s="4">
        <v>12</v>
      </c>
      <c r="AK23" s="4">
        <v>15</v>
      </c>
      <c r="AL23" s="4">
        <v>38</v>
      </c>
      <c r="AM23" s="4">
        <v>41</v>
      </c>
      <c r="AN23" s="4">
        <v>0</v>
      </c>
      <c r="AO23" s="4">
        <v>0</v>
      </c>
      <c r="AP23" s="4">
        <v>12</v>
      </c>
      <c r="AQ23" s="4">
        <v>14</v>
      </c>
      <c r="AR23" s="3" t="s">
        <v>64</v>
      </c>
      <c r="AS23" s="3" t="s">
        <v>64</v>
      </c>
      <c r="AT23" s="3" t="s">
        <v>64</v>
      </c>
      <c r="AV23" s="6" t="str">
        <f>HYPERLINK("http://mcgill.on.worldcat.org/oclc/687684026","Catalog Record")</f>
        <v>Catalog Record</v>
      </c>
      <c r="AW23" s="6" t="str">
        <f>HYPERLINK("http://www.worldcat.org/oclc/687684026","WorldCat Record")</f>
        <v>WorldCat Record</v>
      </c>
      <c r="AX23" s="3" t="s">
        <v>330</v>
      </c>
      <c r="AY23" s="3" t="s">
        <v>331</v>
      </c>
      <c r="AZ23" s="3" t="s">
        <v>332</v>
      </c>
      <c r="BA23" s="3" t="s">
        <v>332</v>
      </c>
      <c r="BB23" s="3" t="s">
        <v>333</v>
      </c>
      <c r="BC23" s="3" t="s">
        <v>78</v>
      </c>
      <c r="BD23" s="3" t="s">
        <v>79</v>
      </c>
      <c r="BE23" s="3" t="s">
        <v>334</v>
      </c>
      <c r="BF23" s="3" t="s">
        <v>333</v>
      </c>
      <c r="BG23" s="3" t="s">
        <v>335</v>
      </c>
    </row>
    <row r="24" spans="1:59" ht="58" x14ac:dyDescent="0.35">
      <c r="A24" s="2" t="s">
        <v>59</v>
      </c>
      <c r="B24" s="2" t="s">
        <v>94</v>
      </c>
      <c r="C24" s="2" t="s">
        <v>336</v>
      </c>
      <c r="D24" s="2" t="s">
        <v>337</v>
      </c>
      <c r="E24" s="2" t="s">
        <v>338</v>
      </c>
      <c r="G24" s="3" t="s">
        <v>64</v>
      </c>
      <c r="I24" s="3" t="s">
        <v>64</v>
      </c>
      <c r="J24" s="3" t="s">
        <v>64</v>
      </c>
      <c r="K24" s="3" t="s">
        <v>65</v>
      </c>
      <c r="M24" s="2" t="s">
        <v>339</v>
      </c>
      <c r="N24" s="3" t="s">
        <v>340</v>
      </c>
      <c r="P24" s="3" t="s">
        <v>69</v>
      </c>
      <c r="R24" s="3" t="s">
        <v>70</v>
      </c>
      <c r="S24" s="4">
        <v>20</v>
      </c>
      <c r="T24" s="4">
        <v>20</v>
      </c>
      <c r="U24" s="5" t="s">
        <v>341</v>
      </c>
      <c r="V24" s="5" t="s">
        <v>341</v>
      </c>
      <c r="W24" s="5" t="s">
        <v>72</v>
      </c>
      <c r="X24" s="5" t="s">
        <v>72</v>
      </c>
      <c r="Y24" s="4">
        <v>219</v>
      </c>
      <c r="Z24" s="4">
        <v>44</v>
      </c>
      <c r="AA24" s="4">
        <v>114</v>
      </c>
      <c r="AB24" s="4">
        <v>2</v>
      </c>
      <c r="AC24" s="4">
        <v>22</v>
      </c>
      <c r="AD24" s="4">
        <v>103</v>
      </c>
      <c r="AE24" s="4">
        <v>144</v>
      </c>
      <c r="AF24" s="4">
        <v>1</v>
      </c>
      <c r="AG24" s="4">
        <v>9</v>
      </c>
      <c r="AH24" s="4">
        <v>76</v>
      </c>
      <c r="AI24" s="4">
        <v>94</v>
      </c>
      <c r="AJ24" s="4">
        <v>20</v>
      </c>
      <c r="AK24" s="4">
        <v>29</v>
      </c>
      <c r="AL24" s="4">
        <v>43</v>
      </c>
      <c r="AM24" s="4">
        <v>49</v>
      </c>
      <c r="AN24" s="4">
        <v>0</v>
      </c>
      <c r="AO24" s="4">
        <v>0</v>
      </c>
      <c r="AP24" s="4">
        <v>30</v>
      </c>
      <c r="AQ24" s="4">
        <v>56</v>
      </c>
      <c r="AR24" s="3" t="s">
        <v>73</v>
      </c>
      <c r="AS24" s="3" t="s">
        <v>64</v>
      </c>
      <c r="AT24" s="3" t="s">
        <v>64</v>
      </c>
      <c r="AV24" s="6" t="str">
        <f>HYPERLINK("http://mcgill.on.worldcat.org/oclc/40299071","Catalog Record")</f>
        <v>Catalog Record</v>
      </c>
      <c r="AW24" s="6" t="str">
        <f>HYPERLINK("http://www.worldcat.org/oclc/40299071","WorldCat Record")</f>
        <v>WorldCat Record</v>
      </c>
      <c r="AX24" s="3" t="s">
        <v>342</v>
      </c>
      <c r="AY24" s="3" t="s">
        <v>343</v>
      </c>
      <c r="AZ24" s="3" t="s">
        <v>344</v>
      </c>
      <c r="BA24" s="3" t="s">
        <v>344</v>
      </c>
      <c r="BB24" s="3" t="s">
        <v>345</v>
      </c>
      <c r="BC24" s="3" t="s">
        <v>78</v>
      </c>
      <c r="BD24" s="3" t="s">
        <v>79</v>
      </c>
      <c r="BE24" s="3" t="s">
        <v>346</v>
      </c>
      <c r="BF24" s="3" t="s">
        <v>345</v>
      </c>
      <c r="BG24" s="3" t="s">
        <v>347</v>
      </c>
    </row>
    <row r="25" spans="1:59" ht="58" x14ac:dyDescent="0.35">
      <c r="A25" s="2" t="s">
        <v>59</v>
      </c>
      <c r="B25" s="2" t="s">
        <v>94</v>
      </c>
      <c r="C25" s="2" t="s">
        <v>348</v>
      </c>
      <c r="D25" s="2" t="s">
        <v>349</v>
      </c>
      <c r="E25" s="2" t="s">
        <v>350</v>
      </c>
      <c r="G25" s="3" t="s">
        <v>64</v>
      </c>
      <c r="I25" s="3" t="s">
        <v>64</v>
      </c>
      <c r="J25" s="3" t="s">
        <v>64</v>
      </c>
      <c r="K25" s="3" t="s">
        <v>65</v>
      </c>
      <c r="L25" s="2" t="s">
        <v>351</v>
      </c>
      <c r="M25" s="2" t="s">
        <v>352</v>
      </c>
      <c r="N25" s="3" t="s">
        <v>274</v>
      </c>
      <c r="P25" s="3" t="s">
        <v>69</v>
      </c>
      <c r="R25" s="3" t="s">
        <v>70</v>
      </c>
      <c r="S25" s="4">
        <v>7</v>
      </c>
      <c r="T25" s="4">
        <v>7</v>
      </c>
      <c r="U25" s="5" t="s">
        <v>353</v>
      </c>
      <c r="V25" s="5" t="s">
        <v>353</v>
      </c>
      <c r="W25" s="5" t="s">
        <v>72</v>
      </c>
      <c r="X25" s="5" t="s">
        <v>72</v>
      </c>
      <c r="Y25" s="4">
        <v>492</v>
      </c>
      <c r="Z25" s="4">
        <v>25</v>
      </c>
      <c r="AA25" s="4">
        <v>38</v>
      </c>
      <c r="AB25" s="4">
        <v>2</v>
      </c>
      <c r="AC25" s="4">
        <v>5</v>
      </c>
      <c r="AD25" s="4">
        <v>98</v>
      </c>
      <c r="AE25" s="4">
        <v>113</v>
      </c>
      <c r="AF25" s="4">
        <v>0</v>
      </c>
      <c r="AG25" s="4">
        <v>3</v>
      </c>
      <c r="AH25" s="4">
        <v>86</v>
      </c>
      <c r="AI25" s="4">
        <v>93</v>
      </c>
      <c r="AJ25" s="4">
        <v>9</v>
      </c>
      <c r="AK25" s="4">
        <v>19</v>
      </c>
      <c r="AL25" s="4">
        <v>50</v>
      </c>
      <c r="AM25" s="4">
        <v>50</v>
      </c>
      <c r="AN25" s="4">
        <v>0</v>
      </c>
      <c r="AO25" s="4">
        <v>0</v>
      </c>
      <c r="AP25" s="4">
        <v>15</v>
      </c>
      <c r="AQ25" s="4">
        <v>27</v>
      </c>
      <c r="AR25" s="3" t="s">
        <v>64</v>
      </c>
      <c r="AS25" s="3" t="s">
        <v>64</v>
      </c>
      <c r="AT25" s="3" t="s">
        <v>73</v>
      </c>
      <c r="AU25" s="6" t="str">
        <f>HYPERLINK("http://catalog.hathitrust.org/Record/000911617","HathiTrust Record")</f>
        <v>HathiTrust Record</v>
      </c>
      <c r="AV25" s="6" t="str">
        <f>HYPERLINK("http://mcgill.on.worldcat.org/oclc/17106604","Catalog Record")</f>
        <v>Catalog Record</v>
      </c>
      <c r="AW25" s="6" t="str">
        <f>HYPERLINK("http://www.worldcat.org/oclc/17106604","WorldCat Record")</f>
        <v>WorldCat Record</v>
      </c>
      <c r="AX25" s="3" t="s">
        <v>354</v>
      </c>
      <c r="AY25" s="3" t="s">
        <v>355</v>
      </c>
      <c r="AZ25" s="3" t="s">
        <v>356</v>
      </c>
      <c r="BA25" s="3" t="s">
        <v>356</v>
      </c>
      <c r="BB25" s="3" t="s">
        <v>357</v>
      </c>
      <c r="BC25" s="3" t="s">
        <v>78</v>
      </c>
      <c r="BD25" s="3" t="s">
        <v>79</v>
      </c>
      <c r="BE25" s="3" t="s">
        <v>358</v>
      </c>
      <c r="BF25" s="3" t="s">
        <v>357</v>
      </c>
      <c r="BG25" s="3" t="s">
        <v>359</v>
      </c>
    </row>
    <row r="26" spans="1:59" ht="58" x14ac:dyDescent="0.35">
      <c r="A26" s="2" t="s">
        <v>59</v>
      </c>
      <c r="B26" s="2" t="s">
        <v>94</v>
      </c>
      <c r="C26" s="2" t="s">
        <v>360</v>
      </c>
      <c r="D26" s="2" t="s">
        <v>361</v>
      </c>
      <c r="E26" s="2" t="s">
        <v>362</v>
      </c>
      <c r="G26" s="3" t="s">
        <v>64</v>
      </c>
      <c r="I26" s="3" t="s">
        <v>64</v>
      </c>
      <c r="J26" s="3" t="s">
        <v>73</v>
      </c>
      <c r="K26" s="3" t="s">
        <v>65</v>
      </c>
      <c r="L26" s="2" t="s">
        <v>363</v>
      </c>
      <c r="M26" s="2" t="s">
        <v>364</v>
      </c>
      <c r="N26" s="3" t="s">
        <v>365</v>
      </c>
      <c r="P26" s="3" t="s">
        <v>69</v>
      </c>
      <c r="R26" s="3" t="s">
        <v>70</v>
      </c>
      <c r="S26" s="4">
        <v>20</v>
      </c>
      <c r="T26" s="4">
        <v>20</v>
      </c>
      <c r="U26" s="5" t="s">
        <v>366</v>
      </c>
      <c r="V26" s="5" t="s">
        <v>366</v>
      </c>
      <c r="W26" s="5" t="s">
        <v>72</v>
      </c>
      <c r="X26" s="5" t="s">
        <v>72</v>
      </c>
      <c r="Y26" s="4">
        <v>521</v>
      </c>
      <c r="Z26" s="4">
        <v>25</v>
      </c>
      <c r="AA26" s="4">
        <v>48</v>
      </c>
      <c r="AB26" s="4">
        <v>3</v>
      </c>
      <c r="AC26" s="4">
        <v>5</v>
      </c>
      <c r="AD26" s="4">
        <v>77</v>
      </c>
      <c r="AE26" s="4">
        <v>124</v>
      </c>
      <c r="AF26" s="4">
        <v>1</v>
      </c>
      <c r="AG26" s="4">
        <v>1</v>
      </c>
      <c r="AH26" s="4">
        <v>68</v>
      </c>
      <c r="AI26" s="4">
        <v>106</v>
      </c>
      <c r="AJ26" s="4">
        <v>8</v>
      </c>
      <c r="AK26" s="4">
        <v>17</v>
      </c>
      <c r="AL26" s="4">
        <v>41</v>
      </c>
      <c r="AM26" s="4">
        <v>59</v>
      </c>
      <c r="AN26" s="4">
        <v>0</v>
      </c>
      <c r="AO26" s="4">
        <v>0</v>
      </c>
      <c r="AP26" s="4">
        <v>11</v>
      </c>
      <c r="AQ26" s="4">
        <v>27</v>
      </c>
      <c r="AR26" s="3" t="s">
        <v>64</v>
      </c>
      <c r="AS26" s="3" t="s">
        <v>64</v>
      </c>
      <c r="AT26" s="3" t="s">
        <v>73</v>
      </c>
      <c r="AU26" s="6" t="str">
        <f>HYPERLINK("http://catalog.hathitrust.org/Record/000415607","HathiTrust Record")</f>
        <v>HathiTrust Record</v>
      </c>
      <c r="AV26" s="6" t="str">
        <f>HYPERLINK("http://mcgill.on.worldcat.org/oclc/11623341","Catalog Record")</f>
        <v>Catalog Record</v>
      </c>
      <c r="AW26" s="6" t="str">
        <f>HYPERLINK("http://www.worldcat.org/oclc/11623341","WorldCat Record")</f>
        <v>WorldCat Record</v>
      </c>
      <c r="AX26" s="3" t="s">
        <v>367</v>
      </c>
      <c r="AY26" s="3" t="s">
        <v>368</v>
      </c>
      <c r="AZ26" s="3" t="s">
        <v>369</v>
      </c>
      <c r="BA26" s="3" t="s">
        <v>369</v>
      </c>
      <c r="BB26" s="3" t="s">
        <v>370</v>
      </c>
      <c r="BC26" s="3" t="s">
        <v>78</v>
      </c>
      <c r="BD26" s="3" t="s">
        <v>79</v>
      </c>
      <c r="BE26" s="3" t="s">
        <v>371</v>
      </c>
      <c r="BF26" s="3" t="s">
        <v>370</v>
      </c>
      <c r="BG26" s="3" t="s">
        <v>372</v>
      </c>
    </row>
    <row r="27" spans="1:59" ht="58" x14ac:dyDescent="0.35">
      <c r="A27" s="2" t="s">
        <v>59</v>
      </c>
      <c r="B27" s="2" t="s">
        <v>94</v>
      </c>
      <c r="C27" s="2" t="s">
        <v>373</v>
      </c>
      <c r="D27" s="2" t="s">
        <v>374</v>
      </c>
      <c r="E27" s="2" t="s">
        <v>375</v>
      </c>
      <c r="G27" s="3" t="s">
        <v>64</v>
      </c>
      <c r="I27" s="3" t="s">
        <v>64</v>
      </c>
      <c r="J27" s="3" t="s">
        <v>64</v>
      </c>
      <c r="K27" s="3" t="s">
        <v>65</v>
      </c>
      <c r="M27" s="2" t="s">
        <v>376</v>
      </c>
      <c r="N27" s="3" t="s">
        <v>377</v>
      </c>
      <c r="P27" s="3" t="s">
        <v>69</v>
      </c>
      <c r="Q27" s="2" t="s">
        <v>378</v>
      </c>
      <c r="R27" s="3" t="s">
        <v>70</v>
      </c>
      <c r="S27" s="4">
        <v>0</v>
      </c>
      <c r="T27" s="4">
        <v>0</v>
      </c>
      <c r="W27" s="5" t="s">
        <v>72</v>
      </c>
      <c r="X27" s="5" t="s">
        <v>72</v>
      </c>
      <c r="Y27" s="4">
        <v>116</v>
      </c>
      <c r="Z27" s="4">
        <v>19</v>
      </c>
      <c r="AA27" s="4">
        <v>34</v>
      </c>
      <c r="AB27" s="4">
        <v>2</v>
      </c>
      <c r="AC27" s="4">
        <v>6</v>
      </c>
      <c r="AD27" s="4">
        <v>57</v>
      </c>
      <c r="AE27" s="4">
        <v>88</v>
      </c>
      <c r="AF27" s="4">
        <v>1</v>
      </c>
      <c r="AG27" s="4">
        <v>2</v>
      </c>
      <c r="AH27" s="4">
        <v>51</v>
      </c>
      <c r="AI27" s="4">
        <v>73</v>
      </c>
      <c r="AJ27" s="4">
        <v>14</v>
      </c>
      <c r="AK27" s="4">
        <v>16</v>
      </c>
      <c r="AL27" s="4">
        <v>33</v>
      </c>
      <c r="AM27" s="4">
        <v>42</v>
      </c>
      <c r="AN27" s="4">
        <v>0</v>
      </c>
      <c r="AO27" s="4">
        <v>0</v>
      </c>
      <c r="AP27" s="4">
        <v>15</v>
      </c>
      <c r="AQ27" s="4">
        <v>22</v>
      </c>
      <c r="AR27" s="3" t="s">
        <v>64</v>
      </c>
      <c r="AS27" s="3" t="s">
        <v>64</v>
      </c>
      <c r="AT27" s="3" t="s">
        <v>64</v>
      </c>
      <c r="AV27" s="6" t="str">
        <f>HYPERLINK("http://mcgill.on.worldcat.org/oclc/760973354","Catalog Record")</f>
        <v>Catalog Record</v>
      </c>
      <c r="AW27" s="6" t="str">
        <f>HYPERLINK("http://www.worldcat.org/oclc/760973354","WorldCat Record")</f>
        <v>WorldCat Record</v>
      </c>
      <c r="AX27" s="3" t="s">
        <v>379</v>
      </c>
      <c r="AY27" s="3" t="s">
        <v>380</v>
      </c>
      <c r="AZ27" s="3" t="s">
        <v>381</v>
      </c>
      <c r="BA27" s="3" t="s">
        <v>381</v>
      </c>
      <c r="BB27" s="3" t="s">
        <v>382</v>
      </c>
      <c r="BC27" s="3" t="s">
        <v>78</v>
      </c>
      <c r="BD27" s="3" t="s">
        <v>79</v>
      </c>
      <c r="BE27" s="3" t="s">
        <v>383</v>
      </c>
      <c r="BF27" s="3" t="s">
        <v>382</v>
      </c>
      <c r="BG27" s="3" t="s">
        <v>384</v>
      </c>
    </row>
    <row r="28" spans="1:59" ht="58" x14ac:dyDescent="0.35">
      <c r="A28" s="2" t="s">
        <v>59</v>
      </c>
      <c r="B28" s="2" t="s">
        <v>94</v>
      </c>
      <c r="C28" s="2" t="s">
        <v>385</v>
      </c>
      <c r="D28" s="2" t="s">
        <v>386</v>
      </c>
      <c r="E28" s="2" t="s">
        <v>387</v>
      </c>
      <c r="F28" s="3" t="s">
        <v>388</v>
      </c>
      <c r="G28" s="3" t="s">
        <v>73</v>
      </c>
      <c r="I28" s="3" t="s">
        <v>64</v>
      </c>
      <c r="J28" s="3" t="s">
        <v>64</v>
      </c>
      <c r="K28" s="3" t="s">
        <v>65</v>
      </c>
      <c r="M28" s="2" t="s">
        <v>389</v>
      </c>
      <c r="N28" s="3" t="s">
        <v>390</v>
      </c>
      <c r="P28" s="3" t="s">
        <v>69</v>
      </c>
      <c r="R28" s="3" t="s">
        <v>70</v>
      </c>
      <c r="S28" s="4">
        <v>15</v>
      </c>
      <c r="T28" s="4">
        <v>30</v>
      </c>
      <c r="U28" s="5" t="s">
        <v>391</v>
      </c>
      <c r="V28" s="5" t="s">
        <v>392</v>
      </c>
      <c r="W28" s="5" t="s">
        <v>72</v>
      </c>
      <c r="X28" s="5" t="s">
        <v>72</v>
      </c>
      <c r="Y28" s="4">
        <v>461</v>
      </c>
      <c r="Z28" s="4">
        <v>22</v>
      </c>
      <c r="AA28" s="4">
        <v>22</v>
      </c>
      <c r="AB28" s="4">
        <v>2</v>
      </c>
      <c r="AC28" s="4">
        <v>2</v>
      </c>
      <c r="AD28" s="4">
        <v>107</v>
      </c>
      <c r="AE28" s="4">
        <v>110</v>
      </c>
      <c r="AF28" s="4">
        <v>1</v>
      </c>
      <c r="AG28" s="4">
        <v>1</v>
      </c>
      <c r="AH28" s="4">
        <v>96</v>
      </c>
      <c r="AI28" s="4">
        <v>99</v>
      </c>
      <c r="AJ28" s="4">
        <v>15</v>
      </c>
      <c r="AK28" s="4">
        <v>15</v>
      </c>
      <c r="AL28" s="4">
        <v>52</v>
      </c>
      <c r="AM28" s="4">
        <v>53</v>
      </c>
      <c r="AN28" s="4">
        <v>0</v>
      </c>
      <c r="AO28" s="4">
        <v>0</v>
      </c>
      <c r="AP28" s="4">
        <v>19</v>
      </c>
      <c r="AQ28" s="4">
        <v>19</v>
      </c>
      <c r="AR28" s="3" t="s">
        <v>64</v>
      </c>
      <c r="AS28" s="3" t="s">
        <v>64</v>
      </c>
      <c r="AT28" s="3" t="s">
        <v>73</v>
      </c>
      <c r="AU28" s="6" t="str">
        <f>HYPERLINK("http://catalog.hathitrust.org/Record/000132915","HathiTrust Record")</f>
        <v>HathiTrust Record</v>
      </c>
      <c r="AV28" s="6" t="str">
        <f>HYPERLINK("http://mcgill.on.worldcat.org/oclc/3751081","Catalog Record")</f>
        <v>Catalog Record</v>
      </c>
      <c r="AW28" s="6" t="str">
        <f>HYPERLINK("http://www.worldcat.org/oclc/3751081","WorldCat Record")</f>
        <v>WorldCat Record</v>
      </c>
      <c r="AX28" s="3" t="s">
        <v>393</v>
      </c>
      <c r="AY28" s="3" t="s">
        <v>394</v>
      </c>
      <c r="AZ28" s="3" t="s">
        <v>395</v>
      </c>
      <c r="BA28" s="3" t="s">
        <v>395</v>
      </c>
      <c r="BB28" s="3" t="s">
        <v>396</v>
      </c>
      <c r="BC28" s="3" t="s">
        <v>78</v>
      </c>
      <c r="BD28" s="3" t="s">
        <v>79</v>
      </c>
      <c r="BE28" s="3" t="s">
        <v>397</v>
      </c>
      <c r="BF28" s="3" t="s">
        <v>396</v>
      </c>
      <c r="BG28" s="3" t="s">
        <v>398</v>
      </c>
    </row>
    <row r="29" spans="1:59" ht="58" x14ac:dyDescent="0.35">
      <c r="A29" s="2" t="s">
        <v>59</v>
      </c>
      <c r="B29" s="2" t="s">
        <v>94</v>
      </c>
      <c r="C29" s="2" t="s">
        <v>385</v>
      </c>
      <c r="D29" s="2" t="s">
        <v>386</v>
      </c>
      <c r="E29" s="2" t="s">
        <v>387</v>
      </c>
      <c r="F29" s="3" t="s">
        <v>399</v>
      </c>
      <c r="G29" s="3" t="s">
        <v>73</v>
      </c>
      <c r="I29" s="3" t="s">
        <v>64</v>
      </c>
      <c r="J29" s="3" t="s">
        <v>64</v>
      </c>
      <c r="K29" s="3" t="s">
        <v>65</v>
      </c>
      <c r="M29" s="2" t="s">
        <v>389</v>
      </c>
      <c r="N29" s="3" t="s">
        <v>390</v>
      </c>
      <c r="P29" s="3" t="s">
        <v>69</v>
      </c>
      <c r="R29" s="3" t="s">
        <v>70</v>
      </c>
      <c r="S29" s="4">
        <v>15</v>
      </c>
      <c r="T29" s="4">
        <v>30</v>
      </c>
      <c r="U29" s="5" t="s">
        <v>392</v>
      </c>
      <c r="V29" s="5" t="s">
        <v>392</v>
      </c>
      <c r="W29" s="5" t="s">
        <v>72</v>
      </c>
      <c r="X29" s="5" t="s">
        <v>72</v>
      </c>
      <c r="Y29" s="4">
        <v>461</v>
      </c>
      <c r="Z29" s="4">
        <v>22</v>
      </c>
      <c r="AA29" s="4">
        <v>22</v>
      </c>
      <c r="AB29" s="4">
        <v>2</v>
      </c>
      <c r="AC29" s="4">
        <v>2</v>
      </c>
      <c r="AD29" s="4">
        <v>107</v>
      </c>
      <c r="AE29" s="4">
        <v>110</v>
      </c>
      <c r="AF29" s="4">
        <v>1</v>
      </c>
      <c r="AG29" s="4">
        <v>1</v>
      </c>
      <c r="AH29" s="4">
        <v>96</v>
      </c>
      <c r="AI29" s="4">
        <v>99</v>
      </c>
      <c r="AJ29" s="4">
        <v>15</v>
      </c>
      <c r="AK29" s="4">
        <v>15</v>
      </c>
      <c r="AL29" s="4">
        <v>52</v>
      </c>
      <c r="AM29" s="4">
        <v>53</v>
      </c>
      <c r="AN29" s="4">
        <v>0</v>
      </c>
      <c r="AO29" s="4">
        <v>0</v>
      </c>
      <c r="AP29" s="4">
        <v>19</v>
      </c>
      <c r="AQ29" s="4">
        <v>19</v>
      </c>
      <c r="AR29" s="3" t="s">
        <v>64</v>
      </c>
      <c r="AS29" s="3" t="s">
        <v>64</v>
      </c>
      <c r="AT29" s="3" t="s">
        <v>73</v>
      </c>
      <c r="AU29" s="6" t="str">
        <f>HYPERLINK("http://catalog.hathitrust.org/Record/000132915","HathiTrust Record")</f>
        <v>HathiTrust Record</v>
      </c>
      <c r="AV29" s="6" t="str">
        <f>HYPERLINK("http://mcgill.on.worldcat.org/oclc/3751081","Catalog Record")</f>
        <v>Catalog Record</v>
      </c>
      <c r="AW29" s="6" t="str">
        <f>HYPERLINK("http://www.worldcat.org/oclc/3751081","WorldCat Record")</f>
        <v>WorldCat Record</v>
      </c>
      <c r="AX29" s="3" t="s">
        <v>393</v>
      </c>
      <c r="AY29" s="3" t="s">
        <v>394</v>
      </c>
      <c r="AZ29" s="3" t="s">
        <v>395</v>
      </c>
      <c r="BA29" s="3" t="s">
        <v>395</v>
      </c>
      <c r="BB29" s="3" t="s">
        <v>400</v>
      </c>
      <c r="BC29" s="3" t="s">
        <v>78</v>
      </c>
      <c r="BD29" s="3" t="s">
        <v>79</v>
      </c>
      <c r="BE29" s="3" t="s">
        <v>397</v>
      </c>
      <c r="BF29" s="3" t="s">
        <v>400</v>
      </c>
      <c r="BG29" s="3" t="s">
        <v>401</v>
      </c>
    </row>
    <row r="30" spans="1:59" ht="58" x14ac:dyDescent="0.35">
      <c r="A30" s="2" t="s">
        <v>59</v>
      </c>
      <c r="B30" s="2" t="s">
        <v>94</v>
      </c>
      <c r="C30" s="2" t="s">
        <v>402</v>
      </c>
      <c r="D30" s="2" t="s">
        <v>403</v>
      </c>
      <c r="E30" s="2" t="s">
        <v>404</v>
      </c>
      <c r="G30" s="3" t="s">
        <v>64</v>
      </c>
      <c r="I30" s="3" t="s">
        <v>64</v>
      </c>
      <c r="J30" s="3" t="s">
        <v>64</v>
      </c>
      <c r="K30" s="3" t="s">
        <v>65</v>
      </c>
      <c r="L30" s="2" t="s">
        <v>405</v>
      </c>
      <c r="M30" s="2" t="s">
        <v>406</v>
      </c>
      <c r="N30" s="3" t="s">
        <v>407</v>
      </c>
      <c r="P30" s="3" t="s">
        <v>69</v>
      </c>
      <c r="Q30" s="2" t="s">
        <v>408</v>
      </c>
      <c r="R30" s="3" t="s">
        <v>70</v>
      </c>
      <c r="S30" s="4">
        <v>30</v>
      </c>
      <c r="T30" s="4">
        <v>30</v>
      </c>
      <c r="U30" s="5" t="s">
        <v>409</v>
      </c>
      <c r="V30" s="5" t="s">
        <v>409</v>
      </c>
      <c r="W30" s="5" t="s">
        <v>72</v>
      </c>
      <c r="X30" s="5" t="s">
        <v>72</v>
      </c>
      <c r="Y30" s="4">
        <v>211</v>
      </c>
      <c r="Z30" s="4">
        <v>17</v>
      </c>
      <c r="AA30" s="4">
        <v>18</v>
      </c>
      <c r="AB30" s="4">
        <v>2</v>
      </c>
      <c r="AC30" s="4">
        <v>3</v>
      </c>
      <c r="AD30" s="4">
        <v>58</v>
      </c>
      <c r="AE30" s="4">
        <v>59</v>
      </c>
      <c r="AF30" s="4">
        <v>1</v>
      </c>
      <c r="AG30" s="4">
        <v>2</v>
      </c>
      <c r="AH30" s="4">
        <v>50</v>
      </c>
      <c r="AI30" s="4">
        <v>51</v>
      </c>
      <c r="AJ30" s="4">
        <v>9</v>
      </c>
      <c r="AK30" s="4">
        <v>10</v>
      </c>
      <c r="AL30" s="4">
        <v>29</v>
      </c>
      <c r="AM30" s="4">
        <v>29</v>
      </c>
      <c r="AN30" s="4">
        <v>0</v>
      </c>
      <c r="AO30" s="4">
        <v>0</v>
      </c>
      <c r="AP30" s="4">
        <v>13</v>
      </c>
      <c r="AQ30" s="4">
        <v>14</v>
      </c>
      <c r="AR30" s="3" t="s">
        <v>64</v>
      </c>
      <c r="AS30" s="3" t="s">
        <v>64</v>
      </c>
      <c r="AT30" s="3" t="s">
        <v>64</v>
      </c>
      <c r="AV30" s="6" t="str">
        <f>HYPERLINK("http://mcgill.on.worldcat.org/oclc/15098379","Catalog Record")</f>
        <v>Catalog Record</v>
      </c>
      <c r="AW30" s="6" t="str">
        <f>HYPERLINK("http://www.worldcat.org/oclc/15098379","WorldCat Record")</f>
        <v>WorldCat Record</v>
      </c>
      <c r="AX30" s="3" t="s">
        <v>410</v>
      </c>
      <c r="AY30" s="3" t="s">
        <v>411</v>
      </c>
      <c r="AZ30" s="3" t="s">
        <v>412</v>
      </c>
      <c r="BA30" s="3" t="s">
        <v>412</v>
      </c>
      <c r="BB30" s="3" t="s">
        <v>413</v>
      </c>
      <c r="BC30" s="3" t="s">
        <v>78</v>
      </c>
      <c r="BD30" s="3" t="s">
        <v>414</v>
      </c>
      <c r="BE30" s="3" t="s">
        <v>415</v>
      </c>
      <c r="BF30" s="3" t="s">
        <v>413</v>
      </c>
      <c r="BG30" s="3" t="s">
        <v>416</v>
      </c>
    </row>
    <row r="31" spans="1:59" ht="58" x14ac:dyDescent="0.35">
      <c r="A31" s="2" t="s">
        <v>59</v>
      </c>
      <c r="B31" s="2" t="s">
        <v>94</v>
      </c>
      <c r="C31" s="2" t="s">
        <v>417</v>
      </c>
      <c r="D31" s="2" t="s">
        <v>418</v>
      </c>
      <c r="E31" s="2" t="s">
        <v>419</v>
      </c>
      <c r="G31" s="3" t="s">
        <v>64</v>
      </c>
      <c r="I31" s="3" t="s">
        <v>73</v>
      </c>
      <c r="J31" s="3" t="s">
        <v>64</v>
      </c>
      <c r="K31" s="3" t="s">
        <v>65</v>
      </c>
      <c r="L31" s="2" t="s">
        <v>420</v>
      </c>
      <c r="M31" s="2" t="s">
        <v>421</v>
      </c>
      <c r="N31" s="3" t="s">
        <v>422</v>
      </c>
      <c r="P31" s="3" t="s">
        <v>69</v>
      </c>
      <c r="R31" s="3" t="s">
        <v>70</v>
      </c>
      <c r="S31" s="4">
        <v>11</v>
      </c>
      <c r="T31" s="4">
        <v>13</v>
      </c>
      <c r="U31" s="5" t="s">
        <v>423</v>
      </c>
      <c r="V31" s="5" t="s">
        <v>423</v>
      </c>
      <c r="W31" s="5" t="s">
        <v>72</v>
      </c>
      <c r="X31" s="5" t="s">
        <v>72</v>
      </c>
      <c r="Y31" s="4">
        <v>369</v>
      </c>
      <c r="Z31" s="4">
        <v>17</v>
      </c>
      <c r="AA31" s="4">
        <v>96</v>
      </c>
      <c r="AB31" s="4">
        <v>2</v>
      </c>
      <c r="AC31" s="4">
        <v>19</v>
      </c>
      <c r="AD31" s="4">
        <v>94</v>
      </c>
      <c r="AE31" s="4">
        <v>153</v>
      </c>
      <c r="AF31" s="4">
        <v>0</v>
      </c>
      <c r="AG31" s="4">
        <v>8</v>
      </c>
      <c r="AH31" s="4">
        <v>89</v>
      </c>
      <c r="AI31" s="4">
        <v>107</v>
      </c>
      <c r="AJ31" s="4">
        <v>9</v>
      </c>
      <c r="AK31" s="4">
        <v>25</v>
      </c>
      <c r="AL31" s="4">
        <v>49</v>
      </c>
      <c r="AM31" s="4">
        <v>54</v>
      </c>
      <c r="AN31" s="4">
        <v>0</v>
      </c>
      <c r="AO31" s="4">
        <v>0</v>
      </c>
      <c r="AP31" s="4">
        <v>12</v>
      </c>
      <c r="AQ31" s="4">
        <v>54</v>
      </c>
      <c r="AR31" s="3" t="s">
        <v>64</v>
      </c>
      <c r="AS31" s="3" t="s">
        <v>64</v>
      </c>
      <c r="AT31" s="3" t="s">
        <v>64</v>
      </c>
      <c r="AV31" s="6" t="str">
        <f>HYPERLINK("http://mcgill.on.worldcat.org/oclc/46393797","Catalog Record")</f>
        <v>Catalog Record</v>
      </c>
      <c r="AW31" s="6" t="str">
        <f>HYPERLINK("http://www.worldcat.org/oclc/46393797","WorldCat Record")</f>
        <v>WorldCat Record</v>
      </c>
      <c r="AX31" s="3" t="s">
        <v>424</v>
      </c>
      <c r="AY31" s="3" t="s">
        <v>425</v>
      </c>
      <c r="AZ31" s="3" t="s">
        <v>426</v>
      </c>
      <c r="BA31" s="3" t="s">
        <v>426</v>
      </c>
      <c r="BB31" s="3" t="s">
        <v>427</v>
      </c>
      <c r="BC31" s="3" t="s">
        <v>78</v>
      </c>
      <c r="BD31" s="3" t="s">
        <v>79</v>
      </c>
      <c r="BE31" s="3" t="s">
        <v>428</v>
      </c>
      <c r="BF31" s="3" t="s">
        <v>427</v>
      </c>
      <c r="BG31" s="3" t="s">
        <v>429</v>
      </c>
    </row>
    <row r="32" spans="1:59" ht="58" x14ac:dyDescent="0.35">
      <c r="A32" s="2" t="s">
        <v>59</v>
      </c>
      <c r="B32" s="2" t="s">
        <v>94</v>
      </c>
      <c r="C32" s="2" t="s">
        <v>417</v>
      </c>
      <c r="D32" s="2" t="s">
        <v>418</v>
      </c>
      <c r="E32" s="2" t="s">
        <v>419</v>
      </c>
      <c r="G32" s="3" t="s">
        <v>64</v>
      </c>
      <c r="I32" s="3" t="s">
        <v>73</v>
      </c>
      <c r="J32" s="3" t="s">
        <v>64</v>
      </c>
      <c r="K32" s="3" t="s">
        <v>65</v>
      </c>
      <c r="L32" s="2" t="s">
        <v>420</v>
      </c>
      <c r="M32" s="2" t="s">
        <v>421</v>
      </c>
      <c r="N32" s="3" t="s">
        <v>422</v>
      </c>
      <c r="P32" s="3" t="s">
        <v>69</v>
      </c>
      <c r="R32" s="3" t="s">
        <v>70</v>
      </c>
      <c r="S32" s="4">
        <v>2</v>
      </c>
      <c r="T32" s="4">
        <v>13</v>
      </c>
      <c r="U32" s="5" t="s">
        <v>430</v>
      </c>
      <c r="V32" s="5" t="s">
        <v>423</v>
      </c>
      <c r="W32" s="5" t="s">
        <v>72</v>
      </c>
      <c r="X32" s="5" t="s">
        <v>72</v>
      </c>
      <c r="Y32" s="4">
        <v>369</v>
      </c>
      <c r="Z32" s="4">
        <v>17</v>
      </c>
      <c r="AA32" s="4">
        <v>96</v>
      </c>
      <c r="AB32" s="4">
        <v>2</v>
      </c>
      <c r="AC32" s="4">
        <v>19</v>
      </c>
      <c r="AD32" s="4">
        <v>94</v>
      </c>
      <c r="AE32" s="4">
        <v>153</v>
      </c>
      <c r="AF32" s="4">
        <v>0</v>
      </c>
      <c r="AG32" s="4">
        <v>8</v>
      </c>
      <c r="AH32" s="4">
        <v>89</v>
      </c>
      <c r="AI32" s="4">
        <v>107</v>
      </c>
      <c r="AJ32" s="4">
        <v>9</v>
      </c>
      <c r="AK32" s="4">
        <v>25</v>
      </c>
      <c r="AL32" s="4">
        <v>49</v>
      </c>
      <c r="AM32" s="4">
        <v>54</v>
      </c>
      <c r="AN32" s="4">
        <v>0</v>
      </c>
      <c r="AO32" s="4">
        <v>0</v>
      </c>
      <c r="AP32" s="4">
        <v>12</v>
      </c>
      <c r="AQ32" s="4">
        <v>54</v>
      </c>
      <c r="AR32" s="3" t="s">
        <v>64</v>
      </c>
      <c r="AS32" s="3" t="s">
        <v>64</v>
      </c>
      <c r="AT32" s="3" t="s">
        <v>64</v>
      </c>
      <c r="AV32" s="6" t="str">
        <f>HYPERLINK("http://mcgill.on.worldcat.org/oclc/46393797","Catalog Record")</f>
        <v>Catalog Record</v>
      </c>
      <c r="AW32" s="6" t="str">
        <f>HYPERLINK("http://www.worldcat.org/oclc/46393797","WorldCat Record")</f>
        <v>WorldCat Record</v>
      </c>
      <c r="AX32" s="3" t="s">
        <v>424</v>
      </c>
      <c r="AY32" s="3" t="s">
        <v>425</v>
      </c>
      <c r="AZ32" s="3" t="s">
        <v>426</v>
      </c>
      <c r="BA32" s="3" t="s">
        <v>426</v>
      </c>
      <c r="BB32" s="3" t="s">
        <v>431</v>
      </c>
      <c r="BC32" s="3" t="s">
        <v>78</v>
      </c>
      <c r="BD32" s="3" t="s">
        <v>414</v>
      </c>
      <c r="BE32" s="3" t="s">
        <v>428</v>
      </c>
      <c r="BF32" s="3" t="s">
        <v>431</v>
      </c>
      <c r="BG32" s="3" t="s">
        <v>432</v>
      </c>
    </row>
    <row r="33" spans="1:59" ht="58" x14ac:dyDescent="0.35">
      <c r="A33" s="2" t="s">
        <v>59</v>
      </c>
      <c r="B33" s="2" t="s">
        <v>94</v>
      </c>
      <c r="C33" s="2" t="s">
        <v>433</v>
      </c>
      <c r="D33" s="2" t="s">
        <v>434</v>
      </c>
      <c r="E33" s="2" t="s">
        <v>435</v>
      </c>
      <c r="G33" s="3" t="s">
        <v>64</v>
      </c>
      <c r="I33" s="3" t="s">
        <v>64</v>
      </c>
      <c r="J33" s="3" t="s">
        <v>64</v>
      </c>
      <c r="K33" s="3" t="s">
        <v>65</v>
      </c>
      <c r="L33" s="2" t="s">
        <v>436</v>
      </c>
      <c r="M33" s="2" t="s">
        <v>437</v>
      </c>
      <c r="N33" s="3" t="s">
        <v>274</v>
      </c>
      <c r="P33" s="3" t="s">
        <v>69</v>
      </c>
      <c r="R33" s="3" t="s">
        <v>70</v>
      </c>
      <c r="S33" s="4">
        <v>8</v>
      </c>
      <c r="T33" s="4">
        <v>8</v>
      </c>
      <c r="U33" s="5" t="s">
        <v>392</v>
      </c>
      <c r="V33" s="5" t="s">
        <v>392</v>
      </c>
      <c r="W33" s="5" t="s">
        <v>72</v>
      </c>
      <c r="X33" s="5" t="s">
        <v>72</v>
      </c>
      <c r="Y33" s="4">
        <v>395</v>
      </c>
      <c r="Z33" s="4">
        <v>23</v>
      </c>
      <c r="AA33" s="4">
        <v>24</v>
      </c>
      <c r="AB33" s="4">
        <v>2</v>
      </c>
      <c r="AC33" s="4">
        <v>3</v>
      </c>
      <c r="AD33" s="4">
        <v>115</v>
      </c>
      <c r="AE33" s="4">
        <v>116</v>
      </c>
      <c r="AF33" s="4">
        <v>1</v>
      </c>
      <c r="AG33" s="4">
        <v>2</v>
      </c>
      <c r="AH33" s="4">
        <v>102</v>
      </c>
      <c r="AI33" s="4">
        <v>102</v>
      </c>
      <c r="AJ33" s="4">
        <v>16</v>
      </c>
      <c r="AK33" s="4">
        <v>17</v>
      </c>
      <c r="AL33" s="4">
        <v>55</v>
      </c>
      <c r="AM33" s="4">
        <v>55</v>
      </c>
      <c r="AN33" s="4">
        <v>0</v>
      </c>
      <c r="AO33" s="4">
        <v>0</v>
      </c>
      <c r="AP33" s="4">
        <v>20</v>
      </c>
      <c r="AQ33" s="4">
        <v>20</v>
      </c>
      <c r="AR33" s="3" t="s">
        <v>64</v>
      </c>
      <c r="AS33" s="3" t="s">
        <v>64</v>
      </c>
      <c r="AT33" s="3" t="s">
        <v>64</v>
      </c>
      <c r="AV33" s="6" t="str">
        <f>HYPERLINK("http://mcgill.on.worldcat.org/oclc/15589654","Catalog Record")</f>
        <v>Catalog Record</v>
      </c>
      <c r="AW33" s="6" t="str">
        <f>HYPERLINK("http://www.worldcat.org/oclc/15589654","WorldCat Record")</f>
        <v>WorldCat Record</v>
      </c>
      <c r="AX33" s="3" t="s">
        <v>438</v>
      </c>
      <c r="AY33" s="3" t="s">
        <v>439</v>
      </c>
      <c r="AZ33" s="3" t="s">
        <v>440</v>
      </c>
      <c r="BA33" s="3" t="s">
        <v>440</v>
      </c>
      <c r="BB33" s="3" t="s">
        <v>441</v>
      </c>
      <c r="BC33" s="3" t="s">
        <v>78</v>
      </c>
      <c r="BD33" s="3" t="s">
        <v>79</v>
      </c>
      <c r="BE33" s="3" t="s">
        <v>442</v>
      </c>
      <c r="BF33" s="3" t="s">
        <v>441</v>
      </c>
      <c r="BG33" s="3" t="s">
        <v>443</v>
      </c>
    </row>
    <row r="34" spans="1:59" ht="58" x14ac:dyDescent="0.35">
      <c r="A34" s="2" t="s">
        <v>59</v>
      </c>
      <c r="B34" s="2" t="s">
        <v>94</v>
      </c>
      <c r="C34" s="2" t="s">
        <v>444</v>
      </c>
      <c r="D34" s="2" t="s">
        <v>445</v>
      </c>
      <c r="E34" s="2" t="s">
        <v>446</v>
      </c>
      <c r="G34" s="3" t="s">
        <v>64</v>
      </c>
      <c r="I34" s="3" t="s">
        <v>64</v>
      </c>
      <c r="J34" s="3" t="s">
        <v>64</v>
      </c>
      <c r="K34" s="3" t="s">
        <v>65</v>
      </c>
      <c r="L34" s="2" t="s">
        <v>447</v>
      </c>
      <c r="M34" s="2" t="s">
        <v>448</v>
      </c>
      <c r="N34" s="3" t="s">
        <v>449</v>
      </c>
      <c r="P34" s="3" t="s">
        <v>69</v>
      </c>
      <c r="Q34" s="2" t="s">
        <v>450</v>
      </c>
      <c r="R34" s="3" t="s">
        <v>70</v>
      </c>
      <c r="S34" s="4">
        <v>8</v>
      </c>
      <c r="T34" s="4">
        <v>8</v>
      </c>
      <c r="U34" s="5" t="s">
        <v>341</v>
      </c>
      <c r="V34" s="5" t="s">
        <v>341</v>
      </c>
      <c r="W34" s="5" t="s">
        <v>72</v>
      </c>
      <c r="X34" s="5" t="s">
        <v>72</v>
      </c>
      <c r="Y34" s="4">
        <v>357</v>
      </c>
      <c r="Z34" s="4">
        <v>22</v>
      </c>
      <c r="AA34" s="4">
        <v>108</v>
      </c>
      <c r="AB34" s="4">
        <v>2</v>
      </c>
      <c r="AC34" s="4">
        <v>18</v>
      </c>
      <c r="AD34" s="4">
        <v>93</v>
      </c>
      <c r="AE34" s="4">
        <v>137</v>
      </c>
      <c r="AF34" s="4">
        <v>1</v>
      </c>
      <c r="AG34" s="4">
        <v>8</v>
      </c>
      <c r="AH34" s="4">
        <v>83</v>
      </c>
      <c r="AI34" s="4">
        <v>98</v>
      </c>
      <c r="AJ34" s="4">
        <v>12</v>
      </c>
      <c r="AK34" s="4">
        <v>23</v>
      </c>
      <c r="AL34" s="4">
        <v>48</v>
      </c>
      <c r="AM34" s="4">
        <v>52</v>
      </c>
      <c r="AN34" s="4">
        <v>0</v>
      </c>
      <c r="AO34" s="4">
        <v>0</v>
      </c>
      <c r="AP34" s="4">
        <v>16</v>
      </c>
      <c r="AQ34" s="4">
        <v>47</v>
      </c>
      <c r="AR34" s="3" t="s">
        <v>64</v>
      </c>
      <c r="AS34" s="3" t="s">
        <v>64</v>
      </c>
      <c r="AT34" s="3" t="s">
        <v>64</v>
      </c>
      <c r="AV34" s="6" t="str">
        <f>HYPERLINK("http://mcgill.on.worldcat.org/oclc/174040195","Catalog Record")</f>
        <v>Catalog Record</v>
      </c>
      <c r="AW34" s="6" t="str">
        <f>HYPERLINK("http://www.worldcat.org/oclc/174040195","WorldCat Record")</f>
        <v>WorldCat Record</v>
      </c>
      <c r="AX34" s="3" t="s">
        <v>451</v>
      </c>
      <c r="AY34" s="3" t="s">
        <v>452</v>
      </c>
      <c r="AZ34" s="3" t="s">
        <v>453</v>
      </c>
      <c r="BA34" s="3" t="s">
        <v>453</v>
      </c>
      <c r="BB34" s="3" t="s">
        <v>454</v>
      </c>
      <c r="BC34" s="3" t="s">
        <v>78</v>
      </c>
      <c r="BD34" s="3" t="s">
        <v>79</v>
      </c>
      <c r="BE34" s="3" t="s">
        <v>455</v>
      </c>
      <c r="BF34" s="3" t="s">
        <v>454</v>
      </c>
      <c r="BG34" s="3" t="s">
        <v>456</v>
      </c>
    </row>
    <row r="35" spans="1:59" ht="58" x14ac:dyDescent="0.35">
      <c r="A35" s="2" t="s">
        <v>59</v>
      </c>
      <c r="B35" s="2" t="s">
        <v>94</v>
      </c>
      <c r="C35" s="2" t="s">
        <v>457</v>
      </c>
      <c r="D35" s="2" t="s">
        <v>458</v>
      </c>
      <c r="E35" s="2" t="s">
        <v>459</v>
      </c>
      <c r="G35" s="3" t="s">
        <v>64</v>
      </c>
      <c r="I35" s="3" t="s">
        <v>64</v>
      </c>
      <c r="J35" s="3" t="s">
        <v>64</v>
      </c>
      <c r="K35" s="3" t="s">
        <v>65</v>
      </c>
      <c r="L35" s="2" t="s">
        <v>460</v>
      </c>
      <c r="M35" s="2" t="s">
        <v>461</v>
      </c>
      <c r="N35" s="3" t="s">
        <v>377</v>
      </c>
      <c r="P35" s="3" t="s">
        <v>69</v>
      </c>
      <c r="R35" s="3" t="s">
        <v>70</v>
      </c>
      <c r="S35" s="4">
        <v>2</v>
      </c>
      <c r="T35" s="4">
        <v>2</v>
      </c>
      <c r="W35" s="5" t="s">
        <v>72</v>
      </c>
      <c r="X35" s="5" t="s">
        <v>72</v>
      </c>
      <c r="Y35" s="4">
        <v>497</v>
      </c>
      <c r="Z35" s="4">
        <v>16</v>
      </c>
      <c r="AA35" s="4">
        <v>84</v>
      </c>
      <c r="AB35" s="4">
        <v>2</v>
      </c>
      <c r="AC35" s="4">
        <v>14</v>
      </c>
      <c r="AD35" s="4">
        <v>92</v>
      </c>
      <c r="AE35" s="4">
        <v>141</v>
      </c>
      <c r="AF35" s="4">
        <v>1</v>
      </c>
      <c r="AG35" s="4">
        <v>8</v>
      </c>
      <c r="AH35" s="4">
        <v>83</v>
      </c>
      <c r="AI35" s="4">
        <v>103</v>
      </c>
      <c r="AJ35" s="4">
        <v>13</v>
      </c>
      <c r="AK35" s="4">
        <v>26</v>
      </c>
      <c r="AL35" s="4">
        <v>50</v>
      </c>
      <c r="AM35" s="4">
        <v>57</v>
      </c>
      <c r="AN35" s="4">
        <v>0</v>
      </c>
      <c r="AO35" s="4">
        <v>0</v>
      </c>
      <c r="AP35" s="4">
        <v>13</v>
      </c>
      <c r="AQ35" s="4">
        <v>45</v>
      </c>
      <c r="AR35" s="3" t="s">
        <v>64</v>
      </c>
      <c r="AS35" s="3" t="s">
        <v>64</v>
      </c>
      <c r="AT35" s="3" t="s">
        <v>64</v>
      </c>
      <c r="AV35" s="6" t="str">
        <f>HYPERLINK("http://mcgill.on.worldcat.org/oclc/730413891","Catalog Record")</f>
        <v>Catalog Record</v>
      </c>
      <c r="AW35" s="6" t="str">
        <f>HYPERLINK("http://www.worldcat.org/oclc/730413891","WorldCat Record")</f>
        <v>WorldCat Record</v>
      </c>
      <c r="AX35" s="3" t="s">
        <v>462</v>
      </c>
      <c r="AY35" s="3" t="s">
        <v>463</v>
      </c>
      <c r="AZ35" s="3" t="s">
        <v>464</v>
      </c>
      <c r="BA35" s="3" t="s">
        <v>464</v>
      </c>
      <c r="BB35" s="3" t="s">
        <v>465</v>
      </c>
      <c r="BC35" s="3" t="s">
        <v>78</v>
      </c>
      <c r="BD35" s="3" t="s">
        <v>414</v>
      </c>
      <c r="BE35" s="3" t="s">
        <v>466</v>
      </c>
      <c r="BF35" s="3" t="s">
        <v>465</v>
      </c>
      <c r="BG35" s="3" t="s">
        <v>467</v>
      </c>
    </row>
    <row r="36" spans="1:59" ht="58" x14ac:dyDescent="0.35">
      <c r="A36" s="2" t="s">
        <v>59</v>
      </c>
      <c r="B36" s="2" t="s">
        <v>94</v>
      </c>
      <c r="C36" s="2" t="s">
        <v>468</v>
      </c>
      <c r="D36" s="2" t="s">
        <v>469</v>
      </c>
      <c r="E36" s="2" t="s">
        <v>470</v>
      </c>
      <c r="G36" s="3" t="s">
        <v>64</v>
      </c>
      <c r="I36" s="3" t="s">
        <v>64</v>
      </c>
      <c r="J36" s="3" t="s">
        <v>64</v>
      </c>
      <c r="K36" s="3" t="s">
        <v>65</v>
      </c>
      <c r="L36" s="2" t="s">
        <v>471</v>
      </c>
      <c r="M36" s="2" t="s">
        <v>472</v>
      </c>
      <c r="N36" s="3" t="s">
        <v>473</v>
      </c>
      <c r="P36" s="3" t="s">
        <v>69</v>
      </c>
      <c r="R36" s="3" t="s">
        <v>70</v>
      </c>
      <c r="S36" s="4">
        <v>11</v>
      </c>
      <c r="T36" s="4">
        <v>11</v>
      </c>
      <c r="U36" s="5" t="s">
        <v>474</v>
      </c>
      <c r="V36" s="5" t="s">
        <v>474</v>
      </c>
      <c r="W36" s="5" t="s">
        <v>72</v>
      </c>
      <c r="X36" s="5" t="s">
        <v>72</v>
      </c>
      <c r="Y36" s="4">
        <v>72</v>
      </c>
      <c r="Z36" s="4">
        <v>11</v>
      </c>
      <c r="AA36" s="4">
        <v>12</v>
      </c>
      <c r="AB36" s="4">
        <v>2</v>
      </c>
      <c r="AC36" s="4">
        <v>3</v>
      </c>
      <c r="AD36" s="4">
        <v>19</v>
      </c>
      <c r="AE36" s="4">
        <v>20</v>
      </c>
      <c r="AF36" s="4">
        <v>0</v>
      </c>
      <c r="AG36" s="4">
        <v>1</v>
      </c>
      <c r="AH36" s="4">
        <v>17</v>
      </c>
      <c r="AI36" s="4">
        <v>17</v>
      </c>
      <c r="AJ36" s="4">
        <v>6</v>
      </c>
      <c r="AK36" s="4">
        <v>7</v>
      </c>
      <c r="AL36" s="4">
        <v>7</v>
      </c>
      <c r="AM36" s="4">
        <v>7</v>
      </c>
      <c r="AN36" s="4">
        <v>0</v>
      </c>
      <c r="AO36" s="4">
        <v>0</v>
      </c>
      <c r="AP36" s="4">
        <v>7</v>
      </c>
      <c r="AQ36" s="4">
        <v>8</v>
      </c>
      <c r="AR36" s="3" t="s">
        <v>64</v>
      </c>
      <c r="AS36" s="3" t="s">
        <v>64</v>
      </c>
      <c r="AT36" s="3" t="s">
        <v>64</v>
      </c>
      <c r="AV36" s="6" t="str">
        <f>HYPERLINK("http://mcgill.on.worldcat.org/oclc/22965210","Catalog Record")</f>
        <v>Catalog Record</v>
      </c>
      <c r="AW36" s="6" t="str">
        <f>HYPERLINK("http://www.worldcat.org/oclc/22965210","WorldCat Record")</f>
        <v>WorldCat Record</v>
      </c>
      <c r="AX36" s="3" t="s">
        <v>475</v>
      </c>
      <c r="AY36" s="3" t="s">
        <v>476</v>
      </c>
      <c r="AZ36" s="3" t="s">
        <v>477</v>
      </c>
      <c r="BA36" s="3" t="s">
        <v>477</v>
      </c>
      <c r="BB36" s="3" t="s">
        <v>478</v>
      </c>
      <c r="BC36" s="3" t="s">
        <v>78</v>
      </c>
      <c r="BD36" s="3" t="s">
        <v>79</v>
      </c>
      <c r="BE36" s="3" t="s">
        <v>479</v>
      </c>
      <c r="BF36" s="3" t="s">
        <v>478</v>
      </c>
      <c r="BG36" s="3" t="s">
        <v>480</v>
      </c>
    </row>
    <row r="37" spans="1:59" ht="58" x14ac:dyDescent="0.35">
      <c r="A37" s="2" t="s">
        <v>59</v>
      </c>
      <c r="B37" s="2" t="s">
        <v>94</v>
      </c>
      <c r="C37" s="2" t="s">
        <v>481</v>
      </c>
      <c r="D37" s="2" t="s">
        <v>482</v>
      </c>
      <c r="E37" s="2" t="s">
        <v>483</v>
      </c>
      <c r="G37" s="3" t="s">
        <v>64</v>
      </c>
      <c r="I37" s="3" t="s">
        <v>64</v>
      </c>
      <c r="J37" s="3" t="s">
        <v>64</v>
      </c>
      <c r="K37" s="3" t="s">
        <v>65</v>
      </c>
      <c r="L37" s="2" t="s">
        <v>484</v>
      </c>
      <c r="M37" s="2" t="s">
        <v>485</v>
      </c>
      <c r="N37" s="3" t="s">
        <v>486</v>
      </c>
      <c r="P37" s="3" t="s">
        <v>69</v>
      </c>
      <c r="R37" s="3" t="s">
        <v>70</v>
      </c>
      <c r="S37" s="4">
        <v>44</v>
      </c>
      <c r="T37" s="4">
        <v>44</v>
      </c>
      <c r="U37" s="5" t="s">
        <v>487</v>
      </c>
      <c r="V37" s="5" t="s">
        <v>487</v>
      </c>
      <c r="W37" s="5" t="s">
        <v>72</v>
      </c>
      <c r="X37" s="5" t="s">
        <v>72</v>
      </c>
      <c r="Y37" s="4">
        <v>542</v>
      </c>
      <c r="Z37" s="4">
        <v>25</v>
      </c>
      <c r="AA37" s="4">
        <v>31</v>
      </c>
      <c r="AB37" s="4">
        <v>2</v>
      </c>
      <c r="AC37" s="4">
        <v>2</v>
      </c>
      <c r="AD37" s="4">
        <v>67</v>
      </c>
      <c r="AE37" s="4">
        <v>85</v>
      </c>
      <c r="AF37" s="4">
        <v>0</v>
      </c>
      <c r="AG37" s="4">
        <v>0</v>
      </c>
      <c r="AH37" s="4">
        <v>61</v>
      </c>
      <c r="AI37" s="4">
        <v>76</v>
      </c>
      <c r="AJ37" s="4">
        <v>10</v>
      </c>
      <c r="AK37" s="4">
        <v>11</v>
      </c>
      <c r="AL37" s="4">
        <v>32</v>
      </c>
      <c r="AM37" s="4">
        <v>40</v>
      </c>
      <c r="AN37" s="4">
        <v>0</v>
      </c>
      <c r="AO37" s="4">
        <v>4</v>
      </c>
      <c r="AP37" s="4">
        <v>12</v>
      </c>
      <c r="AQ37" s="4">
        <v>15</v>
      </c>
      <c r="AR37" s="3" t="s">
        <v>64</v>
      </c>
      <c r="AS37" s="3" t="s">
        <v>64</v>
      </c>
      <c r="AT37" s="3" t="s">
        <v>64</v>
      </c>
      <c r="AV37" s="6" t="str">
        <f>HYPERLINK("http://mcgill.on.worldcat.org/oclc/6420556","Catalog Record")</f>
        <v>Catalog Record</v>
      </c>
      <c r="AW37" s="6" t="str">
        <f>HYPERLINK("http://www.worldcat.org/oclc/6420556","WorldCat Record")</f>
        <v>WorldCat Record</v>
      </c>
      <c r="AX37" s="3" t="s">
        <v>488</v>
      </c>
      <c r="AY37" s="3" t="s">
        <v>489</v>
      </c>
      <c r="AZ37" s="3" t="s">
        <v>490</v>
      </c>
      <c r="BA37" s="3" t="s">
        <v>490</v>
      </c>
      <c r="BB37" s="3" t="s">
        <v>491</v>
      </c>
      <c r="BC37" s="3" t="s">
        <v>78</v>
      </c>
      <c r="BD37" s="3" t="s">
        <v>79</v>
      </c>
      <c r="BE37" s="3" t="s">
        <v>492</v>
      </c>
      <c r="BF37" s="3" t="s">
        <v>491</v>
      </c>
      <c r="BG37" s="3" t="s">
        <v>493</v>
      </c>
    </row>
    <row r="38" spans="1:59" ht="58" x14ac:dyDescent="0.35">
      <c r="A38" s="2" t="s">
        <v>59</v>
      </c>
      <c r="B38" s="2" t="s">
        <v>94</v>
      </c>
      <c r="C38" s="2" t="s">
        <v>494</v>
      </c>
      <c r="D38" s="2" t="s">
        <v>495</v>
      </c>
      <c r="E38" s="2" t="s">
        <v>496</v>
      </c>
      <c r="G38" s="3" t="s">
        <v>64</v>
      </c>
      <c r="I38" s="3" t="s">
        <v>64</v>
      </c>
      <c r="J38" s="3" t="s">
        <v>64</v>
      </c>
      <c r="K38" s="3" t="s">
        <v>65</v>
      </c>
      <c r="L38" s="2" t="s">
        <v>497</v>
      </c>
      <c r="M38" s="2" t="s">
        <v>498</v>
      </c>
      <c r="N38" s="3" t="s">
        <v>499</v>
      </c>
      <c r="P38" s="3" t="s">
        <v>69</v>
      </c>
      <c r="R38" s="3" t="s">
        <v>70</v>
      </c>
      <c r="S38" s="4">
        <v>13</v>
      </c>
      <c r="T38" s="4">
        <v>13</v>
      </c>
      <c r="U38" s="5" t="s">
        <v>500</v>
      </c>
      <c r="V38" s="5" t="s">
        <v>500</v>
      </c>
      <c r="W38" s="5" t="s">
        <v>72</v>
      </c>
      <c r="X38" s="5" t="s">
        <v>72</v>
      </c>
      <c r="Y38" s="4">
        <v>109</v>
      </c>
      <c r="Z38" s="4">
        <v>3</v>
      </c>
      <c r="AA38" s="4">
        <v>8</v>
      </c>
      <c r="AB38" s="4">
        <v>1</v>
      </c>
      <c r="AC38" s="4">
        <v>5</v>
      </c>
      <c r="AD38" s="4">
        <v>39</v>
      </c>
      <c r="AE38" s="4">
        <v>54</v>
      </c>
      <c r="AF38" s="4">
        <v>0</v>
      </c>
      <c r="AG38" s="4">
        <v>1</v>
      </c>
      <c r="AH38" s="4">
        <v>39</v>
      </c>
      <c r="AI38" s="4">
        <v>53</v>
      </c>
      <c r="AJ38" s="4">
        <v>1</v>
      </c>
      <c r="AK38" s="4">
        <v>3</v>
      </c>
      <c r="AL38" s="4">
        <v>26</v>
      </c>
      <c r="AM38" s="4">
        <v>32</v>
      </c>
      <c r="AN38" s="4">
        <v>0</v>
      </c>
      <c r="AO38" s="4">
        <v>0</v>
      </c>
      <c r="AP38" s="4">
        <v>1</v>
      </c>
      <c r="AQ38" s="4">
        <v>3</v>
      </c>
      <c r="AR38" s="3" t="s">
        <v>64</v>
      </c>
      <c r="AS38" s="3" t="s">
        <v>64</v>
      </c>
      <c r="AT38" s="3" t="s">
        <v>64</v>
      </c>
      <c r="AV38" s="6" t="str">
        <f>HYPERLINK("http://mcgill.on.worldcat.org/oclc/55008616","Catalog Record")</f>
        <v>Catalog Record</v>
      </c>
      <c r="AW38" s="6" t="str">
        <f>HYPERLINK("http://www.worldcat.org/oclc/55008616","WorldCat Record")</f>
        <v>WorldCat Record</v>
      </c>
      <c r="AX38" s="3" t="s">
        <v>501</v>
      </c>
      <c r="AY38" s="3" t="s">
        <v>502</v>
      </c>
      <c r="AZ38" s="3" t="s">
        <v>503</v>
      </c>
      <c r="BA38" s="3" t="s">
        <v>503</v>
      </c>
      <c r="BB38" s="3" t="s">
        <v>504</v>
      </c>
      <c r="BC38" s="3" t="s">
        <v>78</v>
      </c>
      <c r="BD38" s="3" t="s">
        <v>79</v>
      </c>
      <c r="BE38" s="3" t="s">
        <v>505</v>
      </c>
      <c r="BF38" s="3" t="s">
        <v>504</v>
      </c>
      <c r="BG38" s="3" t="s">
        <v>506</v>
      </c>
    </row>
    <row r="39" spans="1:59" ht="58" x14ac:dyDescent="0.35">
      <c r="A39" s="2" t="s">
        <v>59</v>
      </c>
      <c r="B39" s="2" t="s">
        <v>94</v>
      </c>
      <c r="C39" s="2" t="s">
        <v>507</v>
      </c>
      <c r="D39" s="2" t="s">
        <v>508</v>
      </c>
      <c r="E39" s="2" t="s">
        <v>509</v>
      </c>
      <c r="G39" s="3" t="s">
        <v>64</v>
      </c>
      <c r="I39" s="3" t="s">
        <v>64</v>
      </c>
      <c r="J39" s="3" t="s">
        <v>64</v>
      </c>
      <c r="K39" s="3" t="s">
        <v>65</v>
      </c>
      <c r="M39" s="2" t="s">
        <v>510</v>
      </c>
      <c r="N39" s="3" t="s">
        <v>499</v>
      </c>
      <c r="P39" s="3" t="s">
        <v>69</v>
      </c>
      <c r="Q39" s="2" t="s">
        <v>511</v>
      </c>
      <c r="R39" s="3" t="s">
        <v>70</v>
      </c>
      <c r="S39" s="4">
        <v>19</v>
      </c>
      <c r="T39" s="4">
        <v>19</v>
      </c>
      <c r="U39" s="5" t="s">
        <v>512</v>
      </c>
      <c r="V39" s="5" t="s">
        <v>512</v>
      </c>
      <c r="W39" s="5" t="s">
        <v>72</v>
      </c>
      <c r="X39" s="5" t="s">
        <v>72</v>
      </c>
      <c r="Y39" s="4">
        <v>158</v>
      </c>
      <c r="Z39" s="4">
        <v>12</v>
      </c>
      <c r="AA39" s="4">
        <v>77</v>
      </c>
      <c r="AB39" s="4">
        <v>2</v>
      </c>
      <c r="AC39" s="4">
        <v>15</v>
      </c>
      <c r="AD39" s="4">
        <v>58</v>
      </c>
      <c r="AE39" s="4">
        <v>112</v>
      </c>
      <c r="AF39" s="4">
        <v>1</v>
      </c>
      <c r="AG39" s="4">
        <v>8</v>
      </c>
      <c r="AH39" s="4">
        <v>51</v>
      </c>
      <c r="AI39" s="4">
        <v>80</v>
      </c>
      <c r="AJ39" s="4">
        <v>9</v>
      </c>
      <c r="AK39" s="4">
        <v>23</v>
      </c>
      <c r="AL39" s="4">
        <v>34</v>
      </c>
      <c r="AM39" s="4">
        <v>41</v>
      </c>
      <c r="AN39" s="4">
        <v>0</v>
      </c>
      <c r="AO39" s="4">
        <v>0</v>
      </c>
      <c r="AP39" s="4">
        <v>10</v>
      </c>
      <c r="AQ39" s="4">
        <v>40</v>
      </c>
      <c r="AR39" s="3" t="s">
        <v>64</v>
      </c>
      <c r="AS39" s="3" t="s">
        <v>64</v>
      </c>
      <c r="AT39" s="3" t="s">
        <v>64</v>
      </c>
      <c r="AV39" s="6" t="str">
        <f>HYPERLINK("http://mcgill.on.worldcat.org/oclc/55600698","Catalog Record")</f>
        <v>Catalog Record</v>
      </c>
      <c r="AW39" s="6" t="str">
        <f>HYPERLINK("http://www.worldcat.org/oclc/55600698","WorldCat Record")</f>
        <v>WorldCat Record</v>
      </c>
      <c r="AX39" s="3" t="s">
        <v>513</v>
      </c>
      <c r="AY39" s="3" t="s">
        <v>514</v>
      </c>
      <c r="AZ39" s="3" t="s">
        <v>515</v>
      </c>
      <c r="BA39" s="3" t="s">
        <v>515</v>
      </c>
      <c r="BB39" s="3" t="s">
        <v>516</v>
      </c>
      <c r="BC39" s="3" t="s">
        <v>78</v>
      </c>
      <c r="BD39" s="3" t="s">
        <v>79</v>
      </c>
      <c r="BE39" s="3" t="s">
        <v>517</v>
      </c>
      <c r="BF39" s="3" t="s">
        <v>516</v>
      </c>
      <c r="BG39" s="3" t="s">
        <v>518</v>
      </c>
    </row>
    <row r="40" spans="1:59" ht="58" x14ac:dyDescent="0.35">
      <c r="A40" s="2" t="s">
        <v>59</v>
      </c>
      <c r="B40" s="2" t="s">
        <v>94</v>
      </c>
      <c r="C40" s="2" t="s">
        <v>519</v>
      </c>
      <c r="D40" s="2" t="s">
        <v>520</v>
      </c>
      <c r="E40" s="2" t="s">
        <v>521</v>
      </c>
      <c r="G40" s="3" t="s">
        <v>64</v>
      </c>
      <c r="I40" s="3" t="s">
        <v>64</v>
      </c>
      <c r="J40" s="3" t="s">
        <v>64</v>
      </c>
      <c r="K40" s="3" t="s">
        <v>65</v>
      </c>
      <c r="L40" s="2" t="s">
        <v>522</v>
      </c>
      <c r="M40" s="2" t="s">
        <v>523</v>
      </c>
      <c r="N40" s="3" t="s">
        <v>524</v>
      </c>
      <c r="O40" s="2" t="s">
        <v>525</v>
      </c>
      <c r="P40" s="3" t="s">
        <v>69</v>
      </c>
      <c r="Q40" s="2" t="s">
        <v>526</v>
      </c>
      <c r="R40" s="3" t="s">
        <v>70</v>
      </c>
      <c r="S40" s="4">
        <v>2</v>
      </c>
      <c r="T40" s="4">
        <v>2</v>
      </c>
      <c r="U40" s="5" t="s">
        <v>527</v>
      </c>
      <c r="V40" s="5" t="s">
        <v>527</v>
      </c>
      <c r="W40" s="5" t="s">
        <v>72</v>
      </c>
      <c r="X40" s="5" t="s">
        <v>72</v>
      </c>
      <c r="Y40" s="4">
        <v>235</v>
      </c>
      <c r="Z40" s="4">
        <v>12</v>
      </c>
      <c r="AA40" s="4">
        <v>17</v>
      </c>
      <c r="AB40" s="4">
        <v>1</v>
      </c>
      <c r="AC40" s="4">
        <v>1</v>
      </c>
      <c r="AD40" s="4">
        <v>52</v>
      </c>
      <c r="AE40" s="4">
        <v>57</v>
      </c>
      <c r="AF40" s="4">
        <v>0</v>
      </c>
      <c r="AG40" s="4">
        <v>0</v>
      </c>
      <c r="AH40" s="4">
        <v>48</v>
      </c>
      <c r="AI40" s="4">
        <v>50</v>
      </c>
      <c r="AJ40" s="4">
        <v>7</v>
      </c>
      <c r="AK40" s="4">
        <v>9</v>
      </c>
      <c r="AL40" s="4">
        <v>28</v>
      </c>
      <c r="AM40" s="4">
        <v>29</v>
      </c>
      <c r="AN40" s="4">
        <v>0</v>
      </c>
      <c r="AO40" s="4">
        <v>0</v>
      </c>
      <c r="AP40" s="4">
        <v>8</v>
      </c>
      <c r="AQ40" s="4">
        <v>12</v>
      </c>
      <c r="AR40" s="3" t="s">
        <v>64</v>
      </c>
      <c r="AS40" s="3" t="s">
        <v>64</v>
      </c>
      <c r="AT40" s="3" t="s">
        <v>64</v>
      </c>
      <c r="AV40" s="6" t="str">
        <f>HYPERLINK("http://mcgill.on.worldcat.org/oclc/835969145","Catalog Record")</f>
        <v>Catalog Record</v>
      </c>
      <c r="AW40" s="6" t="str">
        <f>HYPERLINK("http://www.worldcat.org/oclc/835969145","WorldCat Record")</f>
        <v>WorldCat Record</v>
      </c>
      <c r="AX40" s="3" t="s">
        <v>528</v>
      </c>
      <c r="AY40" s="3" t="s">
        <v>529</v>
      </c>
      <c r="AZ40" s="3" t="s">
        <v>530</v>
      </c>
      <c r="BA40" s="3" t="s">
        <v>530</v>
      </c>
      <c r="BB40" s="3" t="s">
        <v>531</v>
      </c>
      <c r="BC40" s="3" t="s">
        <v>78</v>
      </c>
      <c r="BD40" s="3" t="s">
        <v>79</v>
      </c>
      <c r="BE40" s="3" t="s">
        <v>532</v>
      </c>
      <c r="BF40" s="3" t="s">
        <v>531</v>
      </c>
      <c r="BG40" s="3" t="s">
        <v>533</v>
      </c>
    </row>
    <row r="41" spans="1:59" ht="58" x14ac:dyDescent="0.35">
      <c r="A41" s="2" t="s">
        <v>59</v>
      </c>
      <c r="B41" s="2" t="s">
        <v>94</v>
      </c>
      <c r="C41" s="2" t="s">
        <v>534</v>
      </c>
      <c r="D41" s="2" t="s">
        <v>535</v>
      </c>
      <c r="E41" s="2" t="s">
        <v>536</v>
      </c>
      <c r="G41" s="3" t="s">
        <v>64</v>
      </c>
      <c r="I41" s="3" t="s">
        <v>64</v>
      </c>
      <c r="J41" s="3" t="s">
        <v>64</v>
      </c>
      <c r="K41" s="3" t="s">
        <v>65</v>
      </c>
      <c r="M41" s="2" t="s">
        <v>537</v>
      </c>
      <c r="N41" s="3" t="s">
        <v>538</v>
      </c>
      <c r="P41" s="3" t="s">
        <v>69</v>
      </c>
      <c r="Q41" s="2" t="s">
        <v>539</v>
      </c>
      <c r="R41" s="3" t="s">
        <v>70</v>
      </c>
      <c r="S41" s="4">
        <v>4</v>
      </c>
      <c r="T41" s="4">
        <v>4</v>
      </c>
      <c r="U41" s="5" t="s">
        <v>540</v>
      </c>
      <c r="V41" s="5" t="s">
        <v>540</v>
      </c>
      <c r="W41" s="5" t="s">
        <v>72</v>
      </c>
      <c r="X41" s="5" t="s">
        <v>72</v>
      </c>
      <c r="Y41" s="4">
        <v>144</v>
      </c>
      <c r="Z41" s="4">
        <v>12</v>
      </c>
      <c r="AA41" s="4">
        <v>16</v>
      </c>
      <c r="AB41" s="4">
        <v>1</v>
      </c>
      <c r="AC41" s="4">
        <v>5</v>
      </c>
      <c r="AD41" s="4">
        <v>45</v>
      </c>
      <c r="AE41" s="4">
        <v>50</v>
      </c>
      <c r="AF41" s="4">
        <v>0</v>
      </c>
      <c r="AG41" s="4">
        <v>1</v>
      </c>
      <c r="AH41" s="4">
        <v>41</v>
      </c>
      <c r="AI41" s="4">
        <v>46</v>
      </c>
      <c r="AJ41" s="4">
        <v>9</v>
      </c>
      <c r="AK41" s="4">
        <v>10</v>
      </c>
      <c r="AL41" s="4">
        <v>24</v>
      </c>
      <c r="AM41" s="4">
        <v>25</v>
      </c>
      <c r="AN41" s="4">
        <v>0</v>
      </c>
      <c r="AO41" s="4">
        <v>0</v>
      </c>
      <c r="AP41" s="4">
        <v>10</v>
      </c>
      <c r="AQ41" s="4">
        <v>11</v>
      </c>
      <c r="AR41" s="3" t="s">
        <v>64</v>
      </c>
      <c r="AS41" s="3" t="s">
        <v>64</v>
      </c>
      <c r="AT41" s="3" t="s">
        <v>64</v>
      </c>
      <c r="AV41" s="6" t="str">
        <f>HYPERLINK("http://mcgill.on.worldcat.org/oclc/77048219","Catalog Record")</f>
        <v>Catalog Record</v>
      </c>
      <c r="AW41" s="6" t="str">
        <f>HYPERLINK("http://www.worldcat.org/oclc/77048219","WorldCat Record")</f>
        <v>WorldCat Record</v>
      </c>
      <c r="AX41" s="3" t="s">
        <v>541</v>
      </c>
      <c r="AY41" s="3" t="s">
        <v>542</v>
      </c>
      <c r="AZ41" s="3" t="s">
        <v>543</v>
      </c>
      <c r="BA41" s="3" t="s">
        <v>543</v>
      </c>
      <c r="BB41" s="3" t="s">
        <v>544</v>
      </c>
      <c r="BC41" s="3" t="s">
        <v>78</v>
      </c>
      <c r="BD41" s="3" t="s">
        <v>79</v>
      </c>
      <c r="BE41" s="3" t="s">
        <v>545</v>
      </c>
      <c r="BF41" s="3" t="s">
        <v>544</v>
      </c>
      <c r="BG41" s="3" t="s">
        <v>546</v>
      </c>
    </row>
    <row r="42" spans="1:59" ht="58" x14ac:dyDescent="0.35">
      <c r="A42" s="2" t="s">
        <v>59</v>
      </c>
      <c r="B42" s="2" t="s">
        <v>94</v>
      </c>
      <c r="C42" s="2" t="s">
        <v>547</v>
      </c>
      <c r="D42" s="2" t="s">
        <v>548</v>
      </c>
      <c r="E42" s="2" t="s">
        <v>549</v>
      </c>
      <c r="F42" s="3" t="s">
        <v>550</v>
      </c>
      <c r="G42" s="3" t="s">
        <v>73</v>
      </c>
      <c r="I42" s="3" t="s">
        <v>64</v>
      </c>
      <c r="J42" s="3" t="s">
        <v>64</v>
      </c>
      <c r="K42" s="3" t="s">
        <v>65</v>
      </c>
      <c r="M42" s="2" t="s">
        <v>551</v>
      </c>
      <c r="N42" s="3" t="s">
        <v>201</v>
      </c>
      <c r="P42" s="3" t="s">
        <v>69</v>
      </c>
      <c r="R42" s="3" t="s">
        <v>70</v>
      </c>
      <c r="S42" s="4">
        <v>3</v>
      </c>
      <c r="T42" s="4">
        <v>4</v>
      </c>
      <c r="U42" s="5" t="s">
        <v>552</v>
      </c>
      <c r="V42" s="5" t="s">
        <v>295</v>
      </c>
      <c r="W42" s="5" t="s">
        <v>72</v>
      </c>
      <c r="X42" s="5" t="s">
        <v>72</v>
      </c>
      <c r="Y42" s="4">
        <v>145</v>
      </c>
      <c r="Z42" s="4">
        <v>15</v>
      </c>
      <c r="AA42" s="4">
        <v>26</v>
      </c>
      <c r="AB42" s="4">
        <v>2</v>
      </c>
      <c r="AC42" s="4">
        <v>5</v>
      </c>
      <c r="AD42" s="4">
        <v>51</v>
      </c>
      <c r="AE42" s="4">
        <v>102</v>
      </c>
      <c r="AF42" s="4">
        <v>1</v>
      </c>
      <c r="AG42" s="4">
        <v>3</v>
      </c>
      <c r="AH42" s="4">
        <v>43</v>
      </c>
      <c r="AI42" s="4">
        <v>87</v>
      </c>
      <c r="AJ42" s="4">
        <v>8</v>
      </c>
      <c r="AK42" s="4">
        <v>16</v>
      </c>
      <c r="AL42" s="4">
        <v>26</v>
      </c>
      <c r="AM42" s="4">
        <v>50</v>
      </c>
      <c r="AN42" s="4">
        <v>0</v>
      </c>
      <c r="AO42" s="4">
        <v>0</v>
      </c>
      <c r="AP42" s="4">
        <v>12</v>
      </c>
      <c r="AQ42" s="4">
        <v>22</v>
      </c>
      <c r="AR42" s="3" t="s">
        <v>64</v>
      </c>
      <c r="AS42" s="3" t="s">
        <v>64</v>
      </c>
      <c r="AT42" s="3" t="s">
        <v>64</v>
      </c>
      <c r="AV42" s="6" t="str">
        <f>HYPERLINK("http://mcgill.on.worldcat.org/oclc/144761","Catalog Record")</f>
        <v>Catalog Record</v>
      </c>
      <c r="AW42" s="6" t="str">
        <f>HYPERLINK("http://www.worldcat.org/oclc/144761","WorldCat Record")</f>
        <v>WorldCat Record</v>
      </c>
      <c r="AX42" s="3" t="s">
        <v>553</v>
      </c>
      <c r="AY42" s="3" t="s">
        <v>554</v>
      </c>
      <c r="AZ42" s="3" t="s">
        <v>555</v>
      </c>
      <c r="BA42" s="3" t="s">
        <v>555</v>
      </c>
      <c r="BB42" s="3" t="s">
        <v>556</v>
      </c>
      <c r="BC42" s="3" t="s">
        <v>78</v>
      </c>
      <c r="BD42" s="3" t="s">
        <v>79</v>
      </c>
      <c r="BE42" s="3" t="s">
        <v>557</v>
      </c>
      <c r="BF42" s="3" t="s">
        <v>556</v>
      </c>
      <c r="BG42" s="3" t="s">
        <v>558</v>
      </c>
    </row>
    <row r="43" spans="1:59" ht="58" x14ac:dyDescent="0.35">
      <c r="A43" s="2" t="s">
        <v>59</v>
      </c>
      <c r="B43" s="2" t="s">
        <v>94</v>
      </c>
      <c r="C43" s="2" t="s">
        <v>547</v>
      </c>
      <c r="D43" s="2" t="s">
        <v>548</v>
      </c>
      <c r="E43" s="2" t="s">
        <v>549</v>
      </c>
      <c r="F43" s="3" t="s">
        <v>559</v>
      </c>
      <c r="G43" s="3" t="s">
        <v>73</v>
      </c>
      <c r="I43" s="3" t="s">
        <v>64</v>
      </c>
      <c r="J43" s="3" t="s">
        <v>64</v>
      </c>
      <c r="K43" s="3" t="s">
        <v>65</v>
      </c>
      <c r="M43" s="2" t="s">
        <v>551</v>
      </c>
      <c r="N43" s="3" t="s">
        <v>201</v>
      </c>
      <c r="P43" s="3" t="s">
        <v>69</v>
      </c>
      <c r="R43" s="3" t="s">
        <v>70</v>
      </c>
      <c r="S43" s="4">
        <v>1</v>
      </c>
      <c r="T43" s="4">
        <v>4</v>
      </c>
      <c r="U43" s="5" t="s">
        <v>295</v>
      </c>
      <c r="V43" s="5" t="s">
        <v>295</v>
      </c>
      <c r="W43" s="5" t="s">
        <v>72</v>
      </c>
      <c r="X43" s="5" t="s">
        <v>72</v>
      </c>
      <c r="Y43" s="4">
        <v>145</v>
      </c>
      <c r="Z43" s="4">
        <v>15</v>
      </c>
      <c r="AA43" s="4">
        <v>26</v>
      </c>
      <c r="AB43" s="4">
        <v>2</v>
      </c>
      <c r="AC43" s="4">
        <v>5</v>
      </c>
      <c r="AD43" s="4">
        <v>51</v>
      </c>
      <c r="AE43" s="4">
        <v>102</v>
      </c>
      <c r="AF43" s="4">
        <v>1</v>
      </c>
      <c r="AG43" s="4">
        <v>3</v>
      </c>
      <c r="AH43" s="4">
        <v>43</v>
      </c>
      <c r="AI43" s="4">
        <v>87</v>
      </c>
      <c r="AJ43" s="4">
        <v>8</v>
      </c>
      <c r="AK43" s="4">
        <v>16</v>
      </c>
      <c r="AL43" s="4">
        <v>26</v>
      </c>
      <c r="AM43" s="4">
        <v>50</v>
      </c>
      <c r="AN43" s="4">
        <v>0</v>
      </c>
      <c r="AO43" s="4">
        <v>0</v>
      </c>
      <c r="AP43" s="4">
        <v>12</v>
      </c>
      <c r="AQ43" s="4">
        <v>22</v>
      </c>
      <c r="AR43" s="3" t="s">
        <v>64</v>
      </c>
      <c r="AS43" s="3" t="s">
        <v>64</v>
      </c>
      <c r="AT43" s="3" t="s">
        <v>64</v>
      </c>
      <c r="AV43" s="6" t="str">
        <f>HYPERLINK("http://mcgill.on.worldcat.org/oclc/144761","Catalog Record")</f>
        <v>Catalog Record</v>
      </c>
      <c r="AW43" s="6" t="str">
        <f>HYPERLINK("http://www.worldcat.org/oclc/144761","WorldCat Record")</f>
        <v>WorldCat Record</v>
      </c>
      <c r="AX43" s="3" t="s">
        <v>553</v>
      </c>
      <c r="AY43" s="3" t="s">
        <v>554</v>
      </c>
      <c r="AZ43" s="3" t="s">
        <v>555</v>
      </c>
      <c r="BA43" s="3" t="s">
        <v>555</v>
      </c>
      <c r="BB43" s="3" t="s">
        <v>560</v>
      </c>
      <c r="BC43" s="3" t="s">
        <v>78</v>
      </c>
      <c r="BD43" s="3" t="s">
        <v>79</v>
      </c>
      <c r="BE43" s="3" t="s">
        <v>557</v>
      </c>
      <c r="BF43" s="3" t="s">
        <v>560</v>
      </c>
      <c r="BG43" s="3" t="s">
        <v>561</v>
      </c>
    </row>
    <row r="44" spans="1:59" ht="58" x14ac:dyDescent="0.35">
      <c r="A44" s="2" t="s">
        <v>59</v>
      </c>
      <c r="B44" s="2" t="s">
        <v>94</v>
      </c>
      <c r="C44" s="2" t="s">
        <v>562</v>
      </c>
      <c r="D44" s="2" t="s">
        <v>563</v>
      </c>
      <c r="E44" s="2" t="s">
        <v>564</v>
      </c>
      <c r="G44" s="3" t="s">
        <v>64</v>
      </c>
      <c r="I44" s="3" t="s">
        <v>64</v>
      </c>
      <c r="J44" s="3" t="s">
        <v>64</v>
      </c>
      <c r="K44" s="3" t="s">
        <v>65</v>
      </c>
      <c r="L44" s="2" t="s">
        <v>565</v>
      </c>
      <c r="M44" s="2" t="s">
        <v>566</v>
      </c>
      <c r="N44" s="3" t="s">
        <v>538</v>
      </c>
      <c r="P44" s="3" t="s">
        <v>69</v>
      </c>
      <c r="R44" s="3" t="s">
        <v>70</v>
      </c>
      <c r="S44" s="4">
        <v>2</v>
      </c>
      <c r="T44" s="4">
        <v>2</v>
      </c>
      <c r="U44" s="5" t="s">
        <v>341</v>
      </c>
      <c r="V44" s="5" t="s">
        <v>341</v>
      </c>
      <c r="W44" s="5" t="s">
        <v>72</v>
      </c>
      <c r="X44" s="5" t="s">
        <v>72</v>
      </c>
      <c r="Y44" s="4">
        <v>441</v>
      </c>
      <c r="Z44" s="4">
        <v>27</v>
      </c>
      <c r="AA44" s="4">
        <v>115</v>
      </c>
      <c r="AB44" s="4">
        <v>3</v>
      </c>
      <c r="AC44" s="4">
        <v>22</v>
      </c>
      <c r="AD44" s="4">
        <v>104</v>
      </c>
      <c r="AE44" s="4">
        <v>152</v>
      </c>
      <c r="AF44" s="4">
        <v>1</v>
      </c>
      <c r="AG44" s="4">
        <v>9</v>
      </c>
      <c r="AH44" s="4">
        <v>93</v>
      </c>
      <c r="AI44" s="4">
        <v>104</v>
      </c>
      <c r="AJ44" s="4">
        <v>14</v>
      </c>
      <c r="AK44" s="4">
        <v>26</v>
      </c>
      <c r="AL44" s="4">
        <v>49</v>
      </c>
      <c r="AM44" s="4">
        <v>54</v>
      </c>
      <c r="AN44" s="4">
        <v>0</v>
      </c>
      <c r="AO44" s="4">
        <v>0</v>
      </c>
      <c r="AP44" s="4">
        <v>18</v>
      </c>
      <c r="AQ44" s="4">
        <v>55</v>
      </c>
      <c r="AR44" s="3" t="s">
        <v>64</v>
      </c>
      <c r="AS44" s="3" t="s">
        <v>64</v>
      </c>
      <c r="AT44" s="3" t="s">
        <v>64</v>
      </c>
      <c r="AV44" s="6" t="str">
        <f>HYPERLINK("http://mcgill.on.worldcat.org/oclc/70668814","Catalog Record")</f>
        <v>Catalog Record</v>
      </c>
      <c r="AW44" s="6" t="str">
        <f>HYPERLINK("http://www.worldcat.org/oclc/70668814","WorldCat Record")</f>
        <v>WorldCat Record</v>
      </c>
      <c r="AX44" s="3" t="s">
        <v>567</v>
      </c>
      <c r="AY44" s="3" t="s">
        <v>568</v>
      </c>
      <c r="AZ44" s="3" t="s">
        <v>569</v>
      </c>
      <c r="BA44" s="3" t="s">
        <v>569</v>
      </c>
      <c r="BB44" s="3" t="s">
        <v>570</v>
      </c>
      <c r="BC44" s="3" t="s">
        <v>78</v>
      </c>
      <c r="BD44" s="3" t="s">
        <v>79</v>
      </c>
      <c r="BE44" s="3" t="s">
        <v>571</v>
      </c>
      <c r="BF44" s="3" t="s">
        <v>570</v>
      </c>
      <c r="BG44" s="3" t="s">
        <v>572</v>
      </c>
    </row>
    <row r="45" spans="1:59" ht="58" x14ac:dyDescent="0.35">
      <c r="A45" s="2" t="s">
        <v>59</v>
      </c>
      <c r="B45" s="2" t="s">
        <v>94</v>
      </c>
      <c r="C45" s="2" t="s">
        <v>573</v>
      </c>
      <c r="D45" s="2" t="s">
        <v>574</v>
      </c>
      <c r="E45" s="2" t="s">
        <v>575</v>
      </c>
      <c r="G45" s="3" t="s">
        <v>64</v>
      </c>
      <c r="I45" s="3" t="s">
        <v>64</v>
      </c>
      <c r="J45" s="3" t="s">
        <v>64</v>
      </c>
      <c r="K45" s="3" t="s">
        <v>65</v>
      </c>
      <c r="L45" s="2" t="s">
        <v>576</v>
      </c>
      <c r="M45" s="2" t="s">
        <v>577</v>
      </c>
      <c r="N45" s="3" t="s">
        <v>340</v>
      </c>
      <c r="P45" s="3" t="s">
        <v>69</v>
      </c>
      <c r="Q45" s="2" t="s">
        <v>578</v>
      </c>
      <c r="R45" s="3" t="s">
        <v>70</v>
      </c>
      <c r="S45" s="4">
        <v>15</v>
      </c>
      <c r="T45" s="4">
        <v>15</v>
      </c>
      <c r="U45" s="5" t="s">
        <v>579</v>
      </c>
      <c r="V45" s="5" t="s">
        <v>579</v>
      </c>
      <c r="W45" s="5" t="s">
        <v>72</v>
      </c>
      <c r="X45" s="5" t="s">
        <v>72</v>
      </c>
      <c r="Y45" s="4">
        <v>417</v>
      </c>
      <c r="Z45" s="4">
        <v>28</v>
      </c>
      <c r="AA45" s="4">
        <v>31</v>
      </c>
      <c r="AB45" s="4">
        <v>1</v>
      </c>
      <c r="AC45" s="4">
        <v>3</v>
      </c>
      <c r="AD45" s="4">
        <v>112</v>
      </c>
      <c r="AE45" s="4">
        <v>116</v>
      </c>
      <c r="AF45" s="4">
        <v>0</v>
      </c>
      <c r="AG45" s="4">
        <v>2</v>
      </c>
      <c r="AH45" s="4">
        <v>98</v>
      </c>
      <c r="AI45" s="4">
        <v>100</v>
      </c>
      <c r="AJ45" s="4">
        <v>12</v>
      </c>
      <c r="AK45" s="4">
        <v>15</v>
      </c>
      <c r="AL45" s="4">
        <v>56</v>
      </c>
      <c r="AM45" s="4">
        <v>57</v>
      </c>
      <c r="AN45" s="4">
        <v>0</v>
      </c>
      <c r="AO45" s="4">
        <v>0</v>
      </c>
      <c r="AP45" s="4">
        <v>19</v>
      </c>
      <c r="AQ45" s="4">
        <v>21</v>
      </c>
      <c r="AR45" s="3" t="s">
        <v>64</v>
      </c>
      <c r="AS45" s="3" t="s">
        <v>64</v>
      </c>
      <c r="AT45" s="3" t="s">
        <v>64</v>
      </c>
      <c r="AV45" s="6" t="str">
        <f>HYPERLINK("http://mcgill.on.worldcat.org/oclc/36597729","Catalog Record")</f>
        <v>Catalog Record</v>
      </c>
      <c r="AW45" s="6" t="str">
        <f>HYPERLINK("http://www.worldcat.org/oclc/36597729","WorldCat Record")</f>
        <v>WorldCat Record</v>
      </c>
      <c r="AX45" s="3" t="s">
        <v>580</v>
      </c>
      <c r="AY45" s="3" t="s">
        <v>581</v>
      </c>
      <c r="AZ45" s="3" t="s">
        <v>582</v>
      </c>
      <c r="BA45" s="3" t="s">
        <v>582</v>
      </c>
      <c r="BB45" s="3" t="s">
        <v>583</v>
      </c>
      <c r="BC45" s="3" t="s">
        <v>78</v>
      </c>
      <c r="BD45" s="3" t="s">
        <v>79</v>
      </c>
      <c r="BE45" s="3" t="s">
        <v>584</v>
      </c>
      <c r="BF45" s="3" t="s">
        <v>583</v>
      </c>
      <c r="BG45" s="3" t="s">
        <v>585</v>
      </c>
    </row>
    <row r="46" spans="1:59" ht="58" x14ac:dyDescent="0.35">
      <c r="A46" s="2" t="s">
        <v>59</v>
      </c>
      <c r="B46" s="2" t="s">
        <v>94</v>
      </c>
      <c r="C46" s="2" t="s">
        <v>586</v>
      </c>
      <c r="D46" s="2" t="s">
        <v>587</v>
      </c>
      <c r="E46" s="2" t="s">
        <v>588</v>
      </c>
      <c r="G46" s="3" t="s">
        <v>64</v>
      </c>
      <c r="I46" s="3" t="s">
        <v>64</v>
      </c>
      <c r="J46" s="3" t="s">
        <v>64</v>
      </c>
      <c r="K46" s="3" t="s">
        <v>65</v>
      </c>
      <c r="M46" s="2" t="s">
        <v>589</v>
      </c>
      <c r="N46" s="3" t="s">
        <v>303</v>
      </c>
      <c r="P46" s="3" t="s">
        <v>69</v>
      </c>
      <c r="R46" s="3" t="s">
        <v>70</v>
      </c>
      <c r="S46" s="4">
        <v>42</v>
      </c>
      <c r="T46" s="4">
        <v>42</v>
      </c>
      <c r="U46" s="5" t="s">
        <v>590</v>
      </c>
      <c r="V46" s="5" t="s">
        <v>590</v>
      </c>
      <c r="W46" s="5" t="s">
        <v>72</v>
      </c>
      <c r="X46" s="5" t="s">
        <v>72</v>
      </c>
      <c r="Y46" s="4">
        <v>540</v>
      </c>
      <c r="Z46" s="4">
        <v>27</v>
      </c>
      <c r="AA46" s="4">
        <v>92</v>
      </c>
      <c r="AB46" s="4">
        <v>3</v>
      </c>
      <c r="AC46" s="4">
        <v>16</v>
      </c>
      <c r="AD46" s="4">
        <v>117</v>
      </c>
      <c r="AE46" s="4">
        <v>150</v>
      </c>
      <c r="AF46" s="4">
        <v>2</v>
      </c>
      <c r="AG46" s="4">
        <v>8</v>
      </c>
      <c r="AH46" s="4">
        <v>98</v>
      </c>
      <c r="AI46" s="4">
        <v>111</v>
      </c>
      <c r="AJ46" s="4">
        <v>15</v>
      </c>
      <c r="AK46" s="4">
        <v>26</v>
      </c>
      <c r="AL46" s="4">
        <v>54</v>
      </c>
      <c r="AM46" s="4">
        <v>58</v>
      </c>
      <c r="AN46" s="4">
        <v>0</v>
      </c>
      <c r="AO46" s="4">
        <v>0</v>
      </c>
      <c r="AP46" s="4">
        <v>23</v>
      </c>
      <c r="AQ46" s="4">
        <v>48</v>
      </c>
      <c r="AR46" s="3" t="s">
        <v>64</v>
      </c>
      <c r="AS46" s="3" t="s">
        <v>64</v>
      </c>
      <c r="AT46" s="3" t="s">
        <v>64</v>
      </c>
      <c r="AV46" s="6" t="str">
        <f>HYPERLINK("http://mcgill.on.worldcat.org/oclc/26722916","Catalog Record")</f>
        <v>Catalog Record</v>
      </c>
      <c r="AW46" s="6" t="str">
        <f>HYPERLINK("http://www.worldcat.org/oclc/26722916","WorldCat Record")</f>
        <v>WorldCat Record</v>
      </c>
      <c r="AX46" s="3" t="s">
        <v>591</v>
      </c>
      <c r="AY46" s="3" t="s">
        <v>592</v>
      </c>
      <c r="AZ46" s="3" t="s">
        <v>593</v>
      </c>
      <c r="BA46" s="3" t="s">
        <v>593</v>
      </c>
      <c r="BB46" s="3" t="s">
        <v>594</v>
      </c>
      <c r="BC46" s="3" t="s">
        <v>78</v>
      </c>
      <c r="BD46" s="3" t="s">
        <v>79</v>
      </c>
      <c r="BE46" s="3" t="s">
        <v>595</v>
      </c>
      <c r="BF46" s="3" t="s">
        <v>594</v>
      </c>
      <c r="BG46" s="3" t="s">
        <v>596</v>
      </c>
    </row>
    <row r="47" spans="1:59" ht="58" x14ac:dyDescent="0.35">
      <c r="A47" s="2" t="s">
        <v>59</v>
      </c>
      <c r="B47" s="2" t="s">
        <v>94</v>
      </c>
      <c r="C47" s="2" t="s">
        <v>597</v>
      </c>
      <c r="D47" s="2" t="s">
        <v>598</v>
      </c>
      <c r="E47" s="2" t="s">
        <v>599</v>
      </c>
      <c r="G47" s="3" t="s">
        <v>64</v>
      </c>
      <c r="I47" s="3" t="s">
        <v>64</v>
      </c>
      <c r="J47" s="3" t="s">
        <v>64</v>
      </c>
      <c r="K47" s="3" t="s">
        <v>65</v>
      </c>
      <c r="L47" s="2" t="s">
        <v>600</v>
      </c>
      <c r="M47" s="2" t="s">
        <v>601</v>
      </c>
      <c r="N47" s="3" t="s">
        <v>214</v>
      </c>
      <c r="P47" s="3" t="s">
        <v>69</v>
      </c>
      <c r="Q47" s="2" t="s">
        <v>602</v>
      </c>
      <c r="R47" s="3" t="s">
        <v>70</v>
      </c>
      <c r="S47" s="4">
        <v>12</v>
      </c>
      <c r="T47" s="4">
        <v>12</v>
      </c>
      <c r="U47" s="5" t="s">
        <v>603</v>
      </c>
      <c r="V47" s="5" t="s">
        <v>603</v>
      </c>
      <c r="W47" s="5" t="s">
        <v>72</v>
      </c>
      <c r="X47" s="5" t="s">
        <v>72</v>
      </c>
      <c r="Y47" s="4">
        <v>139</v>
      </c>
      <c r="Z47" s="4">
        <v>13</v>
      </c>
      <c r="AA47" s="4">
        <v>33</v>
      </c>
      <c r="AB47" s="4">
        <v>2</v>
      </c>
      <c r="AC47" s="4">
        <v>5</v>
      </c>
      <c r="AD47" s="4">
        <v>52</v>
      </c>
      <c r="AE47" s="4">
        <v>87</v>
      </c>
      <c r="AF47" s="4">
        <v>1</v>
      </c>
      <c r="AG47" s="4">
        <v>1</v>
      </c>
      <c r="AH47" s="4">
        <v>48</v>
      </c>
      <c r="AI47" s="4">
        <v>76</v>
      </c>
      <c r="AJ47" s="4">
        <v>8</v>
      </c>
      <c r="AK47" s="4">
        <v>12</v>
      </c>
      <c r="AL47" s="4">
        <v>31</v>
      </c>
      <c r="AM47" s="4">
        <v>42</v>
      </c>
      <c r="AN47" s="4">
        <v>5</v>
      </c>
      <c r="AO47" s="4">
        <v>5</v>
      </c>
      <c r="AP47" s="4">
        <v>8</v>
      </c>
      <c r="AQ47" s="4">
        <v>18</v>
      </c>
      <c r="AR47" s="3" t="s">
        <v>64</v>
      </c>
      <c r="AS47" s="3" t="s">
        <v>64</v>
      </c>
      <c r="AT47" s="3" t="s">
        <v>73</v>
      </c>
      <c r="AU47" s="6" t="str">
        <f>HYPERLINK("http://catalog.hathitrust.org/Record/101797060","HathiTrust Record")</f>
        <v>HathiTrust Record</v>
      </c>
      <c r="AV47" s="6" t="str">
        <f>HYPERLINK("http://mcgill.on.worldcat.org/oclc/429634814","Catalog Record")</f>
        <v>Catalog Record</v>
      </c>
      <c r="AW47" s="6" t="str">
        <f>HYPERLINK("http://www.worldcat.org/oclc/429634814","WorldCat Record")</f>
        <v>WorldCat Record</v>
      </c>
      <c r="AX47" s="3" t="s">
        <v>604</v>
      </c>
      <c r="AY47" s="3" t="s">
        <v>605</v>
      </c>
      <c r="AZ47" s="3" t="s">
        <v>606</v>
      </c>
      <c r="BA47" s="3" t="s">
        <v>606</v>
      </c>
      <c r="BB47" s="3" t="s">
        <v>607</v>
      </c>
      <c r="BC47" s="3" t="s">
        <v>78</v>
      </c>
      <c r="BD47" s="3" t="s">
        <v>414</v>
      </c>
      <c r="BE47" s="3" t="s">
        <v>608</v>
      </c>
      <c r="BF47" s="3" t="s">
        <v>607</v>
      </c>
      <c r="BG47" s="3" t="s">
        <v>609</v>
      </c>
    </row>
    <row r="48" spans="1:59" ht="58" x14ac:dyDescent="0.35">
      <c r="A48" s="2" t="s">
        <v>59</v>
      </c>
      <c r="B48" s="2" t="s">
        <v>94</v>
      </c>
      <c r="C48" s="2" t="s">
        <v>610</v>
      </c>
      <c r="D48" s="2" t="s">
        <v>611</v>
      </c>
      <c r="E48" s="2" t="s">
        <v>612</v>
      </c>
      <c r="G48" s="3" t="s">
        <v>64</v>
      </c>
      <c r="I48" s="3" t="s">
        <v>64</v>
      </c>
      <c r="J48" s="3" t="s">
        <v>64</v>
      </c>
      <c r="K48" s="3" t="s">
        <v>65</v>
      </c>
      <c r="L48" s="2" t="s">
        <v>613</v>
      </c>
      <c r="M48" s="2" t="s">
        <v>614</v>
      </c>
      <c r="N48" s="3" t="s">
        <v>499</v>
      </c>
      <c r="P48" s="3" t="s">
        <v>69</v>
      </c>
      <c r="R48" s="3" t="s">
        <v>70</v>
      </c>
      <c r="S48" s="4">
        <v>6</v>
      </c>
      <c r="T48" s="4">
        <v>6</v>
      </c>
      <c r="U48" s="5" t="s">
        <v>615</v>
      </c>
      <c r="V48" s="5" t="s">
        <v>615</v>
      </c>
      <c r="W48" s="5" t="s">
        <v>72</v>
      </c>
      <c r="X48" s="5" t="s">
        <v>72</v>
      </c>
      <c r="Y48" s="4">
        <v>183</v>
      </c>
      <c r="Z48" s="4">
        <v>20</v>
      </c>
      <c r="AA48" s="4">
        <v>77</v>
      </c>
      <c r="AB48" s="4">
        <v>2</v>
      </c>
      <c r="AC48" s="4">
        <v>15</v>
      </c>
      <c r="AD48" s="4">
        <v>58</v>
      </c>
      <c r="AE48" s="4">
        <v>110</v>
      </c>
      <c r="AF48" s="4">
        <v>1</v>
      </c>
      <c r="AG48" s="4">
        <v>8</v>
      </c>
      <c r="AH48" s="4">
        <v>52</v>
      </c>
      <c r="AI48" s="4">
        <v>79</v>
      </c>
      <c r="AJ48" s="4">
        <v>9</v>
      </c>
      <c r="AK48" s="4">
        <v>21</v>
      </c>
      <c r="AL48" s="4">
        <v>31</v>
      </c>
      <c r="AM48" s="4">
        <v>41</v>
      </c>
      <c r="AN48" s="4">
        <v>0</v>
      </c>
      <c r="AO48" s="4">
        <v>0</v>
      </c>
      <c r="AP48" s="4">
        <v>11</v>
      </c>
      <c r="AQ48" s="4">
        <v>38</v>
      </c>
      <c r="AR48" s="3" t="s">
        <v>64</v>
      </c>
      <c r="AS48" s="3" t="s">
        <v>64</v>
      </c>
      <c r="AT48" s="3" t="s">
        <v>64</v>
      </c>
      <c r="AV48" s="6" t="str">
        <f>HYPERLINK("http://mcgill.on.worldcat.org/oclc/56672159","Catalog Record")</f>
        <v>Catalog Record</v>
      </c>
      <c r="AW48" s="6" t="str">
        <f>HYPERLINK("http://www.worldcat.org/oclc/56672159","WorldCat Record")</f>
        <v>WorldCat Record</v>
      </c>
      <c r="AX48" s="3" t="s">
        <v>616</v>
      </c>
      <c r="AY48" s="3" t="s">
        <v>617</v>
      </c>
      <c r="AZ48" s="3" t="s">
        <v>618</v>
      </c>
      <c r="BA48" s="3" t="s">
        <v>618</v>
      </c>
      <c r="BB48" s="3" t="s">
        <v>619</v>
      </c>
      <c r="BC48" s="3" t="s">
        <v>78</v>
      </c>
      <c r="BD48" s="3" t="s">
        <v>79</v>
      </c>
      <c r="BE48" s="3" t="s">
        <v>620</v>
      </c>
      <c r="BF48" s="3" t="s">
        <v>619</v>
      </c>
      <c r="BG48" s="3" t="s">
        <v>621</v>
      </c>
    </row>
    <row r="49" spans="1:59" ht="58" x14ac:dyDescent="0.35">
      <c r="A49" s="2" t="s">
        <v>59</v>
      </c>
      <c r="B49" s="2" t="s">
        <v>94</v>
      </c>
      <c r="C49" s="2" t="s">
        <v>622</v>
      </c>
      <c r="D49" s="2" t="s">
        <v>623</v>
      </c>
      <c r="E49" s="2" t="s">
        <v>624</v>
      </c>
      <c r="G49" s="3" t="s">
        <v>64</v>
      </c>
      <c r="I49" s="3" t="s">
        <v>64</v>
      </c>
      <c r="J49" s="3" t="s">
        <v>64</v>
      </c>
      <c r="K49" s="3" t="s">
        <v>65</v>
      </c>
      <c r="L49" s="2" t="s">
        <v>625</v>
      </c>
      <c r="M49" s="2" t="s">
        <v>626</v>
      </c>
      <c r="N49" s="3" t="s">
        <v>499</v>
      </c>
      <c r="P49" s="3" t="s">
        <v>69</v>
      </c>
      <c r="R49" s="3" t="s">
        <v>70</v>
      </c>
      <c r="S49" s="4">
        <v>6</v>
      </c>
      <c r="T49" s="4">
        <v>6</v>
      </c>
      <c r="U49" s="5" t="s">
        <v>627</v>
      </c>
      <c r="V49" s="5" t="s">
        <v>627</v>
      </c>
      <c r="W49" s="5" t="s">
        <v>72</v>
      </c>
      <c r="X49" s="5" t="s">
        <v>72</v>
      </c>
      <c r="Y49" s="4">
        <v>145</v>
      </c>
      <c r="Z49" s="4">
        <v>17</v>
      </c>
      <c r="AA49" s="4">
        <v>22</v>
      </c>
      <c r="AB49" s="4">
        <v>2</v>
      </c>
      <c r="AC49" s="4">
        <v>4</v>
      </c>
      <c r="AD49" s="4">
        <v>50</v>
      </c>
      <c r="AE49" s="4">
        <v>57</v>
      </c>
      <c r="AF49" s="4">
        <v>0</v>
      </c>
      <c r="AG49" s="4">
        <v>2</v>
      </c>
      <c r="AH49" s="4">
        <v>43</v>
      </c>
      <c r="AI49" s="4">
        <v>47</v>
      </c>
      <c r="AJ49" s="4">
        <v>8</v>
      </c>
      <c r="AK49" s="4">
        <v>12</v>
      </c>
      <c r="AL49" s="4">
        <v>30</v>
      </c>
      <c r="AM49" s="4">
        <v>32</v>
      </c>
      <c r="AN49" s="4">
        <v>0</v>
      </c>
      <c r="AO49" s="4">
        <v>0</v>
      </c>
      <c r="AP49" s="4">
        <v>10</v>
      </c>
      <c r="AQ49" s="4">
        <v>12</v>
      </c>
      <c r="AR49" s="3" t="s">
        <v>64</v>
      </c>
      <c r="AS49" s="3" t="s">
        <v>64</v>
      </c>
      <c r="AT49" s="3" t="s">
        <v>64</v>
      </c>
      <c r="AV49" s="6" t="str">
        <f>HYPERLINK("http://mcgill.on.worldcat.org/oclc/58998864","Catalog Record")</f>
        <v>Catalog Record</v>
      </c>
      <c r="AW49" s="6" t="str">
        <f>HYPERLINK("http://www.worldcat.org/oclc/58998864","WorldCat Record")</f>
        <v>WorldCat Record</v>
      </c>
      <c r="AX49" s="3" t="s">
        <v>628</v>
      </c>
      <c r="AY49" s="3" t="s">
        <v>629</v>
      </c>
      <c r="AZ49" s="3" t="s">
        <v>630</v>
      </c>
      <c r="BA49" s="3" t="s">
        <v>630</v>
      </c>
      <c r="BB49" s="3" t="s">
        <v>631</v>
      </c>
      <c r="BC49" s="3" t="s">
        <v>78</v>
      </c>
      <c r="BD49" s="3" t="s">
        <v>79</v>
      </c>
      <c r="BE49" s="3" t="s">
        <v>632</v>
      </c>
      <c r="BF49" s="3" t="s">
        <v>631</v>
      </c>
      <c r="BG49" s="3" t="s">
        <v>633</v>
      </c>
    </row>
    <row r="50" spans="1:59" ht="58" x14ac:dyDescent="0.35">
      <c r="A50" s="2" t="s">
        <v>59</v>
      </c>
      <c r="B50" s="2" t="s">
        <v>94</v>
      </c>
      <c r="C50" s="2" t="s">
        <v>634</v>
      </c>
      <c r="D50" s="2" t="s">
        <v>635</v>
      </c>
      <c r="E50" s="2" t="s">
        <v>636</v>
      </c>
      <c r="G50" s="3" t="s">
        <v>64</v>
      </c>
      <c r="I50" s="3" t="s">
        <v>64</v>
      </c>
      <c r="J50" s="3" t="s">
        <v>64</v>
      </c>
      <c r="K50" s="3" t="s">
        <v>65</v>
      </c>
      <c r="L50" s="2" t="s">
        <v>625</v>
      </c>
      <c r="M50" s="2" t="s">
        <v>637</v>
      </c>
      <c r="N50" s="3" t="s">
        <v>328</v>
      </c>
      <c r="O50" s="2" t="s">
        <v>638</v>
      </c>
      <c r="P50" s="3" t="s">
        <v>69</v>
      </c>
      <c r="R50" s="3" t="s">
        <v>70</v>
      </c>
      <c r="S50" s="4">
        <v>2</v>
      </c>
      <c r="T50" s="4">
        <v>2</v>
      </c>
      <c r="U50" s="5" t="s">
        <v>639</v>
      </c>
      <c r="V50" s="5" t="s">
        <v>639</v>
      </c>
      <c r="W50" s="5" t="s">
        <v>72</v>
      </c>
      <c r="X50" s="5" t="s">
        <v>72</v>
      </c>
      <c r="Y50" s="4">
        <v>65</v>
      </c>
      <c r="Z50" s="4">
        <v>3</v>
      </c>
      <c r="AA50" s="4">
        <v>20</v>
      </c>
      <c r="AB50" s="4">
        <v>1</v>
      </c>
      <c r="AC50" s="4">
        <v>6</v>
      </c>
      <c r="AD50" s="4">
        <v>15</v>
      </c>
      <c r="AE50" s="4">
        <v>51</v>
      </c>
      <c r="AF50" s="4">
        <v>0</v>
      </c>
      <c r="AG50" s="4">
        <v>2</v>
      </c>
      <c r="AH50" s="4">
        <v>14</v>
      </c>
      <c r="AI50" s="4">
        <v>44</v>
      </c>
      <c r="AJ50" s="4">
        <v>2</v>
      </c>
      <c r="AK50" s="4">
        <v>11</v>
      </c>
      <c r="AL50" s="4">
        <v>10</v>
      </c>
      <c r="AM50" s="4">
        <v>26</v>
      </c>
      <c r="AN50" s="4">
        <v>0</v>
      </c>
      <c r="AO50" s="4">
        <v>0</v>
      </c>
      <c r="AP50" s="4">
        <v>2</v>
      </c>
      <c r="AQ50" s="4">
        <v>12</v>
      </c>
      <c r="AR50" s="3" t="s">
        <v>64</v>
      </c>
      <c r="AS50" s="3" t="s">
        <v>64</v>
      </c>
      <c r="AT50" s="3" t="s">
        <v>64</v>
      </c>
      <c r="AV50" s="6" t="str">
        <f>HYPERLINK("http://mcgill.on.worldcat.org/oclc/725298459","Catalog Record")</f>
        <v>Catalog Record</v>
      </c>
      <c r="AW50" s="6" t="str">
        <f>HYPERLINK("http://www.worldcat.org/oclc/725298459","WorldCat Record")</f>
        <v>WorldCat Record</v>
      </c>
      <c r="AX50" s="3" t="s">
        <v>640</v>
      </c>
      <c r="AY50" s="3" t="s">
        <v>641</v>
      </c>
      <c r="AZ50" s="3" t="s">
        <v>642</v>
      </c>
      <c r="BA50" s="3" t="s">
        <v>642</v>
      </c>
      <c r="BB50" s="3" t="s">
        <v>643</v>
      </c>
      <c r="BC50" s="3" t="s">
        <v>78</v>
      </c>
      <c r="BD50" s="3" t="s">
        <v>79</v>
      </c>
      <c r="BE50" s="3" t="s">
        <v>644</v>
      </c>
      <c r="BF50" s="3" t="s">
        <v>643</v>
      </c>
      <c r="BG50" s="3" t="s">
        <v>645</v>
      </c>
    </row>
    <row r="51" spans="1:59" ht="58" x14ac:dyDescent="0.35">
      <c r="A51" s="2" t="s">
        <v>59</v>
      </c>
      <c r="B51" s="2" t="s">
        <v>94</v>
      </c>
      <c r="C51" s="2" t="s">
        <v>646</v>
      </c>
      <c r="D51" s="2" t="s">
        <v>647</v>
      </c>
      <c r="E51" s="2" t="s">
        <v>648</v>
      </c>
      <c r="G51" s="3" t="s">
        <v>64</v>
      </c>
      <c r="I51" s="3" t="s">
        <v>64</v>
      </c>
      <c r="J51" s="3" t="s">
        <v>64</v>
      </c>
      <c r="K51" s="3" t="s">
        <v>65</v>
      </c>
      <c r="L51" s="2" t="s">
        <v>649</v>
      </c>
      <c r="M51" s="2" t="s">
        <v>650</v>
      </c>
      <c r="N51" s="3" t="s">
        <v>651</v>
      </c>
      <c r="P51" s="3" t="s">
        <v>69</v>
      </c>
      <c r="R51" s="3" t="s">
        <v>70</v>
      </c>
      <c r="S51" s="4">
        <v>6</v>
      </c>
      <c r="T51" s="4">
        <v>6</v>
      </c>
      <c r="U51" s="5" t="s">
        <v>652</v>
      </c>
      <c r="V51" s="5" t="s">
        <v>652</v>
      </c>
      <c r="W51" s="5" t="s">
        <v>72</v>
      </c>
      <c r="X51" s="5" t="s">
        <v>72</v>
      </c>
      <c r="Y51" s="4">
        <v>229</v>
      </c>
      <c r="Z51" s="4">
        <v>18</v>
      </c>
      <c r="AA51" s="4">
        <v>106</v>
      </c>
      <c r="AB51" s="4">
        <v>1</v>
      </c>
      <c r="AC51" s="4">
        <v>18</v>
      </c>
      <c r="AD51" s="4">
        <v>77</v>
      </c>
      <c r="AE51" s="4">
        <v>139</v>
      </c>
      <c r="AF51" s="4">
        <v>0</v>
      </c>
      <c r="AG51" s="4">
        <v>8</v>
      </c>
      <c r="AH51" s="4">
        <v>69</v>
      </c>
      <c r="AI51" s="4">
        <v>101</v>
      </c>
      <c r="AJ51" s="4">
        <v>9</v>
      </c>
      <c r="AK51" s="4">
        <v>24</v>
      </c>
      <c r="AL51" s="4">
        <v>46</v>
      </c>
      <c r="AM51" s="4">
        <v>55</v>
      </c>
      <c r="AN51" s="4">
        <v>0</v>
      </c>
      <c r="AO51" s="4">
        <v>0</v>
      </c>
      <c r="AP51" s="4">
        <v>11</v>
      </c>
      <c r="AQ51" s="4">
        <v>45</v>
      </c>
      <c r="AR51" s="3" t="s">
        <v>64</v>
      </c>
      <c r="AS51" s="3" t="s">
        <v>64</v>
      </c>
      <c r="AT51" s="3" t="s">
        <v>73</v>
      </c>
      <c r="AU51" s="6" t="str">
        <f>HYPERLINK("http://catalog.hathitrust.org/Record/004347400","HathiTrust Record")</f>
        <v>HathiTrust Record</v>
      </c>
      <c r="AV51" s="6" t="str">
        <f>HYPERLINK("http://mcgill.on.worldcat.org/oclc/52478422","Catalog Record")</f>
        <v>Catalog Record</v>
      </c>
      <c r="AW51" s="6" t="str">
        <f>HYPERLINK("http://www.worldcat.org/oclc/52478422","WorldCat Record")</f>
        <v>WorldCat Record</v>
      </c>
      <c r="AX51" s="3" t="s">
        <v>653</v>
      </c>
      <c r="AY51" s="3" t="s">
        <v>654</v>
      </c>
      <c r="AZ51" s="3" t="s">
        <v>655</v>
      </c>
      <c r="BA51" s="3" t="s">
        <v>655</v>
      </c>
      <c r="BB51" s="3" t="s">
        <v>656</v>
      </c>
      <c r="BC51" s="3" t="s">
        <v>78</v>
      </c>
      <c r="BD51" s="3" t="s">
        <v>79</v>
      </c>
      <c r="BE51" s="3" t="s">
        <v>657</v>
      </c>
      <c r="BF51" s="3" t="s">
        <v>656</v>
      </c>
      <c r="BG51" s="3" t="s">
        <v>658</v>
      </c>
    </row>
    <row r="52" spans="1:59" ht="58" x14ac:dyDescent="0.35">
      <c r="A52" s="2" t="s">
        <v>59</v>
      </c>
      <c r="B52" s="2" t="s">
        <v>94</v>
      </c>
      <c r="C52" s="2" t="s">
        <v>659</v>
      </c>
      <c r="D52" s="2" t="s">
        <v>660</v>
      </c>
      <c r="E52" s="2" t="s">
        <v>661</v>
      </c>
      <c r="G52" s="3" t="s">
        <v>64</v>
      </c>
      <c r="I52" s="3" t="s">
        <v>64</v>
      </c>
      <c r="J52" s="3" t="s">
        <v>64</v>
      </c>
      <c r="K52" s="3" t="s">
        <v>65</v>
      </c>
      <c r="L52" s="2" t="s">
        <v>662</v>
      </c>
      <c r="M52" s="2" t="s">
        <v>663</v>
      </c>
      <c r="N52" s="3" t="s">
        <v>422</v>
      </c>
      <c r="P52" s="3" t="s">
        <v>69</v>
      </c>
      <c r="Q52" s="2" t="s">
        <v>664</v>
      </c>
      <c r="R52" s="3" t="s">
        <v>70</v>
      </c>
      <c r="S52" s="4">
        <v>4</v>
      </c>
      <c r="T52" s="4">
        <v>4</v>
      </c>
      <c r="U52" s="5" t="s">
        <v>665</v>
      </c>
      <c r="V52" s="5" t="s">
        <v>665</v>
      </c>
      <c r="W52" s="5" t="s">
        <v>72</v>
      </c>
      <c r="X52" s="5" t="s">
        <v>72</v>
      </c>
      <c r="Y52" s="4">
        <v>228</v>
      </c>
      <c r="Z52" s="4">
        <v>17</v>
      </c>
      <c r="AA52" s="4">
        <v>19</v>
      </c>
      <c r="AB52" s="4">
        <v>1</v>
      </c>
      <c r="AC52" s="4">
        <v>1</v>
      </c>
      <c r="AD52" s="4">
        <v>61</v>
      </c>
      <c r="AE52" s="4">
        <v>79</v>
      </c>
      <c r="AF52" s="4">
        <v>0</v>
      </c>
      <c r="AG52" s="4">
        <v>0</v>
      </c>
      <c r="AH52" s="4">
        <v>52</v>
      </c>
      <c r="AI52" s="4">
        <v>70</v>
      </c>
      <c r="AJ52" s="4">
        <v>10</v>
      </c>
      <c r="AK52" s="4">
        <v>12</v>
      </c>
      <c r="AL52" s="4">
        <v>29</v>
      </c>
      <c r="AM52" s="4">
        <v>37</v>
      </c>
      <c r="AN52" s="4">
        <v>0</v>
      </c>
      <c r="AO52" s="4">
        <v>0</v>
      </c>
      <c r="AP52" s="4">
        <v>13</v>
      </c>
      <c r="AQ52" s="4">
        <v>15</v>
      </c>
      <c r="AR52" s="3" t="s">
        <v>64</v>
      </c>
      <c r="AS52" s="3" t="s">
        <v>64</v>
      </c>
      <c r="AT52" s="3" t="s">
        <v>64</v>
      </c>
      <c r="AV52" s="6" t="str">
        <f>HYPERLINK("http://mcgill.on.worldcat.org/oclc/49306316","Catalog Record")</f>
        <v>Catalog Record</v>
      </c>
      <c r="AW52" s="6" t="str">
        <f>HYPERLINK("http://www.worldcat.org/oclc/49306316","WorldCat Record")</f>
        <v>WorldCat Record</v>
      </c>
      <c r="AX52" s="3" t="s">
        <v>666</v>
      </c>
      <c r="AY52" s="3" t="s">
        <v>667</v>
      </c>
      <c r="AZ52" s="3" t="s">
        <v>668</v>
      </c>
      <c r="BA52" s="3" t="s">
        <v>668</v>
      </c>
      <c r="BB52" s="3" t="s">
        <v>669</v>
      </c>
      <c r="BC52" s="3" t="s">
        <v>78</v>
      </c>
      <c r="BD52" s="3" t="s">
        <v>79</v>
      </c>
      <c r="BE52" s="3" t="s">
        <v>670</v>
      </c>
      <c r="BF52" s="3" t="s">
        <v>669</v>
      </c>
      <c r="BG52" s="3" t="s">
        <v>671</v>
      </c>
    </row>
    <row r="53" spans="1:59" ht="58" x14ac:dyDescent="0.35">
      <c r="A53" s="2" t="s">
        <v>59</v>
      </c>
      <c r="B53" s="2" t="s">
        <v>94</v>
      </c>
      <c r="C53" s="2" t="s">
        <v>672</v>
      </c>
      <c r="D53" s="2" t="s">
        <v>673</v>
      </c>
      <c r="E53" s="2" t="s">
        <v>674</v>
      </c>
      <c r="G53" s="3" t="s">
        <v>64</v>
      </c>
      <c r="I53" s="3" t="s">
        <v>64</v>
      </c>
      <c r="J53" s="3" t="s">
        <v>64</v>
      </c>
      <c r="K53" s="3" t="s">
        <v>65</v>
      </c>
      <c r="L53" s="2" t="s">
        <v>675</v>
      </c>
      <c r="M53" s="2" t="s">
        <v>676</v>
      </c>
      <c r="N53" s="3" t="s">
        <v>407</v>
      </c>
      <c r="O53" s="2" t="s">
        <v>677</v>
      </c>
      <c r="P53" s="3" t="s">
        <v>69</v>
      </c>
      <c r="R53" s="3" t="s">
        <v>70</v>
      </c>
      <c r="S53" s="4">
        <v>16</v>
      </c>
      <c r="T53" s="4">
        <v>16</v>
      </c>
      <c r="U53" s="5" t="s">
        <v>590</v>
      </c>
      <c r="V53" s="5" t="s">
        <v>590</v>
      </c>
      <c r="W53" s="5" t="s">
        <v>72</v>
      </c>
      <c r="X53" s="5" t="s">
        <v>72</v>
      </c>
      <c r="Y53" s="4">
        <v>1149</v>
      </c>
      <c r="Z53" s="4">
        <v>31</v>
      </c>
      <c r="AA53" s="4">
        <v>38</v>
      </c>
      <c r="AB53" s="4">
        <v>2</v>
      </c>
      <c r="AC53" s="4">
        <v>4</v>
      </c>
      <c r="AD53" s="4">
        <v>100</v>
      </c>
      <c r="AE53" s="4">
        <v>112</v>
      </c>
      <c r="AF53" s="4">
        <v>0</v>
      </c>
      <c r="AG53" s="4">
        <v>2</v>
      </c>
      <c r="AH53" s="4">
        <v>86</v>
      </c>
      <c r="AI53" s="4">
        <v>94</v>
      </c>
      <c r="AJ53" s="4">
        <v>12</v>
      </c>
      <c r="AK53" s="4">
        <v>15</v>
      </c>
      <c r="AL53" s="4">
        <v>42</v>
      </c>
      <c r="AM53" s="4">
        <v>47</v>
      </c>
      <c r="AN53" s="4">
        <v>0</v>
      </c>
      <c r="AO53" s="4">
        <v>0</v>
      </c>
      <c r="AP53" s="4">
        <v>20</v>
      </c>
      <c r="AQ53" s="4">
        <v>25</v>
      </c>
      <c r="AR53" s="3" t="s">
        <v>64</v>
      </c>
      <c r="AS53" s="3" t="s">
        <v>64</v>
      </c>
      <c r="AT53" s="3" t="s">
        <v>64</v>
      </c>
      <c r="AV53" s="6" t="str">
        <f>HYPERLINK("http://mcgill.on.worldcat.org/oclc/12810162","Catalog Record")</f>
        <v>Catalog Record</v>
      </c>
      <c r="AW53" s="6" t="str">
        <f>HYPERLINK("http://www.worldcat.org/oclc/12810162","WorldCat Record")</f>
        <v>WorldCat Record</v>
      </c>
      <c r="AX53" s="3" t="s">
        <v>678</v>
      </c>
      <c r="AY53" s="3" t="s">
        <v>679</v>
      </c>
      <c r="AZ53" s="3" t="s">
        <v>680</v>
      </c>
      <c r="BA53" s="3" t="s">
        <v>680</v>
      </c>
      <c r="BB53" s="3" t="s">
        <v>681</v>
      </c>
      <c r="BC53" s="3" t="s">
        <v>78</v>
      </c>
      <c r="BD53" s="3" t="s">
        <v>79</v>
      </c>
      <c r="BE53" s="3" t="s">
        <v>682</v>
      </c>
      <c r="BF53" s="3" t="s">
        <v>681</v>
      </c>
      <c r="BG53" s="3" t="s">
        <v>683</v>
      </c>
    </row>
    <row r="54" spans="1:59" ht="58" x14ac:dyDescent="0.35">
      <c r="A54" s="2" t="s">
        <v>59</v>
      </c>
      <c r="B54" s="2" t="s">
        <v>94</v>
      </c>
      <c r="C54" s="2" t="s">
        <v>684</v>
      </c>
      <c r="D54" s="2" t="s">
        <v>685</v>
      </c>
      <c r="E54" s="2" t="s">
        <v>686</v>
      </c>
      <c r="G54" s="3" t="s">
        <v>64</v>
      </c>
      <c r="I54" s="3" t="s">
        <v>73</v>
      </c>
      <c r="J54" s="3" t="s">
        <v>64</v>
      </c>
      <c r="K54" s="3" t="s">
        <v>65</v>
      </c>
      <c r="L54" s="2" t="s">
        <v>687</v>
      </c>
      <c r="M54" s="2" t="s">
        <v>688</v>
      </c>
      <c r="N54" s="3" t="s">
        <v>689</v>
      </c>
      <c r="P54" s="3" t="s">
        <v>69</v>
      </c>
      <c r="Q54" s="2" t="s">
        <v>690</v>
      </c>
      <c r="R54" s="3" t="s">
        <v>70</v>
      </c>
      <c r="S54" s="4">
        <v>104</v>
      </c>
      <c r="T54" s="4">
        <v>140</v>
      </c>
      <c r="U54" s="5" t="s">
        <v>691</v>
      </c>
      <c r="V54" s="5" t="s">
        <v>692</v>
      </c>
      <c r="W54" s="5" t="s">
        <v>72</v>
      </c>
      <c r="X54" s="5" t="s">
        <v>72</v>
      </c>
      <c r="Y54" s="4">
        <v>666</v>
      </c>
      <c r="Z54" s="4">
        <v>52</v>
      </c>
      <c r="AA54" s="4">
        <v>60</v>
      </c>
      <c r="AB54" s="4">
        <v>4</v>
      </c>
      <c r="AC54" s="4">
        <v>8</v>
      </c>
      <c r="AD54" s="4">
        <v>134</v>
      </c>
      <c r="AE54" s="4">
        <v>138</v>
      </c>
      <c r="AF54" s="4">
        <v>2</v>
      </c>
      <c r="AG54" s="4">
        <v>5</v>
      </c>
      <c r="AH54" s="4">
        <v>107</v>
      </c>
      <c r="AI54" s="4">
        <v>108</v>
      </c>
      <c r="AJ54" s="4">
        <v>23</v>
      </c>
      <c r="AK54" s="4">
        <v>26</v>
      </c>
      <c r="AL54" s="4">
        <v>60</v>
      </c>
      <c r="AM54" s="4">
        <v>60</v>
      </c>
      <c r="AN54" s="4">
        <v>0</v>
      </c>
      <c r="AO54" s="4">
        <v>0</v>
      </c>
      <c r="AP54" s="4">
        <v>34</v>
      </c>
      <c r="AQ54" s="4">
        <v>37</v>
      </c>
      <c r="AR54" s="3" t="s">
        <v>64</v>
      </c>
      <c r="AS54" s="3" t="s">
        <v>64</v>
      </c>
      <c r="AT54" s="3" t="s">
        <v>64</v>
      </c>
      <c r="AV54" s="6" t="str">
        <f>HYPERLINK("http://mcgill.on.worldcat.org/oclc/21596037","Catalog Record")</f>
        <v>Catalog Record</v>
      </c>
      <c r="AW54" s="6" t="str">
        <f>HYPERLINK("http://www.worldcat.org/oclc/21596037","WorldCat Record")</f>
        <v>WorldCat Record</v>
      </c>
      <c r="AX54" s="3" t="s">
        <v>693</v>
      </c>
      <c r="AY54" s="3" t="s">
        <v>694</v>
      </c>
      <c r="AZ54" s="3" t="s">
        <v>695</v>
      </c>
      <c r="BA54" s="3" t="s">
        <v>695</v>
      </c>
      <c r="BB54" s="3" t="s">
        <v>696</v>
      </c>
      <c r="BC54" s="3" t="s">
        <v>78</v>
      </c>
      <c r="BD54" s="3" t="s">
        <v>79</v>
      </c>
      <c r="BE54" s="3" t="s">
        <v>697</v>
      </c>
      <c r="BF54" s="3" t="s">
        <v>696</v>
      </c>
      <c r="BG54" s="3" t="s">
        <v>698</v>
      </c>
    </row>
    <row r="55" spans="1:59" ht="58" x14ac:dyDescent="0.35">
      <c r="A55" s="2" t="s">
        <v>59</v>
      </c>
      <c r="B55" s="2" t="s">
        <v>94</v>
      </c>
      <c r="C55" s="2" t="s">
        <v>684</v>
      </c>
      <c r="D55" s="2" t="s">
        <v>685</v>
      </c>
      <c r="E55" s="2" t="s">
        <v>686</v>
      </c>
      <c r="G55" s="3" t="s">
        <v>64</v>
      </c>
      <c r="I55" s="3" t="s">
        <v>73</v>
      </c>
      <c r="J55" s="3" t="s">
        <v>64</v>
      </c>
      <c r="K55" s="3" t="s">
        <v>65</v>
      </c>
      <c r="L55" s="2" t="s">
        <v>687</v>
      </c>
      <c r="M55" s="2" t="s">
        <v>688</v>
      </c>
      <c r="N55" s="3" t="s">
        <v>689</v>
      </c>
      <c r="P55" s="3" t="s">
        <v>69</v>
      </c>
      <c r="Q55" s="2" t="s">
        <v>690</v>
      </c>
      <c r="R55" s="3" t="s">
        <v>70</v>
      </c>
      <c r="S55" s="4">
        <v>36</v>
      </c>
      <c r="T55" s="4">
        <v>140</v>
      </c>
      <c r="U55" s="5" t="s">
        <v>692</v>
      </c>
      <c r="V55" s="5" t="s">
        <v>692</v>
      </c>
      <c r="W55" s="5" t="s">
        <v>72</v>
      </c>
      <c r="X55" s="5" t="s">
        <v>72</v>
      </c>
      <c r="Y55" s="4">
        <v>666</v>
      </c>
      <c r="Z55" s="4">
        <v>52</v>
      </c>
      <c r="AA55" s="4">
        <v>60</v>
      </c>
      <c r="AB55" s="4">
        <v>4</v>
      </c>
      <c r="AC55" s="4">
        <v>8</v>
      </c>
      <c r="AD55" s="4">
        <v>134</v>
      </c>
      <c r="AE55" s="4">
        <v>138</v>
      </c>
      <c r="AF55" s="4">
        <v>2</v>
      </c>
      <c r="AG55" s="4">
        <v>5</v>
      </c>
      <c r="AH55" s="4">
        <v>107</v>
      </c>
      <c r="AI55" s="4">
        <v>108</v>
      </c>
      <c r="AJ55" s="4">
        <v>23</v>
      </c>
      <c r="AK55" s="4">
        <v>26</v>
      </c>
      <c r="AL55" s="4">
        <v>60</v>
      </c>
      <c r="AM55" s="4">
        <v>60</v>
      </c>
      <c r="AN55" s="4">
        <v>0</v>
      </c>
      <c r="AO55" s="4">
        <v>0</v>
      </c>
      <c r="AP55" s="4">
        <v>34</v>
      </c>
      <c r="AQ55" s="4">
        <v>37</v>
      </c>
      <c r="AR55" s="3" t="s">
        <v>64</v>
      </c>
      <c r="AS55" s="3" t="s">
        <v>64</v>
      </c>
      <c r="AT55" s="3" t="s">
        <v>64</v>
      </c>
      <c r="AV55" s="6" t="str">
        <f>HYPERLINK("http://mcgill.on.worldcat.org/oclc/21596037","Catalog Record")</f>
        <v>Catalog Record</v>
      </c>
      <c r="AW55" s="6" t="str">
        <f>HYPERLINK("http://www.worldcat.org/oclc/21596037","WorldCat Record")</f>
        <v>WorldCat Record</v>
      </c>
      <c r="AX55" s="3" t="s">
        <v>693</v>
      </c>
      <c r="AY55" s="3" t="s">
        <v>694</v>
      </c>
      <c r="AZ55" s="3" t="s">
        <v>695</v>
      </c>
      <c r="BA55" s="3" t="s">
        <v>695</v>
      </c>
      <c r="BB55" s="3" t="s">
        <v>699</v>
      </c>
      <c r="BC55" s="3" t="s">
        <v>78</v>
      </c>
      <c r="BD55" s="3" t="s">
        <v>79</v>
      </c>
      <c r="BE55" s="3" t="s">
        <v>697</v>
      </c>
      <c r="BF55" s="3" t="s">
        <v>699</v>
      </c>
      <c r="BG55" s="3" t="s">
        <v>700</v>
      </c>
    </row>
    <row r="56" spans="1:59" ht="58" x14ac:dyDescent="0.35">
      <c r="A56" s="2" t="s">
        <v>59</v>
      </c>
      <c r="B56" s="2" t="s">
        <v>94</v>
      </c>
      <c r="C56" s="2" t="s">
        <v>701</v>
      </c>
      <c r="D56" s="2" t="s">
        <v>702</v>
      </c>
      <c r="E56" s="2" t="s">
        <v>703</v>
      </c>
      <c r="G56" s="3" t="s">
        <v>64</v>
      </c>
      <c r="I56" s="3" t="s">
        <v>64</v>
      </c>
      <c r="J56" s="3" t="s">
        <v>64</v>
      </c>
      <c r="K56" s="3" t="s">
        <v>65</v>
      </c>
      <c r="L56" s="2" t="s">
        <v>687</v>
      </c>
      <c r="M56" s="2" t="s">
        <v>704</v>
      </c>
      <c r="N56" s="3" t="s">
        <v>705</v>
      </c>
      <c r="P56" s="3" t="s">
        <v>69</v>
      </c>
      <c r="Q56" s="2" t="s">
        <v>706</v>
      </c>
      <c r="R56" s="3" t="s">
        <v>70</v>
      </c>
      <c r="S56" s="4">
        <v>118</v>
      </c>
      <c r="T56" s="4">
        <v>118</v>
      </c>
      <c r="U56" s="5" t="s">
        <v>707</v>
      </c>
      <c r="V56" s="5" t="s">
        <v>707</v>
      </c>
      <c r="W56" s="5" t="s">
        <v>72</v>
      </c>
      <c r="X56" s="5" t="s">
        <v>72</v>
      </c>
      <c r="Y56" s="4">
        <v>499</v>
      </c>
      <c r="Z56" s="4">
        <v>39</v>
      </c>
      <c r="AA56" s="4">
        <v>44</v>
      </c>
      <c r="AB56" s="4">
        <v>2</v>
      </c>
      <c r="AC56" s="4">
        <v>4</v>
      </c>
      <c r="AD56" s="4">
        <v>121</v>
      </c>
      <c r="AE56" s="4">
        <v>127</v>
      </c>
      <c r="AF56" s="4">
        <v>1</v>
      </c>
      <c r="AG56" s="4">
        <v>3</v>
      </c>
      <c r="AH56" s="4">
        <v>95</v>
      </c>
      <c r="AI56" s="4">
        <v>99</v>
      </c>
      <c r="AJ56" s="4">
        <v>18</v>
      </c>
      <c r="AK56" s="4">
        <v>22</v>
      </c>
      <c r="AL56" s="4">
        <v>58</v>
      </c>
      <c r="AM56" s="4">
        <v>59</v>
      </c>
      <c r="AN56" s="4">
        <v>0</v>
      </c>
      <c r="AO56" s="4">
        <v>0</v>
      </c>
      <c r="AP56" s="4">
        <v>30</v>
      </c>
      <c r="AQ56" s="4">
        <v>32</v>
      </c>
      <c r="AR56" s="3" t="s">
        <v>64</v>
      </c>
      <c r="AS56" s="3" t="s">
        <v>64</v>
      </c>
      <c r="AT56" s="3" t="s">
        <v>64</v>
      </c>
      <c r="AV56" s="6" t="str">
        <f>HYPERLINK("http://mcgill.on.worldcat.org/oclc/34151627","Catalog Record")</f>
        <v>Catalog Record</v>
      </c>
      <c r="AW56" s="6" t="str">
        <f>HYPERLINK("http://www.worldcat.org/oclc/34151627","WorldCat Record")</f>
        <v>WorldCat Record</v>
      </c>
      <c r="AX56" s="3" t="s">
        <v>708</v>
      </c>
      <c r="AY56" s="3" t="s">
        <v>709</v>
      </c>
      <c r="AZ56" s="3" t="s">
        <v>710</v>
      </c>
      <c r="BA56" s="3" t="s">
        <v>710</v>
      </c>
      <c r="BB56" s="3" t="s">
        <v>711</v>
      </c>
      <c r="BC56" s="3" t="s">
        <v>78</v>
      </c>
      <c r="BD56" s="3" t="s">
        <v>79</v>
      </c>
      <c r="BE56" s="3" t="s">
        <v>712</v>
      </c>
      <c r="BF56" s="3" t="s">
        <v>711</v>
      </c>
      <c r="BG56" s="3" t="s">
        <v>713</v>
      </c>
    </row>
    <row r="57" spans="1:59" ht="58" x14ac:dyDescent="0.35">
      <c r="A57" s="2" t="s">
        <v>59</v>
      </c>
      <c r="B57" s="2" t="s">
        <v>94</v>
      </c>
      <c r="C57" s="2" t="s">
        <v>714</v>
      </c>
      <c r="D57" s="2" t="s">
        <v>715</v>
      </c>
      <c r="E57" s="2" t="s">
        <v>716</v>
      </c>
      <c r="G57" s="3" t="s">
        <v>64</v>
      </c>
      <c r="I57" s="3" t="s">
        <v>73</v>
      </c>
      <c r="J57" s="3" t="s">
        <v>73</v>
      </c>
      <c r="K57" s="3" t="s">
        <v>65</v>
      </c>
      <c r="L57" s="2" t="s">
        <v>717</v>
      </c>
      <c r="M57" s="2" t="s">
        <v>718</v>
      </c>
      <c r="N57" s="3" t="s">
        <v>719</v>
      </c>
      <c r="O57" s="2" t="s">
        <v>720</v>
      </c>
      <c r="P57" s="3" t="s">
        <v>69</v>
      </c>
      <c r="R57" s="3" t="s">
        <v>70</v>
      </c>
      <c r="S57" s="4">
        <v>15</v>
      </c>
      <c r="T57" s="4">
        <v>15</v>
      </c>
      <c r="U57" s="5" t="s">
        <v>639</v>
      </c>
      <c r="V57" s="5" t="s">
        <v>639</v>
      </c>
      <c r="W57" s="5" t="s">
        <v>72</v>
      </c>
      <c r="X57" s="5" t="s">
        <v>72</v>
      </c>
      <c r="Y57" s="4">
        <v>344</v>
      </c>
      <c r="Z57" s="4">
        <v>21</v>
      </c>
      <c r="AA57" s="4">
        <v>53</v>
      </c>
      <c r="AB57" s="4">
        <v>1</v>
      </c>
      <c r="AC57" s="4">
        <v>5</v>
      </c>
      <c r="AD57" s="4">
        <v>62</v>
      </c>
      <c r="AE57" s="4">
        <v>133</v>
      </c>
      <c r="AF57" s="4">
        <v>0</v>
      </c>
      <c r="AG57" s="4">
        <v>4</v>
      </c>
      <c r="AH57" s="4">
        <v>50</v>
      </c>
      <c r="AI57" s="4">
        <v>105</v>
      </c>
      <c r="AJ57" s="4">
        <v>8</v>
      </c>
      <c r="AK57" s="4">
        <v>24</v>
      </c>
      <c r="AL57" s="4">
        <v>26</v>
      </c>
      <c r="AM57" s="4">
        <v>57</v>
      </c>
      <c r="AN57" s="4">
        <v>0</v>
      </c>
      <c r="AO57" s="4">
        <v>0</v>
      </c>
      <c r="AP57" s="4">
        <v>15</v>
      </c>
      <c r="AQ57" s="4">
        <v>37</v>
      </c>
      <c r="AR57" s="3" t="s">
        <v>64</v>
      </c>
      <c r="AS57" s="3" t="s">
        <v>64</v>
      </c>
      <c r="AT57" s="3" t="s">
        <v>64</v>
      </c>
      <c r="AV57" s="6" t="str">
        <f>HYPERLINK("http://mcgill.on.worldcat.org/oclc/10458768","Catalog Record")</f>
        <v>Catalog Record</v>
      </c>
      <c r="AW57" s="6" t="str">
        <f>HYPERLINK("http://www.worldcat.org/oclc/10458768","WorldCat Record")</f>
        <v>WorldCat Record</v>
      </c>
      <c r="AX57" s="3" t="s">
        <v>721</v>
      </c>
      <c r="AY57" s="3" t="s">
        <v>722</v>
      </c>
      <c r="AZ57" s="3" t="s">
        <v>723</v>
      </c>
      <c r="BA57" s="3" t="s">
        <v>723</v>
      </c>
      <c r="BB57" s="3" t="s">
        <v>724</v>
      </c>
      <c r="BC57" s="3" t="s">
        <v>78</v>
      </c>
      <c r="BD57" s="3" t="s">
        <v>79</v>
      </c>
      <c r="BE57" s="3" t="s">
        <v>725</v>
      </c>
      <c r="BF57" s="3" t="s">
        <v>724</v>
      </c>
      <c r="BG57" s="3" t="s">
        <v>726</v>
      </c>
    </row>
    <row r="58" spans="1:59" ht="58" x14ac:dyDescent="0.35">
      <c r="A58" s="2" t="s">
        <v>59</v>
      </c>
      <c r="B58" s="2" t="s">
        <v>94</v>
      </c>
      <c r="C58" s="2" t="s">
        <v>714</v>
      </c>
      <c r="D58" s="2" t="s">
        <v>715</v>
      </c>
      <c r="E58" s="2" t="s">
        <v>716</v>
      </c>
      <c r="G58" s="3" t="s">
        <v>64</v>
      </c>
      <c r="I58" s="3" t="s">
        <v>73</v>
      </c>
      <c r="J58" s="3" t="s">
        <v>73</v>
      </c>
      <c r="K58" s="3" t="s">
        <v>65</v>
      </c>
      <c r="L58" s="2" t="s">
        <v>717</v>
      </c>
      <c r="M58" s="2" t="s">
        <v>718</v>
      </c>
      <c r="N58" s="3" t="s">
        <v>719</v>
      </c>
      <c r="O58" s="2" t="s">
        <v>720</v>
      </c>
      <c r="P58" s="3" t="s">
        <v>69</v>
      </c>
      <c r="R58" s="3" t="s">
        <v>70</v>
      </c>
      <c r="S58" s="4">
        <v>0</v>
      </c>
      <c r="T58" s="4">
        <v>15</v>
      </c>
      <c r="V58" s="5" t="s">
        <v>639</v>
      </c>
      <c r="W58" s="5" t="s">
        <v>72</v>
      </c>
      <c r="X58" s="5" t="s">
        <v>72</v>
      </c>
      <c r="Y58" s="4">
        <v>344</v>
      </c>
      <c r="Z58" s="4">
        <v>21</v>
      </c>
      <c r="AA58" s="4">
        <v>53</v>
      </c>
      <c r="AB58" s="4">
        <v>1</v>
      </c>
      <c r="AC58" s="4">
        <v>5</v>
      </c>
      <c r="AD58" s="4">
        <v>62</v>
      </c>
      <c r="AE58" s="4">
        <v>133</v>
      </c>
      <c r="AF58" s="4">
        <v>0</v>
      </c>
      <c r="AG58" s="4">
        <v>4</v>
      </c>
      <c r="AH58" s="4">
        <v>50</v>
      </c>
      <c r="AI58" s="4">
        <v>105</v>
      </c>
      <c r="AJ58" s="4">
        <v>8</v>
      </c>
      <c r="AK58" s="4">
        <v>24</v>
      </c>
      <c r="AL58" s="4">
        <v>26</v>
      </c>
      <c r="AM58" s="4">
        <v>57</v>
      </c>
      <c r="AN58" s="4">
        <v>0</v>
      </c>
      <c r="AO58" s="4">
        <v>0</v>
      </c>
      <c r="AP58" s="4">
        <v>15</v>
      </c>
      <c r="AQ58" s="4">
        <v>37</v>
      </c>
      <c r="AR58" s="3" t="s">
        <v>64</v>
      </c>
      <c r="AS58" s="3" t="s">
        <v>64</v>
      </c>
      <c r="AT58" s="3" t="s">
        <v>64</v>
      </c>
      <c r="AV58" s="6" t="str">
        <f>HYPERLINK("http://mcgill.on.worldcat.org/oclc/10458768","Catalog Record")</f>
        <v>Catalog Record</v>
      </c>
      <c r="AW58" s="6" t="str">
        <f>HYPERLINK("http://www.worldcat.org/oclc/10458768","WorldCat Record")</f>
        <v>WorldCat Record</v>
      </c>
      <c r="AX58" s="3" t="s">
        <v>721</v>
      </c>
      <c r="AY58" s="3" t="s">
        <v>722</v>
      </c>
      <c r="AZ58" s="3" t="s">
        <v>723</v>
      </c>
      <c r="BA58" s="3" t="s">
        <v>723</v>
      </c>
      <c r="BB58" s="3" t="s">
        <v>727</v>
      </c>
      <c r="BC58" s="3" t="s">
        <v>78</v>
      </c>
      <c r="BD58" s="3" t="s">
        <v>79</v>
      </c>
      <c r="BE58" s="3" t="s">
        <v>725</v>
      </c>
      <c r="BF58" s="3" t="s">
        <v>727</v>
      </c>
      <c r="BG58" s="3" t="s">
        <v>728</v>
      </c>
    </row>
    <row r="59" spans="1:59" ht="58" x14ac:dyDescent="0.35">
      <c r="A59" s="2" t="s">
        <v>59</v>
      </c>
      <c r="B59" s="2" t="s">
        <v>94</v>
      </c>
      <c r="C59" s="2" t="s">
        <v>729</v>
      </c>
      <c r="D59" s="2" t="s">
        <v>730</v>
      </c>
      <c r="E59" s="2" t="s">
        <v>731</v>
      </c>
      <c r="G59" s="3" t="s">
        <v>64</v>
      </c>
      <c r="I59" s="3" t="s">
        <v>64</v>
      </c>
      <c r="J59" s="3" t="s">
        <v>64</v>
      </c>
      <c r="K59" s="3" t="s">
        <v>65</v>
      </c>
      <c r="L59" s="2" t="s">
        <v>717</v>
      </c>
      <c r="M59" s="2" t="s">
        <v>732</v>
      </c>
      <c r="N59" s="3" t="s">
        <v>733</v>
      </c>
      <c r="P59" s="3" t="s">
        <v>69</v>
      </c>
      <c r="Q59" s="2" t="s">
        <v>734</v>
      </c>
      <c r="R59" s="3" t="s">
        <v>70</v>
      </c>
      <c r="S59" s="4">
        <v>19</v>
      </c>
      <c r="T59" s="4">
        <v>19</v>
      </c>
      <c r="U59" s="5" t="s">
        <v>735</v>
      </c>
      <c r="V59" s="5" t="s">
        <v>735</v>
      </c>
      <c r="W59" s="5" t="s">
        <v>72</v>
      </c>
      <c r="X59" s="5" t="s">
        <v>72</v>
      </c>
      <c r="Y59" s="4">
        <v>694</v>
      </c>
      <c r="Z59" s="4">
        <v>40</v>
      </c>
      <c r="AA59" s="4">
        <v>42</v>
      </c>
      <c r="AB59" s="4">
        <v>1</v>
      </c>
      <c r="AC59" s="4">
        <v>2</v>
      </c>
      <c r="AD59" s="4">
        <v>115</v>
      </c>
      <c r="AE59" s="4">
        <v>117</v>
      </c>
      <c r="AF59" s="4">
        <v>0</v>
      </c>
      <c r="AG59" s="4">
        <v>1</v>
      </c>
      <c r="AH59" s="4">
        <v>101</v>
      </c>
      <c r="AI59" s="4">
        <v>103</v>
      </c>
      <c r="AJ59" s="4">
        <v>16</v>
      </c>
      <c r="AK59" s="4">
        <v>17</v>
      </c>
      <c r="AL59" s="4">
        <v>54</v>
      </c>
      <c r="AM59" s="4">
        <v>54</v>
      </c>
      <c r="AN59" s="4">
        <v>0</v>
      </c>
      <c r="AO59" s="4">
        <v>0</v>
      </c>
      <c r="AP59" s="4">
        <v>25</v>
      </c>
      <c r="AQ59" s="4">
        <v>26</v>
      </c>
      <c r="AR59" s="3" t="s">
        <v>64</v>
      </c>
      <c r="AS59" s="3" t="s">
        <v>64</v>
      </c>
      <c r="AT59" s="3" t="s">
        <v>64</v>
      </c>
      <c r="AV59" s="6" t="str">
        <f>HYPERLINK("http://mcgill.on.worldcat.org/oclc/8709266","Catalog Record")</f>
        <v>Catalog Record</v>
      </c>
      <c r="AW59" s="6" t="str">
        <f>HYPERLINK("http://www.worldcat.org/oclc/8709266","WorldCat Record")</f>
        <v>WorldCat Record</v>
      </c>
      <c r="AX59" s="3" t="s">
        <v>736</v>
      </c>
      <c r="AY59" s="3" t="s">
        <v>737</v>
      </c>
      <c r="AZ59" s="3" t="s">
        <v>738</v>
      </c>
      <c r="BA59" s="3" t="s">
        <v>738</v>
      </c>
      <c r="BB59" s="3" t="s">
        <v>739</v>
      </c>
      <c r="BC59" s="3" t="s">
        <v>78</v>
      </c>
      <c r="BD59" s="3" t="s">
        <v>79</v>
      </c>
      <c r="BE59" s="3" t="s">
        <v>740</v>
      </c>
      <c r="BF59" s="3" t="s">
        <v>739</v>
      </c>
      <c r="BG59" s="3" t="s">
        <v>741</v>
      </c>
    </row>
    <row r="60" spans="1:59" ht="58" x14ac:dyDescent="0.35">
      <c r="A60" s="2" t="s">
        <v>59</v>
      </c>
      <c r="B60" s="2" t="s">
        <v>94</v>
      </c>
      <c r="C60" s="2" t="s">
        <v>742</v>
      </c>
      <c r="D60" s="2" t="s">
        <v>743</v>
      </c>
      <c r="E60" s="2" t="s">
        <v>744</v>
      </c>
      <c r="G60" s="3" t="s">
        <v>64</v>
      </c>
      <c r="I60" s="3" t="s">
        <v>73</v>
      </c>
      <c r="J60" s="3" t="s">
        <v>64</v>
      </c>
      <c r="K60" s="3" t="s">
        <v>65</v>
      </c>
      <c r="L60" s="2" t="s">
        <v>745</v>
      </c>
      <c r="M60" s="2" t="s">
        <v>746</v>
      </c>
      <c r="N60" s="3" t="s">
        <v>274</v>
      </c>
      <c r="P60" s="3" t="s">
        <v>69</v>
      </c>
      <c r="R60" s="3" t="s">
        <v>70</v>
      </c>
      <c r="S60" s="4">
        <v>14</v>
      </c>
      <c r="T60" s="4">
        <v>37</v>
      </c>
      <c r="U60" s="5" t="s">
        <v>747</v>
      </c>
      <c r="V60" s="5" t="s">
        <v>392</v>
      </c>
      <c r="W60" s="5" t="s">
        <v>72</v>
      </c>
      <c r="X60" s="5" t="s">
        <v>72</v>
      </c>
      <c r="Y60" s="4">
        <v>266</v>
      </c>
      <c r="Z60" s="4">
        <v>43</v>
      </c>
      <c r="AA60" s="4">
        <v>137</v>
      </c>
      <c r="AB60" s="4">
        <v>3</v>
      </c>
      <c r="AC60" s="4">
        <v>25</v>
      </c>
      <c r="AD60" s="4">
        <v>116</v>
      </c>
      <c r="AE60" s="4">
        <v>155</v>
      </c>
      <c r="AF60" s="4">
        <v>1</v>
      </c>
      <c r="AG60" s="4">
        <v>9</v>
      </c>
      <c r="AH60" s="4">
        <v>93</v>
      </c>
      <c r="AI60" s="4">
        <v>105</v>
      </c>
      <c r="AJ60" s="4">
        <v>21</v>
      </c>
      <c r="AK60" s="4">
        <v>29</v>
      </c>
      <c r="AL60" s="4">
        <v>49</v>
      </c>
      <c r="AM60" s="4">
        <v>55</v>
      </c>
      <c r="AN60" s="4">
        <v>0</v>
      </c>
      <c r="AO60" s="4">
        <v>0</v>
      </c>
      <c r="AP60" s="4">
        <v>32</v>
      </c>
      <c r="AQ60" s="4">
        <v>58</v>
      </c>
      <c r="AR60" s="3" t="s">
        <v>73</v>
      </c>
      <c r="AS60" s="3" t="s">
        <v>64</v>
      </c>
      <c r="AT60" s="3" t="s">
        <v>73</v>
      </c>
      <c r="AU60" s="6" t="str">
        <f>HYPERLINK("http://catalog.hathitrust.org/Record/000919342","HathiTrust Record")</f>
        <v>HathiTrust Record</v>
      </c>
      <c r="AV60" s="6" t="str">
        <f>HYPERLINK("http://mcgill.on.worldcat.org/oclc/19921534","Catalog Record")</f>
        <v>Catalog Record</v>
      </c>
      <c r="AW60" s="6" t="str">
        <f>HYPERLINK("http://www.worldcat.org/oclc/19921534","WorldCat Record")</f>
        <v>WorldCat Record</v>
      </c>
      <c r="AX60" s="3" t="s">
        <v>748</v>
      </c>
      <c r="AY60" s="3" t="s">
        <v>749</v>
      </c>
      <c r="AZ60" s="3" t="s">
        <v>750</v>
      </c>
      <c r="BA60" s="3" t="s">
        <v>750</v>
      </c>
      <c r="BB60" s="3" t="s">
        <v>751</v>
      </c>
      <c r="BC60" s="3" t="s">
        <v>78</v>
      </c>
      <c r="BD60" s="3" t="s">
        <v>79</v>
      </c>
      <c r="BE60" s="3" t="s">
        <v>752</v>
      </c>
      <c r="BF60" s="3" t="s">
        <v>751</v>
      </c>
      <c r="BG60" s="3" t="s">
        <v>753</v>
      </c>
    </row>
    <row r="61" spans="1:59" ht="58" x14ac:dyDescent="0.35">
      <c r="A61" s="2" t="s">
        <v>59</v>
      </c>
      <c r="B61" s="2" t="s">
        <v>94</v>
      </c>
      <c r="C61" s="2" t="s">
        <v>742</v>
      </c>
      <c r="D61" s="2" t="s">
        <v>743</v>
      </c>
      <c r="E61" s="2" t="s">
        <v>744</v>
      </c>
      <c r="G61" s="3" t="s">
        <v>64</v>
      </c>
      <c r="I61" s="3" t="s">
        <v>73</v>
      </c>
      <c r="J61" s="3" t="s">
        <v>64</v>
      </c>
      <c r="K61" s="3" t="s">
        <v>65</v>
      </c>
      <c r="L61" s="2" t="s">
        <v>745</v>
      </c>
      <c r="M61" s="2" t="s">
        <v>746</v>
      </c>
      <c r="N61" s="3" t="s">
        <v>274</v>
      </c>
      <c r="P61" s="3" t="s">
        <v>69</v>
      </c>
      <c r="R61" s="3" t="s">
        <v>70</v>
      </c>
      <c r="S61" s="4">
        <v>14</v>
      </c>
      <c r="T61" s="4">
        <v>37</v>
      </c>
      <c r="U61" s="5" t="s">
        <v>392</v>
      </c>
      <c r="V61" s="5" t="s">
        <v>392</v>
      </c>
      <c r="W61" s="5" t="s">
        <v>72</v>
      </c>
      <c r="X61" s="5" t="s">
        <v>72</v>
      </c>
      <c r="Y61" s="4">
        <v>266</v>
      </c>
      <c r="Z61" s="4">
        <v>43</v>
      </c>
      <c r="AA61" s="4">
        <v>137</v>
      </c>
      <c r="AB61" s="4">
        <v>3</v>
      </c>
      <c r="AC61" s="4">
        <v>25</v>
      </c>
      <c r="AD61" s="4">
        <v>116</v>
      </c>
      <c r="AE61" s="4">
        <v>155</v>
      </c>
      <c r="AF61" s="4">
        <v>1</v>
      </c>
      <c r="AG61" s="4">
        <v>9</v>
      </c>
      <c r="AH61" s="4">
        <v>93</v>
      </c>
      <c r="AI61" s="4">
        <v>105</v>
      </c>
      <c r="AJ61" s="4">
        <v>21</v>
      </c>
      <c r="AK61" s="4">
        <v>29</v>
      </c>
      <c r="AL61" s="4">
        <v>49</v>
      </c>
      <c r="AM61" s="4">
        <v>55</v>
      </c>
      <c r="AN61" s="4">
        <v>0</v>
      </c>
      <c r="AO61" s="4">
        <v>0</v>
      </c>
      <c r="AP61" s="4">
        <v>32</v>
      </c>
      <c r="AQ61" s="4">
        <v>58</v>
      </c>
      <c r="AR61" s="3" t="s">
        <v>73</v>
      </c>
      <c r="AS61" s="3" t="s">
        <v>64</v>
      </c>
      <c r="AT61" s="3" t="s">
        <v>73</v>
      </c>
      <c r="AU61" s="6" t="str">
        <f>HYPERLINK("http://catalog.hathitrust.org/Record/000919342","HathiTrust Record")</f>
        <v>HathiTrust Record</v>
      </c>
      <c r="AV61" s="6" t="str">
        <f>HYPERLINK("http://mcgill.on.worldcat.org/oclc/19921534","Catalog Record")</f>
        <v>Catalog Record</v>
      </c>
      <c r="AW61" s="6" t="str">
        <f>HYPERLINK("http://www.worldcat.org/oclc/19921534","WorldCat Record")</f>
        <v>WorldCat Record</v>
      </c>
      <c r="AX61" s="3" t="s">
        <v>748</v>
      </c>
      <c r="AY61" s="3" t="s">
        <v>749</v>
      </c>
      <c r="AZ61" s="3" t="s">
        <v>750</v>
      </c>
      <c r="BA61" s="3" t="s">
        <v>750</v>
      </c>
      <c r="BB61" s="3" t="s">
        <v>754</v>
      </c>
      <c r="BC61" s="3" t="s">
        <v>78</v>
      </c>
      <c r="BD61" s="3" t="s">
        <v>79</v>
      </c>
      <c r="BE61" s="3" t="s">
        <v>752</v>
      </c>
      <c r="BF61" s="3" t="s">
        <v>754</v>
      </c>
      <c r="BG61" s="3" t="s">
        <v>755</v>
      </c>
    </row>
    <row r="62" spans="1:59" ht="58" x14ac:dyDescent="0.35">
      <c r="A62" s="2" t="s">
        <v>59</v>
      </c>
      <c r="B62" s="2" t="s">
        <v>94</v>
      </c>
      <c r="C62" s="2" t="s">
        <v>742</v>
      </c>
      <c r="D62" s="2" t="s">
        <v>743</v>
      </c>
      <c r="E62" s="2" t="s">
        <v>744</v>
      </c>
      <c r="G62" s="3" t="s">
        <v>64</v>
      </c>
      <c r="I62" s="3" t="s">
        <v>73</v>
      </c>
      <c r="J62" s="3" t="s">
        <v>64</v>
      </c>
      <c r="K62" s="3" t="s">
        <v>65</v>
      </c>
      <c r="L62" s="2" t="s">
        <v>745</v>
      </c>
      <c r="M62" s="2" t="s">
        <v>746</v>
      </c>
      <c r="N62" s="3" t="s">
        <v>274</v>
      </c>
      <c r="P62" s="3" t="s">
        <v>69</v>
      </c>
      <c r="R62" s="3" t="s">
        <v>70</v>
      </c>
      <c r="S62" s="4">
        <v>9</v>
      </c>
      <c r="T62" s="4">
        <v>37</v>
      </c>
      <c r="U62" s="5" t="s">
        <v>756</v>
      </c>
      <c r="V62" s="5" t="s">
        <v>392</v>
      </c>
      <c r="W62" s="5" t="s">
        <v>72</v>
      </c>
      <c r="X62" s="5" t="s">
        <v>72</v>
      </c>
      <c r="Y62" s="4">
        <v>266</v>
      </c>
      <c r="Z62" s="4">
        <v>43</v>
      </c>
      <c r="AA62" s="4">
        <v>137</v>
      </c>
      <c r="AB62" s="4">
        <v>3</v>
      </c>
      <c r="AC62" s="4">
        <v>25</v>
      </c>
      <c r="AD62" s="4">
        <v>116</v>
      </c>
      <c r="AE62" s="4">
        <v>155</v>
      </c>
      <c r="AF62" s="4">
        <v>1</v>
      </c>
      <c r="AG62" s="4">
        <v>9</v>
      </c>
      <c r="AH62" s="4">
        <v>93</v>
      </c>
      <c r="AI62" s="4">
        <v>105</v>
      </c>
      <c r="AJ62" s="4">
        <v>21</v>
      </c>
      <c r="AK62" s="4">
        <v>29</v>
      </c>
      <c r="AL62" s="4">
        <v>49</v>
      </c>
      <c r="AM62" s="4">
        <v>55</v>
      </c>
      <c r="AN62" s="4">
        <v>0</v>
      </c>
      <c r="AO62" s="4">
        <v>0</v>
      </c>
      <c r="AP62" s="4">
        <v>32</v>
      </c>
      <c r="AQ62" s="4">
        <v>58</v>
      </c>
      <c r="AR62" s="3" t="s">
        <v>73</v>
      </c>
      <c r="AS62" s="3" t="s">
        <v>64</v>
      </c>
      <c r="AT62" s="3" t="s">
        <v>73</v>
      </c>
      <c r="AU62" s="6" t="str">
        <f>HYPERLINK("http://catalog.hathitrust.org/Record/000919342","HathiTrust Record")</f>
        <v>HathiTrust Record</v>
      </c>
      <c r="AV62" s="6" t="str">
        <f>HYPERLINK("http://mcgill.on.worldcat.org/oclc/19921534","Catalog Record")</f>
        <v>Catalog Record</v>
      </c>
      <c r="AW62" s="6" t="str">
        <f>HYPERLINK("http://www.worldcat.org/oclc/19921534","WorldCat Record")</f>
        <v>WorldCat Record</v>
      </c>
      <c r="AX62" s="3" t="s">
        <v>748</v>
      </c>
      <c r="AY62" s="3" t="s">
        <v>749</v>
      </c>
      <c r="AZ62" s="3" t="s">
        <v>750</v>
      </c>
      <c r="BA62" s="3" t="s">
        <v>750</v>
      </c>
      <c r="BB62" s="3" t="s">
        <v>757</v>
      </c>
      <c r="BC62" s="3" t="s">
        <v>78</v>
      </c>
      <c r="BD62" s="3" t="s">
        <v>79</v>
      </c>
      <c r="BE62" s="3" t="s">
        <v>752</v>
      </c>
      <c r="BF62" s="3" t="s">
        <v>757</v>
      </c>
      <c r="BG62" s="3" t="s">
        <v>758</v>
      </c>
    </row>
    <row r="63" spans="1:59" ht="58" x14ac:dyDescent="0.35">
      <c r="A63" s="2" t="s">
        <v>59</v>
      </c>
      <c r="B63" s="2" t="s">
        <v>94</v>
      </c>
      <c r="C63" s="2" t="s">
        <v>759</v>
      </c>
      <c r="D63" s="2" t="s">
        <v>760</v>
      </c>
      <c r="E63" s="2" t="s">
        <v>761</v>
      </c>
      <c r="G63" s="3" t="s">
        <v>64</v>
      </c>
      <c r="I63" s="3" t="s">
        <v>64</v>
      </c>
      <c r="J63" s="3" t="s">
        <v>64</v>
      </c>
      <c r="K63" s="3" t="s">
        <v>65</v>
      </c>
      <c r="L63" s="2" t="s">
        <v>762</v>
      </c>
      <c r="M63" s="2" t="s">
        <v>763</v>
      </c>
      <c r="N63" s="3" t="s">
        <v>68</v>
      </c>
      <c r="P63" s="3" t="s">
        <v>69</v>
      </c>
      <c r="R63" s="3" t="s">
        <v>70</v>
      </c>
      <c r="S63" s="4">
        <v>3</v>
      </c>
      <c r="T63" s="4">
        <v>3</v>
      </c>
      <c r="U63" s="5" t="s">
        <v>764</v>
      </c>
      <c r="V63" s="5" t="s">
        <v>764</v>
      </c>
      <c r="W63" s="5" t="s">
        <v>72</v>
      </c>
      <c r="X63" s="5" t="s">
        <v>72</v>
      </c>
      <c r="Y63" s="4">
        <v>336</v>
      </c>
      <c r="Z63" s="4">
        <v>25</v>
      </c>
      <c r="AA63" s="4">
        <v>116</v>
      </c>
      <c r="AB63" s="4">
        <v>2</v>
      </c>
      <c r="AC63" s="4">
        <v>18</v>
      </c>
      <c r="AD63" s="4">
        <v>105</v>
      </c>
      <c r="AE63" s="4">
        <v>148</v>
      </c>
      <c r="AF63" s="4">
        <v>1</v>
      </c>
      <c r="AG63" s="4">
        <v>8</v>
      </c>
      <c r="AH63" s="4">
        <v>92</v>
      </c>
      <c r="AI63" s="4">
        <v>107</v>
      </c>
      <c r="AJ63" s="4">
        <v>14</v>
      </c>
      <c r="AK63" s="4">
        <v>25</v>
      </c>
      <c r="AL63" s="4">
        <v>53</v>
      </c>
      <c r="AM63" s="4">
        <v>54</v>
      </c>
      <c r="AN63" s="4">
        <v>0</v>
      </c>
      <c r="AO63" s="4">
        <v>0</v>
      </c>
      <c r="AP63" s="4">
        <v>18</v>
      </c>
      <c r="AQ63" s="4">
        <v>50</v>
      </c>
      <c r="AR63" s="3" t="s">
        <v>64</v>
      </c>
      <c r="AS63" s="3" t="s">
        <v>64</v>
      </c>
      <c r="AT63" s="3" t="s">
        <v>64</v>
      </c>
      <c r="AV63" s="6" t="str">
        <f>HYPERLINK("http://mcgill.on.worldcat.org/oclc/67945685","Catalog Record")</f>
        <v>Catalog Record</v>
      </c>
      <c r="AW63" s="6" t="str">
        <f>HYPERLINK("http://www.worldcat.org/oclc/67945685","WorldCat Record")</f>
        <v>WorldCat Record</v>
      </c>
      <c r="AX63" s="3" t="s">
        <v>765</v>
      </c>
      <c r="AY63" s="3" t="s">
        <v>766</v>
      </c>
      <c r="AZ63" s="3" t="s">
        <v>767</v>
      </c>
      <c r="BA63" s="3" t="s">
        <v>767</v>
      </c>
      <c r="BB63" s="3" t="s">
        <v>768</v>
      </c>
      <c r="BC63" s="3" t="s">
        <v>78</v>
      </c>
      <c r="BD63" s="3" t="s">
        <v>79</v>
      </c>
      <c r="BE63" s="3" t="s">
        <v>769</v>
      </c>
      <c r="BF63" s="3" t="s">
        <v>768</v>
      </c>
      <c r="BG63" s="3" t="s">
        <v>770</v>
      </c>
    </row>
    <row r="64" spans="1:59" ht="58" x14ac:dyDescent="0.35">
      <c r="A64" s="2" t="s">
        <v>59</v>
      </c>
      <c r="B64" s="2" t="s">
        <v>94</v>
      </c>
      <c r="C64" s="2" t="s">
        <v>771</v>
      </c>
      <c r="D64" s="2" t="s">
        <v>772</v>
      </c>
      <c r="E64" s="2" t="s">
        <v>773</v>
      </c>
      <c r="G64" s="3" t="s">
        <v>64</v>
      </c>
      <c r="I64" s="3" t="s">
        <v>64</v>
      </c>
      <c r="J64" s="3" t="s">
        <v>64</v>
      </c>
      <c r="K64" s="3" t="s">
        <v>65</v>
      </c>
      <c r="L64" s="2" t="s">
        <v>774</v>
      </c>
      <c r="M64" s="2" t="s">
        <v>775</v>
      </c>
      <c r="N64" s="3" t="s">
        <v>287</v>
      </c>
      <c r="P64" s="3" t="s">
        <v>69</v>
      </c>
      <c r="R64" s="3" t="s">
        <v>70</v>
      </c>
      <c r="S64" s="4">
        <v>56</v>
      </c>
      <c r="T64" s="4">
        <v>56</v>
      </c>
      <c r="U64" s="5" t="s">
        <v>776</v>
      </c>
      <c r="V64" s="5" t="s">
        <v>776</v>
      </c>
      <c r="W64" s="5" t="s">
        <v>72</v>
      </c>
      <c r="X64" s="5" t="s">
        <v>72</v>
      </c>
      <c r="Y64" s="4">
        <v>829</v>
      </c>
      <c r="Z64" s="4">
        <v>47</v>
      </c>
      <c r="AA64" s="4">
        <v>95</v>
      </c>
      <c r="AB64" s="4">
        <v>2</v>
      </c>
      <c r="AC64" s="4">
        <v>17</v>
      </c>
      <c r="AD64" s="4">
        <v>132</v>
      </c>
      <c r="AE64" s="4">
        <v>153</v>
      </c>
      <c r="AF64" s="4">
        <v>0</v>
      </c>
      <c r="AG64" s="4">
        <v>8</v>
      </c>
      <c r="AH64" s="4">
        <v>109</v>
      </c>
      <c r="AI64" s="4">
        <v>114</v>
      </c>
      <c r="AJ64" s="4">
        <v>20</v>
      </c>
      <c r="AK64" s="4">
        <v>26</v>
      </c>
      <c r="AL64" s="4">
        <v>60</v>
      </c>
      <c r="AM64" s="4">
        <v>61</v>
      </c>
      <c r="AN64" s="4">
        <v>0</v>
      </c>
      <c r="AO64" s="4">
        <v>0</v>
      </c>
      <c r="AP64" s="4">
        <v>30</v>
      </c>
      <c r="AQ64" s="4">
        <v>47</v>
      </c>
      <c r="AR64" s="3" t="s">
        <v>64</v>
      </c>
      <c r="AS64" s="3" t="s">
        <v>64</v>
      </c>
      <c r="AT64" s="3" t="s">
        <v>64</v>
      </c>
      <c r="AV64" s="6" t="str">
        <f>HYPERLINK("http://mcgill.on.worldcat.org/oclc/7284042","Catalog Record")</f>
        <v>Catalog Record</v>
      </c>
      <c r="AW64" s="6" t="str">
        <f>HYPERLINK("http://www.worldcat.org/oclc/7284042","WorldCat Record")</f>
        <v>WorldCat Record</v>
      </c>
      <c r="AX64" s="3" t="s">
        <v>777</v>
      </c>
      <c r="AY64" s="3" t="s">
        <v>778</v>
      </c>
      <c r="AZ64" s="3" t="s">
        <v>779</v>
      </c>
      <c r="BA64" s="3" t="s">
        <v>779</v>
      </c>
      <c r="BB64" s="3" t="s">
        <v>780</v>
      </c>
      <c r="BC64" s="3" t="s">
        <v>78</v>
      </c>
      <c r="BD64" s="3" t="s">
        <v>79</v>
      </c>
      <c r="BE64" s="3" t="s">
        <v>781</v>
      </c>
      <c r="BF64" s="3" t="s">
        <v>780</v>
      </c>
      <c r="BG64" s="3" t="s">
        <v>782</v>
      </c>
    </row>
    <row r="65" spans="1:59" ht="58" x14ac:dyDescent="0.35">
      <c r="A65" s="2" t="s">
        <v>59</v>
      </c>
      <c r="B65" s="2" t="s">
        <v>94</v>
      </c>
      <c r="C65" s="2" t="s">
        <v>783</v>
      </c>
      <c r="D65" s="2" t="s">
        <v>784</v>
      </c>
      <c r="E65" s="2" t="s">
        <v>785</v>
      </c>
      <c r="G65" s="3" t="s">
        <v>64</v>
      </c>
      <c r="I65" s="3" t="s">
        <v>64</v>
      </c>
      <c r="J65" s="3" t="s">
        <v>64</v>
      </c>
      <c r="K65" s="3" t="s">
        <v>65</v>
      </c>
      <c r="M65" s="2" t="s">
        <v>786</v>
      </c>
      <c r="N65" s="3" t="s">
        <v>524</v>
      </c>
      <c r="P65" s="3" t="s">
        <v>69</v>
      </c>
      <c r="R65" s="3" t="s">
        <v>70</v>
      </c>
      <c r="S65" s="4">
        <v>2</v>
      </c>
      <c r="T65" s="4">
        <v>2</v>
      </c>
      <c r="U65" s="5" t="s">
        <v>353</v>
      </c>
      <c r="V65" s="5" t="s">
        <v>353</v>
      </c>
      <c r="W65" s="5" t="s">
        <v>72</v>
      </c>
      <c r="X65" s="5" t="s">
        <v>72</v>
      </c>
      <c r="Y65" s="4">
        <v>228</v>
      </c>
      <c r="Z65" s="4">
        <v>12</v>
      </c>
      <c r="AA65" s="4">
        <v>134</v>
      </c>
      <c r="AB65" s="4">
        <v>1</v>
      </c>
      <c r="AC65" s="4">
        <v>18</v>
      </c>
      <c r="AD65" s="4">
        <v>45</v>
      </c>
      <c r="AE65" s="4">
        <v>125</v>
      </c>
      <c r="AF65" s="4">
        <v>0</v>
      </c>
      <c r="AG65" s="4">
        <v>8</v>
      </c>
      <c r="AH65" s="4">
        <v>42</v>
      </c>
      <c r="AI65" s="4">
        <v>83</v>
      </c>
      <c r="AJ65" s="4">
        <v>5</v>
      </c>
      <c r="AK65" s="4">
        <v>24</v>
      </c>
      <c r="AL65" s="4">
        <v>26</v>
      </c>
      <c r="AM65" s="4">
        <v>44</v>
      </c>
      <c r="AN65" s="4">
        <v>0</v>
      </c>
      <c r="AO65" s="4">
        <v>0</v>
      </c>
      <c r="AP65" s="4">
        <v>6</v>
      </c>
      <c r="AQ65" s="4">
        <v>48</v>
      </c>
      <c r="AR65" s="3" t="s">
        <v>64</v>
      </c>
      <c r="AS65" s="3" t="s">
        <v>64</v>
      </c>
      <c r="AT65" s="3" t="s">
        <v>64</v>
      </c>
      <c r="AV65" s="6" t="str">
        <f>HYPERLINK("http://mcgill.on.worldcat.org/oclc/824670668","Catalog Record")</f>
        <v>Catalog Record</v>
      </c>
      <c r="AW65" s="6" t="str">
        <f>HYPERLINK("http://www.worldcat.org/oclc/824670668","WorldCat Record")</f>
        <v>WorldCat Record</v>
      </c>
      <c r="AX65" s="3" t="s">
        <v>787</v>
      </c>
      <c r="AY65" s="3" t="s">
        <v>788</v>
      </c>
      <c r="AZ65" s="3" t="s">
        <v>789</v>
      </c>
      <c r="BA65" s="3" t="s">
        <v>789</v>
      </c>
      <c r="BB65" s="3" t="s">
        <v>790</v>
      </c>
      <c r="BC65" s="3" t="s">
        <v>78</v>
      </c>
      <c r="BD65" s="3" t="s">
        <v>79</v>
      </c>
      <c r="BE65" s="3" t="s">
        <v>791</v>
      </c>
      <c r="BF65" s="3" t="s">
        <v>790</v>
      </c>
      <c r="BG65" s="3" t="s">
        <v>792</v>
      </c>
    </row>
    <row r="66" spans="1:59" ht="58" x14ac:dyDescent="0.35">
      <c r="A66" s="2" t="s">
        <v>59</v>
      </c>
      <c r="B66" s="2" t="s">
        <v>94</v>
      </c>
      <c r="C66" s="2" t="s">
        <v>793</v>
      </c>
      <c r="D66" s="2" t="s">
        <v>794</v>
      </c>
      <c r="E66" s="2" t="s">
        <v>795</v>
      </c>
      <c r="G66" s="3" t="s">
        <v>64</v>
      </c>
      <c r="I66" s="3" t="s">
        <v>64</v>
      </c>
      <c r="J66" s="3" t="s">
        <v>64</v>
      </c>
      <c r="K66" s="3" t="s">
        <v>65</v>
      </c>
      <c r="M66" s="2" t="s">
        <v>796</v>
      </c>
      <c r="N66" s="3" t="s">
        <v>651</v>
      </c>
      <c r="P66" s="3" t="s">
        <v>69</v>
      </c>
      <c r="R66" s="3" t="s">
        <v>70</v>
      </c>
      <c r="S66" s="4">
        <v>6</v>
      </c>
      <c r="T66" s="4">
        <v>6</v>
      </c>
      <c r="U66" s="5" t="s">
        <v>797</v>
      </c>
      <c r="V66" s="5" t="s">
        <v>797</v>
      </c>
      <c r="W66" s="5" t="s">
        <v>72</v>
      </c>
      <c r="X66" s="5" t="s">
        <v>72</v>
      </c>
      <c r="Y66" s="4">
        <v>227</v>
      </c>
      <c r="Z66" s="4">
        <v>19</v>
      </c>
      <c r="AA66" s="4">
        <v>25</v>
      </c>
      <c r="AB66" s="4">
        <v>2</v>
      </c>
      <c r="AC66" s="4">
        <v>8</v>
      </c>
      <c r="AD66" s="4">
        <v>81</v>
      </c>
      <c r="AE66" s="4">
        <v>84</v>
      </c>
      <c r="AF66" s="4">
        <v>1</v>
      </c>
      <c r="AG66" s="4">
        <v>3</v>
      </c>
      <c r="AH66" s="4">
        <v>69</v>
      </c>
      <c r="AI66" s="4">
        <v>71</v>
      </c>
      <c r="AJ66" s="4">
        <v>15</v>
      </c>
      <c r="AK66" s="4">
        <v>17</v>
      </c>
      <c r="AL66" s="4">
        <v>42</v>
      </c>
      <c r="AM66" s="4">
        <v>42</v>
      </c>
      <c r="AN66" s="4">
        <v>0</v>
      </c>
      <c r="AO66" s="4">
        <v>0</v>
      </c>
      <c r="AP66" s="4">
        <v>17</v>
      </c>
      <c r="AQ66" s="4">
        <v>18</v>
      </c>
      <c r="AR66" s="3" t="s">
        <v>64</v>
      </c>
      <c r="AS66" s="3" t="s">
        <v>64</v>
      </c>
      <c r="AT66" s="3" t="s">
        <v>64</v>
      </c>
      <c r="AV66" s="6" t="str">
        <f>HYPERLINK("http://mcgill.on.worldcat.org/oclc/51652817","Catalog Record")</f>
        <v>Catalog Record</v>
      </c>
      <c r="AW66" s="6" t="str">
        <f>HYPERLINK("http://www.worldcat.org/oclc/51652817","WorldCat Record")</f>
        <v>WorldCat Record</v>
      </c>
      <c r="AX66" s="3" t="s">
        <v>798</v>
      </c>
      <c r="AY66" s="3" t="s">
        <v>799</v>
      </c>
      <c r="AZ66" s="3" t="s">
        <v>800</v>
      </c>
      <c r="BA66" s="3" t="s">
        <v>800</v>
      </c>
      <c r="BB66" s="3" t="s">
        <v>801</v>
      </c>
      <c r="BC66" s="3" t="s">
        <v>78</v>
      </c>
      <c r="BD66" s="3" t="s">
        <v>79</v>
      </c>
      <c r="BE66" s="3" t="s">
        <v>802</v>
      </c>
      <c r="BF66" s="3" t="s">
        <v>801</v>
      </c>
      <c r="BG66" s="3" t="s">
        <v>803</v>
      </c>
    </row>
    <row r="67" spans="1:59" ht="58" x14ac:dyDescent="0.35">
      <c r="A67" s="2" t="s">
        <v>59</v>
      </c>
      <c r="B67" s="2" t="s">
        <v>94</v>
      </c>
      <c r="C67" s="2" t="s">
        <v>804</v>
      </c>
      <c r="D67" s="2" t="s">
        <v>805</v>
      </c>
      <c r="E67" s="2" t="s">
        <v>806</v>
      </c>
      <c r="G67" s="3" t="s">
        <v>64</v>
      </c>
      <c r="I67" s="3" t="s">
        <v>64</v>
      </c>
      <c r="J67" s="3" t="s">
        <v>64</v>
      </c>
      <c r="K67" s="3" t="s">
        <v>65</v>
      </c>
      <c r="L67" s="2" t="s">
        <v>807</v>
      </c>
      <c r="M67" s="2" t="s">
        <v>808</v>
      </c>
      <c r="N67" s="3" t="s">
        <v>377</v>
      </c>
      <c r="P67" s="3" t="s">
        <v>69</v>
      </c>
      <c r="R67" s="3" t="s">
        <v>70</v>
      </c>
      <c r="S67" s="4">
        <v>2</v>
      </c>
      <c r="T67" s="4">
        <v>2</v>
      </c>
      <c r="U67" s="5" t="s">
        <v>809</v>
      </c>
      <c r="V67" s="5" t="s">
        <v>809</v>
      </c>
      <c r="W67" s="5" t="s">
        <v>72</v>
      </c>
      <c r="X67" s="5" t="s">
        <v>72</v>
      </c>
      <c r="Y67" s="4">
        <v>350</v>
      </c>
      <c r="Z67" s="4">
        <v>23</v>
      </c>
      <c r="AA67" s="4">
        <v>87</v>
      </c>
      <c r="AB67" s="4">
        <v>1</v>
      </c>
      <c r="AC67" s="4">
        <v>16</v>
      </c>
      <c r="AD67" s="4">
        <v>79</v>
      </c>
      <c r="AE67" s="4">
        <v>130</v>
      </c>
      <c r="AF67" s="4">
        <v>0</v>
      </c>
      <c r="AG67" s="4">
        <v>8</v>
      </c>
      <c r="AH67" s="4">
        <v>70</v>
      </c>
      <c r="AI67" s="4">
        <v>95</v>
      </c>
      <c r="AJ67" s="4">
        <v>9</v>
      </c>
      <c r="AK67" s="4">
        <v>22</v>
      </c>
      <c r="AL67" s="4">
        <v>45</v>
      </c>
      <c r="AM67" s="4">
        <v>54</v>
      </c>
      <c r="AN67" s="4">
        <v>0</v>
      </c>
      <c r="AO67" s="4">
        <v>0</v>
      </c>
      <c r="AP67" s="4">
        <v>15</v>
      </c>
      <c r="AQ67" s="4">
        <v>43</v>
      </c>
      <c r="AR67" s="3" t="s">
        <v>64</v>
      </c>
      <c r="AS67" s="3" t="s">
        <v>64</v>
      </c>
      <c r="AT67" s="3" t="s">
        <v>64</v>
      </c>
      <c r="AV67" s="6" t="str">
        <f>HYPERLINK("http://mcgill.on.worldcat.org/oclc/759174514","Catalog Record")</f>
        <v>Catalog Record</v>
      </c>
      <c r="AW67" s="6" t="str">
        <f>HYPERLINK("http://www.worldcat.org/oclc/759174514","WorldCat Record")</f>
        <v>WorldCat Record</v>
      </c>
      <c r="AX67" s="3" t="s">
        <v>810</v>
      </c>
      <c r="AY67" s="3" t="s">
        <v>811</v>
      </c>
      <c r="AZ67" s="3" t="s">
        <v>812</v>
      </c>
      <c r="BA67" s="3" t="s">
        <v>812</v>
      </c>
      <c r="BB67" s="3" t="s">
        <v>813</v>
      </c>
      <c r="BC67" s="3" t="s">
        <v>78</v>
      </c>
      <c r="BD67" s="3" t="s">
        <v>79</v>
      </c>
      <c r="BE67" s="3" t="s">
        <v>814</v>
      </c>
      <c r="BF67" s="3" t="s">
        <v>813</v>
      </c>
      <c r="BG67" s="3" t="s">
        <v>815</v>
      </c>
    </row>
    <row r="68" spans="1:59" ht="58" x14ac:dyDescent="0.35">
      <c r="A68" s="2" t="s">
        <v>59</v>
      </c>
      <c r="B68" s="2" t="s">
        <v>94</v>
      </c>
      <c r="C68" s="2" t="s">
        <v>816</v>
      </c>
      <c r="D68" s="2" t="s">
        <v>817</v>
      </c>
      <c r="E68" s="2" t="s">
        <v>818</v>
      </c>
      <c r="F68" s="3" t="s">
        <v>388</v>
      </c>
      <c r="G68" s="3" t="s">
        <v>73</v>
      </c>
      <c r="I68" s="3" t="s">
        <v>64</v>
      </c>
      <c r="J68" s="3" t="s">
        <v>64</v>
      </c>
      <c r="K68" s="3" t="s">
        <v>65</v>
      </c>
      <c r="L68" s="2" t="s">
        <v>819</v>
      </c>
      <c r="M68" s="2" t="s">
        <v>820</v>
      </c>
      <c r="N68" s="3" t="s">
        <v>87</v>
      </c>
      <c r="P68" s="3" t="s">
        <v>162</v>
      </c>
      <c r="R68" s="3" t="s">
        <v>70</v>
      </c>
      <c r="S68" s="4">
        <v>0</v>
      </c>
      <c r="T68" s="4">
        <v>0</v>
      </c>
      <c r="W68" s="5" t="s">
        <v>72</v>
      </c>
      <c r="X68" s="5" t="s">
        <v>72</v>
      </c>
      <c r="Y68" s="4">
        <v>6</v>
      </c>
      <c r="Z68" s="4">
        <v>4</v>
      </c>
      <c r="AA68" s="4">
        <v>4</v>
      </c>
      <c r="AB68" s="4">
        <v>1</v>
      </c>
      <c r="AC68" s="4">
        <v>1</v>
      </c>
      <c r="AD68" s="4">
        <v>3</v>
      </c>
      <c r="AE68" s="4">
        <v>3</v>
      </c>
      <c r="AF68" s="4">
        <v>0</v>
      </c>
      <c r="AG68" s="4">
        <v>0</v>
      </c>
      <c r="AH68" s="4">
        <v>3</v>
      </c>
      <c r="AI68" s="4">
        <v>3</v>
      </c>
      <c r="AJ68" s="4">
        <v>2</v>
      </c>
      <c r="AK68" s="4">
        <v>2</v>
      </c>
      <c r="AL68" s="4">
        <v>1</v>
      </c>
      <c r="AM68" s="4">
        <v>1</v>
      </c>
      <c r="AN68" s="4">
        <v>0</v>
      </c>
      <c r="AO68" s="4">
        <v>0</v>
      </c>
      <c r="AP68" s="4">
        <v>2</v>
      </c>
      <c r="AQ68" s="4">
        <v>2</v>
      </c>
      <c r="AR68" s="3" t="s">
        <v>73</v>
      </c>
      <c r="AS68" s="3" t="s">
        <v>64</v>
      </c>
      <c r="AT68" s="3" t="s">
        <v>64</v>
      </c>
      <c r="AV68" s="6" t="str">
        <f>HYPERLINK("http://mcgill.on.worldcat.org/oclc/923732100","Catalog Record")</f>
        <v>Catalog Record</v>
      </c>
      <c r="AW68" s="6" t="str">
        <f>HYPERLINK("http://www.worldcat.org/oclc/923732100","WorldCat Record")</f>
        <v>WorldCat Record</v>
      </c>
      <c r="AX68" s="3" t="s">
        <v>821</v>
      </c>
      <c r="AY68" s="3" t="s">
        <v>822</v>
      </c>
      <c r="AZ68" s="3" t="s">
        <v>823</v>
      </c>
      <c r="BA68" s="3" t="s">
        <v>823</v>
      </c>
      <c r="BB68" s="3" t="s">
        <v>824</v>
      </c>
      <c r="BC68" s="3" t="s">
        <v>78</v>
      </c>
      <c r="BD68" s="3" t="s">
        <v>79</v>
      </c>
      <c r="BE68" s="3" t="s">
        <v>825</v>
      </c>
      <c r="BF68" s="3" t="s">
        <v>824</v>
      </c>
      <c r="BG68" s="3" t="s">
        <v>826</v>
      </c>
    </row>
    <row r="69" spans="1:59" ht="58" x14ac:dyDescent="0.35">
      <c r="A69" s="2" t="s">
        <v>59</v>
      </c>
      <c r="B69" s="2" t="s">
        <v>94</v>
      </c>
      <c r="C69" s="2" t="s">
        <v>827</v>
      </c>
      <c r="D69" s="2" t="s">
        <v>828</v>
      </c>
      <c r="E69" s="2" t="s">
        <v>829</v>
      </c>
      <c r="G69" s="3" t="s">
        <v>64</v>
      </c>
      <c r="I69" s="3" t="s">
        <v>73</v>
      </c>
      <c r="J69" s="3" t="s">
        <v>64</v>
      </c>
      <c r="K69" s="3" t="s">
        <v>65</v>
      </c>
      <c r="L69" s="2" t="s">
        <v>830</v>
      </c>
      <c r="M69" s="2" t="s">
        <v>831</v>
      </c>
      <c r="N69" s="3" t="s">
        <v>214</v>
      </c>
      <c r="P69" s="3" t="s">
        <v>69</v>
      </c>
      <c r="R69" s="3" t="s">
        <v>70</v>
      </c>
      <c r="S69" s="4">
        <v>1</v>
      </c>
      <c r="T69" s="4">
        <v>3</v>
      </c>
      <c r="U69" s="5" t="s">
        <v>832</v>
      </c>
      <c r="V69" s="5" t="s">
        <v>341</v>
      </c>
      <c r="W69" s="5" t="s">
        <v>72</v>
      </c>
      <c r="X69" s="5" t="s">
        <v>72</v>
      </c>
      <c r="Y69" s="4">
        <v>237</v>
      </c>
      <c r="Z69" s="4">
        <v>24</v>
      </c>
      <c r="AA69" s="4">
        <v>83</v>
      </c>
      <c r="AB69" s="4">
        <v>2</v>
      </c>
      <c r="AC69" s="4">
        <v>14</v>
      </c>
      <c r="AD69" s="4">
        <v>75</v>
      </c>
      <c r="AE69" s="4">
        <v>128</v>
      </c>
      <c r="AF69" s="4">
        <v>1</v>
      </c>
      <c r="AG69" s="4">
        <v>8</v>
      </c>
      <c r="AH69" s="4">
        <v>64</v>
      </c>
      <c r="AI69" s="4">
        <v>92</v>
      </c>
      <c r="AJ69" s="4">
        <v>12</v>
      </c>
      <c r="AK69" s="4">
        <v>23</v>
      </c>
      <c r="AL69" s="4">
        <v>40</v>
      </c>
      <c r="AM69" s="4">
        <v>53</v>
      </c>
      <c r="AN69" s="4">
        <v>0</v>
      </c>
      <c r="AO69" s="4">
        <v>0</v>
      </c>
      <c r="AP69" s="4">
        <v>16</v>
      </c>
      <c r="AQ69" s="4">
        <v>44</v>
      </c>
      <c r="AR69" s="3" t="s">
        <v>64</v>
      </c>
      <c r="AS69" s="3" t="s">
        <v>64</v>
      </c>
      <c r="AT69" s="3" t="s">
        <v>64</v>
      </c>
      <c r="AV69" s="6" t="str">
        <f>HYPERLINK("http://mcgill.on.worldcat.org/oclc/528665854","Catalog Record")</f>
        <v>Catalog Record</v>
      </c>
      <c r="AW69" s="6" t="str">
        <f>HYPERLINK("http://www.worldcat.org/oclc/528665854","WorldCat Record")</f>
        <v>WorldCat Record</v>
      </c>
      <c r="AX69" s="3" t="s">
        <v>833</v>
      </c>
      <c r="AY69" s="3" t="s">
        <v>834</v>
      </c>
      <c r="AZ69" s="3" t="s">
        <v>835</v>
      </c>
      <c r="BA69" s="3" t="s">
        <v>835</v>
      </c>
      <c r="BB69" s="3" t="s">
        <v>836</v>
      </c>
      <c r="BC69" s="3" t="s">
        <v>78</v>
      </c>
      <c r="BD69" s="3" t="s">
        <v>79</v>
      </c>
      <c r="BE69" s="3" t="s">
        <v>837</v>
      </c>
      <c r="BF69" s="3" t="s">
        <v>836</v>
      </c>
      <c r="BG69" s="3" t="s">
        <v>838</v>
      </c>
    </row>
    <row r="70" spans="1:59" ht="58" x14ac:dyDescent="0.35">
      <c r="A70" s="2" t="s">
        <v>59</v>
      </c>
      <c r="B70" s="2" t="s">
        <v>94</v>
      </c>
      <c r="C70" s="2" t="s">
        <v>827</v>
      </c>
      <c r="D70" s="2" t="s">
        <v>828</v>
      </c>
      <c r="E70" s="2" t="s">
        <v>829</v>
      </c>
      <c r="G70" s="3" t="s">
        <v>64</v>
      </c>
      <c r="I70" s="3" t="s">
        <v>73</v>
      </c>
      <c r="J70" s="3" t="s">
        <v>64</v>
      </c>
      <c r="K70" s="3" t="s">
        <v>65</v>
      </c>
      <c r="L70" s="2" t="s">
        <v>830</v>
      </c>
      <c r="M70" s="2" t="s">
        <v>831</v>
      </c>
      <c r="N70" s="3" t="s">
        <v>214</v>
      </c>
      <c r="P70" s="3" t="s">
        <v>69</v>
      </c>
      <c r="R70" s="3" t="s">
        <v>70</v>
      </c>
      <c r="S70" s="4">
        <v>2</v>
      </c>
      <c r="T70" s="4">
        <v>3</v>
      </c>
      <c r="U70" s="5" t="s">
        <v>341</v>
      </c>
      <c r="V70" s="5" t="s">
        <v>341</v>
      </c>
      <c r="W70" s="5" t="s">
        <v>72</v>
      </c>
      <c r="X70" s="5" t="s">
        <v>72</v>
      </c>
      <c r="Y70" s="4">
        <v>237</v>
      </c>
      <c r="Z70" s="4">
        <v>24</v>
      </c>
      <c r="AA70" s="4">
        <v>83</v>
      </c>
      <c r="AB70" s="4">
        <v>2</v>
      </c>
      <c r="AC70" s="4">
        <v>14</v>
      </c>
      <c r="AD70" s="4">
        <v>75</v>
      </c>
      <c r="AE70" s="4">
        <v>128</v>
      </c>
      <c r="AF70" s="4">
        <v>1</v>
      </c>
      <c r="AG70" s="4">
        <v>8</v>
      </c>
      <c r="AH70" s="4">
        <v>64</v>
      </c>
      <c r="AI70" s="4">
        <v>92</v>
      </c>
      <c r="AJ70" s="4">
        <v>12</v>
      </c>
      <c r="AK70" s="4">
        <v>23</v>
      </c>
      <c r="AL70" s="4">
        <v>40</v>
      </c>
      <c r="AM70" s="4">
        <v>53</v>
      </c>
      <c r="AN70" s="4">
        <v>0</v>
      </c>
      <c r="AO70" s="4">
        <v>0</v>
      </c>
      <c r="AP70" s="4">
        <v>16</v>
      </c>
      <c r="AQ70" s="4">
        <v>44</v>
      </c>
      <c r="AR70" s="3" t="s">
        <v>64</v>
      </c>
      <c r="AS70" s="3" t="s">
        <v>64</v>
      </c>
      <c r="AT70" s="3" t="s">
        <v>64</v>
      </c>
      <c r="AV70" s="6" t="str">
        <f>HYPERLINK("http://mcgill.on.worldcat.org/oclc/528665854","Catalog Record")</f>
        <v>Catalog Record</v>
      </c>
      <c r="AW70" s="6" t="str">
        <f>HYPERLINK("http://www.worldcat.org/oclc/528665854","WorldCat Record")</f>
        <v>WorldCat Record</v>
      </c>
      <c r="AX70" s="3" t="s">
        <v>833</v>
      </c>
      <c r="AY70" s="3" t="s">
        <v>834</v>
      </c>
      <c r="AZ70" s="3" t="s">
        <v>835</v>
      </c>
      <c r="BA70" s="3" t="s">
        <v>835</v>
      </c>
      <c r="BB70" s="3" t="s">
        <v>839</v>
      </c>
      <c r="BC70" s="3" t="s">
        <v>78</v>
      </c>
      <c r="BD70" s="3" t="s">
        <v>79</v>
      </c>
      <c r="BE70" s="3" t="s">
        <v>837</v>
      </c>
      <c r="BF70" s="3" t="s">
        <v>839</v>
      </c>
      <c r="BG70" s="3" t="s">
        <v>840</v>
      </c>
    </row>
    <row r="71" spans="1:59" ht="58" x14ac:dyDescent="0.35">
      <c r="A71" s="2" t="s">
        <v>59</v>
      </c>
      <c r="B71" s="2" t="s">
        <v>94</v>
      </c>
      <c r="C71" s="2" t="s">
        <v>841</v>
      </c>
      <c r="D71" s="2" t="s">
        <v>842</v>
      </c>
      <c r="E71" s="2" t="s">
        <v>843</v>
      </c>
      <c r="G71" s="3" t="s">
        <v>64</v>
      </c>
      <c r="I71" s="3" t="s">
        <v>73</v>
      </c>
      <c r="J71" s="3" t="s">
        <v>64</v>
      </c>
      <c r="K71" s="3" t="s">
        <v>65</v>
      </c>
      <c r="L71" s="2" t="s">
        <v>844</v>
      </c>
      <c r="M71" s="2" t="s">
        <v>845</v>
      </c>
      <c r="N71" s="3" t="s">
        <v>733</v>
      </c>
      <c r="P71" s="3" t="s">
        <v>69</v>
      </c>
      <c r="R71" s="3" t="s">
        <v>70</v>
      </c>
      <c r="S71" s="4">
        <v>17</v>
      </c>
      <c r="T71" s="4">
        <v>44</v>
      </c>
      <c r="U71" s="5" t="s">
        <v>846</v>
      </c>
      <c r="V71" s="5" t="s">
        <v>846</v>
      </c>
      <c r="W71" s="5" t="s">
        <v>72</v>
      </c>
      <c r="X71" s="5" t="s">
        <v>72</v>
      </c>
      <c r="Y71" s="4">
        <v>530</v>
      </c>
      <c r="Z71" s="4">
        <v>29</v>
      </c>
      <c r="AA71" s="4">
        <v>90</v>
      </c>
      <c r="AB71" s="4">
        <v>3</v>
      </c>
      <c r="AC71" s="4">
        <v>16</v>
      </c>
      <c r="AD71" s="4">
        <v>120</v>
      </c>
      <c r="AE71" s="4">
        <v>150</v>
      </c>
      <c r="AF71" s="4">
        <v>2</v>
      </c>
      <c r="AG71" s="4">
        <v>8</v>
      </c>
      <c r="AH71" s="4">
        <v>104</v>
      </c>
      <c r="AI71" s="4">
        <v>112</v>
      </c>
      <c r="AJ71" s="4">
        <v>15</v>
      </c>
      <c r="AK71" s="4">
        <v>25</v>
      </c>
      <c r="AL71" s="4">
        <v>56</v>
      </c>
      <c r="AM71" s="4">
        <v>58</v>
      </c>
      <c r="AN71" s="4">
        <v>0</v>
      </c>
      <c r="AO71" s="4">
        <v>0</v>
      </c>
      <c r="AP71" s="4">
        <v>24</v>
      </c>
      <c r="AQ71" s="4">
        <v>48</v>
      </c>
      <c r="AR71" s="3" t="s">
        <v>64</v>
      </c>
      <c r="AS71" s="3" t="s">
        <v>64</v>
      </c>
      <c r="AT71" s="3" t="s">
        <v>73</v>
      </c>
      <c r="AU71" s="6" t="str">
        <f>HYPERLINK("http://catalog.hathitrust.org/Record/000319561","HathiTrust Record")</f>
        <v>HathiTrust Record</v>
      </c>
      <c r="AV71" s="6" t="str">
        <f>HYPERLINK("http://mcgill.on.worldcat.org/oclc/9644170","Catalog Record")</f>
        <v>Catalog Record</v>
      </c>
      <c r="AW71" s="6" t="str">
        <f>HYPERLINK("http://www.worldcat.org/oclc/9644170","WorldCat Record")</f>
        <v>WorldCat Record</v>
      </c>
      <c r="AX71" s="3" t="s">
        <v>847</v>
      </c>
      <c r="AY71" s="3" t="s">
        <v>848</v>
      </c>
      <c r="AZ71" s="3" t="s">
        <v>849</v>
      </c>
      <c r="BA71" s="3" t="s">
        <v>849</v>
      </c>
      <c r="BB71" s="3" t="s">
        <v>850</v>
      </c>
      <c r="BC71" s="3" t="s">
        <v>78</v>
      </c>
      <c r="BD71" s="3" t="s">
        <v>79</v>
      </c>
      <c r="BE71" s="3" t="s">
        <v>851</v>
      </c>
      <c r="BF71" s="3" t="s">
        <v>850</v>
      </c>
      <c r="BG71" s="3" t="s">
        <v>852</v>
      </c>
    </row>
    <row r="72" spans="1:59" ht="58" x14ac:dyDescent="0.35">
      <c r="A72" s="2" t="s">
        <v>59</v>
      </c>
      <c r="B72" s="2" t="s">
        <v>94</v>
      </c>
      <c r="C72" s="2" t="s">
        <v>841</v>
      </c>
      <c r="D72" s="2" t="s">
        <v>842</v>
      </c>
      <c r="E72" s="2" t="s">
        <v>843</v>
      </c>
      <c r="G72" s="3" t="s">
        <v>64</v>
      </c>
      <c r="I72" s="3" t="s">
        <v>73</v>
      </c>
      <c r="J72" s="3" t="s">
        <v>64</v>
      </c>
      <c r="K72" s="3" t="s">
        <v>65</v>
      </c>
      <c r="L72" s="2" t="s">
        <v>844</v>
      </c>
      <c r="M72" s="2" t="s">
        <v>845</v>
      </c>
      <c r="N72" s="3" t="s">
        <v>733</v>
      </c>
      <c r="P72" s="3" t="s">
        <v>69</v>
      </c>
      <c r="R72" s="3" t="s">
        <v>70</v>
      </c>
      <c r="S72" s="4">
        <v>27</v>
      </c>
      <c r="T72" s="4">
        <v>44</v>
      </c>
      <c r="U72" s="5" t="s">
        <v>853</v>
      </c>
      <c r="V72" s="5" t="s">
        <v>846</v>
      </c>
      <c r="W72" s="5" t="s">
        <v>72</v>
      </c>
      <c r="X72" s="5" t="s">
        <v>72</v>
      </c>
      <c r="Y72" s="4">
        <v>530</v>
      </c>
      <c r="Z72" s="4">
        <v>29</v>
      </c>
      <c r="AA72" s="4">
        <v>90</v>
      </c>
      <c r="AB72" s="4">
        <v>3</v>
      </c>
      <c r="AC72" s="4">
        <v>16</v>
      </c>
      <c r="AD72" s="4">
        <v>120</v>
      </c>
      <c r="AE72" s="4">
        <v>150</v>
      </c>
      <c r="AF72" s="4">
        <v>2</v>
      </c>
      <c r="AG72" s="4">
        <v>8</v>
      </c>
      <c r="AH72" s="4">
        <v>104</v>
      </c>
      <c r="AI72" s="4">
        <v>112</v>
      </c>
      <c r="AJ72" s="4">
        <v>15</v>
      </c>
      <c r="AK72" s="4">
        <v>25</v>
      </c>
      <c r="AL72" s="4">
        <v>56</v>
      </c>
      <c r="AM72" s="4">
        <v>58</v>
      </c>
      <c r="AN72" s="4">
        <v>0</v>
      </c>
      <c r="AO72" s="4">
        <v>0</v>
      </c>
      <c r="AP72" s="4">
        <v>24</v>
      </c>
      <c r="AQ72" s="4">
        <v>48</v>
      </c>
      <c r="AR72" s="3" t="s">
        <v>64</v>
      </c>
      <c r="AS72" s="3" t="s">
        <v>64</v>
      </c>
      <c r="AT72" s="3" t="s">
        <v>73</v>
      </c>
      <c r="AU72" s="6" t="str">
        <f>HYPERLINK("http://catalog.hathitrust.org/Record/000319561","HathiTrust Record")</f>
        <v>HathiTrust Record</v>
      </c>
      <c r="AV72" s="6" t="str">
        <f>HYPERLINK("http://mcgill.on.worldcat.org/oclc/9644170","Catalog Record")</f>
        <v>Catalog Record</v>
      </c>
      <c r="AW72" s="6" t="str">
        <f>HYPERLINK("http://www.worldcat.org/oclc/9644170","WorldCat Record")</f>
        <v>WorldCat Record</v>
      </c>
      <c r="AX72" s="3" t="s">
        <v>847</v>
      </c>
      <c r="AY72" s="3" t="s">
        <v>848</v>
      </c>
      <c r="AZ72" s="3" t="s">
        <v>849</v>
      </c>
      <c r="BA72" s="3" t="s">
        <v>849</v>
      </c>
      <c r="BB72" s="3" t="s">
        <v>854</v>
      </c>
      <c r="BC72" s="3" t="s">
        <v>78</v>
      </c>
      <c r="BD72" s="3" t="s">
        <v>79</v>
      </c>
      <c r="BE72" s="3" t="s">
        <v>851</v>
      </c>
      <c r="BF72" s="3" t="s">
        <v>854</v>
      </c>
      <c r="BG72" s="3" t="s">
        <v>855</v>
      </c>
    </row>
    <row r="73" spans="1:59" ht="58" x14ac:dyDescent="0.35">
      <c r="A73" s="2" t="s">
        <v>59</v>
      </c>
      <c r="B73" s="2" t="s">
        <v>94</v>
      </c>
      <c r="C73" s="2" t="s">
        <v>856</v>
      </c>
      <c r="D73" s="2" t="s">
        <v>857</v>
      </c>
      <c r="E73" s="2" t="s">
        <v>858</v>
      </c>
      <c r="G73" s="3" t="s">
        <v>64</v>
      </c>
      <c r="I73" s="3" t="s">
        <v>64</v>
      </c>
      <c r="J73" s="3" t="s">
        <v>64</v>
      </c>
      <c r="K73" s="3" t="s">
        <v>65</v>
      </c>
      <c r="L73" s="2" t="s">
        <v>859</v>
      </c>
      <c r="M73" s="2" t="s">
        <v>860</v>
      </c>
      <c r="N73" s="3" t="s">
        <v>861</v>
      </c>
      <c r="P73" s="3" t="s">
        <v>69</v>
      </c>
      <c r="Q73" s="2" t="s">
        <v>450</v>
      </c>
      <c r="R73" s="3" t="s">
        <v>70</v>
      </c>
      <c r="S73" s="4">
        <v>7</v>
      </c>
      <c r="T73" s="4">
        <v>7</v>
      </c>
      <c r="U73" s="5" t="s">
        <v>853</v>
      </c>
      <c r="V73" s="5" t="s">
        <v>853</v>
      </c>
      <c r="W73" s="5" t="s">
        <v>72</v>
      </c>
      <c r="X73" s="5" t="s">
        <v>72</v>
      </c>
      <c r="Y73" s="4">
        <v>443</v>
      </c>
      <c r="Z73" s="4">
        <v>25</v>
      </c>
      <c r="AA73" s="4">
        <v>111</v>
      </c>
      <c r="AB73" s="4">
        <v>2</v>
      </c>
      <c r="AC73" s="4">
        <v>18</v>
      </c>
      <c r="AD73" s="4">
        <v>105</v>
      </c>
      <c r="AE73" s="4">
        <v>151</v>
      </c>
      <c r="AF73" s="4">
        <v>1</v>
      </c>
      <c r="AG73" s="4">
        <v>8</v>
      </c>
      <c r="AH73" s="4">
        <v>89</v>
      </c>
      <c r="AI73" s="4">
        <v>108</v>
      </c>
      <c r="AJ73" s="4">
        <v>13</v>
      </c>
      <c r="AK73" s="4">
        <v>24</v>
      </c>
      <c r="AL73" s="4">
        <v>54</v>
      </c>
      <c r="AM73" s="4">
        <v>57</v>
      </c>
      <c r="AN73" s="4">
        <v>0</v>
      </c>
      <c r="AO73" s="4">
        <v>0</v>
      </c>
      <c r="AP73" s="4">
        <v>19</v>
      </c>
      <c r="AQ73" s="4">
        <v>49</v>
      </c>
      <c r="AR73" s="3" t="s">
        <v>64</v>
      </c>
      <c r="AS73" s="3" t="s">
        <v>64</v>
      </c>
      <c r="AT73" s="3" t="s">
        <v>64</v>
      </c>
      <c r="AV73" s="6" t="str">
        <f>HYPERLINK("http://mcgill.on.worldcat.org/oclc/54817452","Catalog Record")</f>
        <v>Catalog Record</v>
      </c>
      <c r="AW73" s="6" t="str">
        <f>HYPERLINK("http://www.worldcat.org/oclc/54817452","WorldCat Record")</f>
        <v>WorldCat Record</v>
      </c>
      <c r="AX73" s="3" t="s">
        <v>862</v>
      </c>
      <c r="AY73" s="3" t="s">
        <v>863</v>
      </c>
      <c r="AZ73" s="3" t="s">
        <v>864</v>
      </c>
      <c r="BA73" s="3" t="s">
        <v>864</v>
      </c>
      <c r="BB73" s="3" t="s">
        <v>865</v>
      </c>
      <c r="BC73" s="3" t="s">
        <v>78</v>
      </c>
      <c r="BD73" s="3" t="s">
        <v>79</v>
      </c>
      <c r="BE73" s="3" t="s">
        <v>866</v>
      </c>
      <c r="BF73" s="3" t="s">
        <v>865</v>
      </c>
      <c r="BG73" s="3" t="s">
        <v>867</v>
      </c>
    </row>
    <row r="74" spans="1:59" ht="58" x14ac:dyDescent="0.35">
      <c r="A74" s="2" t="s">
        <v>59</v>
      </c>
      <c r="B74" s="2" t="s">
        <v>94</v>
      </c>
      <c r="C74" s="2" t="s">
        <v>868</v>
      </c>
      <c r="D74" s="2" t="s">
        <v>869</v>
      </c>
      <c r="E74" s="2" t="s">
        <v>870</v>
      </c>
      <c r="G74" s="3" t="s">
        <v>64</v>
      </c>
      <c r="I74" s="3" t="s">
        <v>64</v>
      </c>
      <c r="J74" s="3" t="s">
        <v>64</v>
      </c>
      <c r="K74" s="3" t="s">
        <v>65</v>
      </c>
      <c r="L74" s="2" t="s">
        <v>859</v>
      </c>
      <c r="M74" s="2" t="s">
        <v>871</v>
      </c>
      <c r="N74" s="3" t="s">
        <v>872</v>
      </c>
      <c r="P74" s="3" t="s">
        <v>69</v>
      </c>
      <c r="R74" s="3" t="s">
        <v>70</v>
      </c>
      <c r="S74" s="4">
        <v>22</v>
      </c>
      <c r="T74" s="4">
        <v>22</v>
      </c>
      <c r="U74" s="5" t="s">
        <v>873</v>
      </c>
      <c r="V74" s="5" t="s">
        <v>873</v>
      </c>
      <c r="W74" s="5" t="s">
        <v>72</v>
      </c>
      <c r="X74" s="5" t="s">
        <v>72</v>
      </c>
      <c r="Y74" s="4">
        <v>644</v>
      </c>
      <c r="Z74" s="4">
        <v>26</v>
      </c>
      <c r="AA74" s="4">
        <v>31</v>
      </c>
      <c r="AB74" s="4">
        <v>2</v>
      </c>
      <c r="AC74" s="4">
        <v>5</v>
      </c>
      <c r="AD74" s="4">
        <v>115</v>
      </c>
      <c r="AE74" s="4">
        <v>120</v>
      </c>
      <c r="AF74" s="4">
        <v>0</v>
      </c>
      <c r="AG74" s="4">
        <v>2</v>
      </c>
      <c r="AH74" s="4">
        <v>102</v>
      </c>
      <c r="AI74" s="4">
        <v>104</v>
      </c>
      <c r="AJ74" s="4">
        <v>12</v>
      </c>
      <c r="AK74" s="4">
        <v>15</v>
      </c>
      <c r="AL74" s="4">
        <v>60</v>
      </c>
      <c r="AM74" s="4">
        <v>60</v>
      </c>
      <c r="AN74" s="4">
        <v>0</v>
      </c>
      <c r="AO74" s="4">
        <v>0</v>
      </c>
      <c r="AP74" s="4">
        <v>19</v>
      </c>
      <c r="AQ74" s="4">
        <v>22</v>
      </c>
      <c r="AR74" s="3" t="s">
        <v>64</v>
      </c>
      <c r="AS74" s="3" t="s">
        <v>64</v>
      </c>
      <c r="AT74" s="3" t="s">
        <v>73</v>
      </c>
      <c r="AU74" s="6" t="str">
        <f>HYPERLINK("http://catalog.hathitrust.org/Record/001548307","HathiTrust Record")</f>
        <v>HathiTrust Record</v>
      </c>
      <c r="AV74" s="6" t="str">
        <f>HYPERLINK("http://mcgill.on.worldcat.org/oclc/18835561","Catalog Record")</f>
        <v>Catalog Record</v>
      </c>
      <c r="AW74" s="6" t="str">
        <f>HYPERLINK("http://www.worldcat.org/oclc/18835561","WorldCat Record")</f>
        <v>WorldCat Record</v>
      </c>
      <c r="AX74" s="3" t="s">
        <v>874</v>
      </c>
      <c r="AY74" s="3" t="s">
        <v>875</v>
      </c>
      <c r="AZ74" s="3" t="s">
        <v>876</v>
      </c>
      <c r="BA74" s="3" t="s">
        <v>876</v>
      </c>
      <c r="BB74" s="3" t="s">
        <v>877</v>
      </c>
      <c r="BC74" s="3" t="s">
        <v>78</v>
      </c>
      <c r="BD74" s="3" t="s">
        <v>79</v>
      </c>
      <c r="BE74" s="3" t="s">
        <v>878</v>
      </c>
      <c r="BF74" s="3" t="s">
        <v>877</v>
      </c>
      <c r="BG74" s="3" t="s">
        <v>879</v>
      </c>
    </row>
    <row r="75" spans="1:59" ht="58" x14ac:dyDescent="0.35">
      <c r="A75" s="2" t="s">
        <v>59</v>
      </c>
      <c r="B75" s="2" t="s">
        <v>94</v>
      </c>
      <c r="C75" s="2" t="s">
        <v>880</v>
      </c>
      <c r="D75" s="2" t="s">
        <v>881</v>
      </c>
      <c r="E75" s="2" t="s">
        <v>882</v>
      </c>
      <c r="G75" s="3" t="s">
        <v>64</v>
      </c>
      <c r="I75" s="3" t="s">
        <v>64</v>
      </c>
      <c r="J75" s="3" t="s">
        <v>64</v>
      </c>
      <c r="K75" s="3" t="s">
        <v>65</v>
      </c>
      <c r="L75" s="2" t="s">
        <v>883</v>
      </c>
      <c r="M75" s="2" t="s">
        <v>884</v>
      </c>
      <c r="N75" s="3" t="s">
        <v>328</v>
      </c>
      <c r="P75" s="3" t="s">
        <v>69</v>
      </c>
      <c r="R75" s="3" t="s">
        <v>70</v>
      </c>
      <c r="S75" s="4">
        <v>1</v>
      </c>
      <c r="T75" s="4">
        <v>1</v>
      </c>
      <c r="U75" s="5" t="s">
        <v>885</v>
      </c>
      <c r="V75" s="5" t="s">
        <v>885</v>
      </c>
      <c r="W75" s="5" t="s">
        <v>72</v>
      </c>
      <c r="X75" s="5" t="s">
        <v>72</v>
      </c>
      <c r="Y75" s="4">
        <v>158</v>
      </c>
      <c r="Z75" s="4">
        <v>9</v>
      </c>
      <c r="AA75" s="4">
        <v>14</v>
      </c>
      <c r="AB75" s="4">
        <v>1</v>
      </c>
      <c r="AC75" s="4">
        <v>4</v>
      </c>
      <c r="AD75" s="4">
        <v>57</v>
      </c>
      <c r="AE75" s="4">
        <v>61</v>
      </c>
      <c r="AF75" s="4">
        <v>0</v>
      </c>
      <c r="AG75" s="4">
        <v>1</v>
      </c>
      <c r="AH75" s="4">
        <v>54</v>
      </c>
      <c r="AI75" s="4">
        <v>56</v>
      </c>
      <c r="AJ75" s="4">
        <v>6</v>
      </c>
      <c r="AK75" s="4">
        <v>9</v>
      </c>
      <c r="AL75" s="4">
        <v>34</v>
      </c>
      <c r="AM75" s="4">
        <v>34</v>
      </c>
      <c r="AN75" s="4">
        <v>0</v>
      </c>
      <c r="AO75" s="4">
        <v>0</v>
      </c>
      <c r="AP75" s="4">
        <v>6</v>
      </c>
      <c r="AQ75" s="4">
        <v>8</v>
      </c>
      <c r="AR75" s="3" t="s">
        <v>64</v>
      </c>
      <c r="AS75" s="3" t="s">
        <v>64</v>
      </c>
      <c r="AT75" s="3" t="s">
        <v>64</v>
      </c>
      <c r="AV75" s="6" t="str">
        <f>HYPERLINK("http://mcgill.on.worldcat.org/oclc/731192657","Catalog Record")</f>
        <v>Catalog Record</v>
      </c>
      <c r="AW75" s="6" t="str">
        <f>HYPERLINK("http://www.worldcat.org/oclc/731192657","WorldCat Record")</f>
        <v>WorldCat Record</v>
      </c>
      <c r="AX75" s="3" t="s">
        <v>886</v>
      </c>
      <c r="AY75" s="3" t="s">
        <v>887</v>
      </c>
      <c r="AZ75" s="3" t="s">
        <v>888</v>
      </c>
      <c r="BA75" s="3" t="s">
        <v>888</v>
      </c>
      <c r="BB75" s="3" t="s">
        <v>889</v>
      </c>
      <c r="BC75" s="3" t="s">
        <v>78</v>
      </c>
      <c r="BD75" s="3" t="s">
        <v>79</v>
      </c>
      <c r="BE75" s="3" t="s">
        <v>890</v>
      </c>
      <c r="BF75" s="3" t="s">
        <v>889</v>
      </c>
      <c r="BG75" s="3" t="s">
        <v>891</v>
      </c>
    </row>
    <row r="76" spans="1:59" ht="58" x14ac:dyDescent="0.35">
      <c r="A76" s="2" t="s">
        <v>59</v>
      </c>
      <c r="B76" s="2" t="s">
        <v>94</v>
      </c>
      <c r="C76" s="2" t="s">
        <v>892</v>
      </c>
      <c r="D76" s="2" t="s">
        <v>893</v>
      </c>
      <c r="E76" s="2" t="s">
        <v>894</v>
      </c>
      <c r="G76" s="3" t="s">
        <v>64</v>
      </c>
      <c r="I76" s="3" t="s">
        <v>73</v>
      </c>
      <c r="J76" s="3" t="s">
        <v>64</v>
      </c>
      <c r="K76" s="3" t="s">
        <v>65</v>
      </c>
      <c r="L76" s="2" t="s">
        <v>895</v>
      </c>
      <c r="M76" s="2" t="s">
        <v>896</v>
      </c>
      <c r="N76" s="3" t="s">
        <v>486</v>
      </c>
      <c r="P76" s="3" t="s">
        <v>69</v>
      </c>
      <c r="R76" s="3" t="s">
        <v>70</v>
      </c>
      <c r="S76" s="4">
        <v>38</v>
      </c>
      <c r="T76" s="4">
        <v>62</v>
      </c>
      <c r="U76" s="5" t="s">
        <v>897</v>
      </c>
      <c r="V76" s="5" t="s">
        <v>897</v>
      </c>
      <c r="W76" s="5" t="s">
        <v>72</v>
      </c>
      <c r="X76" s="5" t="s">
        <v>72</v>
      </c>
      <c r="Y76" s="4">
        <v>486</v>
      </c>
      <c r="Z76" s="4">
        <v>29</v>
      </c>
      <c r="AA76" s="4">
        <v>31</v>
      </c>
      <c r="AB76" s="4">
        <v>2</v>
      </c>
      <c r="AC76" s="4">
        <v>4</v>
      </c>
      <c r="AD76" s="4">
        <v>122</v>
      </c>
      <c r="AE76" s="4">
        <v>123</v>
      </c>
      <c r="AF76" s="4">
        <v>1</v>
      </c>
      <c r="AG76" s="4">
        <v>1</v>
      </c>
      <c r="AH76" s="4">
        <v>106</v>
      </c>
      <c r="AI76" s="4">
        <v>106</v>
      </c>
      <c r="AJ76" s="4">
        <v>19</v>
      </c>
      <c r="AK76" s="4">
        <v>19</v>
      </c>
      <c r="AL76" s="4">
        <v>58</v>
      </c>
      <c r="AM76" s="4">
        <v>59</v>
      </c>
      <c r="AN76" s="4">
        <v>0</v>
      </c>
      <c r="AO76" s="4">
        <v>0</v>
      </c>
      <c r="AP76" s="4">
        <v>24</v>
      </c>
      <c r="AQ76" s="4">
        <v>24</v>
      </c>
      <c r="AR76" s="3" t="s">
        <v>64</v>
      </c>
      <c r="AS76" s="3" t="s">
        <v>64</v>
      </c>
      <c r="AT76" s="3" t="s">
        <v>64</v>
      </c>
      <c r="AV76" s="6" t="str">
        <f>HYPERLINK("http://mcgill.on.worldcat.org/oclc/5674966","Catalog Record")</f>
        <v>Catalog Record</v>
      </c>
      <c r="AW76" s="6" t="str">
        <f>HYPERLINK("http://www.worldcat.org/oclc/5674966","WorldCat Record")</f>
        <v>WorldCat Record</v>
      </c>
      <c r="AX76" s="3" t="s">
        <v>898</v>
      </c>
      <c r="AY76" s="3" t="s">
        <v>899</v>
      </c>
      <c r="AZ76" s="3" t="s">
        <v>900</v>
      </c>
      <c r="BA76" s="3" t="s">
        <v>900</v>
      </c>
      <c r="BB76" s="3" t="s">
        <v>901</v>
      </c>
      <c r="BC76" s="3" t="s">
        <v>78</v>
      </c>
      <c r="BD76" s="3" t="s">
        <v>79</v>
      </c>
      <c r="BE76" s="3" t="s">
        <v>902</v>
      </c>
      <c r="BF76" s="3" t="s">
        <v>901</v>
      </c>
      <c r="BG76" s="3" t="s">
        <v>903</v>
      </c>
    </row>
    <row r="77" spans="1:59" ht="58" x14ac:dyDescent="0.35">
      <c r="A77" s="2" t="s">
        <v>59</v>
      </c>
      <c r="B77" s="2" t="s">
        <v>94</v>
      </c>
      <c r="C77" s="2" t="s">
        <v>892</v>
      </c>
      <c r="D77" s="2" t="s">
        <v>893</v>
      </c>
      <c r="E77" s="2" t="s">
        <v>894</v>
      </c>
      <c r="G77" s="3" t="s">
        <v>64</v>
      </c>
      <c r="I77" s="3" t="s">
        <v>73</v>
      </c>
      <c r="J77" s="3" t="s">
        <v>64</v>
      </c>
      <c r="K77" s="3" t="s">
        <v>65</v>
      </c>
      <c r="L77" s="2" t="s">
        <v>895</v>
      </c>
      <c r="M77" s="2" t="s">
        <v>896</v>
      </c>
      <c r="N77" s="3" t="s">
        <v>486</v>
      </c>
      <c r="P77" s="3" t="s">
        <v>69</v>
      </c>
      <c r="R77" s="3" t="s">
        <v>70</v>
      </c>
      <c r="S77" s="4">
        <v>24</v>
      </c>
      <c r="T77" s="4">
        <v>62</v>
      </c>
      <c r="U77" s="5" t="s">
        <v>904</v>
      </c>
      <c r="V77" s="5" t="s">
        <v>897</v>
      </c>
      <c r="W77" s="5" t="s">
        <v>72</v>
      </c>
      <c r="X77" s="5" t="s">
        <v>72</v>
      </c>
      <c r="Y77" s="4">
        <v>486</v>
      </c>
      <c r="Z77" s="4">
        <v>29</v>
      </c>
      <c r="AA77" s="4">
        <v>31</v>
      </c>
      <c r="AB77" s="4">
        <v>2</v>
      </c>
      <c r="AC77" s="4">
        <v>4</v>
      </c>
      <c r="AD77" s="4">
        <v>122</v>
      </c>
      <c r="AE77" s="4">
        <v>123</v>
      </c>
      <c r="AF77" s="4">
        <v>1</v>
      </c>
      <c r="AG77" s="4">
        <v>1</v>
      </c>
      <c r="AH77" s="4">
        <v>106</v>
      </c>
      <c r="AI77" s="4">
        <v>106</v>
      </c>
      <c r="AJ77" s="4">
        <v>19</v>
      </c>
      <c r="AK77" s="4">
        <v>19</v>
      </c>
      <c r="AL77" s="4">
        <v>58</v>
      </c>
      <c r="AM77" s="4">
        <v>59</v>
      </c>
      <c r="AN77" s="4">
        <v>0</v>
      </c>
      <c r="AO77" s="4">
        <v>0</v>
      </c>
      <c r="AP77" s="4">
        <v>24</v>
      </c>
      <c r="AQ77" s="4">
        <v>24</v>
      </c>
      <c r="AR77" s="3" t="s">
        <v>64</v>
      </c>
      <c r="AS77" s="3" t="s">
        <v>64</v>
      </c>
      <c r="AT77" s="3" t="s">
        <v>64</v>
      </c>
      <c r="AV77" s="6" t="str">
        <f>HYPERLINK("http://mcgill.on.worldcat.org/oclc/5674966","Catalog Record")</f>
        <v>Catalog Record</v>
      </c>
      <c r="AW77" s="6" t="str">
        <f>HYPERLINK("http://www.worldcat.org/oclc/5674966","WorldCat Record")</f>
        <v>WorldCat Record</v>
      </c>
      <c r="AX77" s="3" t="s">
        <v>898</v>
      </c>
      <c r="AY77" s="3" t="s">
        <v>899</v>
      </c>
      <c r="AZ77" s="3" t="s">
        <v>900</v>
      </c>
      <c r="BA77" s="3" t="s">
        <v>900</v>
      </c>
      <c r="BB77" s="3" t="s">
        <v>905</v>
      </c>
      <c r="BC77" s="3" t="s">
        <v>78</v>
      </c>
      <c r="BD77" s="3" t="s">
        <v>79</v>
      </c>
      <c r="BE77" s="3" t="s">
        <v>902</v>
      </c>
      <c r="BF77" s="3" t="s">
        <v>905</v>
      </c>
      <c r="BG77" s="3" t="s">
        <v>906</v>
      </c>
    </row>
    <row r="78" spans="1:59" ht="58" x14ac:dyDescent="0.35">
      <c r="A78" s="2" t="s">
        <v>59</v>
      </c>
      <c r="B78" s="2" t="s">
        <v>94</v>
      </c>
      <c r="C78" s="2" t="s">
        <v>907</v>
      </c>
      <c r="D78" s="2" t="s">
        <v>908</v>
      </c>
      <c r="E78" s="2" t="s">
        <v>909</v>
      </c>
      <c r="G78" s="3" t="s">
        <v>64</v>
      </c>
      <c r="I78" s="3" t="s">
        <v>64</v>
      </c>
      <c r="J78" s="3" t="s">
        <v>64</v>
      </c>
      <c r="K78" s="3" t="s">
        <v>65</v>
      </c>
      <c r="L78" s="2" t="s">
        <v>910</v>
      </c>
      <c r="M78" s="2" t="s">
        <v>911</v>
      </c>
      <c r="N78" s="3" t="s">
        <v>201</v>
      </c>
      <c r="P78" s="3" t="s">
        <v>69</v>
      </c>
      <c r="R78" s="3" t="s">
        <v>70</v>
      </c>
      <c r="S78" s="4">
        <v>7</v>
      </c>
      <c r="T78" s="4">
        <v>7</v>
      </c>
      <c r="U78" s="5" t="s">
        <v>912</v>
      </c>
      <c r="V78" s="5" t="s">
        <v>912</v>
      </c>
      <c r="W78" s="5" t="s">
        <v>72</v>
      </c>
      <c r="X78" s="5" t="s">
        <v>72</v>
      </c>
      <c r="Y78" s="4">
        <v>436</v>
      </c>
      <c r="Z78" s="4">
        <v>27</v>
      </c>
      <c r="AA78" s="4">
        <v>33</v>
      </c>
      <c r="AB78" s="4">
        <v>2</v>
      </c>
      <c r="AC78" s="4">
        <v>4</v>
      </c>
      <c r="AD78" s="4">
        <v>110</v>
      </c>
      <c r="AE78" s="4">
        <v>118</v>
      </c>
      <c r="AF78" s="4">
        <v>1</v>
      </c>
      <c r="AG78" s="4">
        <v>3</v>
      </c>
      <c r="AH78" s="4">
        <v>94</v>
      </c>
      <c r="AI78" s="4">
        <v>97</v>
      </c>
      <c r="AJ78" s="4">
        <v>15</v>
      </c>
      <c r="AK78" s="4">
        <v>19</v>
      </c>
      <c r="AL78" s="4">
        <v>54</v>
      </c>
      <c r="AM78" s="4">
        <v>55</v>
      </c>
      <c r="AN78" s="4">
        <v>0</v>
      </c>
      <c r="AO78" s="4">
        <v>0</v>
      </c>
      <c r="AP78" s="4">
        <v>22</v>
      </c>
      <c r="AQ78" s="4">
        <v>27</v>
      </c>
      <c r="AR78" s="3" t="s">
        <v>64</v>
      </c>
      <c r="AS78" s="3" t="s">
        <v>64</v>
      </c>
      <c r="AT78" s="3" t="s">
        <v>73</v>
      </c>
      <c r="AU78" s="6" t="str">
        <f>HYPERLINK("http://catalog.hathitrust.org/Record/001524937","HathiTrust Record")</f>
        <v>HathiTrust Record</v>
      </c>
      <c r="AV78" s="6" t="str">
        <f>HYPERLINK("http://mcgill.on.worldcat.org/oclc/103734","Catalog Record")</f>
        <v>Catalog Record</v>
      </c>
      <c r="AW78" s="6" t="str">
        <f>HYPERLINK("http://www.worldcat.org/oclc/103734","WorldCat Record")</f>
        <v>WorldCat Record</v>
      </c>
      <c r="AX78" s="3" t="s">
        <v>913</v>
      </c>
      <c r="AY78" s="3" t="s">
        <v>914</v>
      </c>
      <c r="AZ78" s="3" t="s">
        <v>915</v>
      </c>
      <c r="BA78" s="3" t="s">
        <v>915</v>
      </c>
      <c r="BB78" s="3" t="s">
        <v>916</v>
      </c>
      <c r="BC78" s="3" t="s">
        <v>78</v>
      </c>
      <c r="BD78" s="3" t="s">
        <v>79</v>
      </c>
      <c r="BF78" s="3" t="s">
        <v>916</v>
      </c>
      <c r="BG78" s="3" t="s">
        <v>917</v>
      </c>
    </row>
    <row r="79" spans="1:59" ht="58" x14ac:dyDescent="0.35">
      <c r="A79" s="2" t="s">
        <v>59</v>
      </c>
      <c r="B79" s="2" t="s">
        <v>94</v>
      </c>
      <c r="C79" s="2" t="s">
        <v>918</v>
      </c>
      <c r="D79" s="2" t="s">
        <v>919</v>
      </c>
      <c r="E79" s="2" t="s">
        <v>920</v>
      </c>
      <c r="G79" s="3" t="s">
        <v>64</v>
      </c>
      <c r="I79" s="3" t="s">
        <v>64</v>
      </c>
      <c r="J79" s="3" t="s">
        <v>64</v>
      </c>
      <c r="K79" s="3" t="s">
        <v>65</v>
      </c>
      <c r="M79" s="2" t="s">
        <v>921</v>
      </c>
      <c r="N79" s="3" t="s">
        <v>377</v>
      </c>
      <c r="P79" s="3" t="s">
        <v>69</v>
      </c>
      <c r="Q79" s="2" t="s">
        <v>922</v>
      </c>
      <c r="R79" s="3" t="s">
        <v>70</v>
      </c>
      <c r="S79" s="4">
        <v>2</v>
      </c>
      <c r="T79" s="4">
        <v>2</v>
      </c>
      <c r="U79" s="5" t="s">
        <v>923</v>
      </c>
      <c r="V79" s="5" t="s">
        <v>923</v>
      </c>
      <c r="W79" s="5" t="s">
        <v>72</v>
      </c>
      <c r="X79" s="5" t="s">
        <v>72</v>
      </c>
      <c r="Y79" s="4">
        <v>185</v>
      </c>
      <c r="Z79" s="4">
        <v>9</v>
      </c>
      <c r="AA79" s="4">
        <v>19</v>
      </c>
      <c r="AB79" s="4">
        <v>1</v>
      </c>
      <c r="AC79" s="4">
        <v>4</v>
      </c>
      <c r="AD79" s="4">
        <v>41</v>
      </c>
      <c r="AE79" s="4">
        <v>59</v>
      </c>
      <c r="AF79" s="4">
        <v>0</v>
      </c>
      <c r="AG79" s="4">
        <v>2</v>
      </c>
      <c r="AH79" s="4">
        <v>37</v>
      </c>
      <c r="AI79" s="4">
        <v>50</v>
      </c>
      <c r="AJ79" s="4">
        <v>5</v>
      </c>
      <c r="AK79" s="4">
        <v>13</v>
      </c>
      <c r="AL79" s="4">
        <v>25</v>
      </c>
      <c r="AM79" s="4">
        <v>32</v>
      </c>
      <c r="AN79" s="4">
        <v>0</v>
      </c>
      <c r="AO79" s="4">
        <v>0</v>
      </c>
      <c r="AP79" s="4">
        <v>7</v>
      </c>
      <c r="AQ79" s="4">
        <v>14</v>
      </c>
      <c r="AR79" s="3" t="s">
        <v>64</v>
      </c>
      <c r="AS79" s="3" t="s">
        <v>64</v>
      </c>
      <c r="AT79" s="3" t="s">
        <v>64</v>
      </c>
      <c r="AV79" s="6" t="str">
        <f>HYPERLINK("http://mcgill.on.worldcat.org/oclc/791690317","Catalog Record")</f>
        <v>Catalog Record</v>
      </c>
      <c r="AW79" s="6" t="str">
        <f>HYPERLINK("http://www.worldcat.org/oclc/791690317","WorldCat Record")</f>
        <v>WorldCat Record</v>
      </c>
      <c r="AX79" s="3" t="s">
        <v>924</v>
      </c>
      <c r="AY79" s="3" t="s">
        <v>925</v>
      </c>
      <c r="AZ79" s="3" t="s">
        <v>926</v>
      </c>
      <c r="BA79" s="3" t="s">
        <v>926</v>
      </c>
      <c r="BB79" s="3" t="s">
        <v>927</v>
      </c>
      <c r="BC79" s="3" t="s">
        <v>78</v>
      </c>
      <c r="BD79" s="3" t="s">
        <v>79</v>
      </c>
      <c r="BE79" s="3" t="s">
        <v>928</v>
      </c>
      <c r="BF79" s="3" t="s">
        <v>927</v>
      </c>
      <c r="BG79" s="3" t="s">
        <v>929</v>
      </c>
    </row>
    <row r="80" spans="1:59" ht="58" x14ac:dyDescent="0.35">
      <c r="A80" s="2" t="s">
        <v>59</v>
      </c>
      <c r="B80" s="2" t="s">
        <v>94</v>
      </c>
      <c r="C80" s="2" t="s">
        <v>930</v>
      </c>
      <c r="D80" s="2" t="s">
        <v>931</v>
      </c>
      <c r="E80" s="2" t="s">
        <v>932</v>
      </c>
      <c r="G80" s="3" t="s">
        <v>64</v>
      </c>
      <c r="I80" s="3" t="s">
        <v>64</v>
      </c>
      <c r="J80" s="3" t="s">
        <v>64</v>
      </c>
      <c r="K80" s="3" t="s">
        <v>65</v>
      </c>
      <c r="M80" s="2" t="s">
        <v>933</v>
      </c>
      <c r="N80" s="3" t="s">
        <v>705</v>
      </c>
      <c r="P80" s="3" t="s">
        <v>69</v>
      </c>
      <c r="R80" s="3" t="s">
        <v>70</v>
      </c>
      <c r="S80" s="4">
        <v>78</v>
      </c>
      <c r="T80" s="4">
        <v>78</v>
      </c>
      <c r="U80" s="5" t="s">
        <v>934</v>
      </c>
      <c r="V80" s="5" t="s">
        <v>934</v>
      </c>
      <c r="W80" s="5" t="s">
        <v>72</v>
      </c>
      <c r="X80" s="5" t="s">
        <v>72</v>
      </c>
      <c r="Y80" s="4">
        <v>210</v>
      </c>
      <c r="Z80" s="4">
        <v>15</v>
      </c>
      <c r="AA80" s="4">
        <v>15</v>
      </c>
      <c r="AB80" s="4">
        <v>2</v>
      </c>
      <c r="AC80" s="4">
        <v>2</v>
      </c>
      <c r="AD80" s="4">
        <v>98</v>
      </c>
      <c r="AE80" s="4">
        <v>98</v>
      </c>
      <c r="AF80" s="4">
        <v>1</v>
      </c>
      <c r="AG80" s="4">
        <v>1</v>
      </c>
      <c r="AH80" s="4">
        <v>89</v>
      </c>
      <c r="AI80" s="4">
        <v>89</v>
      </c>
      <c r="AJ80" s="4">
        <v>10</v>
      </c>
      <c r="AK80" s="4">
        <v>10</v>
      </c>
      <c r="AL80" s="4">
        <v>52</v>
      </c>
      <c r="AM80" s="4">
        <v>52</v>
      </c>
      <c r="AN80" s="4">
        <v>0</v>
      </c>
      <c r="AO80" s="4">
        <v>0</v>
      </c>
      <c r="AP80" s="4">
        <v>13</v>
      </c>
      <c r="AQ80" s="4">
        <v>13</v>
      </c>
      <c r="AR80" s="3" t="s">
        <v>64</v>
      </c>
      <c r="AS80" s="3" t="s">
        <v>64</v>
      </c>
      <c r="AT80" s="3" t="s">
        <v>73</v>
      </c>
      <c r="AU80" s="6" t="str">
        <f>HYPERLINK("http://catalog.hathitrust.org/Record/003065068","HathiTrust Record")</f>
        <v>HathiTrust Record</v>
      </c>
      <c r="AV80" s="6" t="str">
        <f>HYPERLINK("http://mcgill.on.worldcat.org/oclc/32859231","Catalog Record")</f>
        <v>Catalog Record</v>
      </c>
      <c r="AW80" s="6" t="str">
        <f>HYPERLINK("http://www.worldcat.org/oclc/32859231","WorldCat Record")</f>
        <v>WorldCat Record</v>
      </c>
      <c r="AX80" s="3" t="s">
        <v>935</v>
      </c>
      <c r="AY80" s="3" t="s">
        <v>936</v>
      </c>
      <c r="AZ80" s="3" t="s">
        <v>937</v>
      </c>
      <c r="BA80" s="3" t="s">
        <v>937</v>
      </c>
      <c r="BB80" s="3" t="s">
        <v>938</v>
      </c>
      <c r="BC80" s="3" t="s">
        <v>78</v>
      </c>
      <c r="BD80" s="3" t="s">
        <v>79</v>
      </c>
      <c r="BE80" s="3" t="s">
        <v>939</v>
      </c>
      <c r="BF80" s="3" t="s">
        <v>938</v>
      </c>
      <c r="BG80" s="3" t="s">
        <v>940</v>
      </c>
    </row>
    <row r="81" spans="1:59" ht="58" x14ac:dyDescent="0.35">
      <c r="A81" s="2" t="s">
        <v>59</v>
      </c>
      <c r="B81" s="2" t="s">
        <v>94</v>
      </c>
      <c r="C81" s="2" t="s">
        <v>941</v>
      </c>
      <c r="D81" s="2" t="s">
        <v>942</v>
      </c>
      <c r="E81" s="2" t="s">
        <v>943</v>
      </c>
      <c r="G81" s="3" t="s">
        <v>64</v>
      </c>
      <c r="I81" s="3" t="s">
        <v>64</v>
      </c>
      <c r="J81" s="3" t="s">
        <v>64</v>
      </c>
      <c r="K81" s="3" t="s">
        <v>65</v>
      </c>
      <c r="L81" s="2" t="s">
        <v>944</v>
      </c>
      <c r="M81" s="2" t="s">
        <v>945</v>
      </c>
      <c r="N81" s="3" t="s">
        <v>524</v>
      </c>
      <c r="P81" s="3" t="s">
        <v>69</v>
      </c>
      <c r="R81" s="3" t="s">
        <v>70</v>
      </c>
      <c r="S81" s="4">
        <v>0</v>
      </c>
      <c r="T81" s="4">
        <v>0</v>
      </c>
      <c r="W81" s="5" t="s">
        <v>72</v>
      </c>
      <c r="X81" s="5" t="s">
        <v>72</v>
      </c>
      <c r="Y81" s="4">
        <v>181</v>
      </c>
      <c r="Z81" s="4">
        <v>17</v>
      </c>
      <c r="AA81" s="4">
        <v>38</v>
      </c>
      <c r="AB81" s="4">
        <v>1</v>
      </c>
      <c r="AC81" s="4">
        <v>6</v>
      </c>
      <c r="AD81" s="4">
        <v>60</v>
      </c>
      <c r="AE81" s="4">
        <v>93</v>
      </c>
      <c r="AF81" s="4">
        <v>0</v>
      </c>
      <c r="AG81" s="4">
        <v>2</v>
      </c>
      <c r="AH81" s="4">
        <v>52</v>
      </c>
      <c r="AI81" s="4">
        <v>75</v>
      </c>
      <c r="AJ81" s="4">
        <v>9</v>
      </c>
      <c r="AK81" s="4">
        <v>14</v>
      </c>
      <c r="AL81" s="4">
        <v>36</v>
      </c>
      <c r="AM81" s="4">
        <v>45</v>
      </c>
      <c r="AN81" s="4">
        <v>0</v>
      </c>
      <c r="AO81" s="4">
        <v>0</v>
      </c>
      <c r="AP81" s="4">
        <v>9</v>
      </c>
      <c r="AQ81" s="4">
        <v>21</v>
      </c>
      <c r="AR81" s="3" t="s">
        <v>64</v>
      </c>
      <c r="AS81" s="3" t="s">
        <v>64</v>
      </c>
      <c r="AT81" s="3" t="s">
        <v>64</v>
      </c>
      <c r="AV81" s="6" t="str">
        <f>HYPERLINK("http://mcgill.on.worldcat.org/oclc/820553382","Catalog Record")</f>
        <v>Catalog Record</v>
      </c>
      <c r="AW81" s="6" t="str">
        <f>HYPERLINK("http://www.worldcat.org/oclc/820553382","WorldCat Record")</f>
        <v>WorldCat Record</v>
      </c>
      <c r="AX81" s="3" t="s">
        <v>946</v>
      </c>
      <c r="AY81" s="3" t="s">
        <v>947</v>
      </c>
      <c r="AZ81" s="3" t="s">
        <v>948</v>
      </c>
      <c r="BA81" s="3" t="s">
        <v>948</v>
      </c>
      <c r="BB81" s="3" t="s">
        <v>949</v>
      </c>
      <c r="BC81" s="3" t="s">
        <v>78</v>
      </c>
      <c r="BD81" s="3" t="s">
        <v>79</v>
      </c>
      <c r="BE81" s="3" t="s">
        <v>950</v>
      </c>
      <c r="BF81" s="3" t="s">
        <v>949</v>
      </c>
      <c r="BG81" s="3" t="s">
        <v>951</v>
      </c>
    </row>
    <row r="82" spans="1:59" ht="58" x14ac:dyDescent="0.35">
      <c r="A82" s="2" t="s">
        <v>59</v>
      </c>
      <c r="B82" s="2" t="s">
        <v>94</v>
      </c>
      <c r="C82" s="2" t="s">
        <v>952</v>
      </c>
      <c r="D82" s="2" t="s">
        <v>953</v>
      </c>
      <c r="E82" s="2" t="s">
        <v>954</v>
      </c>
      <c r="G82" s="3" t="s">
        <v>64</v>
      </c>
      <c r="I82" s="3" t="s">
        <v>64</v>
      </c>
      <c r="J82" s="3" t="s">
        <v>64</v>
      </c>
      <c r="K82" s="3" t="s">
        <v>65</v>
      </c>
      <c r="L82" s="2" t="s">
        <v>955</v>
      </c>
      <c r="M82" s="2" t="s">
        <v>956</v>
      </c>
      <c r="N82" s="3" t="s">
        <v>328</v>
      </c>
      <c r="P82" s="3" t="s">
        <v>69</v>
      </c>
      <c r="R82" s="3" t="s">
        <v>70</v>
      </c>
      <c r="S82" s="4">
        <v>5</v>
      </c>
      <c r="T82" s="4">
        <v>5</v>
      </c>
      <c r="U82" s="5" t="s">
        <v>957</v>
      </c>
      <c r="V82" s="5" t="s">
        <v>957</v>
      </c>
      <c r="W82" s="5" t="s">
        <v>72</v>
      </c>
      <c r="X82" s="5" t="s">
        <v>72</v>
      </c>
      <c r="Y82" s="4">
        <v>189</v>
      </c>
      <c r="Z82" s="4">
        <v>16</v>
      </c>
      <c r="AA82" s="4">
        <v>83</v>
      </c>
      <c r="AB82" s="4">
        <v>1</v>
      </c>
      <c r="AC82" s="4">
        <v>15</v>
      </c>
      <c r="AD82" s="4">
        <v>63</v>
      </c>
      <c r="AE82" s="4">
        <v>126</v>
      </c>
      <c r="AF82" s="4">
        <v>0</v>
      </c>
      <c r="AG82" s="4">
        <v>8</v>
      </c>
      <c r="AH82" s="4">
        <v>56</v>
      </c>
      <c r="AI82" s="4">
        <v>91</v>
      </c>
      <c r="AJ82" s="4">
        <v>7</v>
      </c>
      <c r="AK82" s="4">
        <v>20</v>
      </c>
      <c r="AL82" s="4">
        <v>37</v>
      </c>
      <c r="AM82" s="4">
        <v>50</v>
      </c>
      <c r="AN82" s="4">
        <v>0</v>
      </c>
      <c r="AO82" s="4">
        <v>0</v>
      </c>
      <c r="AP82" s="4">
        <v>11</v>
      </c>
      <c r="AQ82" s="4">
        <v>41</v>
      </c>
      <c r="AR82" s="3" t="s">
        <v>64</v>
      </c>
      <c r="AS82" s="3" t="s">
        <v>64</v>
      </c>
      <c r="AT82" s="3" t="s">
        <v>64</v>
      </c>
      <c r="AV82" s="6" t="str">
        <f>HYPERLINK("http://mcgill.on.worldcat.org/oclc/687681623","Catalog Record")</f>
        <v>Catalog Record</v>
      </c>
      <c r="AW82" s="6" t="str">
        <f>HYPERLINK("http://www.worldcat.org/oclc/687681623","WorldCat Record")</f>
        <v>WorldCat Record</v>
      </c>
      <c r="AX82" s="3" t="s">
        <v>958</v>
      </c>
      <c r="AY82" s="3" t="s">
        <v>959</v>
      </c>
      <c r="AZ82" s="3" t="s">
        <v>960</v>
      </c>
      <c r="BA82" s="3" t="s">
        <v>960</v>
      </c>
      <c r="BB82" s="3" t="s">
        <v>961</v>
      </c>
      <c r="BC82" s="3" t="s">
        <v>78</v>
      </c>
      <c r="BD82" s="3" t="s">
        <v>414</v>
      </c>
      <c r="BE82" s="3" t="s">
        <v>962</v>
      </c>
      <c r="BF82" s="3" t="s">
        <v>961</v>
      </c>
      <c r="BG82" s="3" t="s">
        <v>963</v>
      </c>
    </row>
    <row r="83" spans="1:59" ht="58" x14ac:dyDescent="0.35">
      <c r="A83" s="2" t="s">
        <v>59</v>
      </c>
      <c r="B83" s="2" t="s">
        <v>94</v>
      </c>
      <c r="C83" s="2" t="s">
        <v>964</v>
      </c>
      <c r="D83" s="2" t="s">
        <v>965</v>
      </c>
      <c r="E83" s="2" t="s">
        <v>966</v>
      </c>
      <c r="G83" s="3" t="s">
        <v>64</v>
      </c>
      <c r="I83" s="3" t="s">
        <v>64</v>
      </c>
      <c r="J83" s="3" t="s">
        <v>64</v>
      </c>
      <c r="K83" s="3" t="s">
        <v>65</v>
      </c>
      <c r="L83" s="2" t="s">
        <v>967</v>
      </c>
      <c r="M83" s="2" t="s">
        <v>968</v>
      </c>
      <c r="N83" s="3" t="s">
        <v>499</v>
      </c>
      <c r="P83" s="3" t="s">
        <v>69</v>
      </c>
      <c r="R83" s="3" t="s">
        <v>70</v>
      </c>
      <c r="S83" s="4">
        <v>9</v>
      </c>
      <c r="T83" s="4">
        <v>9</v>
      </c>
      <c r="U83" s="5" t="s">
        <v>969</v>
      </c>
      <c r="V83" s="5" t="s">
        <v>969</v>
      </c>
      <c r="W83" s="5" t="s">
        <v>72</v>
      </c>
      <c r="X83" s="5" t="s">
        <v>72</v>
      </c>
      <c r="Y83" s="4">
        <v>258</v>
      </c>
      <c r="Z83" s="4">
        <v>17</v>
      </c>
      <c r="AA83" s="4">
        <v>19</v>
      </c>
      <c r="AB83" s="4">
        <v>2</v>
      </c>
      <c r="AC83" s="4">
        <v>4</v>
      </c>
      <c r="AD83" s="4">
        <v>74</v>
      </c>
      <c r="AE83" s="4">
        <v>75</v>
      </c>
      <c r="AF83" s="4">
        <v>0</v>
      </c>
      <c r="AG83" s="4">
        <v>1</v>
      </c>
      <c r="AH83" s="4">
        <v>68</v>
      </c>
      <c r="AI83" s="4">
        <v>68</v>
      </c>
      <c r="AJ83" s="4">
        <v>11</v>
      </c>
      <c r="AK83" s="4">
        <v>12</v>
      </c>
      <c r="AL83" s="4">
        <v>41</v>
      </c>
      <c r="AM83" s="4">
        <v>41</v>
      </c>
      <c r="AN83" s="4">
        <v>0</v>
      </c>
      <c r="AO83" s="4">
        <v>0</v>
      </c>
      <c r="AP83" s="4">
        <v>12</v>
      </c>
      <c r="AQ83" s="4">
        <v>12</v>
      </c>
      <c r="AR83" s="3" t="s">
        <v>64</v>
      </c>
      <c r="AS83" s="3" t="s">
        <v>64</v>
      </c>
      <c r="AT83" s="3" t="s">
        <v>64</v>
      </c>
      <c r="AV83" s="6" t="str">
        <f>HYPERLINK("http://mcgill.on.worldcat.org/oclc/61108437","Catalog Record")</f>
        <v>Catalog Record</v>
      </c>
      <c r="AW83" s="6" t="str">
        <f>HYPERLINK("http://www.worldcat.org/oclc/61108437","WorldCat Record")</f>
        <v>WorldCat Record</v>
      </c>
      <c r="AX83" s="3" t="s">
        <v>970</v>
      </c>
      <c r="AY83" s="3" t="s">
        <v>971</v>
      </c>
      <c r="AZ83" s="3" t="s">
        <v>972</v>
      </c>
      <c r="BA83" s="3" t="s">
        <v>972</v>
      </c>
      <c r="BB83" s="3" t="s">
        <v>973</v>
      </c>
      <c r="BC83" s="3" t="s">
        <v>78</v>
      </c>
      <c r="BD83" s="3" t="s">
        <v>79</v>
      </c>
      <c r="BE83" s="3" t="s">
        <v>974</v>
      </c>
      <c r="BF83" s="3" t="s">
        <v>973</v>
      </c>
      <c r="BG83" s="3" t="s">
        <v>975</v>
      </c>
    </row>
    <row r="84" spans="1:59" ht="58" x14ac:dyDescent="0.35">
      <c r="A84" s="2" t="s">
        <v>59</v>
      </c>
      <c r="B84" s="2" t="s">
        <v>94</v>
      </c>
      <c r="C84" s="2" t="s">
        <v>976</v>
      </c>
      <c r="D84" s="2" t="s">
        <v>977</v>
      </c>
      <c r="E84" s="2" t="s">
        <v>978</v>
      </c>
      <c r="G84" s="3" t="s">
        <v>64</v>
      </c>
      <c r="I84" s="3" t="s">
        <v>64</v>
      </c>
      <c r="J84" s="3" t="s">
        <v>64</v>
      </c>
      <c r="K84" s="3" t="s">
        <v>65</v>
      </c>
      <c r="L84" s="2" t="s">
        <v>967</v>
      </c>
      <c r="M84" s="2" t="s">
        <v>979</v>
      </c>
      <c r="N84" s="3" t="s">
        <v>651</v>
      </c>
      <c r="P84" s="3" t="s">
        <v>69</v>
      </c>
      <c r="R84" s="3" t="s">
        <v>70</v>
      </c>
      <c r="S84" s="4">
        <v>11</v>
      </c>
      <c r="T84" s="4">
        <v>11</v>
      </c>
      <c r="U84" s="5" t="s">
        <v>969</v>
      </c>
      <c r="V84" s="5" t="s">
        <v>969</v>
      </c>
      <c r="W84" s="5" t="s">
        <v>72</v>
      </c>
      <c r="X84" s="5" t="s">
        <v>72</v>
      </c>
      <c r="Y84" s="4">
        <v>469</v>
      </c>
      <c r="Z84" s="4">
        <v>31</v>
      </c>
      <c r="AA84" s="4">
        <v>38</v>
      </c>
      <c r="AB84" s="4">
        <v>2</v>
      </c>
      <c r="AC84" s="4">
        <v>5</v>
      </c>
      <c r="AD84" s="4">
        <v>108</v>
      </c>
      <c r="AE84" s="4">
        <v>114</v>
      </c>
      <c r="AF84" s="4">
        <v>1</v>
      </c>
      <c r="AG84" s="4">
        <v>3</v>
      </c>
      <c r="AH84" s="4">
        <v>88</v>
      </c>
      <c r="AI84" s="4">
        <v>89</v>
      </c>
      <c r="AJ84" s="4">
        <v>17</v>
      </c>
      <c r="AK84" s="4">
        <v>20</v>
      </c>
      <c r="AL84" s="4">
        <v>51</v>
      </c>
      <c r="AM84" s="4">
        <v>51</v>
      </c>
      <c r="AN84" s="4">
        <v>0</v>
      </c>
      <c r="AO84" s="4">
        <v>0</v>
      </c>
      <c r="AP84" s="4">
        <v>25</v>
      </c>
      <c r="AQ84" s="4">
        <v>30</v>
      </c>
      <c r="AR84" s="3" t="s">
        <v>64</v>
      </c>
      <c r="AS84" s="3" t="s">
        <v>64</v>
      </c>
      <c r="AT84" s="3" t="s">
        <v>64</v>
      </c>
      <c r="AV84" s="6" t="str">
        <f>HYPERLINK("http://mcgill.on.worldcat.org/oclc/50899036","Catalog Record")</f>
        <v>Catalog Record</v>
      </c>
      <c r="AW84" s="6" t="str">
        <f>HYPERLINK("http://www.worldcat.org/oclc/50899036","WorldCat Record")</f>
        <v>WorldCat Record</v>
      </c>
      <c r="AX84" s="3" t="s">
        <v>980</v>
      </c>
      <c r="AY84" s="3" t="s">
        <v>981</v>
      </c>
      <c r="AZ84" s="3" t="s">
        <v>982</v>
      </c>
      <c r="BA84" s="3" t="s">
        <v>982</v>
      </c>
      <c r="BB84" s="3" t="s">
        <v>983</v>
      </c>
      <c r="BC84" s="3" t="s">
        <v>78</v>
      </c>
      <c r="BD84" s="3" t="s">
        <v>79</v>
      </c>
      <c r="BE84" s="3" t="s">
        <v>984</v>
      </c>
      <c r="BF84" s="3" t="s">
        <v>983</v>
      </c>
      <c r="BG84" s="3" t="s">
        <v>985</v>
      </c>
    </row>
    <row r="85" spans="1:59" ht="58" x14ac:dyDescent="0.35">
      <c r="A85" s="2" t="s">
        <v>59</v>
      </c>
      <c r="B85" s="2" t="s">
        <v>94</v>
      </c>
      <c r="C85" s="2" t="s">
        <v>986</v>
      </c>
      <c r="D85" s="2" t="s">
        <v>987</v>
      </c>
      <c r="E85" s="2" t="s">
        <v>988</v>
      </c>
      <c r="G85" s="3" t="s">
        <v>64</v>
      </c>
      <c r="I85" s="3" t="s">
        <v>64</v>
      </c>
      <c r="J85" s="3" t="s">
        <v>64</v>
      </c>
      <c r="K85" s="3" t="s">
        <v>65</v>
      </c>
      <c r="L85" s="2" t="s">
        <v>989</v>
      </c>
      <c r="M85" s="2" t="s">
        <v>990</v>
      </c>
      <c r="N85" s="3" t="s">
        <v>365</v>
      </c>
      <c r="P85" s="3" t="s">
        <v>69</v>
      </c>
      <c r="Q85" s="2" t="s">
        <v>991</v>
      </c>
      <c r="R85" s="3" t="s">
        <v>70</v>
      </c>
      <c r="S85" s="4">
        <v>2</v>
      </c>
      <c r="T85" s="4">
        <v>2</v>
      </c>
      <c r="U85" s="5" t="s">
        <v>615</v>
      </c>
      <c r="V85" s="5" t="s">
        <v>615</v>
      </c>
      <c r="W85" s="5" t="s">
        <v>72</v>
      </c>
      <c r="X85" s="5" t="s">
        <v>72</v>
      </c>
      <c r="Y85" s="4">
        <v>343</v>
      </c>
      <c r="Z85" s="4">
        <v>16</v>
      </c>
      <c r="AA85" s="4">
        <v>17</v>
      </c>
      <c r="AB85" s="4">
        <v>1</v>
      </c>
      <c r="AC85" s="4">
        <v>1</v>
      </c>
      <c r="AD85" s="4">
        <v>89</v>
      </c>
      <c r="AE85" s="4">
        <v>91</v>
      </c>
      <c r="AF85" s="4">
        <v>0</v>
      </c>
      <c r="AG85" s="4">
        <v>0</v>
      </c>
      <c r="AH85" s="4">
        <v>83</v>
      </c>
      <c r="AI85" s="4">
        <v>85</v>
      </c>
      <c r="AJ85" s="4">
        <v>10</v>
      </c>
      <c r="AK85" s="4">
        <v>10</v>
      </c>
      <c r="AL85" s="4">
        <v>46</v>
      </c>
      <c r="AM85" s="4">
        <v>47</v>
      </c>
      <c r="AN85" s="4">
        <v>0</v>
      </c>
      <c r="AO85" s="4">
        <v>0</v>
      </c>
      <c r="AP85" s="4">
        <v>12</v>
      </c>
      <c r="AQ85" s="4">
        <v>12</v>
      </c>
      <c r="AR85" s="3" t="s">
        <v>64</v>
      </c>
      <c r="AS85" s="3" t="s">
        <v>64</v>
      </c>
      <c r="AT85" s="3" t="s">
        <v>73</v>
      </c>
      <c r="AU85" s="6" t="str">
        <f>HYPERLINK("http://catalog.hathitrust.org/Record/000380953","HathiTrust Record")</f>
        <v>HathiTrust Record</v>
      </c>
      <c r="AV85" s="6" t="str">
        <f>HYPERLINK("http://mcgill.on.worldcat.org/oclc/11727384","Catalog Record")</f>
        <v>Catalog Record</v>
      </c>
      <c r="AW85" s="6" t="str">
        <f>HYPERLINK("http://www.worldcat.org/oclc/11727384","WorldCat Record")</f>
        <v>WorldCat Record</v>
      </c>
      <c r="AX85" s="3" t="s">
        <v>992</v>
      </c>
      <c r="AY85" s="3" t="s">
        <v>993</v>
      </c>
      <c r="AZ85" s="3" t="s">
        <v>994</v>
      </c>
      <c r="BA85" s="3" t="s">
        <v>994</v>
      </c>
      <c r="BB85" s="3" t="s">
        <v>995</v>
      </c>
      <c r="BC85" s="3" t="s">
        <v>78</v>
      </c>
      <c r="BD85" s="3" t="s">
        <v>79</v>
      </c>
      <c r="BE85" s="3" t="s">
        <v>996</v>
      </c>
      <c r="BF85" s="3" t="s">
        <v>995</v>
      </c>
      <c r="BG85" s="3" t="s">
        <v>997</v>
      </c>
    </row>
    <row r="86" spans="1:59" ht="58" x14ac:dyDescent="0.35">
      <c r="A86" s="2" t="s">
        <v>59</v>
      </c>
      <c r="B86" s="2" t="s">
        <v>94</v>
      </c>
      <c r="C86" s="2" t="s">
        <v>998</v>
      </c>
      <c r="D86" s="2" t="s">
        <v>999</v>
      </c>
      <c r="E86" s="2" t="s">
        <v>1000</v>
      </c>
      <c r="G86" s="3" t="s">
        <v>64</v>
      </c>
      <c r="I86" s="3" t="s">
        <v>64</v>
      </c>
      <c r="J86" s="3" t="s">
        <v>64</v>
      </c>
      <c r="K86" s="3" t="s">
        <v>65</v>
      </c>
      <c r="L86" s="2" t="s">
        <v>1001</v>
      </c>
      <c r="M86" s="2" t="s">
        <v>1002</v>
      </c>
      <c r="N86" s="3" t="s">
        <v>449</v>
      </c>
      <c r="P86" s="3" t="s">
        <v>69</v>
      </c>
      <c r="R86" s="3" t="s">
        <v>70</v>
      </c>
      <c r="S86" s="4">
        <v>9</v>
      </c>
      <c r="T86" s="4">
        <v>9</v>
      </c>
      <c r="U86" s="5" t="s">
        <v>1003</v>
      </c>
      <c r="V86" s="5" t="s">
        <v>1003</v>
      </c>
      <c r="W86" s="5" t="s">
        <v>72</v>
      </c>
      <c r="X86" s="5" t="s">
        <v>72</v>
      </c>
      <c r="Y86" s="4">
        <v>299</v>
      </c>
      <c r="Z86" s="4">
        <v>26</v>
      </c>
      <c r="AA86" s="4">
        <v>28</v>
      </c>
      <c r="AB86" s="4">
        <v>2</v>
      </c>
      <c r="AC86" s="4">
        <v>3</v>
      </c>
      <c r="AD86" s="4">
        <v>88</v>
      </c>
      <c r="AE86" s="4">
        <v>94</v>
      </c>
      <c r="AF86" s="4">
        <v>1</v>
      </c>
      <c r="AG86" s="4">
        <v>2</v>
      </c>
      <c r="AH86" s="4">
        <v>76</v>
      </c>
      <c r="AI86" s="4">
        <v>81</v>
      </c>
      <c r="AJ86" s="4">
        <v>12</v>
      </c>
      <c r="AK86" s="4">
        <v>14</v>
      </c>
      <c r="AL86" s="4">
        <v>46</v>
      </c>
      <c r="AM86" s="4">
        <v>50</v>
      </c>
      <c r="AN86" s="4">
        <v>0</v>
      </c>
      <c r="AO86" s="4">
        <v>0</v>
      </c>
      <c r="AP86" s="4">
        <v>15</v>
      </c>
      <c r="AQ86" s="4">
        <v>17</v>
      </c>
      <c r="AR86" s="3" t="s">
        <v>64</v>
      </c>
      <c r="AS86" s="3" t="s">
        <v>64</v>
      </c>
      <c r="AT86" s="3" t="s">
        <v>64</v>
      </c>
      <c r="AV86" s="6" t="str">
        <f>HYPERLINK("http://mcgill.on.worldcat.org/oclc/182621481","Catalog Record")</f>
        <v>Catalog Record</v>
      </c>
      <c r="AW86" s="6" t="str">
        <f>HYPERLINK("http://www.worldcat.org/oclc/182621481","WorldCat Record")</f>
        <v>WorldCat Record</v>
      </c>
      <c r="AX86" s="3" t="s">
        <v>1004</v>
      </c>
      <c r="AY86" s="3" t="s">
        <v>1005</v>
      </c>
      <c r="AZ86" s="3" t="s">
        <v>1006</v>
      </c>
      <c r="BA86" s="3" t="s">
        <v>1006</v>
      </c>
      <c r="BB86" s="3" t="s">
        <v>1007</v>
      </c>
      <c r="BC86" s="3" t="s">
        <v>78</v>
      </c>
      <c r="BD86" s="3" t="s">
        <v>79</v>
      </c>
      <c r="BE86" s="3" t="s">
        <v>1008</v>
      </c>
      <c r="BF86" s="3" t="s">
        <v>1007</v>
      </c>
      <c r="BG86" s="3" t="s">
        <v>1009</v>
      </c>
    </row>
    <row r="87" spans="1:59" ht="58" x14ac:dyDescent="0.35">
      <c r="A87" s="2" t="s">
        <v>59</v>
      </c>
      <c r="B87" s="2" t="s">
        <v>94</v>
      </c>
      <c r="C87" s="2" t="s">
        <v>1010</v>
      </c>
      <c r="D87" s="2" t="s">
        <v>1011</v>
      </c>
      <c r="E87" s="2" t="s">
        <v>1012</v>
      </c>
      <c r="G87" s="3" t="s">
        <v>64</v>
      </c>
      <c r="I87" s="3" t="s">
        <v>64</v>
      </c>
      <c r="J87" s="3" t="s">
        <v>64</v>
      </c>
      <c r="K87" s="3" t="s">
        <v>65</v>
      </c>
      <c r="L87" s="2" t="s">
        <v>1013</v>
      </c>
      <c r="M87" s="2" t="s">
        <v>1014</v>
      </c>
      <c r="N87" s="3" t="s">
        <v>538</v>
      </c>
      <c r="O87" s="2" t="s">
        <v>1015</v>
      </c>
      <c r="P87" s="3" t="s">
        <v>69</v>
      </c>
      <c r="Q87" s="2" t="s">
        <v>1016</v>
      </c>
      <c r="R87" s="3" t="s">
        <v>70</v>
      </c>
      <c r="S87" s="4">
        <v>16</v>
      </c>
      <c r="T87" s="4">
        <v>16</v>
      </c>
      <c r="U87" s="5" t="s">
        <v>1017</v>
      </c>
      <c r="V87" s="5" t="s">
        <v>1017</v>
      </c>
      <c r="W87" s="5" t="s">
        <v>72</v>
      </c>
      <c r="X87" s="5" t="s">
        <v>72</v>
      </c>
      <c r="Y87" s="4">
        <v>798</v>
      </c>
      <c r="Z87" s="4">
        <v>16</v>
      </c>
      <c r="AA87" s="4">
        <v>48</v>
      </c>
      <c r="AB87" s="4">
        <v>1</v>
      </c>
      <c r="AC87" s="4">
        <v>4</v>
      </c>
      <c r="AD87" s="4">
        <v>55</v>
      </c>
      <c r="AE87" s="4">
        <v>105</v>
      </c>
      <c r="AF87" s="4">
        <v>0</v>
      </c>
      <c r="AG87" s="4">
        <v>2</v>
      </c>
      <c r="AH87" s="4">
        <v>50</v>
      </c>
      <c r="AI87" s="4">
        <v>89</v>
      </c>
      <c r="AJ87" s="4">
        <v>3</v>
      </c>
      <c r="AK87" s="4">
        <v>16</v>
      </c>
      <c r="AL87" s="4">
        <v>29</v>
      </c>
      <c r="AM87" s="4">
        <v>51</v>
      </c>
      <c r="AN87" s="4">
        <v>5</v>
      </c>
      <c r="AO87" s="4">
        <v>6</v>
      </c>
      <c r="AP87" s="4">
        <v>7</v>
      </c>
      <c r="AQ87" s="4">
        <v>20</v>
      </c>
      <c r="AR87" s="3" t="s">
        <v>64</v>
      </c>
      <c r="AS87" s="3" t="s">
        <v>64</v>
      </c>
      <c r="AT87" s="3" t="s">
        <v>73</v>
      </c>
      <c r="AU87" s="6" t="str">
        <f>HYPERLINK("http://catalog.hathitrust.org/Record/102049041","HathiTrust Record")</f>
        <v>HathiTrust Record</v>
      </c>
      <c r="AV87" s="6" t="str">
        <f>HYPERLINK("http://mcgill.on.worldcat.org/oclc/69680187","Catalog Record")</f>
        <v>Catalog Record</v>
      </c>
      <c r="AW87" s="6" t="str">
        <f>HYPERLINK("http://www.worldcat.org/oclc/69680187","WorldCat Record")</f>
        <v>WorldCat Record</v>
      </c>
      <c r="AX87" s="3" t="s">
        <v>1018</v>
      </c>
      <c r="AY87" s="3" t="s">
        <v>1019</v>
      </c>
      <c r="AZ87" s="3" t="s">
        <v>1020</v>
      </c>
      <c r="BA87" s="3" t="s">
        <v>1020</v>
      </c>
      <c r="BB87" s="3" t="s">
        <v>1021</v>
      </c>
      <c r="BC87" s="3" t="s">
        <v>78</v>
      </c>
      <c r="BD87" s="3" t="s">
        <v>79</v>
      </c>
      <c r="BE87" s="3" t="s">
        <v>1022</v>
      </c>
      <c r="BF87" s="3" t="s">
        <v>1021</v>
      </c>
      <c r="BG87" s="3" t="s">
        <v>1023</v>
      </c>
    </row>
    <row r="88" spans="1:59" ht="58" x14ac:dyDescent="0.35">
      <c r="A88" s="2" t="s">
        <v>59</v>
      </c>
      <c r="B88" s="2" t="s">
        <v>94</v>
      </c>
      <c r="C88" s="2" t="s">
        <v>1024</v>
      </c>
      <c r="D88" s="2" t="s">
        <v>1025</v>
      </c>
      <c r="E88" s="2" t="s">
        <v>1026</v>
      </c>
      <c r="G88" s="3" t="s">
        <v>64</v>
      </c>
      <c r="I88" s="3" t="s">
        <v>64</v>
      </c>
      <c r="J88" s="3" t="s">
        <v>64</v>
      </c>
      <c r="K88" s="3" t="s">
        <v>65</v>
      </c>
      <c r="L88" s="2" t="s">
        <v>1027</v>
      </c>
      <c r="M88" s="2" t="s">
        <v>1028</v>
      </c>
      <c r="N88" s="3" t="s">
        <v>1029</v>
      </c>
      <c r="P88" s="3" t="s">
        <v>69</v>
      </c>
      <c r="R88" s="3" t="s">
        <v>70</v>
      </c>
      <c r="S88" s="4">
        <v>5</v>
      </c>
      <c r="T88" s="4">
        <v>5</v>
      </c>
      <c r="U88" s="5" t="s">
        <v>1030</v>
      </c>
      <c r="V88" s="5" t="s">
        <v>1030</v>
      </c>
      <c r="W88" s="5" t="s">
        <v>72</v>
      </c>
      <c r="X88" s="5" t="s">
        <v>72</v>
      </c>
      <c r="Y88" s="4">
        <v>297</v>
      </c>
      <c r="Z88" s="4">
        <v>33</v>
      </c>
      <c r="AA88" s="4">
        <v>38</v>
      </c>
      <c r="AB88" s="4">
        <v>2</v>
      </c>
      <c r="AC88" s="4">
        <v>6</v>
      </c>
      <c r="AD88" s="4">
        <v>79</v>
      </c>
      <c r="AE88" s="4">
        <v>82</v>
      </c>
      <c r="AF88" s="4">
        <v>1</v>
      </c>
      <c r="AG88" s="4">
        <v>3</v>
      </c>
      <c r="AH88" s="4">
        <v>64</v>
      </c>
      <c r="AI88" s="4">
        <v>65</v>
      </c>
      <c r="AJ88" s="4">
        <v>19</v>
      </c>
      <c r="AK88" s="4">
        <v>22</v>
      </c>
      <c r="AL88" s="4">
        <v>38</v>
      </c>
      <c r="AM88" s="4">
        <v>38</v>
      </c>
      <c r="AN88" s="4">
        <v>0</v>
      </c>
      <c r="AO88" s="4">
        <v>0</v>
      </c>
      <c r="AP88" s="4">
        <v>24</v>
      </c>
      <c r="AQ88" s="4">
        <v>26</v>
      </c>
      <c r="AR88" s="3" t="s">
        <v>64</v>
      </c>
      <c r="AS88" s="3" t="s">
        <v>64</v>
      </c>
      <c r="AT88" s="3" t="s">
        <v>64</v>
      </c>
      <c r="AV88" s="6" t="str">
        <f>HYPERLINK("http://mcgill.on.worldcat.org/oclc/243821236","Catalog Record")</f>
        <v>Catalog Record</v>
      </c>
      <c r="AW88" s="6" t="str">
        <f>HYPERLINK("http://www.worldcat.org/oclc/243821236","WorldCat Record")</f>
        <v>WorldCat Record</v>
      </c>
      <c r="AX88" s="3" t="s">
        <v>1031</v>
      </c>
      <c r="AY88" s="3" t="s">
        <v>1032</v>
      </c>
      <c r="AZ88" s="3" t="s">
        <v>1033</v>
      </c>
      <c r="BA88" s="3" t="s">
        <v>1033</v>
      </c>
      <c r="BB88" s="3" t="s">
        <v>1034</v>
      </c>
      <c r="BC88" s="3" t="s">
        <v>78</v>
      </c>
      <c r="BD88" s="3" t="s">
        <v>79</v>
      </c>
      <c r="BE88" s="3" t="s">
        <v>1035</v>
      </c>
      <c r="BF88" s="3" t="s">
        <v>1034</v>
      </c>
      <c r="BG88" s="3" t="s">
        <v>1036</v>
      </c>
    </row>
    <row r="89" spans="1:59" ht="101.5" x14ac:dyDescent="0.35">
      <c r="A89" s="2" t="s">
        <v>59</v>
      </c>
      <c r="B89" s="2" t="s">
        <v>94</v>
      </c>
      <c r="C89" s="2" t="s">
        <v>1037</v>
      </c>
      <c r="D89" s="2" t="s">
        <v>1038</v>
      </c>
      <c r="E89" s="2" t="s">
        <v>1039</v>
      </c>
      <c r="G89" s="3" t="s">
        <v>64</v>
      </c>
      <c r="I89" s="3" t="s">
        <v>64</v>
      </c>
      <c r="J89" s="3" t="s">
        <v>64</v>
      </c>
      <c r="K89" s="3" t="s">
        <v>65</v>
      </c>
      <c r="M89" s="2" t="s">
        <v>1040</v>
      </c>
      <c r="N89" s="3" t="s">
        <v>252</v>
      </c>
      <c r="P89" s="3" t="s">
        <v>69</v>
      </c>
      <c r="Q89" s="2" t="s">
        <v>1041</v>
      </c>
      <c r="R89" s="3" t="s">
        <v>70</v>
      </c>
      <c r="S89" s="4">
        <v>3</v>
      </c>
      <c r="T89" s="4">
        <v>3</v>
      </c>
      <c r="U89" s="5" t="s">
        <v>1042</v>
      </c>
      <c r="V89" s="5" t="s">
        <v>1042</v>
      </c>
      <c r="W89" s="5" t="s">
        <v>72</v>
      </c>
      <c r="X89" s="5" t="s">
        <v>72</v>
      </c>
      <c r="Y89" s="4">
        <v>100</v>
      </c>
      <c r="Z89" s="4">
        <v>11</v>
      </c>
      <c r="AA89" s="4">
        <v>11</v>
      </c>
      <c r="AB89" s="4">
        <v>1</v>
      </c>
      <c r="AC89" s="4">
        <v>1</v>
      </c>
      <c r="AD89" s="4">
        <v>35</v>
      </c>
      <c r="AE89" s="4">
        <v>35</v>
      </c>
      <c r="AF89" s="4">
        <v>0</v>
      </c>
      <c r="AG89" s="4">
        <v>0</v>
      </c>
      <c r="AH89" s="4">
        <v>30</v>
      </c>
      <c r="AI89" s="4">
        <v>30</v>
      </c>
      <c r="AJ89" s="4">
        <v>8</v>
      </c>
      <c r="AK89" s="4">
        <v>8</v>
      </c>
      <c r="AL89" s="4">
        <v>13</v>
      </c>
      <c r="AM89" s="4">
        <v>13</v>
      </c>
      <c r="AN89" s="4">
        <v>0</v>
      </c>
      <c r="AO89" s="4">
        <v>0</v>
      </c>
      <c r="AP89" s="4">
        <v>10</v>
      </c>
      <c r="AQ89" s="4">
        <v>10</v>
      </c>
      <c r="AR89" s="3" t="s">
        <v>64</v>
      </c>
      <c r="AS89" s="3" t="s">
        <v>64</v>
      </c>
      <c r="AT89" s="3" t="s">
        <v>73</v>
      </c>
      <c r="AU89" s="6" t="str">
        <f>HYPERLINK("http://catalog.hathitrust.org/Record/101797061","HathiTrust Record")</f>
        <v>HathiTrust Record</v>
      </c>
      <c r="AV89" s="6" t="str">
        <f>HYPERLINK("http://mcgill.on.worldcat.org/oclc/896106","Catalog Record")</f>
        <v>Catalog Record</v>
      </c>
      <c r="AW89" s="6" t="str">
        <f>HYPERLINK("http://www.worldcat.org/oclc/896106","WorldCat Record")</f>
        <v>WorldCat Record</v>
      </c>
      <c r="AX89" s="3" t="s">
        <v>1043</v>
      </c>
      <c r="AY89" s="3" t="s">
        <v>1044</v>
      </c>
      <c r="AZ89" s="3" t="s">
        <v>1045</v>
      </c>
      <c r="BA89" s="3" t="s">
        <v>1045</v>
      </c>
      <c r="BB89" s="3" t="s">
        <v>1046</v>
      </c>
      <c r="BC89" s="3" t="s">
        <v>78</v>
      </c>
      <c r="BD89" s="3" t="s">
        <v>79</v>
      </c>
      <c r="BE89" s="3" t="s">
        <v>1047</v>
      </c>
      <c r="BF89" s="3" t="s">
        <v>1046</v>
      </c>
      <c r="BG89" s="3" t="s">
        <v>1048</v>
      </c>
    </row>
    <row r="90" spans="1:59" ht="58" x14ac:dyDescent="0.35">
      <c r="A90" s="2" t="s">
        <v>59</v>
      </c>
      <c r="B90" s="2" t="s">
        <v>94</v>
      </c>
      <c r="C90" s="2" t="s">
        <v>1049</v>
      </c>
      <c r="D90" s="2" t="s">
        <v>1050</v>
      </c>
      <c r="E90" s="2" t="s">
        <v>1051</v>
      </c>
      <c r="G90" s="3" t="s">
        <v>64</v>
      </c>
      <c r="I90" s="3" t="s">
        <v>64</v>
      </c>
      <c r="J90" s="3" t="s">
        <v>64</v>
      </c>
      <c r="K90" s="3" t="s">
        <v>65</v>
      </c>
      <c r="M90" s="2" t="s">
        <v>537</v>
      </c>
      <c r="N90" s="3" t="s">
        <v>538</v>
      </c>
      <c r="P90" s="3" t="s">
        <v>69</v>
      </c>
      <c r="Q90" s="2" t="s">
        <v>539</v>
      </c>
      <c r="R90" s="3" t="s">
        <v>70</v>
      </c>
      <c r="S90" s="4">
        <v>9</v>
      </c>
      <c r="T90" s="4">
        <v>9</v>
      </c>
      <c r="U90" s="5" t="s">
        <v>1052</v>
      </c>
      <c r="V90" s="5" t="s">
        <v>1052</v>
      </c>
      <c r="W90" s="5" t="s">
        <v>72</v>
      </c>
      <c r="X90" s="5" t="s">
        <v>72</v>
      </c>
      <c r="Y90" s="4">
        <v>119</v>
      </c>
      <c r="Z90" s="4">
        <v>10</v>
      </c>
      <c r="AA90" s="4">
        <v>13</v>
      </c>
      <c r="AB90" s="4">
        <v>2</v>
      </c>
      <c r="AC90" s="4">
        <v>5</v>
      </c>
      <c r="AD90" s="4">
        <v>48</v>
      </c>
      <c r="AE90" s="4">
        <v>57</v>
      </c>
      <c r="AF90" s="4">
        <v>1</v>
      </c>
      <c r="AG90" s="4">
        <v>1</v>
      </c>
      <c r="AH90" s="4">
        <v>45</v>
      </c>
      <c r="AI90" s="4">
        <v>54</v>
      </c>
      <c r="AJ90" s="4">
        <v>7</v>
      </c>
      <c r="AK90" s="4">
        <v>7</v>
      </c>
      <c r="AL90" s="4">
        <v>28</v>
      </c>
      <c r="AM90" s="4">
        <v>32</v>
      </c>
      <c r="AN90" s="4">
        <v>0</v>
      </c>
      <c r="AO90" s="4">
        <v>0</v>
      </c>
      <c r="AP90" s="4">
        <v>7</v>
      </c>
      <c r="AQ90" s="4">
        <v>7</v>
      </c>
      <c r="AR90" s="3" t="s">
        <v>64</v>
      </c>
      <c r="AS90" s="3" t="s">
        <v>64</v>
      </c>
      <c r="AT90" s="3" t="s">
        <v>64</v>
      </c>
      <c r="AV90" s="6" t="str">
        <f>HYPERLINK("http://mcgill.on.worldcat.org/oclc/69992448","Catalog Record")</f>
        <v>Catalog Record</v>
      </c>
      <c r="AW90" s="6" t="str">
        <f>HYPERLINK("http://www.worldcat.org/oclc/69992448","WorldCat Record")</f>
        <v>WorldCat Record</v>
      </c>
      <c r="AX90" s="3" t="s">
        <v>1053</v>
      </c>
      <c r="AY90" s="3" t="s">
        <v>1054</v>
      </c>
      <c r="AZ90" s="3" t="s">
        <v>1055</v>
      </c>
      <c r="BA90" s="3" t="s">
        <v>1055</v>
      </c>
      <c r="BB90" s="3" t="s">
        <v>1056</v>
      </c>
      <c r="BC90" s="3" t="s">
        <v>78</v>
      </c>
      <c r="BD90" s="3" t="s">
        <v>79</v>
      </c>
      <c r="BE90" s="3" t="s">
        <v>1057</v>
      </c>
      <c r="BF90" s="3" t="s">
        <v>1056</v>
      </c>
      <c r="BG90" s="3" t="s">
        <v>1058</v>
      </c>
    </row>
    <row r="91" spans="1:59" ht="58" x14ac:dyDescent="0.35">
      <c r="A91" s="2" t="s">
        <v>59</v>
      </c>
      <c r="B91" s="2" t="s">
        <v>94</v>
      </c>
      <c r="C91" s="2" t="s">
        <v>1059</v>
      </c>
      <c r="D91" s="2" t="s">
        <v>1060</v>
      </c>
      <c r="E91" s="2" t="s">
        <v>1061</v>
      </c>
      <c r="G91" s="3" t="s">
        <v>64</v>
      </c>
      <c r="I91" s="3" t="s">
        <v>64</v>
      </c>
      <c r="J91" s="3" t="s">
        <v>64</v>
      </c>
      <c r="K91" s="3" t="s">
        <v>65</v>
      </c>
      <c r="L91" s="2" t="s">
        <v>1062</v>
      </c>
      <c r="M91" s="2" t="s">
        <v>1063</v>
      </c>
      <c r="N91" s="3" t="s">
        <v>1064</v>
      </c>
      <c r="P91" s="3" t="s">
        <v>69</v>
      </c>
      <c r="Q91" s="2" t="s">
        <v>450</v>
      </c>
      <c r="R91" s="3" t="s">
        <v>70</v>
      </c>
      <c r="S91" s="4">
        <v>88</v>
      </c>
      <c r="T91" s="4">
        <v>88</v>
      </c>
      <c r="U91" s="5" t="s">
        <v>1065</v>
      </c>
      <c r="V91" s="5" t="s">
        <v>1065</v>
      </c>
      <c r="W91" s="5" t="s">
        <v>72</v>
      </c>
      <c r="X91" s="5" t="s">
        <v>72</v>
      </c>
      <c r="Y91" s="4">
        <v>528</v>
      </c>
      <c r="Z91" s="4">
        <v>31</v>
      </c>
      <c r="AA91" s="4">
        <v>115</v>
      </c>
      <c r="AB91" s="4">
        <v>2</v>
      </c>
      <c r="AC91" s="4">
        <v>18</v>
      </c>
      <c r="AD91" s="4">
        <v>115</v>
      </c>
      <c r="AE91" s="4">
        <v>151</v>
      </c>
      <c r="AF91" s="4">
        <v>1</v>
      </c>
      <c r="AG91" s="4">
        <v>8</v>
      </c>
      <c r="AH91" s="4">
        <v>101</v>
      </c>
      <c r="AI91" s="4">
        <v>111</v>
      </c>
      <c r="AJ91" s="4">
        <v>17</v>
      </c>
      <c r="AK91" s="4">
        <v>26</v>
      </c>
      <c r="AL91" s="4">
        <v>55</v>
      </c>
      <c r="AM91" s="4">
        <v>57</v>
      </c>
      <c r="AN91" s="4">
        <v>0</v>
      </c>
      <c r="AO91" s="4">
        <v>0</v>
      </c>
      <c r="AP91" s="4">
        <v>22</v>
      </c>
      <c r="AQ91" s="4">
        <v>49</v>
      </c>
      <c r="AR91" s="3" t="s">
        <v>64</v>
      </c>
      <c r="AS91" s="3" t="s">
        <v>64</v>
      </c>
      <c r="AT91" s="3" t="s">
        <v>73</v>
      </c>
      <c r="AU91" s="6" t="str">
        <f>HYPERLINK("http://catalog.hathitrust.org/Record/004041097","HathiTrust Record")</f>
        <v>HathiTrust Record</v>
      </c>
      <c r="AV91" s="6" t="str">
        <f>HYPERLINK("http://mcgill.on.worldcat.org/oclc/40331094","Catalog Record")</f>
        <v>Catalog Record</v>
      </c>
      <c r="AW91" s="6" t="str">
        <f>HYPERLINK("http://www.worldcat.org/oclc/40331094","WorldCat Record")</f>
        <v>WorldCat Record</v>
      </c>
      <c r="AX91" s="3" t="s">
        <v>1066</v>
      </c>
      <c r="AY91" s="3" t="s">
        <v>1067</v>
      </c>
      <c r="AZ91" s="3" t="s">
        <v>1068</v>
      </c>
      <c r="BA91" s="3" t="s">
        <v>1068</v>
      </c>
      <c r="BB91" s="3" t="s">
        <v>1069</v>
      </c>
      <c r="BC91" s="3" t="s">
        <v>78</v>
      </c>
      <c r="BD91" s="3" t="s">
        <v>79</v>
      </c>
      <c r="BE91" s="3" t="s">
        <v>1070</v>
      </c>
      <c r="BF91" s="3" t="s">
        <v>1069</v>
      </c>
      <c r="BG91" s="3" t="s">
        <v>1071</v>
      </c>
    </row>
    <row r="92" spans="1:59" ht="58" x14ac:dyDescent="0.35">
      <c r="A92" s="2" t="s">
        <v>59</v>
      </c>
      <c r="B92" s="2" t="s">
        <v>94</v>
      </c>
      <c r="C92" s="2" t="s">
        <v>1072</v>
      </c>
      <c r="D92" s="2" t="s">
        <v>1073</v>
      </c>
      <c r="E92" s="2" t="s">
        <v>1074</v>
      </c>
      <c r="G92" s="3" t="s">
        <v>64</v>
      </c>
      <c r="I92" s="3" t="s">
        <v>64</v>
      </c>
      <c r="J92" s="3" t="s">
        <v>64</v>
      </c>
      <c r="K92" s="3" t="s">
        <v>65</v>
      </c>
      <c r="L92" s="2" t="s">
        <v>1075</v>
      </c>
      <c r="M92" s="2" t="s">
        <v>1076</v>
      </c>
      <c r="N92" s="3" t="s">
        <v>1029</v>
      </c>
      <c r="P92" s="3" t="s">
        <v>69</v>
      </c>
      <c r="Q92" s="2" t="s">
        <v>1077</v>
      </c>
      <c r="R92" s="3" t="s">
        <v>70</v>
      </c>
      <c r="S92" s="4">
        <v>14</v>
      </c>
      <c r="T92" s="4">
        <v>14</v>
      </c>
      <c r="U92" s="5" t="s">
        <v>692</v>
      </c>
      <c r="V92" s="5" t="s">
        <v>692</v>
      </c>
      <c r="W92" s="5" t="s">
        <v>72</v>
      </c>
      <c r="X92" s="5" t="s">
        <v>72</v>
      </c>
      <c r="Y92" s="4">
        <v>253</v>
      </c>
      <c r="Z92" s="4">
        <v>23</v>
      </c>
      <c r="AA92" s="4">
        <v>40</v>
      </c>
      <c r="AB92" s="4">
        <v>3</v>
      </c>
      <c r="AC92" s="4">
        <v>8</v>
      </c>
      <c r="AD92" s="4">
        <v>74</v>
      </c>
      <c r="AE92" s="4">
        <v>99</v>
      </c>
      <c r="AF92" s="4">
        <v>1</v>
      </c>
      <c r="AG92" s="4">
        <v>4</v>
      </c>
      <c r="AH92" s="4">
        <v>65</v>
      </c>
      <c r="AI92" s="4">
        <v>81</v>
      </c>
      <c r="AJ92" s="4">
        <v>15</v>
      </c>
      <c r="AK92" s="4">
        <v>20</v>
      </c>
      <c r="AL92" s="4">
        <v>41</v>
      </c>
      <c r="AM92" s="4">
        <v>48</v>
      </c>
      <c r="AN92" s="4">
        <v>0</v>
      </c>
      <c r="AO92" s="4">
        <v>0</v>
      </c>
      <c r="AP92" s="4">
        <v>17</v>
      </c>
      <c r="AQ92" s="4">
        <v>27</v>
      </c>
      <c r="AR92" s="3" t="s">
        <v>64</v>
      </c>
      <c r="AS92" s="3" t="s">
        <v>64</v>
      </c>
      <c r="AT92" s="3" t="s">
        <v>64</v>
      </c>
      <c r="AV92" s="6" t="str">
        <f>HYPERLINK("http://mcgill.on.worldcat.org/oclc/316824225","Catalog Record")</f>
        <v>Catalog Record</v>
      </c>
      <c r="AW92" s="6" t="str">
        <f>HYPERLINK("http://www.worldcat.org/oclc/316824225","WorldCat Record")</f>
        <v>WorldCat Record</v>
      </c>
      <c r="AX92" s="3" t="s">
        <v>1078</v>
      </c>
      <c r="AY92" s="3" t="s">
        <v>1079</v>
      </c>
      <c r="AZ92" s="3" t="s">
        <v>1080</v>
      </c>
      <c r="BA92" s="3" t="s">
        <v>1080</v>
      </c>
      <c r="BB92" s="3" t="s">
        <v>1081</v>
      </c>
      <c r="BC92" s="3" t="s">
        <v>78</v>
      </c>
      <c r="BD92" s="3" t="s">
        <v>79</v>
      </c>
      <c r="BE92" s="3" t="s">
        <v>1082</v>
      </c>
      <c r="BF92" s="3" t="s">
        <v>1081</v>
      </c>
      <c r="BG92" s="3" t="s">
        <v>1083</v>
      </c>
    </row>
    <row r="93" spans="1:59" ht="130.5" x14ac:dyDescent="0.35">
      <c r="A93" s="2" t="s">
        <v>59</v>
      </c>
      <c r="B93" s="2" t="s">
        <v>94</v>
      </c>
      <c r="C93" s="2" t="s">
        <v>1084</v>
      </c>
      <c r="D93" s="2" t="s">
        <v>1085</v>
      </c>
      <c r="E93" s="2" t="s">
        <v>1086</v>
      </c>
      <c r="G93" s="3" t="s">
        <v>64</v>
      </c>
      <c r="I93" s="3" t="s">
        <v>64</v>
      </c>
      <c r="J93" s="3" t="s">
        <v>64</v>
      </c>
      <c r="K93" s="3" t="s">
        <v>65</v>
      </c>
      <c r="L93" s="2" t="s">
        <v>1087</v>
      </c>
      <c r="M93" s="2" t="s">
        <v>1088</v>
      </c>
      <c r="N93" s="3" t="s">
        <v>449</v>
      </c>
      <c r="O93" s="2" t="s">
        <v>1089</v>
      </c>
      <c r="P93" s="3" t="s">
        <v>69</v>
      </c>
      <c r="Q93" s="2" t="s">
        <v>1090</v>
      </c>
      <c r="R93" s="3" t="s">
        <v>70</v>
      </c>
      <c r="S93" s="4">
        <v>8</v>
      </c>
      <c r="T93" s="4">
        <v>8</v>
      </c>
      <c r="U93" s="5" t="s">
        <v>1091</v>
      </c>
      <c r="V93" s="5" t="s">
        <v>1091</v>
      </c>
      <c r="W93" s="5" t="s">
        <v>72</v>
      </c>
      <c r="X93" s="5" t="s">
        <v>72</v>
      </c>
      <c r="Y93" s="4">
        <v>29</v>
      </c>
      <c r="Z93" s="4">
        <v>5</v>
      </c>
      <c r="AA93" s="4">
        <v>28</v>
      </c>
      <c r="AB93" s="4">
        <v>2</v>
      </c>
      <c r="AC93" s="4">
        <v>4</v>
      </c>
      <c r="AD93" s="4">
        <v>9</v>
      </c>
      <c r="AE93" s="4">
        <v>76</v>
      </c>
      <c r="AF93" s="4">
        <v>1</v>
      </c>
      <c r="AG93" s="4">
        <v>3</v>
      </c>
      <c r="AH93" s="4">
        <v>6</v>
      </c>
      <c r="AI93" s="4">
        <v>60</v>
      </c>
      <c r="AJ93" s="4">
        <v>2</v>
      </c>
      <c r="AK93" s="4">
        <v>15</v>
      </c>
      <c r="AL93" s="4">
        <v>2</v>
      </c>
      <c r="AM93" s="4">
        <v>34</v>
      </c>
      <c r="AN93" s="4">
        <v>0</v>
      </c>
      <c r="AO93" s="4">
        <v>0</v>
      </c>
      <c r="AP93" s="4">
        <v>4</v>
      </c>
      <c r="AQ93" s="4">
        <v>24</v>
      </c>
      <c r="AR93" s="3" t="s">
        <v>64</v>
      </c>
      <c r="AS93" s="3" t="s">
        <v>64</v>
      </c>
      <c r="AT93" s="3" t="s">
        <v>64</v>
      </c>
      <c r="AV93" s="6" t="str">
        <f>HYPERLINK("http://mcgill.on.worldcat.org/oclc/191754134","Catalog Record")</f>
        <v>Catalog Record</v>
      </c>
      <c r="AW93" s="6" t="str">
        <f>HYPERLINK("http://www.worldcat.org/oclc/191754134","WorldCat Record")</f>
        <v>WorldCat Record</v>
      </c>
      <c r="AX93" s="3" t="s">
        <v>1092</v>
      </c>
      <c r="AY93" s="3" t="s">
        <v>1093</v>
      </c>
      <c r="AZ93" s="3" t="s">
        <v>1094</v>
      </c>
      <c r="BA93" s="3" t="s">
        <v>1094</v>
      </c>
      <c r="BB93" s="3" t="s">
        <v>1095</v>
      </c>
      <c r="BC93" s="3" t="s">
        <v>78</v>
      </c>
      <c r="BD93" s="3" t="s">
        <v>414</v>
      </c>
      <c r="BE93" s="3" t="s">
        <v>1096</v>
      </c>
      <c r="BF93" s="3" t="s">
        <v>1095</v>
      </c>
      <c r="BG93" s="3" t="s">
        <v>1097</v>
      </c>
    </row>
    <row r="94" spans="1:59" ht="58" x14ac:dyDescent="0.35">
      <c r="A94" s="2" t="s">
        <v>59</v>
      </c>
      <c r="B94" s="2" t="s">
        <v>94</v>
      </c>
      <c r="C94" s="2" t="s">
        <v>1098</v>
      </c>
      <c r="D94" s="2" t="s">
        <v>1099</v>
      </c>
      <c r="E94" s="2" t="s">
        <v>1100</v>
      </c>
      <c r="G94" s="3" t="s">
        <v>64</v>
      </c>
      <c r="I94" s="3" t="s">
        <v>73</v>
      </c>
      <c r="J94" s="3" t="s">
        <v>64</v>
      </c>
      <c r="K94" s="3" t="s">
        <v>65</v>
      </c>
      <c r="L94" s="2" t="s">
        <v>1101</v>
      </c>
      <c r="M94" s="2" t="s">
        <v>1102</v>
      </c>
      <c r="N94" s="3" t="s">
        <v>861</v>
      </c>
      <c r="P94" s="3" t="s">
        <v>69</v>
      </c>
      <c r="R94" s="3" t="s">
        <v>70</v>
      </c>
      <c r="S94" s="4">
        <v>37</v>
      </c>
      <c r="T94" s="4">
        <v>44</v>
      </c>
      <c r="U94" s="5" t="s">
        <v>1103</v>
      </c>
      <c r="V94" s="5" t="s">
        <v>1103</v>
      </c>
      <c r="W94" s="5" t="s">
        <v>72</v>
      </c>
      <c r="X94" s="5" t="s">
        <v>72</v>
      </c>
      <c r="Y94" s="4">
        <v>1226</v>
      </c>
      <c r="Z94" s="4">
        <v>54</v>
      </c>
      <c r="AA94" s="4">
        <v>125</v>
      </c>
      <c r="AB94" s="4">
        <v>2</v>
      </c>
      <c r="AC94" s="4">
        <v>18</v>
      </c>
      <c r="AD94" s="4">
        <v>130</v>
      </c>
      <c r="AE94" s="4">
        <v>151</v>
      </c>
      <c r="AF94" s="4">
        <v>1</v>
      </c>
      <c r="AG94" s="4">
        <v>8</v>
      </c>
      <c r="AH94" s="4">
        <v>96</v>
      </c>
      <c r="AI94" s="4">
        <v>106</v>
      </c>
      <c r="AJ94" s="4">
        <v>21</v>
      </c>
      <c r="AK94" s="4">
        <v>25</v>
      </c>
      <c r="AL94" s="4">
        <v>54</v>
      </c>
      <c r="AM94" s="4">
        <v>56</v>
      </c>
      <c r="AN94" s="4">
        <v>0</v>
      </c>
      <c r="AO94" s="4">
        <v>0</v>
      </c>
      <c r="AP94" s="4">
        <v>39</v>
      </c>
      <c r="AQ94" s="4">
        <v>50</v>
      </c>
      <c r="AR94" s="3" t="s">
        <v>64</v>
      </c>
      <c r="AS94" s="3" t="s">
        <v>64</v>
      </c>
      <c r="AT94" s="3" t="s">
        <v>64</v>
      </c>
      <c r="AV94" s="6" t="str">
        <f>HYPERLINK("http://mcgill.on.worldcat.org/oclc/53814333","Catalog Record")</f>
        <v>Catalog Record</v>
      </c>
      <c r="AW94" s="6" t="str">
        <f>HYPERLINK("http://www.worldcat.org/oclc/53814333","WorldCat Record")</f>
        <v>WorldCat Record</v>
      </c>
      <c r="AX94" s="3" t="s">
        <v>1104</v>
      </c>
      <c r="AY94" s="3" t="s">
        <v>1105</v>
      </c>
      <c r="AZ94" s="3" t="s">
        <v>1106</v>
      </c>
      <c r="BA94" s="3" t="s">
        <v>1106</v>
      </c>
      <c r="BB94" s="3" t="s">
        <v>1107</v>
      </c>
      <c r="BC94" s="3" t="s">
        <v>78</v>
      </c>
      <c r="BD94" s="3" t="s">
        <v>414</v>
      </c>
      <c r="BE94" s="3" t="s">
        <v>1108</v>
      </c>
      <c r="BF94" s="3" t="s">
        <v>1107</v>
      </c>
      <c r="BG94" s="3" t="s">
        <v>1109</v>
      </c>
    </row>
    <row r="95" spans="1:59" ht="58" x14ac:dyDescent="0.35">
      <c r="A95" s="2" t="s">
        <v>59</v>
      </c>
      <c r="B95" s="2" t="s">
        <v>94</v>
      </c>
      <c r="C95" s="2" t="s">
        <v>1098</v>
      </c>
      <c r="D95" s="2" t="s">
        <v>1099</v>
      </c>
      <c r="E95" s="2" t="s">
        <v>1100</v>
      </c>
      <c r="G95" s="3" t="s">
        <v>64</v>
      </c>
      <c r="I95" s="3" t="s">
        <v>73</v>
      </c>
      <c r="J95" s="3" t="s">
        <v>64</v>
      </c>
      <c r="K95" s="3" t="s">
        <v>65</v>
      </c>
      <c r="L95" s="2" t="s">
        <v>1101</v>
      </c>
      <c r="M95" s="2" t="s">
        <v>1102</v>
      </c>
      <c r="N95" s="3" t="s">
        <v>861</v>
      </c>
      <c r="P95" s="3" t="s">
        <v>69</v>
      </c>
      <c r="R95" s="3" t="s">
        <v>70</v>
      </c>
      <c r="S95" s="4">
        <v>7</v>
      </c>
      <c r="T95" s="4">
        <v>44</v>
      </c>
      <c r="U95" s="5" t="s">
        <v>1110</v>
      </c>
      <c r="V95" s="5" t="s">
        <v>1103</v>
      </c>
      <c r="W95" s="5" t="s">
        <v>72</v>
      </c>
      <c r="X95" s="5" t="s">
        <v>72</v>
      </c>
      <c r="Y95" s="4">
        <v>1226</v>
      </c>
      <c r="Z95" s="4">
        <v>54</v>
      </c>
      <c r="AA95" s="4">
        <v>125</v>
      </c>
      <c r="AB95" s="4">
        <v>2</v>
      </c>
      <c r="AC95" s="4">
        <v>18</v>
      </c>
      <c r="AD95" s="4">
        <v>130</v>
      </c>
      <c r="AE95" s="4">
        <v>151</v>
      </c>
      <c r="AF95" s="4">
        <v>1</v>
      </c>
      <c r="AG95" s="4">
        <v>8</v>
      </c>
      <c r="AH95" s="4">
        <v>96</v>
      </c>
      <c r="AI95" s="4">
        <v>106</v>
      </c>
      <c r="AJ95" s="4">
        <v>21</v>
      </c>
      <c r="AK95" s="4">
        <v>25</v>
      </c>
      <c r="AL95" s="4">
        <v>54</v>
      </c>
      <c r="AM95" s="4">
        <v>56</v>
      </c>
      <c r="AN95" s="4">
        <v>0</v>
      </c>
      <c r="AO95" s="4">
        <v>0</v>
      </c>
      <c r="AP95" s="4">
        <v>39</v>
      </c>
      <c r="AQ95" s="4">
        <v>50</v>
      </c>
      <c r="AR95" s="3" t="s">
        <v>64</v>
      </c>
      <c r="AS95" s="3" t="s">
        <v>64</v>
      </c>
      <c r="AT95" s="3" t="s">
        <v>64</v>
      </c>
      <c r="AV95" s="6" t="str">
        <f>HYPERLINK("http://mcgill.on.worldcat.org/oclc/53814333","Catalog Record")</f>
        <v>Catalog Record</v>
      </c>
      <c r="AW95" s="6" t="str">
        <f>HYPERLINK("http://www.worldcat.org/oclc/53814333","WorldCat Record")</f>
        <v>WorldCat Record</v>
      </c>
      <c r="AX95" s="3" t="s">
        <v>1104</v>
      </c>
      <c r="AY95" s="3" t="s">
        <v>1105</v>
      </c>
      <c r="AZ95" s="3" t="s">
        <v>1106</v>
      </c>
      <c r="BA95" s="3" t="s">
        <v>1106</v>
      </c>
      <c r="BB95" s="3" t="s">
        <v>1111</v>
      </c>
      <c r="BC95" s="3" t="s">
        <v>78</v>
      </c>
      <c r="BD95" s="3" t="s">
        <v>79</v>
      </c>
      <c r="BE95" s="3" t="s">
        <v>1108</v>
      </c>
      <c r="BF95" s="3" t="s">
        <v>1111</v>
      </c>
      <c r="BG95" s="3" t="s">
        <v>1112</v>
      </c>
    </row>
    <row r="96" spans="1:59" ht="58" x14ac:dyDescent="0.35">
      <c r="A96" s="2" t="s">
        <v>59</v>
      </c>
      <c r="B96" s="2" t="s">
        <v>94</v>
      </c>
      <c r="C96" s="2" t="s">
        <v>1113</v>
      </c>
      <c r="D96" s="2" t="s">
        <v>1114</v>
      </c>
      <c r="E96" s="2" t="s">
        <v>1115</v>
      </c>
      <c r="G96" s="3" t="s">
        <v>64</v>
      </c>
      <c r="I96" s="3" t="s">
        <v>73</v>
      </c>
      <c r="J96" s="3" t="s">
        <v>73</v>
      </c>
      <c r="K96" s="3" t="s">
        <v>65</v>
      </c>
      <c r="L96" s="2" t="s">
        <v>1101</v>
      </c>
      <c r="M96" s="2" t="s">
        <v>1116</v>
      </c>
      <c r="N96" s="3" t="s">
        <v>264</v>
      </c>
      <c r="P96" s="3" t="s">
        <v>69</v>
      </c>
      <c r="R96" s="3" t="s">
        <v>70</v>
      </c>
      <c r="S96" s="4">
        <v>34</v>
      </c>
      <c r="T96" s="4">
        <v>140</v>
      </c>
      <c r="U96" s="5" t="s">
        <v>1117</v>
      </c>
      <c r="V96" s="5" t="s">
        <v>1118</v>
      </c>
      <c r="W96" s="5" t="s">
        <v>72</v>
      </c>
      <c r="X96" s="5" t="s">
        <v>72</v>
      </c>
      <c r="Y96" s="4">
        <v>1545</v>
      </c>
      <c r="Z96" s="4">
        <v>73</v>
      </c>
      <c r="AA96" s="4">
        <v>102</v>
      </c>
      <c r="AB96" s="4">
        <v>4</v>
      </c>
      <c r="AC96" s="4">
        <v>10</v>
      </c>
      <c r="AD96" s="4">
        <v>149</v>
      </c>
      <c r="AE96" s="4">
        <v>162</v>
      </c>
      <c r="AF96" s="4">
        <v>1</v>
      </c>
      <c r="AG96" s="4">
        <v>5</v>
      </c>
      <c r="AH96" s="4">
        <v>111</v>
      </c>
      <c r="AI96" s="4">
        <v>116</v>
      </c>
      <c r="AJ96" s="4">
        <v>23</v>
      </c>
      <c r="AK96" s="4">
        <v>27</v>
      </c>
      <c r="AL96" s="4">
        <v>61</v>
      </c>
      <c r="AM96" s="4">
        <v>64</v>
      </c>
      <c r="AN96" s="4">
        <v>0</v>
      </c>
      <c r="AO96" s="4">
        <v>0</v>
      </c>
      <c r="AP96" s="4">
        <v>44</v>
      </c>
      <c r="AQ96" s="4">
        <v>51</v>
      </c>
      <c r="AR96" s="3" t="s">
        <v>64</v>
      </c>
      <c r="AS96" s="3" t="s">
        <v>64</v>
      </c>
      <c r="AT96" s="3" t="s">
        <v>73</v>
      </c>
      <c r="AU96" s="6" t="str">
        <f>HYPERLINK("http://catalog.hathitrust.org/Record/000104562","HathiTrust Record")</f>
        <v>HathiTrust Record</v>
      </c>
      <c r="AV96" s="6" t="str">
        <f>HYPERLINK("http://mcgill.on.worldcat.org/oclc/3168545","Catalog Record")</f>
        <v>Catalog Record</v>
      </c>
      <c r="AW96" s="6" t="str">
        <f>HYPERLINK("http://www.worldcat.org/oclc/3168545","WorldCat Record")</f>
        <v>WorldCat Record</v>
      </c>
      <c r="AX96" s="3" t="s">
        <v>1119</v>
      </c>
      <c r="AY96" s="3" t="s">
        <v>1120</v>
      </c>
      <c r="AZ96" s="3" t="s">
        <v>1121</v>
      </c>
      <c r="BA96" s="3" t="s">
        <v>1121</v>
      </c>
      <c r="BB96" s="3" t="s">
        <v>1122</v>
      </c>
      <c r="BC96" s="3" t="s">
        <v>78</v>
      </c>
      <c r="BD96" s="3" t="s">
        <v>79</v>
      </c>
      <c r="BE96" s="3" t="s">
        <v>1123</v>
      </c>
      <c r="BF96" s="3" t="s">
        <v>1122</v>
      </c>
      <c r="BG96" s="3" t="s">
        <v>1124</v>
      </c>
    </row>
    <row r="97" spans="1:59" ht="58" x14ac:dyDescent="0.35">
      <c r="A97" s="2" t="s">
        <v>59</v>
      </c>
      <c r="B97" s="2" t="s">
        <v>94</v>
      </c>
      <c r="C97" s="2" t="s">
        <v>1113</v>
      </c>
      <c r="D97" s="2" t="s">
        <v>1114</v>
      </c>
      <c r="E97" s="2" t="s">
        <v>1115</v>
      </c>
      <c r="G97" s="3" t="s">
        <v>64</v>
      </c>
      <c r="I97" s="3" t="s">
        <v>73</v>
      </c>
      <c r="J97" s="3" t="s">
        <v>73</v>
      </c>
      <c r="K97" s="3" t="s">
        <v>65</v>
      </c>
      <c r="L97" s="2" t="s">
        <v>1101</v>
      </c>
      <c r="M97" s="2" t="s">
        <v>1116</v>
      </c>
      <c r="N97" s="3" t="s">
        <v>264</v>
      </c>
      <c r="P97" s="3" t="s">
        <v>69</v>
      </c>
      <c r="R97" s="3" t="s">
        <v>70</v>
      </c>
      <c r="S97" s="4">
        <v>106</v>
      </c>
      <c r="T97" s="4">
        <v>140</v>
      </c>
      <c r="U97" s="5" t="s">
        <v>1118</v>
      </c>
      <c r="V97" s="5" t="s">
        <v>1118</v>
      </c>
      <c r="W97" s="5" t="s">
        <v>72</v>
      </c>
      <c r="X97" s="5" t="s">
        <v>72</v>
      </c>
      <c r="Y97" s="4">
        <v>1545</v>
      </c>
      <c r="Z97" s="4">
        <v>73</v>
      </c>
      <c r="AA97" s="4">
        <v>102</v>
      </c>
      <c r="AB97" s="4">
        <v>4</v>
      </c>
      <c r="AC97" s="4">
        <v>10</v>
      </c>
      <c r="AD97" s="4">
        <v>149</v>
      </c>
      <c r="AE97" s="4">
        <v>162</v>
      </c>
      <c r="AF97" s="4">
        <v>1</v>
      </c>
      <c r="AG97" s="4">
        <v>5</v>
      </c>
      <c r="AH97" s="4">
        <v>111</v>
      </c>
      <c r="AI97" s="4">
        <v>116</v>
      </c>
      <c r="AJ97" s="4">
        <v>23</v>
      </c>
      <c r="AK97" s="4">
        <v>27</v>
      </c>
      <c r="AL97" s="4">
        <v>61</v>
      </c>
      <c r="AM97" s="4">
        <v>64</v>
      </c>
      <c r="AN97" s="4">
        <v>0</v>
      </c>
      <c r="AO97" s="4">
        <v>0</v>
      </c>
      <c r="AP97" s="4">
        <v>44</v>
      </c>
      <c r="AQ97" s="4">
        <v>51</v>
      </c>
      <c r="AR97" s="3" t="s">
        <v>64</v>
      </c>
      <c r="AS97" s="3" t="s">
        <v>64</v>
      </c>
      <c r="AT97" s="3" t="s">
        <v>73</v>
      </c>
      <c r="AU97" s="6" t="str">
        <f>HYPERLINK("http://catalog.hathitrust.org/Record/000104562","HathiTrust Record")</f>
        <v>HathiTrust Record</v>
      </c>
      <c r="AV97" s="6" t="str">
        <f>HYPERLINK("http://mcgill.on.worldcat.org/oclc/3168545","Catalog Record")</f>
        <v>Catalog Record</v>
      </c>
      <c r="AW97" s="6" t="str">
        <f>HYPERLINK("http://www.worldcat.org/oclc/3168545","WorldCat Record")</f>
        <v>WorldCat Record</v>
      </c>
      <c r="AX97" s="3" t="s">
        <v>1119</v>
      </c>
      <c r="AY97" s="3" t="s">
        <v>1120</v>
      </c>
      <c r="AZ97" s="3" t="s">
        <v>1121</v>
      </c>
      <c r="BA97" s="3" t="s">
        <v>1121</v>
      </c>
      <c r="BB97" s="3" t="s">
        <v>1125</v>
      </c>
      <c r="BC97" s="3" t="s">
        <v>78</v>
      </c>
      <c r="BD97" s="3" t="s">
        <v>79</v>
      </c>
      <c r="BE97" s="3" t="s">
        <v>1123</v>
      </c>
      <c r="BF97" s="3" t="s">
        <v>1125</v>
      </c>
      <c r="BG97" s="3" t="s">
        <v>1126</v>
      </c>
    </row>
    <row r="98" spans="1:59" ht="58" x14ac:dyDescent="0.35">
      <c r="A98" s="2" t="s">
        <v>59</v>
      </c>
      <c r="B98" s="2" t="s">
        <v>94</v>
      </c>
      <c r="C98" s="2" t="s">
        <v>1127</v>
      </c>
      <c r="D98" s="2" t="s">
        <v>1128</v>
      </c>
      <c r="E98" s="2" t="s">
        <v>1129</v>
      </c>
      <c r="G98" s="3" t="s">
        <v>64</v>
      </c>
      <c r="I98" s="3" t="s">
        <v>64</v>
      </c>
      <c r="J98" s="3" t="s">
        <v>64</v>
      </c>
      <c r="K98" s="3" t="s">
        <v>65</v>
      </c>
      <c r="L98" s="2" t="s">
        <v>1101</v>
      </c>
      <c r="M98" s="2" t="s">
        <v>1130</v>
      </c>
      <c r="N98" s="3" t="s">
        <v>1064</v>
      </c>
      <c r="P98" s="3" t="s">
        <v>162</v>
      </c>
      <c r="Q98" s="2" t="s">
        <v>1131</v>
      </c>
      <c r="R98" s="3" t="s">
        <v>70</v>
      </c>
      <c r="S98" s="4">
        <v>17</v>
      </c>
      <c r="T98" s="4">
        <v>17</v>
      </c>
      <c r="U98" s="5" t="s">
        <v>1132</v>
      </c>
      <c r="V98" s="5" t="s">
        <v>1132</v>
      </c>
      <c r="W98" s="5" t="s">
        <v>72</v>
      </c>
      <c r="X98" s="5" t="s">
        <v>72</v>
      </c>
      <c r="Y98" s="4">
        <v>93</v>
      </c>
      <c r="Z98" s="4">
        <v>11</v>
      </c>
      <c r="AA98" s="4">
        <v>11</v>
      </c>
      <c r="AB98" s="4">
        <v>8</v>
      </c>
      <c r="AC98" s="4">
        <v>8</v>
      </c>
      <c r="AD98" s="4">
        <v>6</v>
      </c>
      <c r="AE98" s="4">
        <v>6</v>
      </c>
      <c r="AF98" s="4">
        <v>4</v>
      </c>
      <c r="AG98" s="4">
        <v>4</v>
      </c>
      <c r="AH98" s="4">
        <v>1</v>
      </c>
      <c r="AI98" s="4">
        <v>1</v>
      </c>
      <c r="AJ98" s="4">
        <v>5</v>
      </c>
      <c r="AK98" s="4">
        <v>5</v>
      </c>
      <c r="AL98" s="4">
        <v>0</v>
      </c>
      <c r="AM98" s="4">
        <v>0</v>
      </c>
      <c r="AN98" s="4">
        <v>0</v>
      </c>
      <c r="AO98" s="4">
        <v>0</v>
      </c>
      <c r="AP98" s="4">
        <v>4</v>
      </c>
      <c r="AQ98" s="4">
        <v>4</v>
      </c>
      <c r="AR98" s="3" t="s">
        <v>64</v>
      </c>
      <c r="AS98" s="3" t="s">
        <v>64</v>
      </c>
      <c r="AT98" s="3" t="s">
        <v>64</v>
      </c>
      <c r="AV98" s="6" t="str">
        <f>HYPERLINK("http://mcgill.on.worldcat.org/oclc/41607816","Catalog Record")</f>
        <v>Catalog Record</v>
      </c>
      <c r="AW98" s="6" t="str">
        <f>HYPERLINK("http://www.worldcat.org/oclc/41607816","WorldCat Record")</f>
        <v>WorldCat Record</v>
      </c>
      <c r="AX98" s="3" t="s">
        <v>1133</v>
      </c>
      <c r="AY98" s="3" t="s">
        <v>1134</v>
      </c>
      <c r="AZ98" s="3" t="s">
        <v>1135</v>
      </c>
      <c r="BA98" s="3" t="s">
        <v>1135</v>
      </c>
      <c r="BB98" s="3" t="s">
        <v>1136</v>
      </c>
      <c r="BC98" s="3" t="s">
        <v>78</v>
      </c>
      <c r="BD98" s="3" t="s">
        <v>79</v>
      </c>
      <c r="BE98" s="3" t="s">
        <v>1137</v>
      </c>
      <c r="BF98" s="3" t="s">
        <v>1136</v>
      </c>
      <c r="BG98" s="3" t="s">
        <v>1138</v>
      </c>
    </row>
    <row r="99" spans="1:59" ht="58" x14ac:dyDescent="0.35">
      <c r="A99" s="2" t="s">
        <v>59</v>
      </c>
      <c r="B99" s="2" t="s">
        <v>94</v>
      </c>
      <c r="C99" s="2" t="s">
        <v>1139</v>
      </c>
      <c r="D99" s="2" t="s">
        <v>1140</v>
      </c>
      <c r="E99" s="2" t="s">
        <v>1141</v>
      </c>
      <c r="G99" s="3" t="s">
        <v>64</v>
      </c>
      <c r="I99" s="3" t="s">
        <v>64</v>
      </c>
      <c r="J99" s="3" t="s">
        <v>64</v>
      </c>
      <c r="K99" s="3" t="s">
        <v>65</v>
      </c>
      <c r="M99" s="2" t="s">
        <v>1142</v>
      </c>
      <c r="N99" s="3" t="s">
        <v>68</v>
      </c>
      <c r="P99" s="3" t="s">
        <v>69</v>
      </c>
      <c r="Q99" s="2" t="s">
        <v>1143</v>
      </c>
      <c r="R99" s="3" t="s">
        <v>70</v>
      </c>
      <c r="S99" s="4">
        <v>10</v>
      </c>
      <c r="T99" s="4">
        <v>10</v>
      </c>
      <c r="U99" s="5" t="s">
        <v>853</v>
      </c>
      <c r="V99" s="5" t="s">
        <v>853</v>
      </c>
      <c r="W99" s="5" t="s">
        <v>72</v>
      </c>
      <c r="X99" s="5" t="s">
        <v>72</v>
      </c>
      <c r="Y99" s="4">
        <v>134</v>
      </c>
      <c r="Z99" s="4">
        <v>13</v>
      </c>
      <c r="AA99" s="4">
        <v>72</v>
      </c>
      <c r="AB99" s="4">
        <v>1</v>
      </c>
      <c r="AC99" s="4">
        <v>15</v>
      </c>
      <c r="AD99" s="4">
        <v>58</v>
      </c>
      <c r="AE99" s="4">
        <v>114</v>
      </c>
      <c r="AF99" s="4">
        <v>0</v>
      </c>
      <c r="AG99" s="4">
        <v>8</v>
      </c>
      <c r="AH99" s="4">
        <v>50</v>
      </c>
      <c r="AI99" s="4">
        <v>83</v>
      </c>
      <c r="AJ99" s="4">
        <v>10</v>
      </c>
      <c r="AK99" s="4">
        <v>22</v>
      </c>
      <c r="AL99" s="4">
        <v>29</v>
      </c>
      <c r="AM99" s="4">
        <v>40</v>
      </c>
      <c r="AN99" s="4">
        <v>0</v>
      </c>
      <c r="AO99" s="4">
        <v>0</v>
      </c>
      <c r="AP99" s="4">
        <v>12</v>
      </c>
      <c r="AQ99" s="4">
        <v>38</v>
      </c>
      <c r="AR99" s="3" t="s">
        <v>64</v>
      </c>
      <c r="AS99" s="3" t="s">
        <v>64</v>
      </c>
      <c r="AT99" s="3" t="s">
        <v>64</v>
      </c>
      <c r="AV99" s="6" t="str">
        <f>HYPERLINK("http://mcgill.on.worldcat.org/oclc/56371031","Catalog Record")</f>
        <v>Catalog Record</v>
      </c>
      <c r="AW99" s="6" t="str">
        <f>HYPERLINK("http://www.worldcat.org/oclc/56371031","WorldCat Record")</f>
        <v>WorldCat Record</v>
      </c>
      <c r="AX99" s="3" t="s">
        <v>1144</v>
      </c>
      <c r="AY99" s="3" t="s">
        <v>1145</v>
      </c>
      <c r="AZ99" s="3" t="s">
        <v>1146</v>
      </c>
      <c r="BA99" s="3" t="s">
        <v>1146</v>
      </c>
      <c r="BB99" s="3" t="s">
        <v>1147</v>
      </c>
      <c r="BC99" s="3" t="s">
        <v>78</v>
      </c>
      <c r="BD99" s="3" t="s">
        <v>79</v>
      </c>
      <c r="BE99" s="3" t="s">
        <v>1148</v>
      </c>
      <c r="BF99" s="3" t="s">
        <v>1147</v>
      </c>
      <c r="BG99" s="3" t="s">
        <v>1149</v>
      </c>
    </row>
    <row r="100" spans="1:59" ht="58" x14ac:dyDescent="0.35">
      <c r="A100" s="2" t="s">
        <v>59</v>
      </c>
      <c r="B100" s="2" t="s">
        <v>94</v>
      </c>
      <c r="C100" s="2" t="s">
        <v>1150</v>
      </c>
      <c r="D100" s="2" t="s">
        <v>1151</v>
      </c>
      <c r="E100" s="2" t="s">
        <v>1152</v>
      </c>
      <c r="G100" s="3" t="s">
        <v>64</v>
      </c>
      <c r="I100" s="3" t="s">
        <v>64</v>
      </c>
      <c r="J100" s="3" t="s">
        <v>64</v>
      </c>
      <c r="K100" s="3" t="s">
        <v>65</v>
      </c>
      <c r="M100" s="2" t="s">
        <v>1153</v>
      </c>
      <c r="N100" s="3" t="s">
        <v>1154</v>
      </c>
      <c r="P100" s="3" t="s">
        <v>69</v>
      </c>
      <c r="Q100" s="2" t="s">
        <v>1155</v>
      </c>
      <c r="R100" s="3" t="s">
        <v>70</v>
      </c>
      <c r="S100" s="4">
        <v>36</v>
      </c>
      <c r="T100" s="4">
        <v>36</v>
      </c>
      <c r="U100" s="5" t="s">
        <v>1156</v>
      </c>
      <c r="V100" s="5" t="s">
        <v>1156</v>
      </c>
      <c r="W100" s="5" t="s">
        <v>72</v>
      </c>
      <c r="X100" s="5" t="s">
        <v>72</v>
      </c>
      <c r="Y100" s="4">
        <v>607</v>
      </c>
      <c r="Z100" s="4">
        <v>24</v>
      </c>
      <c r="AA100" s="4">
        <v>24</v>
      </c>
      <c r="AB100" s="4">
        <v>3</v>
      </c>
      <c r="AC100" s="4">
        <v>3</v>
      </c>
      <c r="AD100" s="4">
        <v>92</v>
      </c>
      <c r="AE100" s="4">
        <v>92</v>
      </c>
      <c r="AF100" s="4">
        <v>2</v>
      </c>
      <c r="AG100" s="4">
        <v>2</v>
      </c>
      <c r="AH100" s="4">
        <v>81</v>
      </c>
      <c r="AI100" s="4">
        <v>81</v>
      </c>
      <c r="AJ100" s="4">
        <v>15</v>
      </c>
      <c r="AK100" s="4">
        <v>15</v>
      </c>
      <c r="AL100" s="4">
        <v>45</v>
      </c>
      <c r="AM100" s="4">
        <v>45</v>
      </c>
      <c r="AN100" s="4">
        <v>0</v>
      </c>
      <c r="AO100" s="4">
        <v>0</v>
      </c>
      <c r="AP100" s="4">
        <v>18</v>
      </c>
      <c r="AQ100" s="4">
        <v>18</v>
      </c>
      <c r="AR100" s="3" t="s">
        <v>64</v>
      </c>
      <c r="AS100" s="3" t="s">
        <v>64</v>
      </c>
      <c r="AT100" s="3" t="s">
        <v>64</v>
      </c>
      <c r="AV100" s="6" t="str">
        <f>HYPERLINK("http://mcgill.on.worldcat.org/oclc/28929196","Catalog Record")</f>
        <v>Catalog Record</v>
      </c>
      <c r="AW100" s="6" t="str">
        <f>HYPERLINK("http://www.worldcat.org/oclc/28929196","WorldCat Record")</f>
        <v>WorldCat Record</v>
      </c>
      <c r="AX100" s="3" t="s">
        <v>1157</v>
      </c>
      <c r="AY100" s="3" t="s">
        <v>1158</v>
      </c>
      <c r="AZ100" s="3" t="s">
        <v>1159</v>
      </c>
      <c r="BA100" s="3" t="s">
        <v>1159</v>
      </c>
      <c r="BB100" s="3" t="s">
        <v>1160</v>
      </c>
      <c r="BC100" s="3" t="s">
        <v>78</v>
      </c>
      <c r="BD100" s="3" t="s">
        <v>79</v>
      </c>
      <c r="BE100" s="3" t="s">
        <v>1161</v>
      </c>
      <c r="BF100" s="3" t="s">
        <v>1160</v>
      </c>
      <c r="BG100" s="3" t="s">
        <v>1162</v>
      </c>
    </row>
    <row r="101" spans="1:59" ht="58" x14ac:dyDescent="0.35">
      <c r="A101" s="2" t="s">
        <v>59</v>
      </c>
      <c r="B101" s="2" t="s">
        <v>94</v>
      </c>
      <c r="C101" s="2" t="s">
        <v>1163</v>
      </c>
      <c r="D101" s="2" t="s">
        <v>1164</v>
      </c>
      <c r="E101" s="2" t="s">
        <v>1165</v>
      </c>
      <c r="G101" s="3" t="s">
        <v>64</v>
      </c>
      <c r="I101" s="3" t="s">
        <v>64</v>
      </c>
      <c r="J101" s="3" t="s">
        <v>64</v>
      </c>
      <c r="K101" s="3" t="s">
        <v>65</v>
      </c>
      <c r="M101" s="2" t="s">
        <v>1166</v>
      </c>
      <c r="N101" s="3" t="s">
        <v>1167</v>
      </c>
      <c r="P101" s="3" t="s">
        <v>69</v>
      </c>
      <c r="Q101" s="2" t="s">
        <v>1168</v>
      </c>
      <c r="R101" s="3" t="s">
        <v>70</v>
      </c>
      <c r="S101" s="4">
        <v>15</v>
      </c>
      <c r="T101" s="4">
        <v>15</v>
      </c>
      <c r="U101" s="5" t="s">
        <v>1169</v>
      </c>
      <c r="V101" s="5" t="s">
        <v>1169</v>
      </c>
      <c r="W101" s="5" t="s">
        <v>72</v>
      </c>
      <c r="X101" s="5" t="s">
        <v>72</v>
      </c>
      <c r="Y101" s="4">
        <v>480</v>
      </c>
      <c r="Z101" s="4">
        <v>37</v>
      </c>
      <c r="AA101" s="4">
        <v>39</v>
      </c>
      <c r="AB101" s="4">
        <v>2</v>
      </c>
      <c r="AC101" s="4">
        <v>3</v>
      </c>
      <c r="AD101" s="4">
        <v>104</v>
      </c>
      <c r="AE101" s="4">
        <v>106</v>
      </c>
      <c r="AF101" s="4">
        <v>1</v>
      </c>
      <c r="AG101" s="4">
        <v>2</v>
      </c>
      <c r="AH101" s="4">
        <v>87</v>
      </c>
      <c r="AI101" s="4">
        <v>87</v>
      </c>
      <c r="AJ101" s="4">
        <v>16</v>
      </c>
      <c r="AK101" s="4">
        <v>17</v>
      </c>
      <c r="AL101" s="4">
        <v>43</v>
      </c>
      <c r="AM101" s="4">
        <v>43</v>
      </c>
      <c r="AN101" s="4">
        <v>0</v>
      </c>
      <c r="AO101" s="4">
        <v>0</v>
      </c>
      <c r="AP101" s="4">
        <v>26</v>
      </c>
      <c r="AQ101" s="4">
        <v>27</v>
      </c>
      <c r="AR101" s="3" t="s">
        <v>64</v>
      </c>
      <c r="AS101" s="3" t="s">
        <v>64</v>
      </c>
      <c r="AT101" s="3" t="s">
        <v>73</v>
      </c>
      <c r="AU101" s="6" t="str">
        <f>HYPERLINK("http://catalog.hathitrust.org/Record/000751954","HathiTrust Record")</f>
        <v>HathiTrust Record</v>
      </c>
      <c r="AV101" s="6" t="str">
        <f>HYPERLINK("http://mcgill.on.worldcat.org/oclc/3415151","Catalog Record")</f>
        <v>Catalog Record</v>
      </c>
      <c r="AW101" s="6" t="str">
        <f>HYPERLINK("http://www.worldcat.org/oclc/3415151","WorldCat Record")</f>
        <v>WorldCat Record</v>
      </c>
      <c r="AX101" s="3" t="s">
        <v>1170</v>
      </c>
      <c r="AY101" s="3" t="s">
        <v>1171</v>
      </c>
      <c r="AZ101" s="3" t="s">
        <v>1172</v>
      </c>
      <c r="BA101" s="3" t="s">
        <v>1172</v>
      </c>
      <c r="BB101" s="3" t="s">
        <v>1173</v>
      </c>
      <c r="BC101" s="3" t="s">
        <v>78</v>
      </c>
      <c r="BD101" s="3" t="s">
        <v>79</v>
      </c>
      <c r="BE101" s="3" t="s">
        <v>1174</v>
      </c>
      <c r="BF101" s="3" t="s">
        <v>1173</v>
      </c>
      <c r="BG101" s="3" t="s">
        <v>1175</v>
      </c>
    </row>
    <row r="102" spans="1:59" ht="58" x14ac:dyDescent="0.35">
      <c r="A102" s="2" t="s">
        <v>59</v>
      </c>
      <c r="B102" s="2" t="s">
        <v>94</v>
      </c>
      <c r="C102" s="2" t="s">
        <v>1176</v>
      </c>
      <c r="D102" s="2" t="s">
        <v>1177</v>
      </c>
      <c r="E102" s="2" t="s">
        <v>1178</v>
      </c>
      <c r="G102" s="3" t="s">
        <v>64</v>
      </c>
      <c r="I102" s="3" t="s">
        <v>64</v>
      </c>
      <c r="J102" s="3" t="s">
        <v>64</v>
      </c>
      <c r="K102" s="3" t="s">
        <v>65</v>
      </c>
      <c r="M102" s="2" t="s">
        <v>1179</v>
      </c>
      <c r="N102" s="3" t="s">
        <v>136</v>
      </c>
      <c r="P102" s="3" t="s">
        <v>69</v>
      </c>
      <c r="R102" s="3" t="s">
        <v>70</v>
      </c>
      <c r="S102" s="4">
        <v>72</v>
      </c>
      <c r="T102" s="4">
        <v>72</v>
      </c>
      <c r="U102" s="5" t="s">
        <v>1180</v>
      </c>
      <c r="V102" s="5" t="s">
        <v>1180</v>
      </c>
      <c r="W102" s="5" t="s">
        <v>72</v>
      </c>
      <c r="X102" s="5" t="s">
        <v>72</v>
      </c>
      <c r="Y102" s="4">
        <v>269</v>
      </c>
      <c r="Z102" s="4">
        <v>14</v>
      </c>
      <c r="AA102" s="4">
        <v>82</v>
      </c>
      <c r="AB102" s="4">
        <v>2</v>
      </c>
      <c r="AC102" s="4">
        <v>14</v>
      </c>
      <c r="AD102" s="4">
        <v>79</v>
      </c>
      <c r="AE102" s="4">
        <v>133</v>
      </c>
      <c r="AF102" s="4">
        <v>1</v>
      </c>
      <c r="AG102" s="4">
        <v>8</v>
      </c>
      <c r="AH102" s="4">
        <v>71</v>
      </c>
      <c r="AI102" s="4">
        <v>96</v>
      </c>
      <c r="AJ102" s="4">
        <v>7</v>
      </c>
      <c r="AK102" s="4">
        <v>22</v>
      </c>
      <c r="AL102" s="4">
        <v>42</v>
      </c>
      <c r="AM102" s="4">
        <v>52</v>
      </c>
      <c r="AN102" s="4">
        <v>0</v>
      </c>
      <c r="AO102" s="4">
        <v>0</v>
      </c>
      <c r="AP102" s="4">
        <v>10</v>
      </c>
      <c r="AQ102" s="4">
        <v>44</v>
      </c>
      <c r="AR102" s="3" t="s">
        <v>64</v>
      </c>
      <c r="AS102" s="3" t="s">
        <v>64</v>
      </c>
      <c r="AT102" s="3" t="s">
        <v>73</v>
      </c>
      <c r="AU102" s="6" t="str">
        <f>HYPERLINK("http://catalog.hathitrust.org/Record/004129635","HathiTrust Record")</f>
        <v>HathiTrust Record</v>
      </c>
      <c r="AV102" s="6" t="str">
        <f>HYPERLINK("http://mcgill.on.worldcat.org/oclc/43919649","Catalog Record")</f>
        <v>Catalog Record</v>
      </c>
      <c r="AW102" s="6" t="str">
        <f>HYPERLINK("http://www.worldcat.org/oclc/43919649","WorldCat Record")</f>
        <v>WorldCat Record</v>
      </c>
      <c r="AX102" s="3" t="s">
        <v>1181</v>
      </c>
      <c r="AY102" s="3" t="s">
        <v>1182</v>
      </c>
      <c r="AZ102" s="3" t="s">
        <v>1183</v>
      </c>
      <c r="BA102" s="3" t="s">
        <v>1183</v>
      </c>
      <c r="BB102" s="3" t="s">
        <v>1184</v>
      </c>
      <c r="BC102" s="3" t="s">
        <v>78</v>
      </c>
      <c r="BD102" s="3" t="s">
        <v>79</v>
      </c>
      <c r="BE102" s="3" t="s">
        <v>1185</v>
      </c>
      <c r="BF102" s="3" t="s">
        <v>1184</v>
      </c>
      <c r="BG102" s="3" t="s">
        <v>1186</v>
      </c>
    </row>
    <row r="103" spans="1:59" ht="58" x14ac:dyDescent="0.35">
      <c r="A103" s="2" t="s">
        <v>59</v>
      </c>
      <c r="B103" s="2" t="s">
        <v>94</v>
      </c>
      <c r="C103" s="2" t="s">
        <v>1187</v>
      </c>
      <c r="D103" s="2" t="s">
        <v>1188</v>
      </c>
      <c r="E103" s="2" t="s">
        <v>1189</v>
      </c>
      <c r="G103" s="3" t="s">
        <v>64</v>
      </c>
      <c r="I103" s="3" t="s">
        <v>64</v>
      </c>
      <c r="J103" s="3" t="s">
        <v>73</v>
      </c>
      <c r="K103" s="3" t="s">
        <v>65</v>
      </c>
      <c r="L103" s="2" t="s">
        <v>1190</v>
      </c>
      <c r="M103" s="2" t="s">
        <v>1191</v>
      </c>
      <c r="N103" s="3" t="s">
        <v>733</v>
      </c>
      <c r="O103" s="2" t="s">
        <v>638</v>
      </c>
      <c r="P103" s="3" t="s">
        <v>69</v>
      </c>
      <c r="Q103" s="2" t="s">
        <v>1192</v>
      </c>
      <c r="R103" s="3" t="s">
        <v>70</v>
      </c>
      <c r="S103" s="4">
        <v>25</v>
      </c>
      <c r="T103" s="4">
        <v>25</v>
      </c>
      <c r="U103" s="5" t="s">
        <v>1193</v>
      </c>
      <c r="V103" s="5" t="s">
        <v>1193</v>
      </c>
      <c r="W103" s="5" t="s">
        <v>72</v>
      </c>
      <c r="X103" s="5" t="s">
        <v>72</v>
      </c>
      <c r="Y103" s="4">
        <v>157</v>
      </c>
      <c r="Z103" s="4">
        <v>6</v>
      </c>
      <c r="AA103" s="4">
        <v>76</v>
      </c>
      <c r="AB103" s="4">
        <v>1</v>
      </c>
      <c r="AC103" s="4">
        <v>10</v>
      </c>
      <c r="AD103" s="4">
        <v>22</v>
      </c>
      <c r="AE103" s="4">
        <v>160</v>
      </c>
      <c r="AF103" s="4">
        <v>0</v>
      </c>
      <c r="AG103" s="4">
        <v>5</v>
      </c>
      <c r="AH103" s="4">
        <v>21</v>
      </c>
      <c r="AI103" s="4">
        <v>119</v>
      </c>
      <c r="AJ103" s="4">
        <v>3</v>
      </c>
      <c r="AK103" s="4">
        <v>26</v>
      </c>
      <c r="AL103" s="4">
        <v>12</v>
      </c>
      <c r="AM103" s="4">
        <v>63</v>
      </c>
      <c r="AN103" s="4">
        <v>0</v>
      </c>
      <c r="AO103" s="4">
        <v>0</v>
      </c>
      <c r="AP103" s="4">
        <v>3</v>
      </c>
      <c r="AQ103" s="4">
        <v>48</v>
      </c>
      <c r="AR103" s="3" t="s">
        <v>64</v>
      </c>
      <c r="AS103" s="3" t="s">
        <v>64</v>
      </c>
      <c r="AT103" s="3" t="s">
        <v>64</v>
      </c>
      <c r="AV103" s="6" t="str">
        <f>HYPERLINK("http://mcgill.on.worldcat.org/oclc/7595200","Catalog Record")</f>
        <v>Catalog Record</v>
      </c>
      <c r="AW103" s="6" t="str">
        <f>HYPERLINK("http://www.worldcat.org/oclc/7595200","WorldCat Record")</f>
        <v>WorldCat Record</v>
      </c>
      <c r="AX103" s="3" t="s">
        <v>1194</v>
      </c>
      <c r="AY103" s="3" t="s">
        <v>1195</v>
      </c>
      <c r="AZ103" s="3" t="s">
        <v>1196</v>
      </c>
      <c r="BA103" s="3" t="s">
        <v>1196</v>
      </c>
      <c r="BB103" s="3" t="s">
        <v>1197</v>
      </c>
      <c r="BC103" s="3" t="s">
        <v>78</v>
      </c>
      <c r="BD103" s="3" t="s">
        <v>79</v>
      </c>
      <c r="BE103" s="3" t="s">
        <v>1198</v>
      </c>
      <c r="BF103" s="3" t="s">
        <v>1197</v>
      </c>
      <c r="BG103" s="3" t="s">
        <v>1199</v>
      </c>
    </row>
    <row r="104" spans="1:59" ht="72.5" x14ac:dyDescent="0.35">
      <c r="A104" s="2" t="s">
        <v>59</v>
      </c>
      <c r="B104" s="2" t="s">
        <v>94</v>
      </c>
      <c r="C104" s="2" t="s">
        <v>1200</v>
      </c>
      <c r="D104" s="2" t="s">
        <v>1201</v>
      </c>
      <c r="E104" s="2" t="s">
        <v>1202</v>
      </c>
      <c r="G104" s="3" t="s">
        <v>64</v>
      </c>
      <c r="I104" s="3" t="s">
        <v>64</v>
      </c>
      <c r="J104" s="3" t="s">
        <v>64</v>
      </c>
      <c r="K104" s="3" t="s">
        <v>65</v>
      </c>
      <c r="M104" s="2" t="s">
        <v>1203</v>
      </c>
      <c r="N104" s="3" t="s">
        <v>538</v>
      </c>
      <c r="P104" s="3" t="s">
        <v>69</v>
      </c>
      <c r="R104" s="3" t="s">
        <v>70</v>
      </c>
      <c r="S104" s="4">
        <v>11</v>
      </c>
      <c r="T104" s="4">
        <v>11</v>
      </c>
      <c r="U104" s="5" t="s">
        <v>1204</v>
      </c>
      <c r="V104" s="5" t="s">
        <v>1204</v>
      </c>
      <c r="W104" s="5" t="s">
        <v>72</v>
      </c>
      <c r="X104" s="5" t="s">
        <v>72</v>
      </c>
      <c r="Y104" s="4">
        <v>88</v>
      </c>
      <c r="Z104" s="4">
        <v>71</v>
      </c>
      <c r="AA104" s="4">
        <v>71</v>
      </c>
      <c r="AB104" s="4">
        <v>3</v>
      </c>
      <c r="AC104" s="4">
        <v>3</v>
      </c>
      <c r="AD104" s="4">
        <v>52</v>
      </c>
      <c r="AE104" s="4">
        <v>52</v>
      </c>
      <c r="AF104" s="4">
        <v>2</v>
      </c>
      <c r="AG104" s="4">
        <v>2</v>
      </c>
      <c r="AH104" s="4">
        <v>16</v>
      </c>
      <c r="AI104" s="4">
        <v>16</v>
      </c>
      <c r="AJ104" s="4">
        <v>24</v>
      </c>
      <c r="AK104" s="4">
        <v>24</v>
      </c>
      <c r="AL104" s="4">
        <v>4</v>
      </c>
      <c r="AM104" s="4">
        <v>4</v>
      </c>
      <c r="AN104" s="4">
        <v>0</v>
      </c>
      <c r="AO104" s="4">
        <v>0</v>
      </c>
      <c r="AP104" s="4">
        <v>46</v>
      </c>
      <c r="AQ104" s="4">
        <v>46</v>
      </c>
      <c r="AR104" s="3" t="s">
        <v>73</v>
      </c>
      <c r="AS104" s="3" t="s">
        <v>64</v>
      </c>
      <c r="AT104" s="3" t="s">
        <v>64</v>
      </c>
      <c r="AV104" s="6" t="str">
        <f>HYPERLINK("http://mcgill.on.worldcat.org/oclc/163698909","Catalog Record")</f>
        <v>Catalog Record</v>
      </c>
      <c r="AW104" s="6" t="str">
        <f>HYPERLINK("http://www.worldcat.org/oclc/163698909","WorldCat Record")</f>
        <v>WorldCat Record</v>
      </c>
      <c r="AX104" s="3" t="s">
        <v>1205</v>
      </c>
      <c r="AY104" s="3" t="s">
        <v>1206</v>
      </c>
      <c r="AZ104" s="3" t="s">
        <v>1207</v>
      </c>
      <c r="BA104" s="3" t="s">
        <v>1207</v>
      </c>
      <c r="BB104" s="3" t="s">
        <v>1208</v>
      </c>
      <c r="BC104" s="3" t="s">
        <v>78</v>
      </c>
      <c r="BD104" s="3" t="s">
        <v>79</v>
      </c>
      <c r="BE104" s="3" t="s">
        <v>1209</v>
      </c>
      <c r="BF104" s="3" t="s">
        <v>1208</v>
      </c>
      <c r="BG104" s="3" t="s">
        <v>1210</v>
      </c>
    </row>
    <row r="105" spans="1:59" ht="58" x14ac:dyDescent="0.35">
      <c r="A105" s="2" t="s">
        <v>59</v>
      </c>
      <c r="B105" s="2" t="s">
        <v>94</v>
      </c>
      <c r="C105" s="2" t="s">
        <v>1211</v>
      </c>
      <c r="D105" s="2" t="s">
        <v>1212</v>
      </c>
      <c r="E105" s="2" t="s">
        <v>1213</v>
      </c>
      <c r="G105" s="3" t="s">
        <v>64</v>
      </c>
      <c r="I105" s="3" t="s">
        <v>64</v>
      </c>
      <c r="J105" s="3" t="s">
        <v>64</v>
      </c>
      <c r="K105" s="3" t="s">
        <v>65</v>
      </c>
      <c r="M105" s="2" t="s">
        <v>1214</v>
      </c>
      <c r="N105" s="3" t="s">
        <v>538</v>
      </c>
      <c r="P105" s="3" t="s">
        <v>69</v>
      </c>
      <c r="R105" s="3" t="s">
        <v>70</v>
      </c>
      <c r="S105" s="4">
        <v>18</v>
      </c>
      <c r="T105" s="4">
        <v>18</v>
      </c>
      <c r="U105" s="5" t="s">
        <v>1215</v>
      </c>
      <c r="V105" s="5" t="s">
        <v>1215</v>
      </c>
      <c r="W105" s="5" t="s">
        <v>72</v>
      </c>
      <c r="X105" s="5" t="s">
        <v>72</v>
      </c>
      <c r="Y105" s="4">
        <v>95</v>
      </c>
      <c r="Z105" s="4">
        <v>73</v>
      </c>
      <c r="AA105" s="4">
        <v>80</v>
      </c>
      <c r="AB105" s="4">
        <v>4</v>
      </c>
      <c r="AC105" s="4">
        <v>10</v>
      </c>
      <c r="AD105" s="4">
        <v>51</v>
      </c>
      <c r="AE105" s="4">
        <v>56</v>
      </c>
      <c r="AF105" s="4">
        <v>2</v>
      </c>
      <c r="AG105" s="4">
        <v>6</v>
      </c>
      <c r="AH105" s="4">
        <v>16</v>
      </c>
      <c r="AI105" s="4">
        <v>17</v>
      </c>
      <c r="AJ105" s="4">
        <v>24</v>
      </c>
      <c r="AK105" s="4">
        <v>28</v>
      </c>
      <c r="AL105" s="4">
        <v>4</v>
      </c>
      <c r="AM105" s="4">
        <v>4</v>
      </c>
      <c r="AN105" s="4">
        <v>0</v>
      </c>
      <c r="AO105" s="4">
        <v>0</v>
      </c>
      <c r="AP105" s="4">
        <v>45</v>
      </c>
      <c r="AQ105" s="4">
        <v>49</v>
      </c>
      <c r="AR105" s="3" t="s">
        <v>73</v>
      </c>
      <c r="AS105" s="3" t="s">
        <v>64</v>
      </c>
      <c r="AT105" s="3" t="s">
        <v>64</v>
      </c>
      <c r="AV105" s="6" t="str">
        <f>HYPERLINK("http://mcgill.on.worldcat.org/oclc/181078599","Catalog Record")</f>
        <v>Catalog Record</v>
      </c>
      <c r="AW105" s="6" t="str">
        <f>HYPERLINK("http://www.worldcat.org/oclc/181078599","WorldCat Record")</f>
        <v>WorldCat Record</v>
      </c>
      <c r="AX105" s="3" t="s">
        <v>1216</v>
      </c>
      <c r="AY105" s="3" t="s">
        <v>1217</v>
      </c>
      <c r="AZ105" s="3" t="s">
        <v>1218</v>
      </c>
      <c r="BA105" s="3" t="s">
        <v>1218</v>
      </c>
      <c r="BB105" s="3" t="s">
        <v>1219</v>
      </c>
      <c r="BC105" s="3" t="s">
        <v>78</v>
      </c>
      <c r="BD105" s="3" t="s">
        <v>79</v>
      </c>
      <c r="BE105" s="3" t="s">
        <v>1220</v>
      </c>
      <c r="BF105" s="3" t="s">
        <v>1219</v>
      </c>
      <c r="BG105" s="3" t="s">
        <v>1221</v>
      </c>
    </row>
    <row r="106" spans="1:59" ht="58" x14ac:dyDescent="0.35">
      <c r="A106" s="2" t="s">
        <v>59</v>
      </c>
      <c r="B106" s="2" t="s">
        <v>94</v>
      </c>
      <c r="C106" s="2" t="s">
        <v>1222</v>
      </c>
      <c r="D106" s="2" t="s">
        <v>1223</v>
      </c>
      <c r="E106" s="2" t="s">
        <v>1224</v>
      </c>
      <c r="G106" s="3" t="s">
        <v>64</v>
      </c>
      <c r="I106" s="3" t="s">
        <v>64</v>
      </c>
      <c r="J106" s="3" t="s">
        <v>64</v>
      </c>
      <c r="K106" s="3" t="s">
        <v>65</v>
      </c>
      <c r="L106" s="2" t="s">
        <v>1225</v>
      </c>
      <c r="M106" s="2" t="s">
        <v>1226</v>
      </c>
      <c r="N106" s="3" t="s">
        <v>1227</v>
      </c>
      <c r="P106" s="3" t="s">
        <v>69</v>
      </c>
      <c r="Q106" s="2" t="s">
        <v>1228</v>
      </c>
      <c r="R106" s="3" t="s">
        <v>70</v>
      </c>
      <c r="S106" s="4">
        <v>6</v>
      </c>
      <c r="T106" s="4">
        <v>6</v>
      </c>
      <c r="U106" s="5" t="s">
        <v>1229</v>
      </c>
      <c r="V106" s="5" t="s">
        <v>1229</v>
      </c>
      <c r="W106" s="5" t="s">
        <v>72</v>
      </c>
      <c r="X106" s="5" t="s">
        <v>72</v>
      </c>
      <c r="Y106" s="4">
        <v>435</v>
      </c>
      <c r="Z106" s="4">
        <v>26</v>
      </c>
      <c r="AA106" s="4">
        <v>31</v>
      </c>
      <c r="AB106" s="4">
        <v>2</v>
      </c>
      <c r="AC106" s="4">
        <v>5</v>
      </c>
      <c r="AD106" s="4">
        <v>108</v>
      </c>
      <c r="AE106" s="4">
        <v>122</v>
      </c>
      <c r="AF106" s="4">
        <v>1</v>
      </c>
      <c r="AG106" s="4">
        <v>4</v>
      </c>
      <c r="AH106" s="4">
        <v>91</v>
      </c>
      <c r="AI106" s="4">
        <v>102</v>
      </c>
      <c r="AJ106" s="4">
        <v>17</v>
      </c>
      <c r="AK106" s="4">
        <v>21</v>
      </c>
      <c r="AL106" s="4">
        <v>49</v>
      </c>
      <c r="AM106" s="4">
        <v>55</v>
      </c>
      <c r="AN106" s="4">
        <v>0</v>
      </c>
      <c r="AO106" s="4">
        <v>0</v>
      </c>
      <c r="AP106" s="4">
        <v>24</v>
      </c>
      <c r="AQ106" s="4">
        <v>28</v>
      </c>
      <c r="AR106" s="3" t="s">
        <v>64</v>
      </c>
      <c r="AS106" s="3" t="s">
        <v>64</v>
      </c>
      <c r="AT106" s="3" t="s">
        <v>64</v>
      </c>
      <c r="AV106" s="6" t="str">
        <f>HYPERLINK("http://mcgill.on.worldcat.org/oclc/370416","Catalog Record")</f>
        <v>Catalog Record</v>
      </c>
      <c r="AW106" s="6" t="str">
        <f>HYPERLINK("http://www.worldcat.org/oclc/370416","WorldCat Record")</f>
        <v>WorldCat Record</v>
      </c>
      <c r="AX106" s="3" t="s">
        <v>1230</v>
      </c>
      <c r="AY106" s="3" t="s">
        <v>1231</v>
      </c>
      <c r="AZ106" s="3" t="s">
        <v>1232</v>
      </c>
      <c r="BA106" s="3" t="s">
        <v>1232</v>
      </c>
      <c r="BB106" s="3" t="s">
        <v>1233</v>
      </c>
      <c r="BC106" s="3" t="s">
        <v>78</v>
      </c>
      <c r="BD106" s="3" t="s">
        <v>79</v>
      </c>
      <c r="BE106" s="3" t="s">
        <v>1234</v>
      </c>
      <c r="BF106" s="3" t="s">
        <v>1233</v>
      </c>
      <c r="BG106" s="3" t="s">
        <v>1235</v>
      </c>
    </row>
    <row r="107" spans="1:59" ht="58" x14ac:dyDescent="0.35">
      <c r="A107" s="2" t="s">
        <v>59</v>
      </c>
      <c r="B107" s="2" t="s">
        <v>94</v>
      </c>
      <c r="C107" s="2" t="s">
        <v>1236</v>
      </c>
      <c r="D107" s="2" t="s">
        <v>1237</v>
      </c>
      <c r="E107" s="2" t="s">
        <v>1238</v>
      </c>
      <c r="G107" s="3" t="s">
        <v>64</v>
      </c>
      <c r="I107" s="3" t="s">
        <v>64</v>
      </c>
      <c r="J107" s="3" t="s">
        <v>64</v>
      </c>
      <c r="K107" s="3" t="s">
        <v>65</v>
      </c>
      <c r="L107" s="2" t="s">
        <v>1239</v>
      </c>
      <c r="M107" s="2" t="s">
        <v>1240</v>
      </c>
      <c r="N107" s="3" t="s">
        <v>214</v>
      </c>
      <c r="P107" s="3" t="s">
        <v>69</v>
      </c>
      <c r="R107" s="3" t="s">
        <v>70</v>
      </c>
      <c r="S107" s="4">
        <v>0</v>
      </c>
      <c r="T107" s="4">
        <v>0</v>
      </c>
      <c r="W107" s="5" t="s">
        <v>72</v>
      </c>
      <c r="X107" s="5" t="s">
        <v>72</v>
      </c>
      <c r="Y107" s="4">
        <v>206</v>
      </c>
      <c r="Z107" s="4">
        <v>7</v>
      </c>
      <c r="AA107" s="4">
        <v>17</v>
      </c>
      <c r="AB107" s="4">
        <v>1</v>
      </c>
      <c r="AC107" s="4">
        <v>4</v>
      </c>
      <c r="AD107" s="4">
        <v>52</v>
      </c>
      <c r="AE107" s="4">
        <v>74</v>
      </c>
      <c r="AF107" s="4">
        <v>0</v>
      </c>
      <c r="AG107" s="4">
        <v>0</v>
      </c>
      <c r="AH107" s="4">
        <v>48</v>
      </c>
      <c r="AI107" s="4">
        <v>68</v>
      </c>
      <c r="AJ107" s="4">
        <v>2</v>
      </c>
      <c r="AK107" s="4">
        <v>5</v>
      </c>
      <c r="AL107" s="4">
        <v>32</v>
      </c>
      <c r="AM107" s="4">
        <v>42</v>
      </c>
      <c r="AN107" s="4">
        <v>0</v>
      </c>
      <c r="AO107" s="4">
        <v>0</v>
      </c>
      <c r="AP107" s="4">
        <v>3</v>
      </c>
      <c r="AQ107" s="4">
        <v>8</v>
      </c>
      <c r="AR107" s="3" t="s">
        <v>64</v>
      </c>
      <c r="AS107" s="3" t="s">
        <v>64</v>
      </c>
      <c r="AT107" s="3" t="s">
        <v>64</v>
      </c>
      <c r="AV107" s="6" t="str">
        <f>HYPERLINK("http://mcgill.on.worldcat.org/oclc/468973485","Catalog Record")</f>
        <v>Catalog Record</v>
      </c>
      <c r="AW107" s="6" t="str">
        <f>HYPERLINK("http://www.worldcat.org/oclc/468973485","WorldCat Record")</f>
        <v>WorldCat Record</v>
      </c>
      <c r="AX107" s="3" t="s">
        <v>1241</v>
      </c>
      <c r="AY107" s="3" t="s">
        <v>1242</v>
      </c>
      <c r="AZ107" s="3" t="s">
        <v>1243</v>
      </c>
      <c r="BA107" s="3" t="s">
        <v>1243</v>
      </c>
      <c r="BB107" s="3" t="s">
        <v>1244</v>
      </c>
      <c r="BC107" s="3" t="s">
        <v>78</v>
      </c>
      <c r="BD107" s="3" t="s">
        <v>79</v>
      </c>
      <c r="BE107" s="3" t="s">
        <v>1245</v>
      </c>
      <c r="BF107" s="3" t="s">
        <v>1244</v>
      </c>
      <c r="BG107" s="3" t="s">
        <v>1246</v>
      </c>
    </row>
    <row r="108" spans="1:59" ht="58" x14ac:dyDescent="0.35">
      <c r="A108" s="2" t="s">
        <v>59</v>
      </c>
      <c r="B108" s="2" t="s">
        <v>94</v>
      </c>
      <c r="C108" s="2" t="s">
        <v>1250</v>
      </c>
      <c r="D108" s="2" t="s">
        <v>1251</v>
      </c>
      <c r="E108" s="2" t="s">
        <v>1252</v>
      </c>
      <c r="G108" s="3" t="s">
        <v>64</v>
      </c>
      <c r="I108" s="3" t="s">
        <v>64</v>
      </c>
      <c r="J108" s="3" t="s">
        <v>64</v>
      </c>
      <c r="K108" s="3" t="s">
        <v>65</v>
      </c>
      <c r="L108" s="2" t="s">
        <v>1253</v>
      </c>
      <c r="M108" s="2" t="s">
        <v>1254</v>
      </c>
      <c r="N108" s="3" t="s">
        <v>377</v>
      </c>
      <c r="P108" s="3" t="s">
        <v>69</v>
      </c>
      <c r="R108" s="3" t="s">
        <v>70</v>
      </c>
      <c r="S108" s="4">
        <v>2</v>
      </c>
      <c r="T108" s="4">
        <v>2</v>
      </c>
      <c r="U108" s="5" t="s">
        <v>1255</v>
      </c>
      <c r="V108" s="5" t="s">
        <v>1255</v>
      </c>
      <c r="W108" s="5" t="s">
        <v>72</v>
      </c>
      <c r="X108" s="5" t="s">
        <v>72</v>
      </c>
      <c r="Y108" s="4">
        <v>252</v>
      </c>
      <c r="Z108" s="4">
        <v>15</v>
      </c>
      <c r="AA108" s="4">
        <v>20</v>
      </c>
      <c r="AB108" s="4">
        <v>1</v>
      </c>
      <c r="AC108" s="4">
        <v>3</v>
      </c>
      <c r="AD108" s="4">
        <v>65</v>
      </c>
      <c r="AE108" s="4">
        <v>79</v>
      </c>
      <c r="AF108" s="4">
        <v>0</v>
      </c>
      <c r="AG108" s="4">
        <v>1</v>
      </c>
      <c r="AH108" s="4">
        <v>59</v>
      </c>
      <c r="AI108" s="4">
        <v>71</v>
      </c>
      <c r="AJ108" s="4">
        <v>9</v>
      </c>
      <c r="AK108" s="4">
        <v>12</v>
      </c>
      <c r="AL108" s="4">
        <v>35</v>
      </c>
      <c r="AM108" s="4">
        <v>44</v>
      </c>
      <c r="AN108" s="4">
        <v>0</v>
      </c>
      <c r="AO108" s="4">
        <v>0</v>
      </c>
      <c r="AP108" s="4">
        <v>11</v>
      </c>
      <c r="AQ108" s="4">
        <v>13</v>
      </c>
      <c r="AR108" s="3" t="s">
        <v>64</v>
      </c>
      <c r="AS108" s="3" t="s">
        <v>64</v>
      </c>
      <c r="AT108" s="3" t="s">
        <v>64</v>
      </c>
      <c r="AV108" s="6" t="str">
        <f>HYPERLINK("http://mcgill.on.worldcat.org/oclc/765485546","Catalog Record")</f>
        <v>Catalog Record</v>
      </c>
      <c r="AW108" s="6" t="str">
        <f>HYPERLINK("http://www.worldcat.org/oclc/765485546","WorldCat Record")</f>
        <v>WorldCat Record</v>
      </c>
      <c r="AX108" s="3" t="s">
        <v>1256</v>
      </c>
      <c r="AY108" s="3" t="s">
        <v>1257</v>
      </c>
      <c r="AZ108" s="3" t="s">
        <v>1258</v>
      </c>
      <c r="BA108" s="3" t="s">
        <v>1258</v>
      </c>
      <c r="BB108" s="3" t="s">
        <v>1259</v>
      </c>
      <c r="BC108" s="3" t="s">
        <v>78</v>
      </c>
      <c r="BD108" s="3" t="s">
        <v>79</v>
      </c>
      <c r="BE108" s="3" t="s">
        <v>1260</v>
      </c>
      <c r="BF108" s="3" t="s">
        <v>1259</v>
      </c>
      <c r="BG108" s="3" t="s">
        <v>1261</v>
      </c>
    </row>
    <row r="109" spans="1:59" ht="58" x14ac:dyDescent="0.35">
      <c r="A109" s="2" t="s">
        <v>59</v>
      </c>
      <c r="B109" s="2" t="s">
        <v>94</v>
      </c>
      <c r="C109" s="2" t="s">
        <v>1262</v>
      </c>
      <c r="D109" s="2" t="s">
        <v>1263</v>
      </c>
      <c r="E109" s="2" t="s">
        <v>1264</v>
      </c>
      <c r="G109" s="3" t="s">
        <v>64</v>
      </c>
      <c r="I109" s="3" t="s">
        <v>73</v>
      </c>
      <c r="J109" s="3" t="s">
        <v>64</v>
      </c>
      <c r="K109" s="3" t="s">
        <v>65</v>
      </c>
      <c r="L109" s="2" t="s">
        <v>1265</v>
      </c>
      <c r="M109" s="2" t="s">
        <v>1266</v>
      </c>
      <c r="N109" s="3" t="s">
        <v>1267</v>
      </c>
      <c r="P109" s="3" t="s">
        <v>69</v>
      </c>
      <c r="R109" s="3" t="s">
        <v>70</v>
      </c>
      <c r="S109" s="4">
        <v>6</v>
      </c>
      <c r="T109" s="4">
        <v>11</v>
      </c>
      <c r="U109" s="5" t="s">
        <v>1268</v>
      </c>
      <c r="V109" s="5" t="s">
        <v>1268</v>
      </c>
      <c r="W109" s="5" t="s">
        <v>72</v>
      </c>
      <c r="X109" s="5" t="s">
        <v>72</v>
      </c>
      <c r="Y109" s="4">
        <v>443</v>
      </c>
      <c r="Z109" s="4">
        <v>28</v>
      </c>
      <c r="AA109" s="4">
        <v>88</v>
      </c>
      <c r="AB109" s="4">
        <v>2</v>
      </c>
      <c r="AC109" s="4">
        <v>15</v>
      </c>
      <c r="AD109" s="4">
        <v>114</v>
      </c>
      <c r="AE109" s="4">
        <v>144</v>
      </c>
      <c r="AF109" s="4">
        <v>1</v>
      </c>
      <c r="AG109" s="4">
        <v>8</v>
      </c>
      <c r="AH109" s="4">
        <v>101</v>
      </c>
      <c r="AI109" s="4">
        <v>108</v>
      </c>
      <c r="AJ109" s="4">
        <v>17</v>
      </c>
      <c r="AK109" s="4">
        <v>25</v>
      </c>
      <c r="AL109" s="4">
        <v>60</v>
      </c>
      <c r="AM109" s="4">
        <v>60</v>
      </c>
      <c r="AN109" s="4">
        <v>0</v>
      </c>
      <c r="AO109" s="4">
        <v>0</v>
      </c>
      <c r="AP109" s="4">
        <v>20</v>
      </c>
      <c r="AQ109" s="4">
        <v>45</v>
      </c>
      <c r="AR109" s="3" t="s">
        <v>64</v>
      </c>
      <c r="AS109" s="3" t="s">
        <v>64</v>
      </c>
      <c r="AT109" s="3" t="s">
        <v>64</v>
      </c>
      <c r="AV109" s="6" t="str">
        <f>HYPERLINK("http://mcgill.on.worldcat.org/oclc/712688","Catalog Record")</f>
        <v>Catalog Record</v>
      </c>
      <c r="AW109" s="6" t="str">
        <f>HYPERLINK("http://www.worldcat.org/oclc/712688","WorldCat Record")</f>
        <v>WorldCat Record</v>
      </c>
      <c r="AX109" s="3" t="s">
        <v>1269</v>
      </c>
      <c r="AY109" s="3" t="s">
        <v>1270</v>
      </c>
      <c r="AZ109" s="3" t="s">
        <v>1271</v>
      </c>
      <c r="BA109" s="3" t="s">
        <v>1271</v>
      </c>
      <c r="BB109" s="3" t="s">
        <v>1272</v>
      </c>
      <c r="BC109" s="3" t="s">
        <v>78</v>
      </c>
      <c r="BD109" s="3" t="s">
        <v>79</v>
      </c>
      <c r="BF109" s="3" t="s">
        <v>1272</v>
      </c>
      <c r="BG109" s="3" t="s">
        <v>1273</v>
      </c>
    </row>
    <row r="110" spans="1:59" ht="58" x14ac:dyDescent="0.35">
      <c r="A110" s="2" t="s">
        <v>59</v>
      </c>
      <c r="B110" s="2" t="s">
        <v>94</v>
      </c>
      <c r="C110" s="2" t="s">
        <v>1262</v>
      </c>
      <c r="D110" s="2" t="s">
        <v>1263</v>
      </c>
      <c r="E110" s="2" t="s">
        <v>1264</v>
      </c>
      <c r="G110" s="3" t="s">
        <v>64</v>
      </c>
      <c r="I110" s="3" t="s">
        <v>73</v>
      </c>
      <c r="J110" s="3" t="s">
        <v>64</v>
      </c>
      <c r="K110" s="3" t="s">
        <v>65</v>
      </c>
      <c r="L110" s="2" t="s">
        <v>1265</v>
      </c>
      <c r="M110" s="2" t="s">
        <v>1266</v>
      </c>
      <c r="N110" s="3" t="s">
        <v>1267</v>
      </c>
      <c r="P110" s="3" t="s">
        <v>69</v>
      </c>
      <c r="R110" s="3" t="s">
        <v>70</v>
      </c>
      <c r="S110" s="4">
        <v>5</v>
      </c>
      <c r="T110" s="4">
        <v>11</v>
      </c>
      <c r="U110" s="5" t="s">
        <v>1274</v>
      </c>
      <c r="V110" s="5" t="s">
        <v>1268</v>
      </c>
      <c r="W110" s="5" t="s">
        <v>72</v>
      </c>
      <c r="X110" s="5" t="s">
        <v>72</v>
      </c>
      <c r="Y110" s="4">
        <v>443</v>
      </c>
      <c r="Z110" s="4">
        <v>28</v>
      </c>
      <c r="AA110" s="4">
        <v>88</v>
      </c>
      <c r="AB110" s="4">
        <v>2</v>
      </c>
      <c r="AC110" s="4">
        <v>15</v>
      </c>
      <c r="AD110" s="4">
        <v>114</v>
      </c>
      <c r="AE110" s="4">
        <v>144</v>
      </c>
      <c r="AF110" s="4">
        <v>1</v>
      </c>
      <c r="AG110" s="4">
        <v>8</v>
      </c>
      <c r="AH110" s="4">
        <v>101</v>
      </c>
      <c r="AI110" s="4">
        <v>108</v>
      </c>
      <c r="AJ110" s="4">
        <v>17</v>
      </c>
      <c r="AK110" s="4">
        <v>25</v>
      </c>
      <c r="AL110" s="4">
        <v>60</v>
      </c>
      <c r="AM110" s="4">
        <v>60</v>
      </c>
      <c r="AN110" s="4">
        <v>0</v>
      </c>
      <c r="AO110" s="4">
        <v>0</v>
      </c>
      <c r="AP110" s="4">
        <v>20</v>
      </c>
      <c r="AQ110" s="4">
        <v>45</v>
      </c>
      <c r="AR110" s="3" t="s">
        <v>64</v>
      </c>
      <c r="AS110" s="3" t="s">
        <v>64</v>
      </c>
      <c r="AT110" s="3" t="s">
        <v>64</v>
      </c>
      <c r="AV110" s="6" t="str">
        <f>HYPERLINK("http://mcgill.on.worldcat.org/oclc/712688","Catalog Record")</f>
        <v>Catalog Record</v>
      </c>
      <c r="AW110" s="6" t="str">
        <f>HYPERLINK("http://www.worldcat.org/oclc/712688","WorldCat Record")</f>
        <v>WorldCat Record</v>
      </c>
      <c r="AX110" s="3" t="s">
        <v>1269</v>
      </c>
      <c r="AY110" s="3" t="s">
        <v>1270</v>
      </c>
      <c r="AZ110" s="3" t="s">
        <v>1271</v>
      </c>
      <c r="BA110" s="3" t="s">
        <v>1271</v>
      </c>
      <c r="BB110" s="3" t="s">
        <v>1275</v>
      </c>
      <c r="BC110" s="3" t="s">
        <v>78</v>
      </c>
      <c r="BD110" s="3" t="s">
        <v>79</v>
      </c>
      <c r="BF110" s="3" t="s">
        <v>1275</v>
      </c>
      <c r="BG110" s="3" t="s">
        <v>1276</v>
      </c>
    </row>
    <row r="111" spans="1:59" ht="58" x14ac:dyDescent="0.35">
      <c r="A111" s="2" t="s">
        <v>59</v>
      </c>
      <c r="B111" s="2" t="s">
        <v>94</v>
      </c>
      <c r="C111" s="2" t="s">
        <v>1277</v>
      </c>
      <c r="D111" s="2" t="s">
        <v>1278</v>
      </c>
      <c r="E111" s="2" t="s">
        <v>1279</v>
      </c>
      <c r="G111" s="3" t="s">
        <v>64</v>
      </c>
      <c r="I111" s="3" t="s">
        <v>64</v>
      </c>
      <c r="J111" s="3" t="s">
        <v>64</v>
      </c>
      <c r="K111" s="3" t="s">
        <v>65</v>
      </c>
      <c r="M111" s="2" t="s">
        <v>1280</v>
      </c>
      <c r="N111" s="3" t="s">
        <v>651</v>
      </c>
      <c r="P111" s="3" t="s">
        <v>69</v>
      </c>
      <c r="Q111" s="2" t="s">
        <v>1281</v>
      </c>
      <c r="R111" s="3" t="s">
        <v>70</v>
      </c>
      <c r="S111" s="4">
        <v>7</v>
      </c>
      <c r="T111" s="4">
        <v>7</v>
      </c>
      <c r="U111" s="5" t="s">
        <v>1282</v>
      </c>
      <c r="V111" s="5" t="s">
        <v>1282</v>
      </c>
      <c r="W111" s="5" t="s">
        <v>72</v>
      </c>
      <c r="X111" s="5" t="s">
        <v>72</v>
      </c>
      <c r="Y111" s="4">
        <v>188</v>
      </c>
      <c r="Z111" s="4">
        <v>8</v>
      </c>
      <c r="AA111" s="4">
        <v>101</v>
      </c>
      <c r="AB111" s="4">
        <v>1</v>
      </c>
      <c r="AC111" s="4">
        <v>17</v>
      </c>
      <c r="AD111" s="4">
        <v>60</v>
      </c>
      <c r="AE111" s="4">
        <v>128</v>
      </c>
      <c r="AF111" s="4">
        <v>0</v>
      </c>
      <c r="AG111" s="4">
        <v>8</v>
      </c>
      <c r="AH111" s="4">
        <v>54</v>
      </c>
      <c r="AI111" s="4">
        <v>91</v>
      </c>
      <c r="AJ111" s="4">
        <v>4</v>
      </c>
      <c r="AK111" s="4">
        <v>21</v>
      </c>
      <c r="AL111" s="4">
        <v>38</v>
      </c>
      <c r="AM111" s="4">
        <v>47</v>
      </c>
      <c r="AN111" s="4">
        <v>0</v>
      </c>
      <c r="AO111" s="4">
        <v>0</v>
      </c>
      <c r="AP111" s="4">
        <v>6</v>
      </c>
      <c r="AQ111" s="4">
        <v>44</v>
      </c>
      <c r="AR111" s="3" t="s">
        <v>64</v>
      </c>
      <c r="AS111" s="3" t="s">
        <v>64</v>
      </c>
      <c r="AT111" s="3" t="s">
        <v>64</v>
      </c>
      <c r="AV111" s="6" t="str">
        <f>HYPERLINK("http://mcgill.on.worldcat.org/oclc/50042862","Catalog Record")</f>
        <v>Catalog Record</v>
      </c>
      <c r="AW111" s="6" t="str">
        <f>HYPERLINK("http://www.worldcat.org/oclc/50042862","WorldCat Record")</f>
        <v>WorldCat Record</v>
      </c>
      <c r="AX111" s="3" t="s">
        <v>1283</v>
      </c>
      <c r="AY111" s="3" t="s">
        <v>1284</v>
      </c>
      <c r="AZ111" s="3" t="s">
        <v>1285</v>
      </c>
      <c r="BA111" s="3" t="s">
        <v>1285</v>
      </c>
      <c r="BB111" s="3" t="s">
        <v>1286</v>
      </c>
      <c r="BC111" s="3" t="s">
        <v>78</v>
      </c>
      <c r="BD111" s="3" t="s">
        <v>79</v>
      </c>
      <c r="BE111" s="3" t="s">
        <v>1287</v>
      </c>
      <c r="BF111" s="3" t="s">
        <v>1286</v>
      </c>
      <c r="BG111" s="3" t="s">
        <v>1288</v>
      </c>
    </row>
    <row r="112" spans="1:59" ht="58" x14ac:dyDescent="0.35">
      <c r="A112" s="2" t="s">
        <v>59</v>
      </c>
      <c r="B112" s="2" t="s">
        <v>94</v>
      </c>
      <c r="C112" s="2" t="s">
        <v>1289</v>
      </c>
      <c r="D112" s="2" t="s">
        <v>1290</v>
      </c>
      <c r="E112" s="2" t="s">
        <v>1291</v>
      </c>
      <c r="G112" s="3" t="s">
        <v>64</v>
      </c>
      <c r="I112" s="3" t="s">
        <v>64</v>
      </c>
      <c r="J112" s="3" t="s">
        <v>64</v>
      </c>
      <c r="K112" s="3" t="s">
        <v>65</v>
      </c>
      <c r="L112" s="2" t="s">
        <v>1292</v>
      </c>
      <c r="M112" s="2" t="s">
        <v>1293</v>
      </c>
      <c r="N112" s="3" t="s">
        <v>449</v>
      </c>
      <c r="O112" s="2" t="s">
        <v>1294</v>
      </c>
      <c r="P112" s="3" t="s">
        <v>69</v>
      </c>
      <c r="R112" s="3" t="s">
        <v>70</v>
      </c>
      <c r="S112" s="4">
        <v>7</v>
      </c>
      <c r="T112" s="4">
        <v>7</v>
      </c>
      <c r="U112" s="5" t="s">
        <v>1193</v>
      </c>
      <c r="V112" s="5" t="s">
        <v>1193</v>
      </c>
      <c r="W112" s="5" t="s">
        <v>72</v>
      </c>
      <c r="X112" s="5" t="s">
        <v>72</v>
      </c>
      <c r="Y112" s="4">
        <v>644</v>
      </c>
      <c r="Z112" s="4">
        <v>28</v>
      </c>
      <c r="AA112" s="4">
        <v>28</v>
      </c>
      <c r="AB112" s="4">
        <v>3</v>
      </c>
      <c r="AC112" s="4">
        <v>3</v>
      </c>
      <c r="AD112" s="4">
        <v>80</v>
      </c>
      <c r="AE112" s="4">
        <v>82</v>
      </c>
      <c r="AF112" s="4">
        <v>0</v>
      </c>
      <c r="AG112" s="4">
        <v>0</v>
      </c>
      <c r="AH112" s="4">
        <v>71</v>
      </c>
      <c r="AI112" s="4">
        <v>73</v>
      </c>
      <c r="AJ112" s="4">
        <v>5</v>
      </c>
      <c r="AK112" s="4">
        <v>5</v>
      </c>
      <c r="AL112" s="4">
        <v>43</v>
      </c>
      <c r="AM112" s="4">
        <v>45</v>
      </c>
      <c r="AN112" s="4">
        <v>0</v>
      </c>
      <c r="AO112" s="4">
        <v>0</v>
      </c>
      <c r="AP112" s="4">
        <v>10</v>
      </c>
      <c r="AQ112" s="4">
        <v>10</v>
      </c>
      <c r="AR112" s="3" t="s">
        <v>64</v>
      </c>
      <c r="AS112" s="3" t="s">
        <v>64</v>
      </c>
      <c r="AT112" s="3" t="s">
        <v>64</v>
      </c>
      <c r="AV112" s="6" t="str">
        <f>HYPERLINK("http://mcgill.on.worldcat.org/oclc/191922864","Catalog Record")</f>
        <v>Catalog Record</v>
      </c>
      <c r="AW112" s="6" t="str">
        <f>HYPERLINK("http://www.worldcat.org/oclc/191922864","WorldCat Record")</f>
        <v>WorldCat Record</v>
      </c>
      <c r="AX112" s="3" t="s">
        <v>1295</v>
      </c>
      <c r="AY112" s="3" t="s">
        <v>1296</v>
      </c>
      <c r="AZ112" s="3" t="s">
        <v>1297</v>
      </c>
      <c r="BA112" s="3" t="s">
        <v>1297</v>
      </c>
      <c r="BB112" s="3" t="s">
        <v>1298</v>
      </c>
      <c r="BC112" s="3" t="s">
        <v>78</v>
      </c>
      <c r="BD112" s="3" t="s">
        <v>79</v>
      </c>
      <c r="BE112" s="3" t="s">
        <v>1299</v>
      </c>
      <c r="BF112" s="3" t="s">
        <v>1298</v>
      </c>
      <c r="BG112" s="3" t="s">
        <v>1300</v>
      </c>
    </row>
    <row r="113" spans="1:59" ht="58" x14ac:dyDescent="0.35">
      <c r="A113" s="2" t="s">
        <v>59</v>
      </c>
      <c r="B113" s="2" t="s">
        <v>94</v>
      </c>
      <c r="C113" s="2" t="s">
        <v>1301</v>
      </c>
      <c r="D113" s="2" t="s">
        <v>1302</v>
      </c>
      <c r="E113" s="2" t="s">
        <v>1303</v>
      </c>
      <c r="G113" s="3" t="s">
        <v>64</v>
      </c>
      <c r="I113" s="3" t="s">
        <v>73</v>
      </c>
      <c r="J113" s="3" t="s">
        <v>73</v>
      </c>
      <c r="K113" s="3" t="s">
        <v>65</v>
      </c>
      <c r="L113" s="2" t="s">
        <v>1304</v>
      </c>
      <c r="M113" s="2" t="s">
        <v>1305</v>
      </c>
      <c r="N113" s="3" t="s">
        <v>315</v>
      </c>
      <c r="P113" s="3" t="s">
        <v>69</v>
      </c>
      <c r="R113" s="3" t="s">
        <v>70</v>
      </c>
      <c r="S113" s="4">
        <v>42</v>
      </c>
      <c r="T113" s="4">
        <v>79</v>
      </c>
      <c r="U113" s="5" t="s">
        <v>1306</v>
      </c>
      <c r="V113" s="5" t="s">
        <v>1306</v>
      </c>
      <c r="W113" s="5" t="s">
        <v>72</v>
      </c>
      <c r="X113" s="5" t="s">
        <v>72</v>
      </c>
      <c r="Y113" s="4">
        <v>1061</v>
      </c>
      <c r="Z113" s="4">
        <v>43</v>
      </c>
      <c r="AA113" s="4">
        <v>60</v>
      </c>
      <c r="AB113" s="4">
        <v>3</v>
      </c>
      <c r="AC113" s="4">
        <v>6</v>
      </c>
      <c r="AD113" s="4">
        <v>126</v>
      </c>
      <c r="AE113" s="4">
        <v>141</v>
      </c>
      <c r="AF113" s="4">
        <v>2</v>
      </c>
      <c r="AG113" s="4">
        <v>4</v>
      </c>
      <c r="AH113" s="4">
        <v>102</v>
      </c>
      <c r="AI113" s="4">
        <v>111</v>
      </c>
      <c r="AJ113" s="4">
        <v>20</v>
      </c>
      <c r="AK113" s="4">
        <v>24</v>
      </c>
      <c r="AL113" s="4">
        <v>57</v>
      </c>
      <c r="AM113" s="4">
        <v>59</v>
      </c>
      <c r="AN113" s="4">
        <v>0</v>
      </c>
      <c r="AO113" s="4">
        <v>2</v>
      </c>
      <c r="AP113" s="4">
        <v>33</v>
      </c>
      <c r="AQ113" s="4">
        <v>39</v>
      </c>
      <c r="AR113" s="3" t="s">
        <v>64</v>
      </c>
      <c r="AS113" s="3" t="s">
        <v>64</v>
      </c>
      <c r="AT113" s="3" t="s">
        <v>73</v>
      </c>
      <c r="AU113" s="6" t="str">
        <f>HYPERLINK("http://catalog.hathitrust.org/Record/000805641","HathiTrust Record")</f>
        <v>HathiTrust Record</v>
      </c>
      <c r="AV113" s="6" t="str">
        <f>HYPERLINK("http://mcgill.on.worldcat.org/oclc/14818714","Catalog Record")</f>
        <v>Catalog Record</v>
      </c>
      <c r="AW113" s="6" t="str">
        <f>HYPERLINK("http://www.worldcat.org/oclc/14818714","WorldCat Record")</f>
        <v>WorldCat Record</v>
      </c>
      <c r="AX113" s="3" t="s">
        <v>1307</v>
      </c>
      <c r="AY113" s="3" t="s">
        <v>1308</v>
      </c>
      <c r="AZ113" s="3" t="s">
        <v>1309</v>
      </c>
      <c r="BA113" s="3" t="s">
        <v>1309</v>
      </c>
      <c r="BB113" s="3" t="s">
        <v>1310</v>
      </c>
      <c r="BC113" s="3" t="s">
        <v>78</v>
      </c>
      <c r="BD113" s="3" t="s">
        <v>79</v>
      </c>
      <c r="BE113" s="3" t="s">
        <v>1311</v>
      </c>
      <c r="BF113" s="3" t="s">
        <v>1310</v>
      </c>
      <c r="BG113" s="3" t="s">
        <v>1312</v>
      </c>
    </row>
    <row r="114" spans="1:59" ht="58" x14ac:dyDescent="0.35">
      <c r="A114" s="2" t="s">
        <v>59</v>
      </c>
      <c r="B114" s="2" t="s">
        <v>94</v>
      </c>
      <c r="C114" s="2" t="s">
        <v>1301</v>
      </c>
      <c r="D114" s="2" t="s">
        <v>1302</v>
      </c>
      <c r="E114" s="2" t="s">
        <v>1303</v>
      </c>
      <c r="G114" s="3" t="s">
        <v>64</v>
      </c>
      <c r="I114" s="3" t="s">
        <v>73</v>
      </c>
      <c r="J114" s="3" t="s">
        <v>73</v>
      </c>
      <c r="K114" s="3" t="s">
        <v>65</v>
      </c>
      <c r="L114" s="2" t="s">
        <v>1304</v>
      </c>
      <c r="M114" s="2" t="s">
        <v>1305</v>
      </c>
      <c r="N114" s="3" t="s">
        <v>315</v>
      </c>
      <c r="P114" s="3" t="s">
        <v>69</v>
      </c>
      <c r="R114" s="3" t="s">
        <v>70</v>
      </c>
      <c r="S114" s="4">
        <v>37</v>
      </c>
      <c r="T114" s="4">
        <v>79</v>
      </c>
      <c r="U114" s="5" t="s">
        <v>1313</v>
      </c>
      <c r="V114" s="5" t="s">
        <v>1306</v>
      </c>
      <c r="W114" s="5" t="s">
        <v>72</v>
      </c>
      <c r="X114" s="5" t="s">
        <v>72</v>
      </c>
      <c r="Y114" s="4">
        <v>1061</v>
      </c>
      <c r="Z114" s="4">
        <v>43</v>
      </c>
      <c r="AA114" s="4">
        <v>60</v>
      </c>
      <c r="AB114" s="4">
        <v>3</v>
      </c>
      <c r="AC114" s="4">
        <v>6</v>
      </c>
      <c r="AD114" s="4">
        <v>126</v>
      </c>
      <c r="AE114" s="4">
        <v>141</v>
      </c>
      <c r="AF114" s="4">
        <v>2</v>
      </c>
      <c r="AG114" s="4">
        <v>4</v>
      </c>
      <c r="AH114" s="4">
        <v>102</v>
      </c>
      <c r="AI114" s="4">
        <v>111</v>
      </c>
      <c r="AJ114" s="4">
        <v>20</v>
      </c>
      <c r="AK114" s="4">
        <v>24</v>
      </c>
      <c r="AL114" s="4">
        <v>57</v>
      </c>
      <c r="AM114" s="4">
        <v>59</v>
      </c>
      <c r="AN114" s="4">
        <v>0</v>
      </c>
      <c r="AO114" s="4">
        <v>2</v>
      </c>
      <c r="AP114" s="4">
        <v>33</v>
      </c>
      <c r="AQ114" s="4">
        <v>39</v>
      </c>
      <c r="AR114" s="3" t="s">
        <v>64</v>
      </c>
      <c r="AS114" s="3" t="s">
        <v>64</v>
      </c>
      <c r="AT114" s="3" t="s">
        <v>73</v>
      </c>
      <c r="AU114" s="6" t="str">
        <f>HYPERLINK("http://catalog.hathitrust.org/Record/000805641","HathiTrust Record")</f>
        <v>HathiTrust Record</v>
      </c>
      <c r="AV114" s="6" t="str">
        <f>HYPERLINK("http://mcgill.on.worldcat.org/oclc/14818714","Catalog Record")</f>
        <v>Catalog Record</v>
      </c>
      <c r="AW114" s="6" t="str">
        <f>HYPERLINK("http://www.worldcat.org/oclc/14818714","WorldCat Record")</f>
        <v>WorldCat Record</v>
      </c>
      <c r="AX114" s="3" t="s">
        <v>1307</v>
      </c>
      <c r="AY114" s="3" t="s">
        <v>1308</v>
      </c>
      <c r="AZ114" s="3" t="s">
        <v>1309</v>
      </c>
      <c r="BA114" s="3" t="s">
        <v>1309</v>
      </c>
      <c r="BB114" s="3" t="s">
        <v>1314</v>
      </c>
      <c r="BC114" s="3" t="s">
        <v>78</v>
      </c>
      <c r="BD114" s="3" t="s">
        <v>79</v>
      </c>
      <c r="BE114" s="3" t="s">
        <v>1311</v>
      </c>
      <c r="BF114" s="3" t="s">
        <v>1314</v>
      </c>
      <c r="BG114" s="3" t="s">
        <v>1315</v>
      </c>
    </row>
    <row r="115" spans="1:59" ht="58" x14ac:dyDescent="0.35">
      <c r="A115" s="2" t="s">
        <v>59</v>
      </c>
      <c r="B115" s="2" t="s">
        <v>94</v>
      </c>
      <c r="C115" s="2" t="s">
        <v>1316</v>
      </c>
      <c r="D115" s="2" t="s">
        <v>1317</v>
      </c>
      <c r="E115" s="2" t="s">
        <v>1318</v>
      </c>
      <c r="G115" s="3" t="s">
        <v>64</v>
      </c>
      <c r="I115" s="3" t="s">
        <v>64</v>
      </c>
      <c r="J115" s="3" t="s">
        <v>73</v>
      </c>
      <c r="K115" s="3" t="s">
        <v>65</v>
      </c>
      <c r="L115" s="2" t="s">
        <v>1304</v>
      </c>
      <c r="M115" s="2" t="s">
        <v>1319</v>
      </c>
      <c r="N115" s="3" t="s">
        <v>1320</v>
      </c>
      <c r="O115" s="2" t="s">
        <v>1321</v>
      </c>
      <c r="P115" s="3" t="s">
        <v>69</v>
      </c>
      <c r="R115" s="3" t="s">
        <v>70</v>
      </c>
      <c r="S115" s="4">
        <v>1</v>
      </c>
      <c r="T115" s="4">
        <v>1</v>
      </c>
      <c r="U115" s="5" t="s">
        <v>1322</v>
      </c>
      <c r="V115" s="5" t="s">
        <v>1322</v>
      </c>
      <c r="W115" s="5" t="s">
        <v>72</v>
      </c>
      <c r="X115" s="5" t="s">
        <v>72</v>
      </c>
      <c r="Y115" s="4">
        <v>241</v>
      </c>
      <c r="Z115" s="4">
        <v>18</v>
      </c>
      <c r="AA115" s="4">
        <v>60</v>
      </c>
      <c r="AB115" s="4">
        <v>2</v>
      </c>
      <c r="AC115" s="4">
        <v>6</v>
      </c>
      <c r="AD115" s="4">
        <v>46</v>
      </c>
      <c r="AE115" s="4">
        <v>141</v>
      </c>
      <c r="AF115" s="4">
        <v>0</v>
      </c>
      <c r="AG115" s="4">
        <v>4</v>
      </c>
      <c r="AH115" s="4">
        <v>37</v>
      </c>
      <c r="AI115" s="4">
        <v>111</v>
      </c>
      <c r="AJ115" s="4">
        <v>5</v>
      </c>
      <c r="AK115" s="4">
        <v>24</v>
      </c>
      <c r="AL115" s="4">
        <v>22</v>
      </c>
      <c r="AM115" s="4">
        <v>59</v>
      </c>
      <c r="AN115" s="4">
        <v>0</v>
      </c>
      <c r="AO115" s="4">
        <v>2</v>
      </c>
      <c r="AP115" s="4">
        <v>9</v>
      </c>
      <c r="AQ115" s="4">
        <v>39</v>
      </c>
      <c r="AR115" s="3" t="s">
        <v>64</v>
      </c>
      <c r="AS115" s="3" t="s">
        <v>64</v>
      </c>
      <c r="AT115" s="3" t="s">
        <v>64</v>
      </c>
      <c r="AV115" s="6" t="str">
        <f>HYPERLINK("http://mcgill.on.worldcat.org/oclc/31936038","Catalog Record")</f>
        <v>Catalog Record</v>
      </c>
      <c r="AW115" s="6" t="str">
        <f>HYPERLINK("http://www.worldcat.org/oclc/31936038","WorldCat Record")</f>
        <v>WorldCat Record</v>
      </c>
      <c r="AX115" s="3" t="s">
        <v>1307</v>
      </c>
      <c r="AY115" s="3" t="s">
        <v>1323</v>
      </c>
      <c r="AZ115" s="3" t="s">
        <v>1324</v>
      </c>
      <c r="BA115" s="3" t="s">
        <v>1324</v>
      </c>
      <c r="BB115" s="3" t="s">
        <v>1325</v>
      </c>
      <c r="BC115" s="3" t="s">
        <v>78</v>
      </c>
      <c r="BD115" s="3" t="s">
        <v>79</v>
      </c>
      <c r="BE115" s="3" t="s">
        <v>1326</v>
      </c>
      <c r="BF115" s="3" t="s">
        <v>1325</v>
      </c>
      <c r="BG115" s="3" t="s">
        <v>1327</v>
      </c>
    </row>
    <row r="116" spans="1:59" ht="58" x14ac:dyDescent="0.35">
      <c r="A116" s="2" t="s">
        <v>59</v>
      </c>
      <c r="B116" s="2" t="s">
        <v>94</v>
      </c>
      <c r="C116" s="2" t="s">
        <v>1328</v>
      </c>
      <c r="D116" s="2" t="s">
        <v>1329</v>
      </c>
      <c r="E116" s="2" t="s">
        <v>1330</v>
      </c>
      <c r="G116" s="3" t="s">
        <v>64</v>
      </c>
      <c r="I116" s="3" t="s">
        <v>64</v>
      </c>
      <c r="J116" s="3" t="s">
        <v>64</v>
      </c>
      <c r="K116" s="3" t="s">
        <v>65</v>
      </c>
      <c r="L116" s="2" t="s">
        <v>1331</v>
      </c>
      <c r="M116" s="2" t="s">
        <v>1332</v>
      </c>
      <c r="N116" s="3" t="s">
        <v>422</v>
      </c>
      <c r="P116" s="3" t="s">
        <v>69</v>
      </c>
      <c r="R116" s="3" t="s">
        <v>70</v>
      </c>
      <c r="S116" s="4">
        <v>75</v>
      </c>
      <c r="T116" s="4">
        <v>75</v>
      </c>
      <c r="U116" s="5" t="s">
        <v>1333</v>
      </c>
      <c r="V116" s="5" t="s">
        <v>1333</v>
      </c>
      <c r="W116" s="5" t="s">
        <v>72</v>
      </c>
      <c r="X116" s="5" t="s">
        <v>72</v>
      </c>
      <c r="Y116" s="4">
        <v>863</v>
      </c>
      <c r="Z116" s="4">
        <v>48</v>
      </c>
      <c r="AA116" s="4">
        <v>59</v>
      </c>
      <c r="AB116" s="4">
        <v>3</v>
      </c>
      <c r="AC116" s="4">
        <v>5</v>
      </c>
      <c r="AD116" s="4">
        <v>130</v>
      </c>
      <c r="AE116" s="4">
        <v>138</v>
      </c>
      <c r="AF116" s="4">
        <v>1</v>
      </c>
      <c r="AG116" s="4">
        <v>3</v>
      </c>
      <c r="AH116" s="4">
        <v>105</v>
      </c>
      <c r="AI116" s="4">
        <v>108</v>
      </c>
      <c r="AJ116" s="4">
        <v>19</v>
      </c>
      <c r="AK116" s="4">
        <v>22</v>
      </c>
      <c r="AL116" s="4">
        <v>53</v>
      </c>
      <c r="AM116" s="4">
        <v>55</v>
      </c>
      <c r="AN116" s="4">
        <v>0</v>
      </c>
      <c r="AO116" s="4">
        <v>0</v>
      </c>
      <c r="AP116" s="4">
        <v>33</v>
      </c>
      <c r="AQ116" s="4">
        <v>38</v>
      </c>
      <c r="AR116" s="3" t="s">
        <v>64</v>
      </c>
      <c r="AS116" s="3" t="s">
        <v>64</v>
      </c>
      <c r="AT116" s="3" t="s">
        <v>64</v>
      </c>
      <c r="AV116" s="6" t="str">
        <f>HYPERLINK("http://mcgill.on.worldcat.org/oclc/46909154","Catalog Record")</f>
        <v>Catalog Record</v>
      </c>
      <c r="AW116" s="6" t="str">
        <f>HYPERLINK("http://www.worldcat.org/oclc/46909154","WorldCat Record")</f>
        <v>WorldCat Record</v>
      </c>
      <c r="AX116" s="3" t="s">
        <v>1334</v>
      </c>
      <c r="AY116" s="3" t="s">
        <v>1335</v>
      </c>
      <c r="AZ116" s="3" t="s">
        <v>1336</v>
      </c>
      <c r="BA116" s="3" t="s">
        <v>1336</v>
      </c>
      <c r="BB116" s="3" t="s">
        <v>1337</v>
      </c>
      <c r="BC116" s="3" t="s">
        <v>78</v>
      </c>
      <c r="BD116" s="3" t="s">
        <v>79</v>
      </c>
      <c r="BE116" s="3" t="s">
        <v>1338</v>
      </c>
      <c r="BF116" s="3" t="s">
        <v>1337</v>
      </c>
      <c r="BG116" s="3" t="s">
        <v>1339</v>
      </c>
    </row>
    <row r="117" spans="1:59" ht="72.5" x14ac:dyDescent="0.35">
      <c r="A117" s="2" t="s">
        <v>59</v>
      </c>
      <c r="B117" s="2" t="s">
        <v>94</v>
      </c>
      <c r="C117" s="2" t="s">
        <v>1340</v>
      </c>
      <c r="D117" s="2" t="s">
        <v>1341</v>
      </c>
      <c r="E117" s="2" t="s">
        <v>1342</v>
      </c>
      <c r="F117" s="3" t="s">
        <v>1343</v>
      </c>
      <c r="G117" s="3" t="s">
        <v>73</v>
      </c>
      <c r="I117" s="3" t="s">
        <v>64</v>
      </c>
      <c r="J117" s="3" t="s">
        <v>64</v>
      </c>
      <c r="K117" s="3" t="s">
        <v>65</v>
      </c>
      <c r="M117" s="2" t="s">
        <v>1344</v>
      </c>
      <c r="N117" s="3" t="s">
        <v>1029</v>
      </c>
      <c r="O117" s="2" t="s">
        <v>525</v>
      </c>
      <c r="P117" s="3" t="s">
        <v>69</v>
      </c>
      <c r="Q117" s="2" t="s">
        <v>1345</v>
      </c>
      <c r="R117" s="3" t="s">
        <v>70</v>
      </c>
      <c r="S117" s="4">
        <v>1</v>
      </c>
      <c r="T117" s="4">
        <v>3</v>
      </c>
      <c r="U117" s="5" t="s">
        <v>1346</v>
      </c>
      <c r="V117" s="5" t="s">
        <v>1346</v>
      </c>
      <c r="W117" s="5" t="s">
        <v>72</v>
      </c>
      <c r="X117" s="5" t="s">
        <v>72</v>
      </c>
      <c r="Y117" s="4">
        <v>46</v>
      </c>
      <c r="Z117" s="4">
        <v>3</v>
      </c>
      <c r="AA117" s="4">
        <v>96</v>
      </c>
      <c r="AB117" s="4">
        <v>1</v>
      </c>
      <c r="AC117" s="4">
        <v>17</v>
      </c>
      <c r="AD117" s="4">
        <v>11</v>
      </c>
      <c r="AE117" s="4">
        <v>104</v>
      </c>
      <c r="AF117" s="4">
        <v>0</v>
      </c>
      <c r="AG117" s="4">
        <v>8</v>
      </c>
      <c r="AH117" s="4">
        <v>10</v>
      </c>
      <c r="AI117" s="4">
        <v>65</v>
      </c>
      <c r="AJ117" s="4">
        <v>2</v>
      </c>
      <c r="AK117" s="4">
        <v>21</v>
      </c>
      <c r="AL117" s="4">
        <v>7</v>
      </c>
      <c r="AM117" s="4">
        <v>30</v>
      </c>
      <c r="AN117" s="4">
        <v>0</v>
      </c>
      <c r="AO117" s="4">
        <v>0</v>
      </c>
      <c r="AP117" s="4">
        <v>2</v>
      </c>
      <c r="AQ117" s="4">
        <v>45</v>
      </c>
      <c r="AR117" s="3" t="s">
        <v>64</v>
      </c>
      <c r="AS117" s="3" t="s">
        <v>64</v>
      </c>
      <c r="AT117" s="3" t="s">
        <v>64</v>
      </c>
      <c r="AV117" s="6" t="str">
        <f>HYPERLINK("http://mcgill.on.worldcat.org/oclc/426030675","Catalog Record")</f>
        <v>Catalog Record</v>
      </c>
      <c r="AW117" s="6" t="str">
        <f>HYPERLINK("http://www.worldcat.org/oclc/426030675","WorldCat Record")</f>
        <v>WorldCat Record</v>
      </c>
      <c r="AX117" s="3" t="s">
        <v>1347</v>
      </c>
      <c r="AY117" s="3" t="s">
        <v>1348</v>
      </c>
      <c r="AZ117" s="3" t="s">
        <v>1349</v>
      </c>
      <c r="BA117" s="3" t="s">
        <v>1349</v>
      </c>
      <c r="BB117" s="3" t="s">
        <v>1350</v>
      </c>
      <c r="BC117" s="3" t="s">
        <v>78</v>
      </c>
      <c r="BD117" s="3" t="s">
        <v>79</v>
      </c>
      <c r="BE117" s="3" t="s">
        <v>1351</v>
      </c>
      <c r="BF117" s="3" t="s">
        <v>1350</v>
      </c>
      <c r="BG117" s="3" t="s">
        <v>1352</v>
      </c>
    </row>
    <row r="118" spans="1:59" ht="72.5" x14ac:dyDescent="0.35">
      <c r="A118" s="2" t="s">
        <v>59</v>
      </c>
      <c r="B118" s="2" t="s">
        <v>94</v>
      </c>
      <c r="C118" s="2" t="s">
        <v>1340</v>
      </c>
      <c r="D118" s="2" t="s">
        <v>1341</v>
      </c>
      <c r="E118" s="2" t="s">
        <v>1342</v>
      </c>
      <c r="F118" s="3" t="s">
        <v>1353</v>
      </c>
      <c r="G118" s="3" t="s">
        <v>73</v>
      </c>
      <c r="I118" s="3" t="s">
        <v>64</v>
      </c>
      <c r="J118" s="3" t="s">
        <v>64</v>
      </c>
      <c r="K118" s="3" t="s">
        <v>65</v>
      </c>
      <c r="M118" s="2" t="s">
        <v>1344</v>
      </c>
      <c r="N118" s="3" t="s">
        <v>1029</v>
      </c>
      <c r="O118" s="2" t="s">
        <v>525</v>
      </c>
      <c r="P118" s="3" t="s">
        <v>69</v>
      </c>
      <c r="Q118" s="2" t="s">
        <v>1345</v>
      </c>
      <c r="R118" s="3" t="s">
        <v>70</v>
      </c>
      <c r="S118" s="4">
        <v>2</v>
      </c>
      <c r="T118" s="4">
        <v>3</v>
      </c>
      <c r="U118" s="5" t="s">
        <v>1346</v>
      </c>
      <c r="V118" s="5" t="s">
        <v>1346</v>
      </c>
      <c r="W118" s="5" t="s">
        <v>72</v>
      </c>
      <c r="X118" s="5" t="s">
        <v>72</v>
      </c>
      <c r="Y118" s="4">
        <v>46</v>
      </c>
      <c r="Z118" s="4">
        <v>3</v>
      </c>
      <c r="AA118" s="4">
        <v>96</v>
      </c>
      <c r="AB118" s="4">
        <v>1</v>
      </c>
      <c r="AC118" s="4">
        <v>17</v>
      </c>
      <c r="AD118" s="4">
        <v>11</v>
      </c>
      <c r="AE118" s="4">
        <v>104</v>
      </c>
      <c r="AF118" s="4">
        <v>0</v>
      </c>
      <c r="AG118" s="4">
        <v>8</v>
      </c>
      <c r="AH118" s="4">
        <v>10</v>
      </c>
      <c r="AI118" s="4">
        <v>65</v>
      </c>
      <c r="AJ118" s="4">
        <v>2</v>
      </c>
      <c r="AK118" s="4">
        <v>21</v>
      </c>
      <c r="AL118" s="4">
        <v>7</v>
      </c>
      <c r="AM118" s="4">
        <v>30</v>
      </c>
      <c r="AN118" s="4">
        <v>0</v>
      </c>
      <c r="AO118" s="4">
        <v>0</v>
      </c>
      <c r="AP118" s="4">
        <v>2</v>
      </c>
      <c r="AQ118" s="4">
        <v>45</v>
      </c>
      <c r="AR118" s="3" t="s">
        <v>64</v>
      </c>
      <c r="AS118" s="3" t="s">
        <v>64</v>
      </c>
      <c r="AT118" s="3" t="s">
        <v>64</v>
      </c>
      <c r="AV118" s="6" t="str">
        <f>HYPERLINK("http://mcgill.on.worldcat.org/oclc/426030675","Catalog Record")</f>
        <v>Catalog Record</v>
      </c>
      <c r="AW118" s="6" t="str">
        <f>HYPERLINK("http://www.worldcat.org/oclc/426030675","WorldCat Record")</f>
        <v>WorldCat Record</v>
      </c>
      <c r="AX118" s="3" t="s">
        <v>1347</v>
      </c>
      <c r="AY118" s="3" t="s">
        <v>1348</v>
      </c>
      <c r="AZ118" s="3" t="s">
        <v>1349</v>
      </c>
      <c r="BA118" s="3" t="s">
        <v>1349</v>
      </c>
      <c r="BB118" s="3" t="s">
        <v>1354</v>
      </c>
      <c r="BC118" s="3" t="s">
        <v>78</v>
      </c>
      <c r="BD118" s="3" t="s">
        <v>79</v>
      </c>
      <c r="BE118" s="3" t="s">
        <v>1351</v>
      </c>
      <c r="BF118" s="3" t="s">
        <v>1354</v>
      </c>
      <c r="BG118" s="3" t="s">
        <v>1355</v>
      </c>
    </row>
    <row r="119" spans="1:59" ht="58" x14ac:dyDescent="0.35">
      <c r="A119" s="2" t="s">
        <v>59</v>
      </c>
      <c r="B119" s="2" t="s">
        <v>94</v>
      </c>
      <c r="C119" s="2" t="s">
        <v>1356</v>
      </c>
      <c r="D119" s="2" t="s">
        <v>1357</v>
      </c>
      <c r="E119" s="2" t="s">
        <v>1358</v>
      </c>
      <c r="G119" s="3" t="s">
        <v>64</v>
      </c>
      <c r="I119" s="3" t="s">
        <v>64</v>
      </c>
      <c r="J119" s="3" t="s">
        <v>64</v>
      </c>
      <c r="K119" s="3" t="s">
        <v>65</v>
      </c>
      <c r="M119" s="2" t="s">
        <v>1359</v>
      </c>
      <c r="N119" s="3" t="s">
        <v>1029</v>
      </c>
      <c r="P119" s="3" t="s">
        <v>69</v>
      </c>
      <c r="R119" s="3" t="s">
        <v>70</v>
      </c>
      <c r="S119" s="4">
        <v>8</v>
      </c>
      <c r="T119" s="4">
        <v>8</v>
      </c>
      <c r="U119" s="5" t="s">
        <v>1306</v>
      </c>
      <c r="V119" s="5" t="s">
        <v>1306</v>
      </c>
      <c r="W119" s="5" t="s">
        <v>72</v>
      </c>
      <c r="X119" s="5" t="s">
        <v>72</v>
      </c>
      <c r="Y119" s="4">
        <v>254</v>
      </c>
      <c r="Z119" s="4">
        <v>39</v>
      </c>
      <c r="AA119" s="4">
        <v>39</v>
      </c>
      <c r="AB119" s="4">
        <v>3</v>
      </c>
      <c r="AC119" s="4">
        <v>3</v>
      </c>
      <c r="AD119" s="4">
        <v>66</v>
      </c>
      <c r="AE119" s="4">
        <v>67</v>
      </c>
      <c r="AF119" s="4">
        <v>1</v>
      </c>
      <c r="AG119" s="4">
        <v>1</v>
      </c>
      <c r="AH119" s="4">
        <v>47</v>
      </c>
      <c r="AI119" s="4">
        <v>48</v>
      </c>
      <c r="AJ119" s="4">
        <v>18</v>
      </c>
      <c r="AK119" s="4">
        <v>18</v>
      </c>
      <c r="AL119" s="4">
        <v>30</v>
      </c>
      <c r="AM119" s="4">
        <v>31</v>
      </c>
      <c r="AN119" s="4">
        <v>0</v>
      </c>
      <c r="AO119" s="4">
        <v>0</v>
      </c>
      <c r="AP119" s="4">
        <v>26</v>
      </c>
      <c r="AQ119" s="4">
        <v>26</v>
      </c>
      <c r="AR119" s="3" t="s">
        <v>73</v>
      </c>
      <c r="AS119" s="3" t="s">
        <v>64</v>
      </c>
      <c r="AT119" s="3" t="s">
        <v>64</v>
      </c>
      <c r="AV119" s="6" t="str">
        <f>HYPERLINK("http://mcgill.on.worldcat.org/oclc/434559333","Catalog Record")</f>
        <v>Catalog Record</v>
      </c>
      <c r="AW119" s="6" t="str">
        <f>HYPERLINK("http://www.worldcat.org/oclc/434559333","WorldCat Record")</f>
        <v>WorldCat Record</v>
      </c>
      <c r="AX119" s="3" t="s">
        <v>1360</v>
      </c>
      <c r="AY119" s="3" t="s">
        <v>1361</v>
      </c>
      <c r="AZ119" s="3" t="s">
        <v>1362</v>
      </c>
      <c r="BA119" s="3" t="s">
        <v>1362</v>
      </c>
      <c r="BB119" s="3" t="s">
        <v>1363</v>
      </c>
      <c r="BC119" s="3" t="s">
        <v>78</v>
      </c>
      <c r="BD119" s="3" t="s">
        <v>79</v>
      </c>
      <c r="BE119" s="3" t="s">
        <v>1364</v>
      </c>
      <c r="BF119" s="3" t="s">
        <v>1363</v>
      </c>
      <c r="BG119" s="3" t="s">
        <v>1365</v>
      </c>
    </row>
    <row r="120" spans="1:59" ht="58" x14ac:dyDescent="0.35">
      <c r="A120" s="2" t="s">
        <v>59</v>
      </c>
      <c r="B120" s="2" t="s">
        <v>94</v>
      </c>
      <c r="C120" s="2" t="s">
        <v>1366</v>
      </c>
      <c r="D120" s="2" t="s">
        <v>1367</v>
      </c>
      <c r="E120" s="2" t="s">
        <v>1368</v>
      </c>
      <c r="G120" s="3" t="s">
        <v>64</v>
      </c>
      <c r="I120" s="3" t="s">
        <v>64</v>
      </c>
      <c r="J120" s="3" t="s">
        <v>64</v>
      </c>
      <c r="K120" s="3" t="s">
        <v>65</v>
      </c>
      <c r="L120" s="2" t="s">
        <v>1369</v>
      </c>
      <c r="M120" s="2" t="s">
        <v>1370</v>
      </c>
      <c r="N120" s="3" t="s">
        <v>524</v>
      </c>
      <c r="P120" s="3" t="s">
        <v>69</v>
      </c>
      <c r="Q120" s="2" t="s">
        <v>1371</v>
      </c>
      <c r="R120" s="3" t="s">
        <v>70</v>
      </c>
      <c r="S120" s="4">
        <v>0</v>
      </c>
      <c r="T120" s="4">
        <v>0</v>
      </c>
      <c r="U120" s="5" t="s">
        <v>1372</v>
      </c>
      <c r="V120" s="5" t="s">
        <v>1372</v>
      </c>
      <c r="W120" s="5" t="s">
        <v>72</v>
      </c>
      <c r="X120" s="5" t="s">
        <v>72</v>
      </c>
      <c r="Y120" s="4">
        <v>62</v>
      </c>
      <c r="Z120" s="4">
        <v>35</v>
      </c>
      <c r="AA120" s="4">
        <v>36</v>
      </c>
      <c r="AB120" s="4">
        <v>4</v>
      </c>
      <c r="AC120" s="4">
        <v>5</v>
      </c>
      <c r="AD120" s="4">
        <v>44</v>
      </c>
      <c r="AE120" s="4">
        <v>45</v>
      </c>
      <c r="AF120" s="4">
        <v>2</v>
      </c>
      <c r="AG120" s="4">
        <v>3</v>
      </c>
      <c r="AH120" s="4">
        <v>25</v>
      </c>
      <c r="AI120" s="4">
        <v>25</v>
      </c>
      <c r="AJ120" s="4">
        <v>16</v>
      </c>
      <c r="AK120" s="4">
        <v>17</v>
      </c>
      <c r="AL120" s="4">
        <v>14</v>
      </c>
      <c r="AM120" s="4">
        <v>14</v>
      </c>
      <c r="AN120" s="4">
        <v>0</v>
      </c>
      <c r="AO120" s="4">
        <v>0</v>
      </c>
      <c r="AP120" s="4">
        <v>27</v>
      </c>
      <c r="AQ120" s="4">
        <v>28</v>
      </c>
      <c r="AR120" s="3" t="s">
        <v>73</v>
      </c>
      <c r="AS120" s="3" t="s">
        <v>64</v>
      </c>
      <c r="AT120" s="3" t="s">
        <v>64</v>
      </c>
      <c r="AV120" s="6" t="str">
        <f>HYPERLINK("http://mcgill.on.worldcat.org/oclc/847332549","Catalog Record")</f>
        <v>Catalog Record</v>
      </c>
      <c r="AW120" s="6" t="str">
        <f>HYPERLINK("http://www.worldcat.org/oclc/847332549","WorldCat Record")</f>
        <v>WorldCat Record</v>
      </c>
      <c r="AX120" s="3" t="s">
        <v>1373</v>
      </c>
      <c r="AY120" s="3" t="s">
        <v>1374</v>
      </c>
      <c r="AZ120" s="3" t="s">
        <v>1375</v>
      </c>
      <c r="BA120" s="3" t="s">
        <v>1375</v>
      </c>
      <c r="BB120" s="3" t="s">
        <v>1376</v>
      </c>
      <c r="BC120" s="3" t="s">
        <v>78</v>
      </c>
      <c r="BD120" s="3" t="s">
        <v>79</v>
      </c>
      <c r="BE120" s="3" t="s">
        <v>1377</v>
      </c>
      <c r="BF120" s="3" t="s">
        <v>1376</v>
      </c>
      <c r="BG120" s="3" t="s">
        <v>1378</v>
      </c>
    </row>
    <row r="121" spans="1:59" ht="58" x14ac:dyDescent="0.35">
      <c r="A121" s="2" t="s">
        <v>59</v>
      </c>
      <c r="B121" s="2" t="s">
        <v>94</v>
      </c>
      <c r="C121" s="2" t="s">
        <v>1379</v>
      </c>
      <c r="D121" s="2" t="s">
        <v>1380</v>
      </c>
      <c r="E121" s="2" t="s">
        <v>1381</v>
      </c>
      <c r="G121" s="3" t="s">
        <v>64</v>
      </c>
      <c r="I121" s="3" t="s">
        <v>64</v>
      </c>
      <c r="J121" s="3" t="s">
        <v>64</v>
      </c>
      <c r="K121" s="3" t="s">
        <v>65</v>
      </c>
      <c r="M121" s="2" t="s">
        <v>1382</v>
      </c>
      <c r="N121" s="3" t="s">
        <v>252</v>
      </c>
      <c r="P121" s="3" t="s">
        <v>69</v>
      </c>
      <c r="Q121" s="2" t="s">
        <v>1383</v>
      </c>
      <c r="R121" s="3" t="s">
        <v>70</v>
      </c>
      <c r="S121" s="4">
        <v>6</v>
      </c>
      <c r="T121" s="4">
        <v>6</v>
      </c>
      <c r="U121" s="5" t="s">
        <v>1384</v>
      </c>
      <c r="V121" s="5" t="s">
        <v>1384</v>
      </c>
      <c r="W121" s="5" t="s">
        <v>72</v>
      </c>
      <c r="X121" s="5" t="s">
        <v>72</v>
      </c>
      <c r="Y121" s="4">
        <v>359</v>
      </c>
      <c r="Z121" s="4">
        <v>18</v>
      </c>
      <c r="AA121" s="4">
        <v>19</v>
      </c>
      <c r="AB121" s="4">
        <v>2</v>
      </c>
      <c r="AC121" s="4">
        <v>3</v>
      </c>
      <c r="AD121" s="4">
        <v>101</v>
      </c>
      <c r="AE121" s="4">
        <v>102</v>
      </c>
      <c r="AF121" s="4">
        <v>0</v>
      </c>
      <c r="AG121" s="4">
        <v>1</v>
      </c>
      <c r="AH121" s="4">
        <v>92</v>
      </c>
      <c r="AI121" s="4">
        <v>92</v>
      </c>
      <c r="AJ121" s="4">
        <v>15</v>
      </c>
      <c r="AK121" s="4">
        <v>16</v>
      </c>
      <c r="AL121" s="4">
        <v>50</v>
      </c>
      <c r="AM121" s="4">
        <v>50</v>
      </c>
      <c r="AN121" s="4">
        <v>1</v>
      </c>
      <c r="AO121" s="4">
        <v>1</v>
      </c>
      <c r="AP121" s="4">
        <v>14</v>
      </c>
      <c r="AQ121" s="4">
        <v>14</v>
      </c>
      <c r="AR121" s="3" t="s">
        <v>64</v>
      </c>
      <c r="AS121" s="3" t="s">
        <v>64</v>
      </c>
      <c r="AT121" s="3" t="s">
        <v>73</v>
      </c>
      <c r="AU121" s="6" t="str">
        <f>HYPERLINK("http://catalog.hathitrust.org/Record/001046922","HathiTrust Record")</f>
        <v>HathiTrust Record</v>
      </c>
      <c r="AV121" s="6" t="str">
        <f>HYPERLINK("http://mcgill.on.worldcat.org/oclc/658088","Catalog Record")</f>
        <v>Catalog Record</v>
      </c>
      <c r="AW121" s="6" t="str">
        <f>HYPERLINK("http://www.worldcat.org/oclc/658088","WorldCat Record")</f>
        <v>WorldCat Record</v>
      </c>
      <c r="AX121" s="3" t="s">
        <v>1385</v>
      </c>
      <c r="AY121" s="3" t="s">
        <v>1386</v>
      </c>
      <c r="AZ121" s="3" t="s">
        <v>1387</v>
      </c>
      <c r="BA121" s="3" t="s">
        <v>1387</v>
      </c>
      <c r="BB121" s="3" t="s">
        <v>1388</v>
      </c>
      <c r="BC121" s="3" t="s">
        <v>78</v>
      </c>
      <c r="BD121" s="3" t="s">
        <v>79</v>
      </c>
      <c r="BE121" s="3" t="s">
        <v>1389</v>
      </c>
      <c r="BF121" s="3" t="s">
        <v>1388</v>
      </c>
      <c r="BG121" s="3" t="s">
        <v>1390</v>
      </c>
    </row>
    <row r="122" spans="1:59" ht="58" x14ac:dyDescent="0.35">
      <c r="A122" s="2" t="s">
        <v>59</v>
      </c>
      <c r="B122" s="2" t="s">
        <v>94</v>
      </c>
      <c r="C122" s="2" t="s">
        <v>1391</v>
      </c>
      <c r="D122" s="2" t="s">
        <v>1392</v>
      </c>
      <c r="E122" s="2" t="s">
        <v>1393</v>
      </c>
      <c r="G122" s="3" t="s">
        <v>64</v>
      </c>
      <c r="I122" s="3" t="s">
        <v>64</v>
      </c>
      <c r="J122" s="3" t="s">
        <v>64</v>
      </c>
      <c r="K122" s="3" t="s">
        <v>65</v>
      </c>
      <c r="M122" s="2" t="s">
        <v>1394</v>
      </c>
      <c r="N122" s="3" t="s">
        <v>651</v>
      </c>
      <c r="P122" s="3" t="s">
        <v>69</v>
      </c>
      <c r="R122" s="3" t="s">
        <v>70</v>
      </c>
      <c r="S122" s="4">
        <v>17</v>
      </c>
      <c r="T122" s="4">
        <v>17</v>
      </c>
      <c r="U122" s="5" t="s">
        <v>1395</v>
      </c>
      <c r="V122" s="5" t="s">
        <v>1395</v>
      </c>
      <c r="W122" s="5" t="s">
        <v>72</v>
      </c>
      <c r="X122" s="5" t="s">
        <v>72</v>
      </c>
      <c r="Y122" s="4">
        <v>234</v>
      </c>
      <c r="Z122" s="4">
        <v>11</v>
      </c>
      <c r="AA122" s="4">
        <v>13</v>
      </c>
      <c r="AB122" s="4">
        <v>1</v>
      </c>
      <c r="AC122" s="4">
        <v>2</v>
      </c>
      <c r="AD122" s="4">
        <v>81</v>
      </c>
      <c r="AE122" s="4">
        <v>83</v>
      </c>
      <c r="AF122" s="4">
        <v>0</v>
      </c>
      <c r="AG122" s="4">
        <v>1</v>
      </c>
      <c r="AH122" s="4">
        <v>76</v>
      </c>
      <c r="AI122" s="4">
        <v>76</v>
      </c>
      <c r="AJ122" s="4">
        <v>8</v>
      </c>
      <c r="AK122" s="4">
        <v>9</v>
      </c>
      <c r="AL122" s="4">
        <v>46</v>
      </c>
      <c r="AM122" s="4">
        <v>46</v>
      </c>
      <c r="AN122" s="4">
        <v>0</v>
      </c>
      <c r="AO122" s="4">
        <v>0</v>
      </c>
      <c r="AP122" s="4">
        <v>9</v>
      </c>
      <c r="AQ122" s="4">
        <v>10</v>
      </c>
      <c r="AR122" s="3" t="s">
        <v>64</v>
      </c>
      <c r="AS122" s="3" t="s">
        <v>64</v>
      </c>
      <c r="AT122" s="3" t="s">
        <v>73</v>
      </c>
      <c r="AU122" s="6" t="str">
        <f>HYPERLINK("http://catalog.hathitrust.org/Record/004331158","HathiTrust Record")</f>
        <v>HathiTrust Record</v>
      </c>
      <c r="AV122" s="6" t="str">
        <f>HYPERLINK("http://mcgill.on.worldcat.org/oclc/50042811","Catalog Record")</f>
        <v>Catalog Record</v>
      </c>
      <c r="AW122" s="6" t="str">
        <f>HYPERLINK("http://www.worldcat.org/oclc/50042811","WorldCat Record")</f>
        <v>WorldCat Record</v>
      </c>
      <c r="AX122" s="3" t="s">
        <v>1396</v>
      </c>
      <c r="AY122" s="3" t="s">
        <v>1397</v>
      </c>
      <c r="AZ122" s="3" t="s">
        <v>1398</v>
      </c>
      <c r="BA122" s="3" t="s">
        <v>1398</v>
      </c>
      <c r="BB122" s="3" t="s">
        <v>1399</v>
      </c>
      <c r="BC122" s="3" t="s">
        <v>78</v>
      </c>
      <c r="BD122" s="3" t="s">
        <v>79</v>
      </c>
      <c r="BE122" s="3" t="s">
        <v>1400</v>
      </c>
      <c r="BF122" s="3" t="s">
        <v>1399</v>
      </c>
      <c r="BG122" s="3" t="s">
        <v>1401</v>
      </c>
    </row>
    <row r="123" spans="1:59" ht="58" x14ac:dyDescent="0.35">
      <c r="A123" s="2" t="s">
        <v>59</v>
      </c>
      <c r="B123" s="2" t="s">
        <v>94</v>
      </c>
      <c r="C123" s="2" t="s">
        <v>1402</v>
      </c>
      <c r="D123" s="2" t="s">
        <v>1403</v>
      </c>
      <c r="E123" s="2" t="s">
        <v>1404</v>
      </c>
      <c r="G123" s="3" t="s">
        <v>64</v>
      </c>
      <c r="I123" s="3" t="s">
        <v>73</v>
      </c>
      <c r="J123" s="3" t="s">
        <v>64</v>
      </c>
      <c r="K123" s="3" t="s">
        <v>65</v>
      </c>
      <c r="L123" s="2" t="s">
        <v>1405</v>
      </c>
      <c r="M123" s="2" t="s">
        <v>1406</v>
      </c>
      <c r="N123" s="3" t="s">
        <v>422</v>
      </c>
      <c r="P123" s="3" t="s">
        <v>69</v>
      </c>
      <c r="Q123" s="2" t="s">
        <v>1407</v>
      </c>
      <c r="R123" s="3" t="s">
        <v>70</v>
      </c>
      <c r="S123" s="4">
        <v>15</v>
      </c>
      <c r="T123" s="4">
        <v>31</v>
      </c>
      <c r="U123" s="5" t="s">
        <v>1408</v>
      </c>
      <c r="V123" s="5" t="s">
        <v>1409</v>
      </c>
      <c r="W123" s="5" t="s">
        <v>72</v>
      </c>
      <c r="X123" s="5" t="s">
        <v>72</v>
      </c>
      <c r="Y123" s="4">
        <v>176</v>
      </c>
      <c r="Z123" s="4">
        <v>70</v>
      </c>
      <c r="AA123" s="4">
        <v>116</v>
      </c>
      <c r="AB123" s="4">
        <v>2</v>
      </c>
      <c r="AC123" s="4">
        <v>18</v>
      </c>
      <c r="AD123" s="4">
        <v>95</v>
      </c>
      <c r="AE123" s="4">
        <v>136</v>
      </c>
      <c r="AF123" s="4">
        <v>1</v>
      </c>
      <c r="AG123" s="4">
        <v>8</v>
      </c>
      <c r="AH123" s="4">
        <v>61</v>
      </c>
      <c r="AI123" s="4">
        <v>89</v>
      </c>
      <c r="AJ123" s="4">
        <v>21</v>
      </c>
      <c r="AK123" s="4">
        <v>27</v>
      </c>
      <c r="AL123" s="4">
        <v>34</v>
      </c>
      <c r="AM123" s="4">
        <v>44</v>
      </c>
      <c r="AN123" s="4">
        <v>0</v>
      </c>
      <c r="AO123" s="4">
        <v>0</v>
      </c>
      <c r="AP123" s="4">
        <v>43</v>
      </c>
      <c r="AQ123" s="4">
        <v>56</v>
      </c>
      <c r="AR123" s="3" t="s">
        <v>73</v>
      </c>
      <c r="AS123" s="3" t="s">
        <v>64</v>
      </c>
      <c r="AT123" s="3" t="s">
        <v>64</v>
      </c>
      <c r="AV123" s="6" t="str">
        <f>HYPERLINK("http://mcgill.on.worldcat.org/oclc/44786642","Catalog Record")</f>
        <v>Catalog Record</v>
      </c>
      <c r="AW123" s="6" t="str">
        <f>HYPERLINK("http://www.worldcat.org/oclc/44786642","WorldCat Record")</f>
        <v>WorldCat Record</v>
      </c>
      <c r="AX123" s="3" t="s">
        <v>1410</v>
      </c>
      <c r="AY123" s="3" t="s">
        <v>1411</v>
      </c>
      <c r="AZ123" s="3" t="s">
        <v>1412</v>
      </c>
      <c r="BA123" s="3" t="s">
        <v>1412</v>
      </c>
      <c r="BB123" s="3" t="s">
        <v>1413</v>
      </c>
      <c r="BC123" s="3" t="s">
        <v>78</v>
      </c>
      <c r="BD123" s="3" t="s">
        <v>79</v>
      </c>
      <c r="BE123" s="3" t="s">
        <v>1414</v>
      </c>
      <c r="BF123" s="3" t="s">
        <v>1413</v>
      </c>
      <c r="BG123" s="3" t="s">
        <v>1415</v>
      </c>
    </row>
    <row r="124" spans="1:59" ht="58" x14ac:dyDescent="0.35">
      <c r="A124" s="2" t="s">
        <v>59</v>
      </c>
      <c r="B124" s="2" t="s">
        <v>94</v>
      </c>
      <c r="C124" s="2" t="s">
        <v>1402</v>
      </c>
      <c r="D124" s="2" t="s">
        <v>1403</v>
      </c>
      <c r="E124" s="2" t="s">
        <v>1404</v>
      </c>
      <c r="G124" s="3" t="s">
        <v>64</v>
      </c>
      <c r="I124" s="3" t="s">
        <v>73</v>
      </c>
      <c r="J124" s="3" t="s">
        <v>64</v>
      </c>
      <c r="K124" s="3" t="s">
        <v>65</v>
      </c>
      <c r="L124" s="2" t="s">
        <v>1405</v>
      </c>
      <c r="M124" s="2" t="s">
        <v>1406</v>
      </c>
      <c r="N124" s="3" t="s">
        <v>422</v>
      </c>
      <c r="P124" s="3" t="s">
        <v>69</v>
      </c>
      <c r="Q124" s="2" t="s">
        <v>1407</v>
      </c>
      <c r="R124" s="3" t="s">
        <v>70</v>
      </c>
      <c r="S124" s="4">
        <v>16</v>
      </c>
      <c r="T124" s="4">
        <v>31</v>
      </c>
      <c r="U124" s="5" t="s">
        <v>1409</v>
      </c>
      <c r="V124" s="5" t="s">
        <v>1409</v>
      </c>
      <c r="W124" s="5" t="s">
        <v>72</v>
      </c>
      <c r="X124" s="5" t="s">
        <v>72</v>
      </c>
      <c r="Y124" s="4">
        <v>176</v>
      </c>
      <c r="Z124" s="4">
        <v>70</v>
      </c>
      <c r="AA124" s="4">
        <v>116</v>
      </c>
      <c r="AB124" s="4">
        <v>2</v>
      </c>
      <c r="AC124" s="4">
        <v>18</v>
      </c>
      <c r="AD124" s="4">
        <v>95</v>
      </c>
      <c r="AE124" s="4">
        <v>136</v>
      </c>
      <c r="AF124" s="4">
        <v>1</v>
      </c>
      <c r="AG124" s="4">
        <v>8</v>
      </c>
      <c r="AH124" s="4">
        <v>61</v>
      </c>
      <c r="AI124" s="4">
        <v>89</v>
      </c>
      <c r="AJ124" s="4">
        <v>21</v>
      </c>
      <c r="AK124" s="4">
        <v>27</v>
      </c>
      <c r="AL124" s="4">
        <v>34</v>
      </c>
      <c r="AM124" s="4">
        <v>44</v>
      </c>
      <c r="AN124" s="4">
        <v>0</v>
      </c>
      <c r="AO124" s="4">
        <v>0</v>
      </c>
      <c r="AP124" s="4">
        <v>43</v>
      </c>
      <c r="AQ124" s="4">
        <v>56</v>
      </c>
      <c r="AR124" s="3" t="s">
        <v>73</v>
      </c>
      <c r="AS124" s="3" t="s">
        <v>64</v>
      </c>
      <c r="AT124" s="3" t="s">
        <v>64</v>
      </c>
      <c r="AV124" s="6" t="str">
        <f>HYPERLINK("http://mcgill.on.worldcat.org/oclc/44786642","Catalog Record")</f>
        <v>Catalog Record</v>
      </c>
      <c r="AW124" s="6" t="str">
        <f>HYPERLINK("http://www.worldcat.org/oclc/44786642","WorldCat Record")</f>
        <v>WorldCat Record</v>
      </c>
      <c r="AX124" s="3" t="s">
        <v>1410</v>
      </c>
      <c r="AY124" s="3" t="s">
        <v>1411</v>
      </c>
      <c r="AZ124" s="3" t="s">
        <v>1412</v>
      </c>
      <c r="BA124" s="3" t="s">
        <v>1412</v>
      </c>
      <c r="BB124" s="3" t="s">
        <v>1416</v>
      </c>
      <c r="BC124" s="3" t="s">
        <v>78</v>
      </c>
      <c r="BD124" s="3" t="s">
        <v>79</v>
      </c>
      <c r="BE124" s="3" t="s">
        <v>1414</v>
      </c>
      <c r="BF124" s="3" t="s">
        <v>1416</v>
      </c>
      <c r="BG124" s="3" t="s">
        <v>1417</v>
      </c>
    </row>
    <row r="125" spans="1:59" ht="58" x14ac:dyDescent="0.35">
      <c r="A125" s="2" t="s">
        <v>59</v>
      </c>
      <c r="B125" s="2" t="s">
        <v>94</v>
      </c>
      <c r="C125" s="2" t="s">
        <v>1418</v>
      </c>
      <c r="D125" s="2" t="s">
        <v>1419</v>
      </c>
      <c r="E125" s="2" t="s">
        <v>1420</v>
      </c>
      <c r="G125" s="3" t="s">
        <v>64</v>
      </c>
      <c r="I125" s="3" t="s">
        <v>64</v>
      </c>
      <c r="J125" s="3" t="s">
        <v>64</v>
      </c>
      <c r="K125" s="3" t="s">
        <v>65</v>
      </c>
      <c r="L125" s="2" t="s">
        <v>1421</v>
      </c>
      <c r="M125" s="2" t="s">
        <v>1422</v>
      </c>
      <c r="N125" s="3" t="s">
        <v>264</v>
      </c>
      <c r="P125" s="3" t="s">
        <v>69</v>
      </c>
      <c r="Q125" s="2" t="s">
        <v>1423</v>
      </c>
      <c r="R125" s="3" t="s">
        <v>70</v>
      </c>
      <c r="S125" s="4">
        <v>14</v>
      </c>
      <c r="T125" s="4">
        <v>14</v>
      </c>
      <c r="U125" s="5" t="s">
        <v>1424</v>
      </c>
      <c r="V125" s="5" t="s">
        <v>1424</v>
      </c>
      <c r="W125" s="5" t="s">
        <v>72</v>
      </c>
      <c r="X125" s="5" t="s">
        <v>72</v>
      </c>
      <c r="Y125" s="4">
        <v>746</v>
      </c>
      <c r="Z125" s="4">
        <v>40</v>
      </c>
      <c r="AA125" s="4">
        <v>42</v>
      </c>
      <c r="AB125" s="4">
        <v>2</v>
      </c>
      <c r="AC125" s="4">
        <v>4</v>
      </c>
      <c r="AD125" s="4">
        <v>128</v>
      </c>
      <c r="AE125" s="4">
        <v>130</v>
      </c>
      <c r="AF125" s="4">
        <v>1</v>
      </c>
      <c r="AG125" s="4">
        <v>3</v>
      </c>
      <c r="AH125" s="4">
        <v>106</v>
      </c>
      <c r="AI125" s="4">
        <v>107</v>
      </c>
      <c r="AJ125" s="4">
        <v>20</v>
      </c>
      <c r="AK125" s="4">
        <v>22</v>
      </c>
      <c r="AL125" s="4">
        <v>57</v>
      </c>
      <c r="AM125" s="4">
        <v>57</v>
      </c>
      <c r="AN125" s="4">
        <v>0</v>
      </c>
      <c r="AO125" s="4">
        <v>0</v>
      </c>
      <c r="AP125" s="4">
        <v>29</v>
      </c>
      <c r="AQ125" s="4">
        <v>30</v>
      </c>
      <c r="AR125" s="3" t="s">
        <v>64</v>
      </c>
      <c r="AS125" s="3" t="s">
        <v>64</v>
      </c>
      <c r="AT125" s="3" t="s">
        <v>64</v>
      </c>
      <c r="AV125" s="6" t="str">
        <f>HYPERLINK("http://mcgill.on.worldcat.org/oclc/2524717","Catalog Record")</f>
        <v>Catalog Record</v>
      </c>
      <c r="AW125" s="6" t="str">
        <f>HYPERLINK("http://www.worldcat.org/oclc/2524717","WorldCat Record")</f>
        <v>WorldCat Record</v>
      </c>
      <c r="AX125" s="3" t="s">
        <v>1425</v>
      </c>
      <c r="AY125" s="3" t="s">
        <v>1426</v>
      </c>
      <c r="AZ125" s="3" t="s">
        <v>1427</v>
      </c>
      <c r="BA125" s="3" t="s">
        <v>1427</v>
      </c>
      <c r="BB125" s="3" t="s">
        <v>1428</v>
      </c>
      <c r="BC125" s="3" t="s">
        <v>78</v>
      </c>
      <c r="BD125" s="3" t="s">
        <v>79</v>
      </c>
      <c r="BE125" s="3" t="s">
        <v>1429</v>
      </c>
      <c r="BF125" s="3" t="s">
        <v>1428</v>
      </c>
      <c r="BG125" s="3" t="s">
        <v>1430</v>
      </c>
    </row>
    <row r="126" spans="1:59" ht="58" x14ac:dyDescent="0.35">
      <c r="A126" s="2" t="s">
        <v>59</v>
      </c>
      <c r="B126" s="2" t="s">
        <v>94</v>
      </c>
      <c r="C126" s="2" t="s">
        <v>1431</v>
      </c>
      <c r="D126" s="2" t="s">
        <v>1432</v>
      </c>
      <c r="E126" s="2" t="s">
        <v>1433</v>
      </c>
      <c r="G126" s="3" t="s">
        <v>64</v>
      </c>
      <c r="I126" s="3" t="s">
        <v>64</v>
      </c>
      <c r="J126" s="3" t="s">
        <v>64</v>
      </c>
      <c r="K126" s="3" t="s">
        <v>65</v>
      </c>
      <c r="L126" s="2" t="s">
        <v>1434</v>
      </c>
      <c r="M126" s="2" t="s">
        <v>1435</v>
      </c>
      <c r="N126" s="3" t="s">
        <v>377</v>
      </c>
      <c r="P126" s="3" t="s">
        <v>69</v>
      </c>
      <c r="Q126" s="2" t="s">
        <v>1436</v>
      </c>
      <c r="R126" s="3" t="s">
        <v>70</v>
      </c>
      <c r="S126" s="4">
        <v>0</v>
      </c>
      <c r="T126" s="4">
        <v>0</v>
      </c>
      <c r="W126" s="5" t="s">
        <v>72</v>
      </c>
      <c r="X126" s="5" t="s">
        <v>72</v>
      </c>
      <c r="Y126" s="4">
        <v>74</v>
      </c>
      <c r="Z126" s="4">
        <v>4</v>
      </c>
      <c r="AA126" s="4">
        <v>7</v>
      </c>
      <c r="AB126" s="4">
        <v>1</v>
      </c>
      <c r="AC126" s="4">
        <v>1</v>
      </c>
      <c r="AD126" s="4">
        <v>46</v>
      </c>
      <c r="AE126" s="4">
        <v>53</v>
      </c>
      <c r="AF126" s="4">
        <v>0</v>
      </c>
      <c r="AG126" s="4">
        <v>0</v>
      </c>
      <c r="AH126" s="4">
        <v>45</v>
      </c>
      <c r="AI126" s="4">
        <v>51</v>
      </c>
      <c r="AJ126" s="4">
        <v>3</v>
      </c>
      <c r="AK126" s="4">
        <v>6</v>
      </c>
      <c r="AL126" s="4">
        <v>26</v>
      </c>
      <c r="AM126" s="4">
        <v>28</v>
      </c>
      <c r="AN126" s="4">
        <v>0</v>
      </c>
      <c r="AO126" s="4">
        <v>0</v>
      </c>
      <c r="AP126" s="4">
        <v>3</v>
      </c>
      <c r="AQ126" s="4">
        <v>6</v>
      </c>
      <c r="AR126" s="3" t="s">
        <v>64</v>
      </c>
      <c r="AS126" s="3" t="s">
        <v>64</v>
      </c>
      <c r="AT126" s="3" t="s">
        <v>64</v>
      </c>
      <c r="AV126" s="6" t="str">
        <f>HYPERLINK("http://mcgill.on.worldcat.org/oclc/816364448","Catalog Record")</f>
        <v>Catalog Record</v>
      </c>
      <c r="AW126" s="6" t="str">
        <f>HYPERLINK("http://www.worldcat.org/oclc/816364448","WorldCat Record")</f>
        <v>WorldCat Record</v>
      </c>
      <c r="AX126" s="3" t="s">
        <v>1437</v>
      </c>
      <c r="AY126" s="3" t="s">
        <v>1438</v>
      </c>
      <c r="AZ126" s="3" t="s">
        <v>1439</v>
      </c>
      <c r="BA126" s="3" t="s">
        <v>1439</v>
      </c>
      <c r="BB126" s="3" t="s">
        <v>1440</v>
      </c>
      <c r="BC126" s="3" t="s">
        <v>78</v>
      </c>
      <c r="BD126" s="3" t="s">
        <v>79</v>
      </c>
      <c r="BE126" s="3" t="s">
        <v>1441</v>
      </c>
      <c r="BF126" s="3" t="s">
        <v>1440</v>
      </c>
      <c r="BG126" s="3" t="s">
        <v>1442</v>
      </c>
    </row>
    <row r="127" spans="1:59" ht="58" x14ac:dyDescent="0.35">
      <c r="A127" s="2" t="s">
        <v>59</v>
      </c>
      <c r="B127" s="2" t="s">
        <v>94</v>
      </c>
      <c r="C127" s="2" t="s">
        <v>1443</v>
      </c>
      <c r="D127" s="2" t="s">
        <v>1444</v>
      </c>
      <c r="E127" s="2" t="s">
        <v>1445</v>
      </c>
      <c r="G127" s="3" t="s">
        <v>64</v>
      </c>
      <c r="I127" s="3" t="s">
        <v>64</v>
      </c>
      <c r="J127" s="3" t="s">
        <v>64</v>
      </c>
      <c r="K127" s="3" t="s">
        <v>65</v>
      </c>
      <c r="M127" s="2" t="s">
        <v>1446</v>
      </c>
      <c r="N127" s="3" t="s">
        <v>274</v>
      </c>
      <c r="P127" s="3" t="s">
        <v>69</v>
      </c>
      <c r="R127" s="3" t="s">
        <v>70</v>
      </c>
      <c r="S127" s="4">
        <v>8</v>
      </c>
      <c r="T127" s="4">
        <v>8</v>
      </c>
      <c r="U127" s="5" t="s">
        <v>1447</v>
      </c>
      <c r="V127" s="5" t="s">
        <v>1447</v>
      </c>
      <c r="W127" s="5" t="s">
        <v>72</v>
      </c>
      <c r="X127" s="5" t="s">
        <v>72</v>
      </c>
      <c r="Y127" s="4">
        <v>187</v>
      </c>
      <c r="Z127" s="4">
        <v>15</v>
      </c>
      <c r="AA127" s="4">
        <v>28</v>
      </c>
      <c r="AB127" s="4">
        <v>2</v>
      </c>
      <c r="AC127" s="4">
        <v>3</v>
      </c>
      <c r="AD127" s="4">
        <v>43</v>
      </c>
      <c r="AE127" s="4">
        <v>100</v>
      </c>
      <c r="AF127" s="4">
        <v>0</v>
      </c>
      <c r="AG127" s="4">
        <v>0</v>
      </c>
      <c r="AH127" s="4">
        <v>37</v>
      </c>
      <c r="AI127" s="4">
        <v>88</v>
      </c>
      <c r="AJ127" s="4">
        <v>9</v>
      </c>
      <c r="AK127" s="4">
        <v>13</v>
      </c>
      <c r="AL127" s="4">
        <v>21</v>
      </c>
      <c r="AM127" s="4">
        <v>49</v>
      </c>
      <c r="AN127" s="4">
        <v>0</v>
      </c>
      <c r="AO127" s="4">
        <v>0</v>
      </c>
      <c r="AP127" s="4">
        <v>11</v>
      </c>
      <c r="AQ127" s="4">
        <v>20</v>
      </c>
      <c r="AR127" s="3" t="s">
        <v>64</v>
      </c>
      <c r="AS127" s="3" t="s">
        <v>64</v>
      </c>
      <c r="AT127" s="3" t="s">
        <v>73</v>
      </c>
      <c r="AU127" s="6" t="str">
        <f>HYPERLINK("http://catalog.hathitrust.org/Record/001080776","HathiTrust Record")</f>
        <v>HathiTrust Record</v>
      </c>
      <c r="AV127" s="6" t="str">
        <f>HYPERLINK("http://mcgill.on.worldcat.org/oclc/17842592","Catalog Record")</f>
        <v>Catalog Record</v>
      </c>
      <c r="AW127" s="6" t="str">
        <f>HYPERLINK("http://www.worldcat.org/oclc/17842592","WorldCat Record")</f>
        <v>WorldCat Record</v>
      </c>
      <c r="AX127" s="3" t="s">
        <v>1448</v>
      </c>
      <c r="AY127" s="3" t="s">
        <v>1449</v>
      </c>
      <c r="AZ127" s="3" t="s">
        <v>1450</v>
      </c>
      <c r="BA127" s="3" t="s">
        <v>1450</v>
      </c>
      <c r="BB127" s="3" t="s">
        <v>1451</v>
      </c>
      <c r="BC127" s="3" t="s">
        <v>78</v>
      </c>
      <c r="BD127" s="3" t="s">
        <v>79</v>
      </c>
      <c r="BE127" s="3" t="s">
        <v>1452</v>
      </c>
      <c r="BF127" s="3" t="s">
        <v>1451</v>
      </c>
      <c r="BG127" s="3" t="s">
        <v>1453</v>
      </c>
    </row>
    <row r="128" spans="1:59" ht="58" x14ac:dyDescent="0.35">
      <c r="A128" s="2" t="s">
        <v>59</v>
      </c>
      <c r="B128" s="2" t="s">
        <v>94</v>
      </c>
      <c r="C128" s="2" t="s">
        <v>1454</v>
      </c>
      <c r="D128" s="2" t="s">
        <v>1455</v>
      </c>
      <c r="E128" s="2" t="s">
        <v>1456</v>
      </c>
      <c r="G128" s="3" t="s">
        <v>64</v>
      </c>
      <c r="I128" s="3" t="s">
        <v>64</v>
      </c>
      <c r="J128" s="3" t="s">
        <v>64</v>
      </c>
      <c r="K128" s="3" t="s">
        <v>65</v>
      </c>
      <c r="L128" s="2" t="s">
        <v>1457</v>
      </c>
      <c r="M128" s="2" t="s">
        <v>1458</v>
      </c>
      <c r="N128" s="3" t="s">
        <v>861</v>
      </c>
      <c r="O128" s="2" t="s">
        <v>1459</v>
      </c>
      <c r="P128" s="3" t="s">
        <v>69</v>
      </c>
      <c r="R128" s="3" t="s">
        <v>70</v>
      </c>
      <c r="S128" s="4">
        <v>8</v>
      </c>
      <c r="T128" s="4">
        <v>8</v>
      </c>
      <c r="U128" s="5" t="s">
        <v>1460</v>
      </c>
      <c r="V128" s="5" t="s">
        <v>1460</v>
      </c>
      <c r="W128" s="5" t="s">
        <v>72</v>
      </c>
      <c r="X128" s="5" t="s">
        <v>72</v>
      </c>
      <c r="Y128" s="4">
        <v>467</v>
      </c>
      <c r="Z128" s="4">
        <v>26</v>
      </c>
      <c r="AA128" s="4">
        <v>27</v>
      </c>
      <c r="AB128" s="4">
        <v>2</v>
      </c>
      <c r="AC128" s="4">
        <v>3</v>
      </c>
      <c r="AD128" s="4">
        <v>111</v>
      </c>
      <c r="AE128" s="4">
        <v>112</v>
      </c>
      <c r="AF128" s="4">
        <v>1</v>
      </c>
      <c r="AG128" s="4">
        <v>2</v>
      </c>
      <c r="AH128" s="4">
        <v>95</v>
      </c>
      <c r="AI128" s="4">
        <v>96</v>
      </c>
      <c r="AJ128" s="4">
        <v>15</v>
      </c>
      <c r="AK128" s="4">
        <v>16</v>
      </c>
      <c r="AL128" s="4">
        <v>53</v>
      </c>
      <c r="AM128" s="4">
        <v>53</v>
      </c>
      <c r="AN128" s="4">
        <v>0</v>
      </c>
      <c r="AO128" s="4">
        <v>0</v>
      </c>
      <c r="AP128" s="4">
        <v>22</v>
      </c>
      <c r="AQ128" s="4">
        <v>23</v>
      </c>
      <c r="AR128" s="3" t="s">
        <v>64</v>
      </c>
      <c r="AS128" s="3" t="s">
        <v>64</v>
      </c>
      <c r="AT128" s="3" t="s">
        <v>64</v>
      </c>
      <c r="AV128" s="6" t="str">
        <f>HYPERLINK("http://mcgill.on.worldcat.org/oclc/53223568","Catalog Record")</f>
        <v>Catalog Record</v>
      </c>
      <c r="AW128" s="6" t="str">
        <f>HYPERLINK("http://www.worldcat.org/oclc/53223568","WorldCat Record")</f>
        <v>WorldCat Record</v>
      </c>
      <c r="AX128" s="3" t="s">
        <v>1461</v>
      </c>
      <c r="AY128" s="3" t="s">
        <v>1462</v>
      </c>
      <c r="AZ128" s="3" t="s">
        <v>1463</v>
      </c>
      <c r="BA128" s="3" t="s">
        <v>1463</v>
      </c>
      <c r="BB128" s="3" t="s">
        <v>1464</v>
      </c>
      <c r="BC128" s="3" t="s">
        <v>78</v>
      </c>
      <c r="BD128" s="3" t="s">
        <v>79</v>
      </c>
      <c r="BE128" s="3" t="s">
        <v>1465</v>
      </c>
      <c r="BF128" s="3" t="s">
        <v>1464</v>
      </c>
      <c r="BG128" s="3" t="s">
        <v>1466</v>
      </c>
    </row>
    <row r="129" spans="1:59" ht="58" x14ac:dyDescent="0.35">
      <c r="A129" s="2" t="s">
        <v>59</v>
      </c>
      <c r="B129" s="2" t="s">
        <v>94</v>
      </c>
      <c r="C129" s="2" t="s">
        <v>1467</v>
      </c>
      <c r="D129" s="2" t="s">
        <v>1468</v>
      </c>
      <c r="E129" s="2" t="s">
        <v>1469</v>
      </c>
      <c r="G129" s="3" t="s">
        <v>64</v>
      </c>
      <c r="I129" s="3" t="s">
        <v>64</v>
      </c>
      <c r="J129" s="3" t="s">
        <v>64</v>
      </c>
      <c r="K129" s="3" t="s">
        <v>65</v>
      </c>
      <c r="M129" s="2" t="s">
        <v>1470</v>
      </c>
      <c r="N129" s="3" t="s">
        <v>377</v>
      </c>
      <c r="P129" s="3" t="s">
        <v>69</v>
      </c>
      <c r="Q129" s="2" t="s">
        <v>1471</v>
      </c>
      <c r="R129" s="3" t="s">
        <v>70</v>
      </c>
      <c r="S129" s="4">
        <v>4</v>
      </c>
      <c r="T129" s="4">
        <v>4</v>
      </c>
      <c r="U129" s="5" t="s">
        <v>1472</v>
      </c>
      <c r="V129" s="5" t="s">
        <v>1472</v>
      </c>
      <c r="W129" s="5" t="s">
        <v>72</v>
      </c>
      <c r="X129" s="5" t="s">
        <v>72</v>
      </c>
      <c r="Y129" s="4">
        <v>159</v>
      </c>
      <c r="Z129" s="4">
        <v>12</v>
      </c>
      <c r="AA129" s="4">
        <v>15</v>
      </c>
      <c r="AB129" s="4">
        <v>1</v>
      </c>
      <c r="AC129" s="4">
        <v>3</v>
      </c>
      <c r="AD129" s="4">
        <v>43</v>
      </c>
      <c r="AE129" s="4">
        <v>49</v>
      </c>
      <c r="AF129" s="4">
        <v>0</v>
      </c>
      <c r="AG129" s="4">
        <v>2</v>
      </c>
      <c r="AH129" s="4">
        <v>39</v>
      </c>
      <c r="AI129" s="4">
        <v>43</v>
      </c>
      <c r="AJ129" s="4">
        <v>6</v>
      </c>
      <c r="AK129" s="4">
        <v>9</v>
      </c>
      <c r="AL129" s="4">
        <v>25</v>
      </c>
      <c r="AM129" s="4">
        <v>28</v>
      </c>
      <c r="AN129" s="4">
        <v>0</v>
      </c>
      <c r="AO129" s="4">
        <v>0</v>
      </c>
      <c r="AP129" s="4">
        <v>8</v>
      </c>
      <c r="AQ129" s="4">
        <v>10</v>
      </c>
      <c r="AR129" s="3" t="s">
        <v>64</v>
      </c>
      <c r="AS129" s="3" t="s">
        <v>64</v>
      </c>
      <c r="AT129" s="3" t="s">
        <v>64</v>
      </c>
      <c r="AV129" s="6" t="str">
        <f>HYPERLINK("http://mcgill.on.worldcat.org/oclc/792941530","Catalog Record")</f>
        <v>Catalog Record</v>
      </c>
      <c r="AW129" s="6" t="str">
        <f>HYPERLINK("http://www.worldcat.org/oclc/792941530","WorldCat Record")</f>
        <v>WorldCat Record</v>
      </c>
      <c r="AX129" s="3" t="s">
        <v>1473</v>
      </c>
      <c r="AY129" s="3" t="s">
        <v>1474</v>
      </c>
      <c r="AZ129" s="3" t="s">
        <v>1475</v>
      </c>
      <c r="BA129" s="3" t="s">
        <v>1475</v>
      </c>
      <c r="BB129" s="3" t="s">
        <v>1476</v>
      </c>
      <c r="BC129" s="3" t="s">
        <v>78</v>
      </c>
      <c r="BD129" s="3" t="s">
        <v>79</v>
      </c>
      <c r="BE129" s="3" t="s">
        <v>1477</v>
      </c>
      <c r="BF129" s="3" t="s">
        <v>1476</v>
      </c>
      <c r="BG129" s="3" t="s">
        <v>1478</v>
      </c>
    </row>
    <row r="130" spans="1:59" ht="58" x14ac:dyDescent="0.35">
      <c r="A130" s="2" t="s">
        <v>59</v>
      </c>
      <c r="B130" s="2" t="s">
        <v>94</v>
      </c>
      <c r="C130" s="2" t="s">
        <v>1479</v>
      </c>
      <c r="D130" s="2" t="s">
        <v>1480</v>
      </c>
      <c r="E130" s="2" t="s">
        <v>1481</v>
      </c>
      <c r="G130" s="3" t="s">
        <v>64</v>
      </c>
      <c r="I130" s="3" t="s">
        <v>64</v>
      </c>
      <c r="J130" s="3" t="s">
        <v>64</v>
      </c>
      <c r="K130" s="3" t="s">
        <v>65</v>
      </c>
      <c r="L130" s="2" t="s">
        <v>1482</v>
      </c>
      <c r="M130" s="2" t="s">
        <v>1483</v>
      </c>
      <c r="N130" s="3" t="s">
        <v>328</v>
      </c>
      <c r="P130" s="3" t="s">
        <v>69</v>
      </c>
      <c r="R130" s="3" t="s">
        <v>70</v>
      </c>
      <c r="S130" s="4">
        <v>6</v>
      </c>
      <c r="T130" s="4">
        <v>6</v>
      </c>
      <c r="U130" s="5" t="s">
        <v>1484</v>
      </c>
      <c r="V130" s="5" t="s">
        <v>1484</v>
      </c>
      <c r="W130" s="5" t="s">
        <v>72</v>
      </c>
      <c r="X130" s="5" t="s">
        <v>72</v>
      </c>
      <c r="Y130" s="4">
        <v>118</v>
      </c>
      <c r="Z130" s="4">
        <v>11</v>
      </c>
      <c r="AA130" s="4">
        <v>13</v>
      </c>
      <c r="AB130" s="4">
        <v>2</v>
      </c>
      <c r="AC130" s="4">
        <v>4</v>
      </c>
      <c r="AD130" s="4">
        <v>18</v>
      </c>
      <c r="AE130" s="4">
        <v>19</v>
      </c>
      <c r="AF130" s="4">
        <v>0</v>
      </c>
      <c r="AG130" s="4">
        <v>0</v>
      </c>
      <c r="AH130" s="4">
        <v>16</v>
      </c>
      <c r="AI130" s="4">
        <v>17</v>
      </c>
      <c r="AJ130" s="4">
        <v>3</v>
      </c>
      <c r="AK130" s="4">
        <v>3</v>
      </c>
      <c r="AL130" s="4">
        <v>10</v>
      </c>
      <c r="AM130" s="4">
        <v>11</v>
      </c>
      <c r="AN130" s="4">
        <v>0</v>
      </c>
      <c r="AO130" s="4">
        <v>0</v>
      </c>
      <c r="AP130" s="4">
        <v>5</v>
      </c>
      <c r="AQ130" s="4">
        <v>5</v>
      </c>
      <c r="AR130" s="3" t="s">
        <v>64</v>
      </c>
      <c r="AS130" s="3" t="s">
        <v>64</v>
      </c>
      <c r="AT130" s="3" t="s">
        <v>64</v>
      </c>
      <c r="AV130" s="6" t="str">
        <f>HYPERLINK("http://mcgill.on.worldcat.org/oclc/727946397","Catalog Record")</f>
        <v>Catalog Record</v>
      </c>
      <c r="AW130" s="6" t="str">
        <f>HYPERLINK("http://www.worldcat.org/oclc/727946397","WorldCat Record")</f>
        <v>WorldCat Record</v>
      </c>
      <c r="AX130" s="3" t="s">
        <v>1485</v>
      </c>
      <c r="AY130" s="3" t="s">
        <v>1486</v>
      </c>
      <c r="AZ130" s="3" t="s">
        <v>1487</v>
      </c>
      <c r="BA130" s="3" t="s">
        <v>1487</v>
      </c>
      <c r="BB130" s="3" t="s">
        <v>1488</v>
      </c>
      <c r="BC130" s="3" t="s">
        <v>78</v>
      </c>
      <c r="BD130" s="3" t="s">
        <v>79</v>
      </c>
      <c r="BE130" s="3" t="s">
        <v>1489</v>
      </c>
      <c r="BF130" s="3" t="s">
        <v>1488</v>
      </c>
      <c r="BG130" s="3" t="s">
        <v>1490</v>
      </c>
    </row>
    <row r="131" spans="1:59" ht="58" x14ac:dyDescent="0.35">
      <c r="A131" s="2" t="s">
        <v>59</v>
      </c>
      <c r="B131" s="2" t="s">
        <v>94</v>
      </c>
      <c r="C131" s="2" t="s">
        <v>1491</v>
      </c>
      <c r="D131" s="2" t="s">
        <v>1492</v>
      </c>
      <c r="E131" s="2" t="s">
        <v>1493</v>
      </c>
      <c r="G131" s="3" t="s">
        <v>64</v>
      </c>
      <c r="I131" s="3" t="s">
        <v>64</v>
      </c>
      <c r="J131" s="3" t="s">
        <v>64</v>
      </c>
      <c r="K131" s="3" t="s">
        <v>65</v>
      </c>
      <c r="L131" s="2" t="s">
        <v>1494</v>
      </c>
      <c r="M131" s="2" t="s">
        <v>1495</v>
      </c>
      <c r="N131" s="3" t="s">
        <v>733</v>
      </c>
      <c r="P131" s="3" t="s">
        <v>69</v>
      </c>
      <c r="R131" s="3" t="s">
        <v>70</v>
      </c>
      <c r="S131" s="4">
        <v>49</v>
      </c>
      <c r="T131" s="4">
        <v>49</v>
      </c>
      <c r="U131" s="5" t="s">
        <v>1496</v>
      </c>
      <c r="V131" s="5" t="s">
        <v>1496</v>
      </c>
      <c r="W131" s="5" t="s">
        <v>72</v>
      </c>
      <c r="X131" s="5" t="s">
        <v>72</v>
      </c>
      <c r="Y131" s="4">
        <v>112</v>
      </c>
      <c r="Z131" s="4">
        <v>18</v>
      </c>
      <c r="AA131" s="4">
        <v>39</v>
      </c>
      <c r="AB131" s="4">
        <v>3</v>
      </c>
      <c r="AC131" s="4">
        <v>6</v>
      </c>
      <c r="AD131" s="4">
        <v>31</v>
      </c>
      <c r="AE131" s="4">
        <v>121</v>
      </c>
      <c r="AF131" s="4">
        <v>1</v>
      </c>
      <c r="AG131" s="4">
        <v>3</v>
      </c>
      <c r="AH131" s="4">
        <v>22</v>
      </c>
      <c r="AI131" s="4">
        <v>99</v>
      </c>
      <c r="AJ131" s="4">
        <v>8</v>
      </c>
      <c r="AK131" s="4">
        <v>20</v>
      </c>
      <c r="AL131" s="4">
        <v>13</v>
      </c>
      <c r="AM131" s="4">
        <v>55</v>
      </c>
      <c r="AN131" s="4">
        <v>0</v>
      </c>
      <c r="AO131" s="4">
        <v>0</v>
      </c>
      <c r="AP131" s="4">
        <v>14</v>
      </c>
      <c r="AQ131" s="4">
        <v>30</v>
      </c>
      <c r="AR131" s="3" t="s">
        <v>64</v>
      </c>
      <c r="AS131" s="3" t="s">
        <v>64</v>
      </c>
      <c r="AT131" s="3" t="s">
        <v>64</v>
      </c>
      <c r="AV131" s="6" t="str">
        <f>HYPERLINK("http://mcgill.on.worldcat.org/oclc/9841483","Catalog Record")</f>
        <v>Catalog Record</v>
      </c>
      <c r="AW131" s="6" t="str">
        <f>HYPERLINK("http://www.worldcat.org/oclc/9841483","WorldCat Record")</f>
        <v>WorldCat Record</v>
      </c>
      <c r="AX131" s="3" t="s">
        <v>1497</v>
      </c>
      <c r="AY131" s="3" t="s">
        <v>1498</v>
      </c>
      <c r="AZ131" s="3" t="s">
        <v>1499</v>
      </c>
      <c r="BA131" s="3" t="s">
        <v>1499</v>
      </c>
      <c r="BB131" s="3" t="s">
        <v>1500</v>
      </c>
      <c r="BC131" s="3" t="s">
        <v>78</v>
      </c>
      <c r="BD131" s="3" t="s">
        <v>79</v>
      </c>
      <c r="BE131" s="3" t="s">
        <v>1501</v>
      </c>
      <c r="BF131" s="3" t="s">
        <v>1500</v>
      </c>
      <c r="BG131" s="3" t="s">
        <v>1502</v>
      </c>
    </row>
    <row r="132" spans="1:59" ht="58" x14ac:dyDescent="0.35">
      <c r="A132" s="2" t="s">
        <v>59</v>
      </c>
      <c r="B132" s="2" t="s">
        <v>94</v>
      </c>
      <c r="C132" s="2" t="s">
        <v>1503</v>
      </c>
      <c r="D132" s="2" t="s">
        <v>1504</v>
      </c>
      <c r="E132" s="2" t="s">
        <v>1505</v>
      </c>
      <c r="G132" s="3" t="s">
        <v>64</v>
      </c>
      <c r="I132" s="3" t="s">
        <v>64</v>
      </c>
      <c r="J132" s="3" t="s">
        <v>64</v>
      </c>
      <c r="K132" s="3" t="s">
        <v>65</v>
      </c>
      <c r="L132" s="2" t="s">
        <v>1494</v>
      </c>
      <c r="M132" s="2" t="s">
        <v>1506</v>
      </c>
      <c r="N132" s="3" t="s">
        <v>136</v>
      </c>
      <c r="P132" s="3" t="s">
        <v>69</v>
      </c>
      <c r="R132" s="3" t="s">
        <v>70</v>
      </c>
      <c r="S132" s="4">
        <v>47</v>
      </c>
      <c r="T132" s="4">
        <v>47</v>
      </c>
      <c r="U132" s="5" t="s">
        <v>1507</v>
      </c>
      <c r="V132" s="5" t="s">
        <v>1507</v>
      </c>
      <c r="W132" s="5" t="s">
        <v>72</v>
      </c>
      <c r="X132" s="5" t="s">
        <v>72</v>
      </c>
      <c r="Y132" s="4">
        <v>668</v>
      </c>
      <c r="Z132" s="4">
        <v>42</v>
      </c>
      <c r="AA132" s="4">
        <v>128</v>
      </c>
      <c r="AB132" s="4">
        <v>2</v>
      </c>
      <c r="AC132" s="4">
        <v>18</v>
      </c>
      <c r="AD132" s="4">
        <v>124</v>
      </c>
      <c r="AE132" s="4">
        <v>157</v>
      </c>
      <c r="AF132" s="4">
        <v>1</v>
      </c>
      <c r="AG132" s="4">
        <v>8</v>
      </c>
      <c r="AH132" s="4">
        <v>98</v>
      </c>
      <c r="AI132" s="4">
        <v>109</v>
      </c>
      <c r="AJ132" s="4">
        <v>16</v>
      </c>
      <c r="AK132" s="4">
        <v>26</v>
      </c>
      <c r="AL132" s="4">
        <v>55</v>
      </c>
      <c r="AM132" s="4">
        <v>58</v>
      </c>
      <c r="AN132" s="4">
        <v>0</v>
      </c>
      <c r="AO132" s="4">
        <v>0</v>
      </c>
      <c r="AP132" s="4">
        <v>32</v>
      </c>
      <c r="AQ132" s="4">
        <v>57</v>
      </c>
      <c r="AR132" s="3" t="s">
        <v>64</v>
      </c>
      <c r="AS132" s="3" t="s">
        <v>64</v>
      </c>
      <c r="AT132" s="3" t="s">
        <v>64</v>
      </c>
      <c r="AV132" s="6" t="str">
        <f>HYPERLINK("http://mcgill.on.worldcat.org/oclc/41143048","Catalog Record")</f>
        <v>Catalog Record</v>
      </c>
      <c r="AW132" s="6" t="str">
        <f>HYPERLINK("http://www.worldcat.org/oclc/41143048","WorldCat Record")</f>
        <v>WorldCat Record</v>
      </c>
      <c r="AX132" s="3" t="s">
        <v>1508</v>
      </c>
      <c r="AY132" s="3" t="s">
        <v>1509</v>
      </c>
      <c r="AZ132" s="3" t="s">
        <v>1510</v>
      </c>
      <c r="BA132" s="3" t="s">
        <v>1510</v>
      </c>
      <c r="BB132" s="3" t="s">
        <v>1511</v>
      </c>
      <c r="BC132" s="3" t="s">
        <v>78</v>
      </c>
      <c r="BD132" s="3" t="s">
        <v>79</v>
      </c>
      <c r="BE132" s="3" t="s">
        <v>1512</v>
      </c>
      <c r="BF132" s="3" t="s">
        <v>1511</v>
      </c>
      <c r="BG132" s="3" t="s">
        <v>1513</v>
      </c>
    </row>
    <row r="133" spans="1:59" ht="58" x14ac:dyDescent="0.35">
      <c r="A133" s="2" t="s">
        <v>59</v>
      </c>
      <c r="B133" s="2" t="s">
        <v>94</v>
      </c>
      <c r="C133" s="2" t="s">
        <v>1514</v>
      </c>
      <c r="D133" s="2" t="s">
        <v>1515</v>
      </c>
      <c r="E133" s="2" t="s">
        <v>1516</v>
      </c>
      <c r="G133" s="3" t="s">
        <v>64</v>
      </c>
      <c r="I133" s="3" t="s">
        <v>64</v>
      </c>
      <c r="J133" s="3" t="s">
        <v>64</v>
      </c>
      <c r="K133" s="3" t="s">
        <v>65</v>
      </c>
      <c r="M133" s="2" t="s">
        <v>1517</v>
      </c>
      <c r="N133" s="3" t="s">
        <v>214</v>
      </c>
      <c r="P133" s="3" t="s">
        <v>69</v>
      </c>
      <c r="Q133" s="2" t="s">
        <v>1518</v>
      </c>
      <c r="R133" s="3" t="s">
        <v>70</v>
      </c>
      <c r="S133" s="4">
        <v>6</v>
      </c>
      <c r="T133" s="4">
        <v>6</v>
      </c>
      <c r="U133" s="5" t="s">
        <v>1496</v>
      </c>
      <c r="V133" s="5" t="s">
        <v>1496</v>
      </c>
      <c r="W133" s="5" t="s">
        <v>72</v>
      </c>
      <c r="X133" s="5" t="s">
        <v>72</v>
      </c>
      <c r="Y133" s="4">
        <v>165</v>
      </c>
      <c r="Z133" s="4">
        <v>23</v>
      </c>
      <c r="AA133" s="4">
        <v>29</v>
      </c>
      <c r="AB133" s="4">
        <v>2</v>
      </c>
      <c r="AC133" s="4">
        <v>7</v>
      </c>
      <c r="AD133" s="4">
        <v>78</v>
      </c>
      <c r="AE133" s="4">
        <v>86</v>
      </c>
      <c r="AF133" s="4">
        <v>1</v>
      </c>
      <c r="AG133" s="4">
        <v>3</v>
      </c>
      <c r="AH133" s="4">
        <v>66</v>
      </c>
      <c r="AI133" s="4">
        <v>72</v>
      </c>
      <c r="AJ133" s="4">
        <v>13</v>
      </c>
      <c r="AK133" s="4">
        <v>16</v>
      </c>
      <c r="AL133" s="4">
        <v>40</v>
      </c>
      <c r="AM133" s="4">
        <v>43</v>
      </c>
      <c r="AN133" s="4">
        <v>5</v>
      </c>
      <c r="AO133" s="4">
        <v>5</v>
      </c>
      <c r="AP133" s="4">
        <v>17</v>
      </c>
      <c r="AQ133" s="4">
        <v>19</v>
      </c>
      <c r="AR133" s="3" t="s">
        <v>64</v>
      </c>
      <c r="AS133" s="3" t="s">
        <v>64</v>
      </c>
      <c r="AT133" s="3" t="s">
        <v>73</v>
      </c>
      <c r="AU133" s="6" t="str">
        <f>HYPERLINK("http://catalog.hathitrust.org/Record/009106686","HathiTrust Record")</f>
        <v>HathiTrust Record</v>
      </c>
      <c r="AV133" s="6" t="str">
        <f>HYPERLINK("http://mcgill.on.worldcat.org/oclc/308174834","Catalog Record")</f>
        <v>Catalog Record</v>
      </c>
      <c r="AW133" s="6" t="str">
        <f>HYPERLINK("http://www.worldcat.org/oclc/308174834","WorldCat Record")</f>
        <v>WorldCat Record</v>
      </c>
      <c r="AX133" s="3" t="s">
        <v>1519</v>
      </c>
      <c r="AY133" s="3" t="s">
        <v>1520</v>
      </c>
      <c r="AZ133" s="3" t="s">
        <v>1521</v>
      </c>
      <c r="BA133" s="3" t="s">
        <v>1521</v>
      </c>
      <c r="BB133" s="3" t="s">
        <v>1522</v>
      </c>
      <c r="BC133" s="3" t="s">
        <v>78</v>
      </c>
      <c r="BD133" s="3" t="s">
        <v>79</v>
      </c>
      <c r="BE133" s="3" t="s">
        <v>1523</v>
      </c>
      <c r="BF133" s="3" t="s">
        <v>1522</v>
      </c>
      <c r="BG133" s="3" t="s">
        <v>1524</v>
      </c>
    </row>
    <row r="134" spans="1:59" ht="58" x14ac:dyDescent="0.35">
      <c r="A134" s="2" t="s">
        <v>59</v>
      </c>
      <c r="B134" s="2" t="s">
        <v>94</v>
      </c>
      <c r="C134" s="2" t="s">
        <v>1525</v>
      </c>
      <c r="D134" s="2" t="s">
        <v>1526</v>
      </c>
      <c r="E134" s="2" t="s">
        <v>1527</v>
      </c>
      <c r="G134" s="3" t="s">
        <v>64</v>
      </c>
      <c r="I134" s="3" t="s">
        <v>64</v>
      </c>
      <c r="J134" s="3" t="s">
        <v>64</v>
      </c>
      <c r="K134" s="3" t="s">
        <v>65</v>
      </c>
      <c r="L134" s="2" t="s">
        <v>1528</v>
      </c>
      <c r="M134" s="2" t="s">
        <v>1529</v>
      </c>
      <c r="N134" s="3" t="s">
        <v>1530</v>
      </c>
      <c r="P134" s="3" t="s">
        <v>69</v>
      </c>
      <c r="R134" s="3" t="s">
        <v>70</v>
      </c>
      <c r="S134" s="4">
        <v>21</v>
      </c>
      <c r="T134" s="4">
        <v>21</v>
      </c>
      <c r="U134" s="5" t="s">
        <v>1531</v>
      </c>
      <c r="V134" s="5" t="s">
        <v>1531</v>
      </c>
      <c r="W134" s="5" t="s">
        <v>72</v>
      </c>
      <c r="X134" s="5" t="s">
        <v>72</v>
      </c>
      <c r="Y134" s="4">
        <v>257</v>
      </c>
      <c r="Z134" s="4">
        <v>20</v>
      </c>
      <c r="AA134" s="4">
        <v>42</v>
      </c>
      <c r="AB134" s="4">
        <v>2</v>
      </c>
      <c r="AC134" s="4">
        <v>8</v>
      </c>
      <c r="AD134" s="4">
        <v>89</v>
      </c>
      <c r="AE134" s="4">
        <v>99</v>
      </c>
      <c r="AF134" s="4">
        <v>1</v>
      </c>
      <c r="AG134" s="4">
        <v>2</v>
      </c>
      <c r="AH134" s="4">
        <v>74</v>
      </c>
      <c r="AI134" s="4">
        <v>82</v>
      </c>
      <c r="AJ134" s="4">
        <v>11</v>
      </c>
      <c r="AK134" s="4">
        <v>15</v>
      </c>
      <c r="AL134" s="4">
        <v>44</v>
      </c>
      <c r="AM134" s="4">
        <v>45</v>
      </c>
      <c r="AN134" s="4">
        <v>0</v>
      </c>
      <c r="AO134" s="4">
        <v>0</v>
      </c>
      <c r="AP134" s="4">
        <v>18</v>
      </c>
      <c r="AQ134" s="4">
        <v>24</v>
      </c>
      <c r="AR134" s="3" t="s">
        <v>64</v>
      </c>
      <c r="AS134" s="3" t="s">
        <v>64</v>
      </c>
      <c r="AT134" s="3" t="s">
        <v>73</v>
      </c>
      <c r="AU134" s="6" t="str">
        <f>HYPERLINK("http://catalog.hathitrust.org/Record/004304618","HathiTrust Record")</f>
        <v>HathiTrust Record</v>
      </c>
      <c r="AV134" s="6" t="str">
        <f>HYPERLINK("http://mcgill.on.worldcat.org/oclc/50643982","Catalog Record")</f>
        <v>Catalog Record</v>
      </c>
      <c r="AW134" s="6" t="str">
        <f>HYPERLINK("http://www.worldcat.org/oclc/50643982","WorldCat Record")</f>
        <v>WorldCat Record</v>
      </c>
      <c r="AX134" s="3" t="s">
        <v>1532</v>
      </c>
      <c r="AY134" s="3" t="s">
        <v>1533</v>
      </c>
      <c r="AZ134" s="3" t="s">
        <v>1534</v>
      </c>
      <c r="BA134" s="3" t="s">
        <v>1534</v>
      </c>
      <c r="BB134" s="3" t="s">
        <v>1535</v>
      </c>
      <c r="BC134" s="3" t="s">
        <v>78</v>
      </c>
      <c r="BD134" s="3" t="s">
        <v>79</v>
      </c>
      <c r="BE134" s="3" t="s">
        <v>1536</v>
      </c>
      <c r="BF134" s="3" t="s">
        <v>1535</v>
      </c>
      <c r="BG134" s="3" t="s">
        <v>1537</v>
      </c>
    </row>
    <row r="135" spans="1:59" ht="58" x14ac:dyDescent="0.35">
      <c r="A135" s="2" t="s">
        <v>59</v>
      </c>
      <c r="B135" s="2" t="s">
        <v>94</v>
      </c>
      <c r="C135" s="2" t="s">
        <v>1538</v>
      </c>
      <c r="D135" s="2" t="s">
        <v>1539</v>
      </c>
      <c r="E135" s="2" t="s">
        <v>1540</v>
      </c>
      <c r="G135" s="3" t="s">
        <v>64</v>
      </c>
      <c r="I135" s="3" t="s">
        <v>64</v>
      </c>
      <c r="J135" s="3" t="s">
        <v>64</v>
      </c>
      <c r="K135" s="3" t="s">
        <v>65</v>
      </c>
      <c r="M135" s="2" t="s">
        <v>1541</v>
      </c>
      <c r="N135" s="3" t="s">
        <v>274</v>
      </c>
      <c r="P135" s="3" t="s">
        <v>69</v>
      </c>
      <c r="R135" s="3" t="s">
        <v>70</v>
      </c>
      <c r="S135" s="4">
        <v>41</v>
      </c>
      <c r="T135" s="4">
        <v>41</v>
      </c>
      <c r="U135" s="5" t="s">
        <v>1542</v>
      </c>
      <c r="V135" s="5" t="s">
        <v>1542</v>
      </c>
      <c r="W135" s="5" t="s">
        <v>72</v>
      </c>
      <c r="X135" s="5" t="s">
        <v>72</v>
      </c>
      <c r="Y135" s="4">
        <v>321</v>
      </c>
      <c r="Z135" s="4">
        <v>16</v>
      </c>
      <c r="AA135" s="4">
        <v>39</v>
      </c>
      <c r="AB135" s="4">
        <v>2</v>
      </c>
      <c r="AC135" s="4">
        <v>7</v>
      </c>
      <c r="AD135" s="4">
        <v>66</v>
      </c>
      <c r="AE135" s="4">
        <v>116</v>
      </c>
      <c r="AF135" s="4">
        <v>1</v>
      </c>
      <c r="AG135" s="4">
        <v>4</v>
      </c>
      <c r="AH135" s="4">
        <v>58</v>
      </c>
      <c r="AI135" s="4">
        <v>97</v>
      </c>
      <c r="AJ135" s="4">
        <v>5</v>
      </c>
      <c r="AK135" s="4">
        <v>17</v>
      </c>
      <c r="AL135" s="4">
        <v>31</v>
      </c>
      <c r="AM135" s="4">
        <v>53</v>
      </c>
      <c r="AN135" s="4">
        <v>0</v>
      </c>
      <c r="AO135" s="4">
        <v>0</v>
      </c>
      <c r="AP135" s="4">
        <v>12</v>
      </c>
      <c r="AQ135" s="4">
        <v>26</v>
      </c>
      <c r="AR135" s="3" t="s">
        <v>64</v>
      </c>
      <c r="AS135" s="3" t="s">
        <v>64</v>
      </c>
      <c r="AT135" s="3" t="s">
        <v>73</v>
      </c>
      <c r="AU135" s="6" t="str">
        <f>HYPERLINK("http://catalog.hathitrust.org/Record/000917419","HathiTrust Record")</f>
        <v>HathiTrust Record</v>
      </c>
      <c r="AV135" s="6" t="str">
        <f>HYPERLINK("http://mcgill.on.worldcat.org/oclc/16978973","Catalog Record")</f>
        <v>Catalog Record</v>
      </c>
      <c r="AW135" s="6" t="str">
        <f>HYPERLINK("http://www.worldcat.org/oclc/16978973","WorldCat Record")</f>
        <v>WorldCat Record</v>
      </c>
      <c r="AX135" s="3" t="s">
        <v>1543</v>
      </c>
      <c r="AY135" s="3" t="s">
        <v>1544</v>
      </c>
      <c r="AZ135" s="3" t="s">
        <v>1545</v>
      </c>
      <c r="BA135" s="3" t="s">
        <v>1545</v>
      </c>
      <c r="BB135" s="3" t="s">
        <v>1546</v>
      </c>
      <c r="BC135" s="3" t="s">
        <v>78</v>
      </c>
      <c r="BD135" s="3" t="s">
        <v>79</v>
      </c>
      <c r="BE135" s="3" t="s">
        <v>1547</v>
      </c>
      <c r="BF135" s="3" t="s">
        <v>1546</v>
      </c>
      <c r="BG135" s="3" t="s">
        <v>1548</v>
      </c>
    </row>
    <row r="136" spans="1:59" ht="58" x14ac:dyDescent="0.35">
      <c r="A136" s="2" t="s">
        <v>59</v>
      </c>
      <c r="B136" s="2" t="s">
        <v>94</v>
      </c>
      <c r="C136" s="2" t="s">
        <v>1549</v>
      </c>
      <c r="D136" s="2" t="s">
        <v>1550</v>
      </c>
      <c r="E136" s="2" t="s">
        <v>1551</v>
      </c>
      <c r="G136" s="3" t="s">
        <v>64</v>
      </c>
      <c r="I136" s="3" t="s">
        <v>64</v>
      </c>
      <c r="J136" s="3" t="s">
        <v>64</v>
      </c>
      <c r="K136" s="3" t="s">
        <v>65</v>
      </c>
      <c r="L136" s="2" t="s">
        <v>1552</v>
      </c>
      <c r="M136" s="2" t="s">
        <v>1553</v>
      </c>
      <c r="N136" s="3" t="s">
        <v>377</v>
      </c>
      <c r="P136" s="3" t="s">
        <v>69</v>
      </c>
      <c r="Q136" s="2" t="s">
        <v>1554</v>
      </c>
      <c r="R136" s="3" t="s">
        <v>70</v>
      </c>
      <c r="S136" s="4">
        <v>3</v>
      </c>
      <c r="T136" s="4">
        <v>3</v>
      </c>
      <c r="U136" s="5" t="s">
        <v>1555</v>
      </c>
      <c r="V136" s="5" t="s">
        <v>1555</v>
      </c>
      <c r="W136" s="5" t="s">
        <v>72</v>
      </c>
      <c r="X136" s="5" t="s">
        <v>72</v>
      </c>
      <c r="Y136" s="4">
        <v>177</v>
      </c>
      <c r="Z136" s="4">
        <v>14</v>
      </c>
      <c r="AA136" s="4">
        <v>57</v>
      </c>
      <c r="AB136" s="4">
        <v>1</v>
      </c>
      <c r="AC136" s="4">
        <v>6</v>
      </c>
      <c r="AD136" s="4">
        <v>61</v>
      </c>
      <c r="AE136" s="4">
        <v>92</v>
      </c>
      <c r="AF136" s="4">
        <v>0</v>
      </c>
      <c r="AG136" s="4">
        <v>2</v>
      </c>
      <c r="AH136" s="4">
        <v>54</v>
      </c>
      <c r="AI136" s="4">
        <v>70</v>
      </c>
      <c r="AJ136" s="4">
        <v>9</v>
      </c>
      <c r="AK136" s="4">
        <v>17</v>
      </c>
      <c r="AL136" s="4">
        <v>36</v>
      </c>
      <c r="AM136" s="4">
        <v>43</v>
      </c>
      <c r="AN136" s="4">
        <v>0</v>
      </c>
      <c r="AO136" s="4">
        <v>0</v>
      </c>
      <c r="AP136" s="4">
        <v>11</v>
      </c>
      <c r="AQ136" s="4">
        <v>29</v>
      </c>
      <c r="AR136" s="3" t="s">
        <v>64</v>
      </c>
      <c r="AS136" s="3" t="s">
        <v>64</v>
      </c>
      <c r="AT136" s="3" t="s">
        <v>64</v>
      </c>
      <c r="AV136" s="6" t="str">
        <f>HYPERLINK("http://mcgill.on.worldcat.org/oclc/745766000","Catalog Record")</f>
        <v>Catalog Record</v>
      </c>
      <c r="AW136" s="6" t="str">
        <f>HYPERLINK("http://www.worldcat.org/oclc/745766000","WorldCat Record")</f>
        <v>WorldCat Record</v>
      </c>
      <c r="AX136" s="3" t="s">
        <v>1556</v>
      </c>
      <c r="AY136" s="3" t="s">
        <v>1557</v>
      </c>
      <c r="AZ136" s="3" t="s">
        <v>1558</v>
      </c>
      <c r="BA136" s="3" t="s">
        <v>1558</v>
      </c>
      <c r="BB136" s="3" t="s">
        <v>1559</v>
      </c>
      <c r="BC136" s="3" t="s">
        <v>78</v>
      </c>
      <c r="BD136" s="3" t="s">
        <v>79</v>
      </c>
      <c r="BE136" s="3" t="s">
        <v>1560</v>
      </c>
      <c r="BF136" s="3" t="s">
        <v>1559</v>
      </c>
      <c r="BG136" s="3" t="s">
        <v>1561</v>
      </c>
    </row>
    <row r="137" spans="1:59" ht="58" x14ac:dyDescent="0.35">
      <c r="A137" s="2" t="s">
        <v>59</v>
      </c>
      <c r="B137" s="2" t="s">
        <v>94</v>
      </c>
      <c r="C137" s="2" t="s">
        <v>1562</v>
      </c>
      <c r="D137" s="2" t="s">
        <v>1563</v>
      </c>
      <c r="E137" s="2" t="s">
        <v>1564</v>
      </c>
      <c r="G137" s="3" t="s">
        <v>64</v>
      </c>
      <c r="I137" s="3" t="s">
        <v>64</v>
      </c>
      <c r="J137" s="3" t="s">
        <v>64</v>
      </c>
      <c r="K137" s="3" t="s">
        <v>65</v>
      </c>
      <c r="L137" s="2" t="s">
        <v>1565</v>
      </c>
      <c r="M137" s="2" t="s">
        <v>1566</v>
      </c>
      <c r="N137" s="3" t="s">
        <v>449</v>
      </c>
      <c r="P137" s="3" t="s">
        <v>69</v>
      </c>
      <c r="R137" s="3" t="s">
        <v>70</v>
      </c>
      <c r="S137" s="4">
        <v>12</v>
      </c>
      <c r="T137" s="4">
        <v>12</v>
      </c>
      <c r="U137" s="5" t="s">
        <v>1472</v>
      </c>
      <c r="V137" s="5" t="s">
        <v>1472</v>
      </c>
      <c r="W137" s="5" t="s">
        <v>72</v>
      </c>
      <c r="X137" s="5" t="s">
        <v>72</v>
      </c>
      <c r="Y137" s="4">
        <v>457</v>
      </c>
      <c r="Z137" s="4">
        <v>31</v>
      </c>
      <c r="AA137" s="4">
        <v>33</v>
      </c>
      <c r="AB137" s="4">
        <v>1</v>
      </c>
      <c r="AC137" s="4">
        <v>2</v>
      </c>
      <c r="AD137" s="4">
        <v>113</v>
      </c>
      <c r="AE137" s="4">
        <v>115</v>
      </c>
      <c r="AF137" s="4">
        <v>0</v>
      </c>
      <c r="AG137" s="4">
        <v>1</v>
      </c>
      <c r="AH137" s="4">
        <v>93</v>
      </c>
      <c r="AI137" s="4">
        <v>94</v>
      </c>
      <c r="AJ137" s="4">
        <v>14</v>
      </c>
      <c r="AK137" s="4">
        <v>15</v>
      </c>
      <c r="AL137" s="4">
        <v>54</v>
      </c>
      <c r="AM137" s="4">
        <v>54</v>
      </c>
      <c r="AN137" s="4">
        <v>0</v>
      </c>
      <c r="AO137" s="4">
        <v>0</v>
      </c>
      <c r="AP137" s="4">
        <v>24</v>
      </c>
      <c r="AQ137" s="4">
        <v>26</v>
      </c>
      <c r="AR137" s="3" t="s">
        <v>64</v>
      </c>
      <c r="AS137" s="3" t="s">
        <v>64</v>
      </c>
      <c r="AT137" s="3" t="s">
        <v>64</v>
      </c>
      <c r="AV137" s="6" t="str">
        <f>HYPERLINK("http://mcgill.on.worldcat.org/oclc/232656888","Catalog Record")</f>
        <v>Catalog Record</v>
      </c>
      <c r="AW137" s="6" t="str">
        <f>HYPERLINK("http://www.worldcat.org/oclc/232656888","WorldCat Record")</f>
        <v>WorldCat Record</v>
      </c>
      <c r="AX137" s="3" t="s">
        <v>1567</v>
      </c>
      <c r="AY137" s="3" t="s">
        <v>1568</v>
      </c>
      <c r="AZ137" s="3" t="s">
        <v>1569</v>
      </c>
      <c r="BA137" s="3" t="s">
        <v>1569</v>
      </c>
      <c r="BB137" s="3" t="s">
        <v>1570</v>
      </c>
      <c r="BC137" s="3" t="s">
        <v>78</v>
      </c>
      <c r="BD137" s="3" t="s">
        <v>79</v>
      </c>
      <c r="BE137" s="3" t="s">
        <v>1571</v>
      </c>
      <c r="BF137" s="3" t="s">
        <v>1570</v>
      </c>
      <c r="BG137" s="3" t="s">
        <v>1572</v>
      </c>
    </row>
    <row r="138" spans="1:59" ht="58" x14ac:dyDescent="0.35">
      <c r="A138" s="2" t="s">
        <v>59</v>
      </c>
      <c r="B138" s="2" t="s">
        <v>94</v>
      </c>
      <c r="C138" s="2" t="s">
        <v>1573</v>
      </c>
      <c r="D138" s="2" t="s">
        <v>1574</v>
      </c>
      <c r="E138" s="2" t="s">
        <v>1575</v>
      </c>
      <c r="G138" s="3" t="s">
        <v>64</v>
      </c>
      <c r="I138" s="3" t="s">
        <v>64</v>
      </c>
      <c r="J138" s="3" t="s">
        <v>64</v>
      </c>
      <c r="K138" s="3" t="s">
        <v>65</v>
      </c>
      <c r="M138" s="2" t="s">
        <v>1576</v>
      </c>
      <c r="N138" s="3" t="s">
        <v>226</v>
      </c>
      <c r="P138" s="3" t="s">
        <v>69</v>
      </c>
      <c r="R138" s="3" t="s">
        <v>70</v>
      </c>
      <c r="S138" s="4">
        <v>30</v>
      </c>
      <c r="T138" s="4">
        <v>30</v>
      </c>
      <c r="U138" s="5" t="s">
        <v>1577</v>
      </c>
      <c r="V138" s="5" t="s">
        <v>1577</v>
      </c>
      <c r="W138" s="5" t="s">
        <v>72</v>
      </c>
      <c r="X138" s="5" t="s">
        <v>72</v>
      </c>
      <c r="Y138" s="4">
        <v>378</v>
      </c>
      <c r="Z138" s="4">
        <v>38</v>
      </c>
      <c r="AA138" s="4">
        <v>67</v>
      </c>
      <c r="AB138" s="4">
        <v>3</v>
      </c>
      <c r="AC138" s="4">
        <v>10</v>
      </c>
      <c r="AD138" s="4">
        <v>109</v>
      </c>
      <c r="AE138" s="4">
        <v>113</v>
      </c>
      <c r="AF138" s="4">
        <v>1</v>
      </c>
      <c r="AG138" s="4">
        <v>3</v>
      </c>
      <c r="AH138" s="4">
        <v>91</v>
      </c>
      <c r="AI138" s="4">
        <v>92</v>
      </c>
      <c r="AJ138" s="4">
        <v>19</v>
      </c>
      <c r="AK138" s="4">
        <v>21</v>
      </c>
      <c r="AL138" s="4">
        <v>47</v>
      </c>
      <c r="AM138" s="4">
        <v>47</v>
      </c>
      <c r="AN138" s="4">
        <v>0</v>
      </c>
      <c r="AO138" s="4">
        <v>0</v>
      </c>
      <c r="AP138" s="4">
        <v>24</v>
      </c>
      <c r="AQ138" s="4">
        <v>28</v>
      </c>
      <c r="AR138" s="3" t="s">
        <v>64</v>
      </c>
      <c r="AS138" s="3" t="s">
        <v>64</v>
      </c>
      <c r="AT138" s="3" t="s">
        <v>64</v>
      </c>
      <c r="AV138" s="6" t="str">
        <f>HYPERLINK("http://mcgill.on.worldcat.org/oclc/35145805","Catalog Record")</f>
        <v>Catalog Record</v>
      </c>
      <c r="AW138" s="6" t="str">
        <f>HYPERLINK("http://www.worldcat.org/oclc/35145805","WorldCat Record")</f>
        <v>WorldCat Record</v>
      </c>
      <c r="AX138" s="3" t="s">
        <v>1578</v>
      </c>
      <c r="AY138" s="3" t="s">
        <v>1579</v>
      </c>
      <c r="AZ138" s="3" t="s">
        <v>1580</v>
      </c>
      <c r="BA138" s="3" t="s">
        <v>1580</v>
      </c>
      <c r="BB138" s="3" t="s">
        <v>1581</v>
      </c>
      <c r="BC138" s="3" t="s">
        <v>78</v>
      </c>
      <c r="BD138" s="3" t="s">
        <v>79</v>
      </c>
      <c r="BE138" s="3" t="s">
        <v>1582</v>
      </c>
      <c r="BF138" s="3" t="s">
        <v>1581</v>
      </c>
      <c r="BG138" s="3" t="s">
        <v>1583</v>
      </c>
    </row>
    <row r="139" spans="1:59" ht="72.5" x14ac:dyDescent="0.35">
      <c r="A139" s="2" t="s">
        <v>59</v>
      </c>
      <c r="B139" s="2" t="s">
        <v>94</v>
      </c>
      <c r="C139" s="2" t="s">
        <v>1584</v>
      </c>
      <c r="D139" s="2" t="s">
        <v>1585</v>
      </c>
      <c r="E139" s="2" t="s">
        <v>1586</v>
      </c>
      <c r="G139" s="3" t="s">
        <v>64</v>
      </c>
      <c r="I139" s="3" t="s">
        <v>64</v>
      </c>
      <c r="J139" s="3" t="s">
        <v>64</v>
      </c>
      <c r="K139" s="3" t="s">
        <v>65</v>
      </c>
      <c r="M139" s="2" t="s">
        <v>1587</v>
      </c>
      <c r="N139" s="3" t="s">
        <v>214</v>
      </c>
      <c r="P139" s="3" t="s">
        <v>69</v>
      </c>
      <c r="R139" s="3" t="s">
        <v>70</v>
      </c>
      <c r="S139" s="4">
        <v>0</v>
      </c>
      <c r="T139" s="4">
        <v>0</v>
      </c>
      <c r="W139" s="5" t="s">
        <v>72</v>
      </c>
      <c r="X139" s="5" t="s">
        <v>72</v>
      </c>
      <c r="Y139" s="4">
        <v>3</v>
      </c>
      <c r="Z139" s="4">
        <v>1</v>
      </c>
      <c r="AA139" s="4">
        <v>1</v>
      </c>
      <c r="AB139" s="4">
        <v>1</v>
      </c>
      <c r="AC139" s="4">
        <v>1</v>
      </c>
      <c r="AD139" s="4">
        <v>0</v>
      </c>
      <c r="AE139" s="4">
        <v>0</v>
      </c>
      <c r="AF139" s="4">
        <v>0</v>
      </c>
      <c r="AG139" s="4">
        <v>0</v>
      </c>
      <c r="AH139" s="4">
        <v>0</v>
      </c>
      <c r="AI139" s="4">
        <v>0</v>
      </c>
      <c r="AJ139" s="4">
        <v>0</v>
      </c>
      <c r="AK139" s="4">
        <v>0</v>
      </c>
      <c r="AL139" s="4">
        <v>0</v>
      </c>
      <c r="AM139" s="4">
        <v>0</v>
      </c>
      <c r="AN139" s="4">
        <v>0</v>
      </c>
      <c r="AO139" s="4">
        <v>0</v>
      </c>
      <c r="AP139" s="4">
        <v>0</v>
      </c>
      <c r="AQ139" s="4">
        <v>0</v>
      </c>
      <c r="AR139" s="3" t="s">
        <v>64</v>
      </c>
      <c r="AS139" s="3" t="s">
        <v>64</v>
      </c>
      <c r="AT139" s="3" t="s">
        <v>64</v>
      </c>
      <c r="AV139" s="6" t="str">
        <f>HYPERLINK("http://mcgill.on.worldcat.org/oclc/806311079","Catalog Record")</f>
        <v>Catalog Record</v>
      </c>
      <c r="AW139" s="6" t="str">
        <f>HYPERLINK("http://www.worldcat.org/oclc/806311079","WorldCat Record")</f>
        <v>WorldCat Record</v>
      </c>
      <c r="AX139" s="3" t="s">
        <v>1588</v>
      </c>
      <c r="AY139" s="3" t="s">
        <v>1589</v>
      </c>
      <c r="AZ139" s="3" t="s">
        <v>1590</v>
      </c>
      <c r="BA139" s="3" t="s">
        <v>1590</v>
      </c>
      <c r="BB139" s="3" t="s">
        <v>1591</v>
      </c>
      <c r="BC139" s="3" t="s">
        <v>78</v>
      </c>
      <c r="BD139" s="3" t="s">
        <v>79</v>
      </c>
      <c r="BE139" s="3" t="s">
        <v>1592</v>
      </c>
      <c r="BF139" s="3" t="s">
        <v>1591</v>
      </c>
      <c r="BG139" s="3" t="s">
        <v>1593</v>
      </c>
    </row>
    <row r="140" spans="1:59" ht="58" x14ac:dyDescent="0.35">
      <c r="A140" s="2" t="s">
        <v>59</v>
      </c>
      <c r="B140" s="2" t="s">
        <v>94</v>
      </c>
      <c r="C140" s="2" t="s">
        <v>1594</v>
      </c>
      <c r="D140" s="2" t="s">
        <v>1595</v>
      </c>
      <c r="E140" s="2" t="s">
        <v>1596</v>
      </c>
      <c r="G140" s="3" t="s">
        <v>64</v>
      </c>
      <c r="I140" s="3" t="s">
        <v>64</v>
      </c>
      <c r="J140" s="3" t="s">
        <v>64</v>
      </c>
      <c r="K140" s="3" t="s">
        <v>65</v>
      </c>
      <c r="M140" s="2" t="s">
        <v>1597</v>
      </c>
      <c r="N140" s="3" t="s">
        <v>303</v>
      </c>
      <c r="P140" s="3" t="s">
        <v>69</v>
      </c>
      <c r="R140" s="3" t="s">
        <v>70</v>
      </c>
      <c r="S140" s="4">
        <v>21</v>
      </c>
      <c r="T140" s="4">
        <v>21</v>
      </c>
      <c r="U140" s="5" t="s">
        <v>1598</v>
      </c>
      <c r="V140" s="5" t="s">
        <v>1598</v>
      </c>
      <c r="W140" s="5" t="s">
        <v>72</v>
      </c>
      <c r="X140" s="5" t="s">
        <v>72</v>
      </c>
      <c r="Y140" s="4">
        <v>507</v>
      </c>
      <c r="Z140" s="4">
        <v>33</v>
      </c>
      <c r="AA140" s="4">
        <v>34</v>
      </c>
      <c r="AB140" s="4">
        <v>4</v>
      </c>
      <c r="AC140" s="4">
        <v>5</v>
      </c>
      <c r="AD140" s="4">
        <v>111</v>
      </c>
      <c r="AE140" s="4">
        <v>112</v>
      </c>
      <c r="AF140" s="4">
        <v>2</v>
      </c>
      <c r="AG140" s="4">
        <v>3</v>
      </c>
      <c r="AH140" s="4">
        <v>92</v>
      </c>
      <c r="AI140" s="4">
        <v>92</v>
      </c>
      <c r="AJ140" s="4">
        <v>15</v>
      </c>
      <c r="AK140" s="4">
        <v>16</v>
      </c>
      <c r="AL140" s="4">
        <v>51</v>
      </c>
      <c r="AM140" s="4">
        <v>51</v>
      </c>
      <c r="AN140" s="4">
        <v>0</v>
      </c>
      <c r="AO140" s="4">
        <v>0</v>
      </c>
      <c r="AP140" s="4">
        <v>24</v>
      </c>
      <c r="AQ140" s="4">
        <v>24</v>
      </c>
      <c r="AR140" s="3" t="s">
        <v>64</v>
      </c>
      <c r="AS140" s="3" t="s">
        <v>64</v>
      </c>
      <c r="AT140" s="3" t="s">
        <v>64</v>
      </c>
      <c r="AV140" s="6" t="str">
        <f>HYPERLINK("http://mcgill.on.worldcat.org/oclc/27226175","Catalog Record")</f>
        <v>Catalog Record</v>
      </c>
      <c r="AW140" s="6" t="str">
        <f>HYPERLINK("http://www.worldcat.org/oclc/27226175","WorldCat Record")</f>
        <v>WorldCat Record</v>
      </c>
      <c r="AX140" s="3" t="s">
        <v>1599</v>
      </c>
      <c r="AY140" s="3" t="s">
        <v>1600</v>
      </c>
      <c r="AZ140" s="3" t="s">
        <v>1601</v>
      </c>
      <c r="BA140" s="3" t="s">
        <v>1601</v>
      </c>
      <c r="BB140" s="3" t="s">
        <v>1602</v>
      </c>
      <c r="BC140" s="3" t="s">
        <v>78</v>
      </c>
      <c r="BD140" s="3" t="s">
        <v>79</v>
      </c>
      <c r="BE140" s="3" t="s">
        <v>1603</v>
      </c>
      <c r="BF140" s="3" t="s">
        <v>1602</v>
      </c>
      <c r="BG140" s="3" t="s">
        <v>1604</v>
      </c>
    </row>
    <row r="141" spans="1:59" ht="58" x14ac:dyDescent="0.35">
      <c r="A141" s="2" t="s">
        <v>59</v>
      </c>
      <c r="B141" s="2" t="s">
        <v>94</v>
      </c>
      <c r="C141" s="2" t="s">
        <v>1605</v>
      </c>
      <c r="D141" s="2" t="s">
        <v>1606</v>
      </c>
      <c r="E141" s="2" t="s">
        <v>1607</v>
      </c>
      <c r="G141" s="3" t="s">
        <v>64</v>
      </c>
      <c r="I141" s="3" t="s">
        <v>64</v>
      </c>
      <c r="J141" s="3" t="s">
        <v>64</v>
      </c>
      <c r="K141" s="3" t="s">
        <v>65</v>
      </c>
      <c r="L141" s="2" t="s">
        <v>1608</v>
      </c>
      <c r="M141" s="2" t="s">
        <v>1609</v>
      </c>
      <c r="N141" s="3" t="s">
        <v>538</v>
      </c>
      <c r="P141" s="3" t="s">
        <v>69</v>
      </c>
      <c r="Q141" s="2" t="s">
        <v>1610</v>
      </c>
      <c r="R141" s="3" t="s">
        <v>70</v>
      </c>
      <c r="S141" s="4">
        <v>3</v>
      </c>
      <c r="T141" s="4">
        <v>3</v>
      </c>
      <c r="U141" s="5" t="s">
        <v>1611</v>
      </c>
      <c r="V141" s="5" t="s">
        <v>1611</v>
      </c>
      <c r="W141" s="5" t="s">
        <v>72</v>
      </c>
      <c r="X141" s="5" t="s">
        <v>72</v>
      </c>
      <c r="Y141" s="4">
        <v>640</v>
      </c>
      <c r="Z141" s="4">
        <v>32</v>
      </c>
      <c r="AA141" s="4">
        <v>100</v>
      </c>
      <c r="AB141" s="4">
        <v>2</v>
      </c>
      <c r="AC141" s="4">
        <v>17</v>
      </c>
      <c r="AD141" s="4">
        <v>99</v>
      </c>
      <c r="AE141" s="4">
        <v>143</v>
      </c>
      <c r="AF141" s="4">
        <v>1</v>
      </c>
      <c r="AG141" s="4">
        <v>8</v>
      </c>
      <c r="AH141" s="4">
        <v>84</v>
      </c>
      <c r="AI141" s="4">
        <v>103</v>
      </c>
      <c r="AJ141" s="4">
        <v>16</v>
      </c>
      <c r="AK141" s="4">
        <v>24</v>
      </c>
      <c r="AL141" s="4">
        <v>42</v>
      </c>
      <c r="AM141" s="4">
        <v>53</v>
      </c>
      <c r="AN141" s="4">
        <v>0</v>
      </c>
      <c r="AO141" s="4">
        <v>0</v>
      </c>
      <c r="AP141" s="4">
        <v>23</v>
      </c>
      <c r="AQ141" s="4">
        <v>47</v>
      </c>
      <c r="AR141" s="3" t="s">
        <v>64</v>
      </c>
      <c r="AS141" s="3" t="s">
        <v>64</v>
      </c>
      <c r="AT141" s="3" t="s">
        <v>64</v>
      </c>
      <c r="AV141" s="6" t="str">
        <f>HYPERLINK("http://mcgill.on.worldcat.org/oclc/70778277","Catalog Record")</f>
        <v>Catalog Record</v>
      </c>
      <c r="AW141" s="6" t="str">
        <f>HYPERLINK("http://www.worldcat.org/oclc/70778277","WorldCat Record")</f>
        <v>WorldCat Record</v>
      </c>
      <c r="AX141" s="3" t="s">
        <v>1612</v>
      </c>
      <c r="AY141" s="3" t="s">
        <v>1613</v>
      </c>
      <c r="AZ141" s="3" t="s">
        <v>1614</v>
      </c>
      <c r="BA141" s="3" t="s">
        <v>1614</v>
      </c>
      <c r="BB141" s="3" t="s">
        <v>1615</v>
      </c>
      <c r="BC141" s="3" t="s">
        <v>78</v>
      </c>
      <c r="BD141" s="3" t="s">
        <v>79</v>
      </c>
      <c r="BE141" s="3" t="s">
        <v>1616</v>
      </c>
      <c r="BF141" s="3" t="s">
        <v>1615</v>
      </c>
      <c r="BG141" s="3" t="s">
        <v>1617</v>
      </c>
    </row>
    <row r="142" spans="1:59" ht="58" x14ac:dyDescent="0.35">
      <c r="A142" s="2" t="s">
        <v>59</v>
      </c>
      <c r="B142" s="2" t="s">
        <v>94</v>
      </c>
      <c r="C142" s="2" t="s">
        <v>1618</v>
      </c>
      <c r="D142" s="2" t="s">
        <v>1619</v>
      </c>
      <c r="E142" s="2" t="s">
        <v>1620</v>
      </c>
      <c r="G142" s="3" t="s">
        <v>64</v>
      </c>
      <c r="I142" s="3" t="s">
        <v>64</v>
      </c>
      <c r="J142" s="3" t="s">
        <v>64</v>
      </c>
      <c r="K142" s="3" t="s">
        <v>65</v>
      </c>
      <c r="L142" s="2" t="s">
        <v>1621</v>
      </c>
      <c r="M142" s="2" t="s">
        <v>1622</v>
      </c>
      <c r="N142" s="3" t="s">
        <v>524</v>
      </c>
      <c r="P142" s="3" t="s">
        <v>69</v>
      </c>
      <c r="R142" s="3" t="s">
        <v>70</v>
      </c>
      <c r="S142" s="4">
        <v>0</v>
      </c>
      <c r="T142" s="4">
        <v>0</v>
      </c>
      <c r="W142" s="5" t="s">
        <v>72</v>
      </c>
      <c r="X142" s="5" t="s">
        <v>72</v>
      </c>
      <c r="Y142" s="4">
        <v>79</v>
      </c>
      <c r="Z142" s="4">
        <v>8</v>
      </c>
      <c r="AA142" s="4">
        <v>81</v>
      </c>
      <c r="AB142" s="4">
        <v>1</v>
      </c>
      <c r="AC142" s="4">
        <v>14</v>
      </c>
      <c r="AD142" s="4">
        <v>29</v>
      </c>
      <c r="AE142" s="4">
        <v>110</v>
      </c>
      <c r="AF142" s="4">
        <v>0</v>
      </c>
      <c r="AG142" s="4">
        <v>8</v>
      </c>
      <c r="AH142" s="4">
        <v>27</v>
      </c>
      <c r="AI142" s="4">
        <v>76</v>
      </c>
      <c r="AJ142" s="4">
        <v>4</v>
      </c>
      <c r="AK142" s="4">
        <v>21</v>
      </c>
      <c r="AL142" s="4">
        <v>19</v>
      </c>
      <c r="AM142" s="4">
        <v>38</v>
      </c>
      <c r="AN142" s="4">
        <v>0</v>
      </c>
      <c r="AO142" s="4">
        <v>0</v>
      </c>
      <c r="AP142" s="4">
        <v>4</v>
      </c>
      <c r="AQ142" s="4">
        <v>41</v>
      </c>
      <c r="AR142" s="3" t="s">
        <v>64</v>
      </c>
      <c r="AS142" s="3" t="s">
        <v>64</v>
      </c>
      <c r="AT142" s="3" t="s">
        <v>64</v>
      </c>
      <c r="AV142" s="6" t="str">
        <f>HYPERLINK("http://mcgill.on.worldcat.org/oclc/799252768","Catalog Record")</f>
        <v>Catalog Record</v>
      </c>
      <c r="AW142" s="6" t="str">
        <f>HYPERLINK("http://www.worldcat.org/oclc/799252768","WorldCat Record")</f>
        <v>WorldCat Record</v>
      </c>
      <c r="AX142" s="3" t="s">
        <v>1623</v>
      </c>
      <c r="AY142" s="3" t="s">
        <v>1624</v>
      </c>
      <c r="AZ142" s="3" t="s">
        <v>1625</v>
      </c>
      <c r="BA142" s="3" t="s">
        <v>1625</v>
      </c>
      <c r="BB142" s="3" t="s">
        <v>1626</v>
      </c>
      <c r="BC142" s="3" t="s">
        <v>78</v>
      </c>
      <c r="BD142" s="3" t="s">
        <v>79</v>
      </c>
      <c r="BE142" s="3" t="s">
        <v>1627</v>
      </c>
      <c r="BF142" s="3" t="s">
        <v>1626</v>
      </c>
      <c r="BG142" s="3" t="s">
        <v>1628</v>
      </c>
    </row>
    <row r="143" spans="1:59" ht="58" x14ac:dyDescent="0.35">
      <c r="A143" s="2" t="s">
        <v>59</v>
      </c>
      <c r="B143" s="2" t="s">
        <v>94</v>
      </c>
      <c r="C143" s="2" t="s">
        <v>1629</v>
      </c>
      <c r="D143" s="2" t="s">
        <v>1630</v>
      </c>
      <c r="E143" s="2" t="s">
        <v>1631</v>
      </c>
      <c r="G143" s="3" t="s">
        <v>64</v>
      </c>
      <c r="I143" s="3" t="s">
        <v>64</v>
      </c>
      <c r="J143" s="3" t="s">
        <v>64</v>
      </c>
      <c r="K143" s="3" t="s">
        <v>65</v>
      </c>
      <c r="L143" s="2" t="s">
        <v>1632</v>
      </c>
      <c r="M143" s="2" t="s">
        <v>1633</v>
      </c>
      <c r="N143" s="3" t="s">
        <v>214</v>
      </c>
      <c r="P143" s="3" t="s">
        <v>69</v>
      </c>
      <c r="R143" s="3" t="s">
        <v>70</v>
      </c>
      <c r="S143" s="4">
        <v>0</v>
      </c>
      <c r="T143" s="4">
        <v>0</v>
      </c>
      <c r="W143" s="5" t="s">
        <v>72</v>
      </c>
      <c r="X143" s="5" t="s">
        <v>72</v>
      </c>
      <c r="Y143" s="4">
        <v>152</v>
      </c>
      <c r="Z143" s="4">
        <v>8</v>
      </c>
      <c r="AA143" s="4">
        <v>78</v>
      </c>
      <c r="AB143" s="4">
        <v>2</v>
      </c>
      <c r="AC143" s="4">
        <v>14</v>
      </c>
      <c r="AD143" s="4">
        <v>47</v>
      </c>
      <c r="AE143" s="4">
        <v>116</v>
      </c>
      <c r="AF143" s="4">
        <v>1</v>
      </c>
      <c r="AG143" s="4">
        <v>8</v>
      </c>
      <c r="AH143" s="4">
        <v>45</v>
      </c>
      <c r="AI143" s="4">
        <v>82</v>
      </c>
      <c r="AJ143" s="4">
        <v>6</v>
      </c>
      <c r="AK143" s="4">
        <v>21</v>
      </c>
      <c r="AL143" s="4">
        <v>28</v>
      </c>
      <c r="AM143" s="4">
        <v>44</v>
      </c>
      <c r="AN143" s="4">
        <v>0</v>
      </c>
      <c r="AO143" s="4">
        <v>0</v>
      </c>
      <c r="AP143" s="4">
        <v>6</v>
      </c>
      <c r="AQ143" s="4">
        <v>41</v>
      </c>
      <c r="AR143" s="3" t="s">
        <v>64</v>
      </c>
      <c r="AS143" s="3" t="s">
        <v>64</v>
      </c>
      <c r="AT143" s="3" t="s">
        <v>64</v>
      </c>
      <c r="AV143" s="6" t="str">
        <f>HYPERLINK("http://mcgill.on.worldcat.org/oclc/430052458","Catalog Record")</f>
        <v>Catalog Record</v>
      </c>
      <c r="AW143" s="6" t="str">
        <f>HYPERLINK("http://www.worldcat.org/oclc/430052458","WorldCat Record")</f>
        <v>WorldCat Record</v>
      </c>
      <c r="AX143" s="3" t="s">
        <v>1634</v>
      </c>
      <c r="AY143" s="3" t="s">
        <v>1635</v>
      </c>
      <c r="AZ143" s="3" t="s">
        <v>1636</v>
      </c>
      <c r="BA143" s="3" t="s">
        <v>1636</v>
      </c>
      <c r="BB143" s="3" t="s">
        <v>1637</v>
      </c>
      <c r="BC143" s="3" t="s">
        <v>78</v>
      </c>
      <c r="BD143" s="3" t="s">
        <v>79</v>
      </c>
      <c r="BE143" s="3" t="s">
        <v>1638</v>
      </c>
      <c r="BF143" s="3" t="s">
        <v>1637</v>
      </c>
      <c r="BG143" s="3" t="s">
        <v>1639</v>
      </c>
    </row>
    <row r="144" spans="1:59" ht="58" x14ac:dyDescent="0.35">
      <c r="A144" s="2" t="s">
        <v>59</v>
      </c>
      <c r="B144" s="2" t="s">
        <v>94</v>
      </c>
      <c r="C144" s="2" t="s">
        <v>1640</v>
      </c>
      <c r="D144" s="2" t="s">
        <v>1641</v>
      </c>
      <c r="E144" s="2" t="s">
        <v>1642</v>
      </c>
      <c r="G144" s="3" t="s">
        <v>64</v>
      </c>
      <c r="I144" s="3" t="s">
        <v>64</v>
      </c>
      <c r="J144" s="3" t="s">
        <v>64</v>
      </c>
      <c r="K144" s="3" t="s">
        <v>65</v>
      </c>
      <c r="L144" s="2" t="s">
        <v>1643</v>
      </c>
      <c r="M144" s="2" t="s">
        <v>1644</v>
      </c>
      <c r="N144" s="3" t="s">
        <v>1645</v>
      </c>
      <c r="P144" s="3" t="s">
        <v>69</v>
      </c>
      <c r="R144" s="3" t="s">
        <v>70</v>
      </c>
      <c r="S144" s="4">
        <v>0</v>
      </c>
      <c r="T144" s="4">
        <v>0</v>
      </c>
      <c r="W144" s="5" t="s">
        <v>72</v>
      </c>
      <c r="X144" s="5" t="s">
        <v>72</v>
      </c>
      <c r="Y144" s="4">
        <v>60</v>
      </c>
      <c r="Z144" s="4">
        <v>1</v>
      </c>
      <c r="AA144" s="4">
        <v>9</v>
      </c>
      <c r="AB144" s="4">
        <v>1</v>
      </c>
      <c r="AC144" s="4">
        <v>4</v>
      </c>
      <c r="AD144" s="4">
        <v>29</v>
      </c>
      <c r="AE144" s="4">
        <v>41</v>
      </c>
      <c r="AF144" s="4">
        <v>0</v>
      </c>
      <c r="AG144" s="4">
        <v>1</v>
      </c>
      <c r="AH144" s="4">
        <v>28</v>
      </c>
      <c r="AI144" s="4">
        <v>38</v>
      </c>
      <c r="AJ144" s="4">
        <v>0</v>
      </c>
      <c r="AK144" s="4">
        <v>6</v>
      </c>
      <c r="AL144" s="4">
        <v>20</v>
      </c>
      <c r="AM144" s="4">
        <v>24</v>
      </c>
      <c r="AN144" s="4">
        <v>0</v>
      </c>
      <c r="AO144" s="4">
        <v>0</v>
      </c>
      <c r="AP144" s="4">
        <v>0</v>
      </c>
      <c r="AQ144" s="4">
        <v>5</v>
      </c>
      <c r="AR144" s="3" t="s">
        <v>64</v>
      </c>
      <c r="AS144" s="3" t="s">
        <v>64</v>
      </c>
      <c r="AT144" s="3" t="s">
        <v>64</v>
      </c>
      <c r="AV144" s="6" t="str">
        <f>HYPERLINK("http://mcgill.on.worldcat.org/oclc/1000150564","Catalog Record")</f>
        <v>Catalog Record</v>
      </c>
      <c r="AW144" s="6" t="str">
        <f>HYPERLINK("http://www.worldcat.org/oclc/1000150564","WorldCat Record")</f>
        <v>WorldCat Record</v>
      </c>
      <c r="AX144" s="3" t="s">
        <v>1646</v>
      </c>
      <c r="AY144" s="3" t="s">
        <v>1647</v>
      </c>
      <c r="AZ144" s="3" t="s">
        <v>1648</v>
      </c>
      <c r="BA144" s="3" t="s">
        <v>1648</v>
      </c>
      <c r="BB144" s="3" t="s">
        <v>1649</v>
      </c>
      <c r="BC144" s="3" t="s">
        <v>78</v>
      </c>
      <c r="BD144" s="3" t="s">
        <v>79</v>
      </c>
      <c r="BE144" s="3" t="s">
        <v>1650</v>
      </c>
      <c r="BF144" s="3" t="s">
        <v>1649</v>
      </c>
      <c r="BG144" s="3" t="s">
        <v>1651</v>
      </c>
    </row>
    <row r="145" spans="1:59" ht="58" x14ac:dyDescent="0.35">
      <c r="A145" s="2" t="s">
        <v>59</v>
      </c>
      <c r="B145" s="2" t="s">
        <v>94</v>
      </c>
      <c r="C145" s="2" t="s">
        <v>1652</v>
      </c>
      <c r="D145" s="2" t="s">
        <v>1653</v>
      </c>
      <c r="E145" s="2" t="s">
        <v>1654</v>
      </c>
      <c r="G145" s="3" t="s">
        <v>64</v>
      </c>
      <c r="I145" s="3" t="s">
        <v>64</v>
      </c>
      <c r="J145" s="3" t="s">
        <v>64</v>
      </c>
      <c r="K145" s="3" t="s">
        <v>65</v>
      </c>
      <c r="M145" s="2" t="s">
        <v>1655</v>
      </c>
      <c r="N145" s="3" t="s">
        <v>449</v>
      </c>
      <c r="P145" s="3" t="s">
        <v>69</v>
      </c>
      <c r="R145" s="3" t="s">
        <v>70</v>
      </c>
      <c r="S145" s="4">
        <v>4</v>
      </c>
      <c r="T145" s="4">
        <v>4</v>
      </c>
      <c r="U145" s="5" t="s">
        <v>1248</v>
      </c>
      <c r="V145" s="5" t="s">
        <v>1248</v>
      </c>
      <c r="W145" s="5" t="s">
        <v>72</v>
      </c>
      <c r="X145" s="5" t="s">
        <v>72</v>
      </c>
      <c r="Y145" s="4">
        <v>176</v>
      </c>
      <c r="Z145" s="4">
        <v>11</v>
      </c>
      <c r="AA145" s="4">
        <v>103</v>
      </c>
      <c r="AB145" s="4">
        <v>1</v>
      </c>
      <c r="AC145" s="4">
        <v>18</v>
      </c>
      <c r="AD145" s="4">
        <v>45</v>
      </c>
      <c r="AE145" s="4">
        <v>115</v>
      </c>
      <c r="AF145" s="4">
        <v>0</v>
      </c>
      <c r="AG145" s="4">
        <v>8</v>
      </c>
      <c r="AH145" s="4">
        <v>42</v>
      </c>
      <c r="AI145" s="4">
        <v>79</v>
      </c>
      <c r="AJ145" s="4">
        <v>8</v>
      </c>
      <c r="AK145" s="4">
        <v>22</v>
      </c>
      <c r="AL145" s="4">
        <v>24</v>
      </c>
      <c r="AM145" s="4">
        <v>42</v>
      </c>
      <c r="AN145" s="4">
        <v>0</v>
      </c>
      <c r="AO145" s="4">
        <v>0</v>
      </c>
      <c r="AP145" s="4">
        <v>9</v>
      </c>
      <c r="AQ145" s="4">
        <v>44</v>
      </c>
      <c r="AR145" s="3" t="s">
        <v>64</v>
      </c>
      <c r="AS145" s="3" t="s">
        <v>64</v>
      </c>
      <c r="AT145" s="3" t="s">
        <v>73</v>
      </c>
      <c r="AU145" s="6" t="str">
        <f>HYPERLINK("http://catalog.hathitrust.org/Record/009094429","HathiTrust Record")</f>
        <v>HathiTrust Record</v>
      </c>
      <c r="AV145" s="6" t="str">
        <f>HYPERLINK("http://mcgill.on.worldcat.org/oclc/170203920","Catalog Record")</f>
        <v>Catalog Record</v>
      </c>
      <c r="AW145" s="6" t="str">
        <f>HYPERLINK("http://www.worldcat.org/oclc/170203920","WorldCat Record")</f>
        <v>WorldCat Record</v>
      </c>
      <c r="AX145" s="3" t="s">
        <v>1656</v>
      </c>
      <c r="AY145" s="3" t="s">
        <v>1657</v>
      </c>
      <c r="AZ145" s="3" t="s">
        <v>1658</v>
      </c>
      <c r="BA145" s="3" t="s">
        <v>1658</v>
      </c>
      <c r="BB145" s="3" t="s">
        <v>1659</v>
      </c>
      <c r="BC145" s="3" t="s">
        <v>78</v>
      </c>
      <c r="BD145" s="3" t="s">
        <v>79</v>
      </c>
      <c r="BE145" s="3" t="s">
        <v>1660</v>
      </c>
      <c r="BF145" s="3" t="s">
        <v>1659</v>
      </c>
      <c r="BG145" s="3" t="s">
        <v>1661</v>
      </c>
    </row>
    <row r="146" spans="1:59" ht="58" x14ac:dyDescent="0.35">
      <c r="A146" s="2" t="s">
        <v>59</v>
      </c>
      <c r="B146" s="2" t="s">
        <v>94</v>
      </c>
      <c r="C146" s="2" t="s">
        <v>1662</v>
      </c>
      <c r="D146" s="2" t="s">
        <v>1663</v>
      </c>
      <c r="E146" s="2" t="s">
        <v>1664</v>
      </c>
      <c r="G146" s="3" t="s">
        <v>64</v>
      </c>
      <c r="I146" s="3" t="s">
        <v>64</v>
      </c>
      <c r="J146" s="3" t="s">
        <v>64</v>
      </c>
      <c r="K146" s="3" t="s">
        <v>65</v>
      </c>
      <c r="M146" s="2" t="s">
        <v>1665</v>
      </c>
      <c r="N146" s="3" t="s">
        <v>68</v>
      </c>
      <c r="P146" s="3" t="s">
        <v>69</v>
      </c>
      <c r="R146" s="3" t="s">
        <v>70</v>
      </c>
      <c r="S146" s="4">
        <v>9</v>
      </c>
      <c r="T146" s="4">
        <v>9</v>
      </c>
      <c r="U146" s="5" t="s">
        <v>1666</v>
      </c>
      <c r="V146" s="5" t="s">
        <v>1666</v>
      </c>
      <c r="W146" s="5" t="s">
        <v>72</v>
      </c>
      <c r="X146" s="5" t="s">
        <v>72</v>
      </c>
      <c r="Y146" s="4">
        <v>367</v>
      </c>
      <c r="Z146" s="4">
        <v>25</v>
      </c>
      <c r="AA146" s="4">
        <v>26</v>
      </c>
      <c r="AB146" s="4">
        <v>2</v>
      </c>
      <c r="AC146" s="4">
        <v>3</v>
      </c>
      <c r="AD146" s="4">
        <v>68</v>
      </c>
      <c r="AE146" s="4">
        <v>69</v>
      </c>
      <c r="AF146" s="4">
        <v>1</v>
      </c>
      <c r="AG146" s="4">
        <v>2</v>
      </c>
      <c r="AH146" s="4">
        <v>58</v>
      </c>
      <c r="AI146" s="4">
        <v>58</v>
      </c>
      <c r="AJ146" s="4">
        <v>8</v>
      </c>
      <c r="AK146" s="4">
        <v>9</v>
      </c>
      <c r="AL146" s="4">
        <v>34</v>
      </c>
      <c r="AM146" s="4">
        <v>34</v>
      </c>
      <c r="AN146" s="4">
        <v>0</v>
      </c>
      <c r="AO146" s="4">
        <v>0</v>
      </c>
      <c r="AP146" s="4">
        <v>15</v>
      </c>
      <c r="AQ146" s="4">
        <v>15</v>
      </c>
      <c r="AR146" s="3" t="s">
        <v>64</v>
      </c>
      <c r="AS146" s="3" t="s">
        <v>64</v>
      </c>
      <c r="AT146" s="3" t="s">
        <v>64</v>
      </c>
      <c r="AV146" s="6" t="str">
        <f>HYPERLINK("http://mcgill.on.worldcat.org/oclc/62755591","Catalog Record")</f>
        <v>Catalog Record</v>
      </c>
      <c r="AW146" s="6" t="str">
        <f>HYPERLINK("http://www.worldcat.org/oclc/62755591","WorldCat Record")</f>
        <v>WorldCat Record</v>
      </c>
      <c r="AX146" s="3" t="s">
        <v>1667</v>
      </c>
      <c r="AY146" s="3" t="s">
        <v>1668</v>
      </c>
      <c r="AZ146" s="3" t="s">
        <v>1669</v>
      </c>
      <c r="BA146" s="3" t="s">
        <v>1669</v>
      </c>
      <c r="BB146" s="3" t="s">
        <v>1670</v>
      </c>
      <c r="BC146" s="3" t="s">
        <v>78</v>
      </c>
      <c r="BD146" s="3" t="s">
        <v>79</v>
      </c>
      <c r="BE146" s="3" t="s">
        <v>1671</v>
      </c>
      <c r="BF146" s="3" t="s">
        <v>1670</v>
      </c>
      <c r="BG146" s="3" t="s">
        <v>1672</v>
      </c>
    </row>
    <row r="147" spans="1:59" ht="58" x14ac:dyDescent="0.35">
      <c r="A147" s="2" t="s">
        <v>59</v>
      </c>
      <c r="B147" s="2" t="s">
        <v>94</v>
      </c>
      <c r="C147" s="2" t="s">
        <v>1673</v>
      </c>
      <c r="D147" s="2" t="s">
        <v>1674</v>
      </c>
      <c r="E147" s="2" t="s">
        <v>1675</v>
      </c>
      <c r="G147" s="3" t="s">
        <v>64</v>
      </c>
      <c r="I147" s="3" t="s">
        <v>64</v>
      </c>
      <c r="J147" s="3" t="s">
        <v>64</v>
      </c>
      <c r="K147" s="3" t="s">
        <v>65</v>
      </c>
      <c r="L147" s="2" t="s">
        <v>1676</v>
      </c>
      <c r="M147" s="2" t="s">
        <v>1677</v>
      </c>
      <c r="N147" s="3" t="s">
        <v>377</v>
      </c>
      <c r="O147" s="2" t="s">
        <v>1294</v>
      </c>
      <c r="P147" s="3" t="s">
        <v>69</v>
      </c>
      <c r="R147" s="3" t="s">
        <v>70</v>
      </c>
      <c r="S147" s="4">
        <v>2</v>
      </c>
      <c r="T147" s="4">
        <v>2</v>
      </c>
      <c r="U147" s="5" t="s">
        <v>149</v>
      </c>
      <c r="V147" s="5" t="s">
        <v>149</v>
      </c>
      <c r="W147" s="5" t="s">
        <v>72</v>
      </c>
      <c r="X147" s="5" t="s">
        <v>72</v>
      </c>
      <c r="Y147" s="4">
        <v>151</v>
      </c>
      <c r="Z147" s="4">
        <v>11</v>
      </c>
      <c r="AA147" s="4">
        <v>37</v>
      </c>
      <c r="AB147" s="4">
        <v>1</v>
      </c>
      <c r="AC147" s="4">
        <v>7</v>
      </c>
      <c r="AD147" s="4">
        <v>63</v>
      </c>
      <c r="AE147" s="4">
        <v>88</v>
      </c>
      <c r="AF147" s="4">
        <v>0</v>
      </c>
      <c r="AG147" s="4">
        <v>2</v>
      </c>
      <c r="AH147" s="4">
        <v>58</v>
      </c>
      <c r="AI147" s="4">
        <v>73</v>
      </c>
      <c r="AJ147" s="4">
        <v>6</v>
      </c>
      <c r="AK147" s="4">
        <v>12</v>
      </c>
      <c r="AL147" s="4">
        <v>36</v>
      </c>
      <c r="AM147" s="4">
        <v>42</v>
      </c>
      <c r="AN147" s="4">
        <v>0</v>
      </c>
      <c r="AO147" s="4">
        <v>0</v>
      </c>
      <c r="AP147" s="4">
        <v>8</v>
      </c>
      <c r="AQ147" s="4">
        <v>20</v>
      </c>
      <c r="AR147" s="3" t="s">
        <v>64</v>
      </c>
      <c r="AS147" s="3" t="s">
        <v>64</v>
      </c>
      <c r="AT147" s="3" t="s">
        <v>64</v>
      </c>
      <c r="AV147" s="6" t="str">
        <f>HYPERLINK("http://mcgill.on.worldcat.org/oclc/792885457","Catalog Record")</f>
        <v>Catalog Record</v>
      </c>
      <c r="AW147" s="6" t="str">
        <f>HYPERLINK("http://www.worldcat.org/oclc/792885457","WorldCat Record")</f>
        <v>WorldCat Record</v>
      </c>
      <c r="AX147" s="3" t="s">
        <v>1678</v>
      </c>
      <c r="AY147" s="3" t="s">
        <v>1679</v>
      </c>
      <c r="AZ147" s="3" t="s">
        <v>1680</v>
      </c>
      <c r="BA147" s="3" t="s">
        <v>1680</v>
      </c>
      <c r="BB147" s="3" t="s">
        <v>1681</v>
      </c>
      <c r="BC147" s="3" t="s">
        <v>78</v>
      </c>
      <c r="BD147" s="3" t="s">
        <v>79</v>
      </c>
      <c r="BE147" s="3" t="s">
        <v>1682</v>
      </c>
      <c r="BF147" s="3" t="s">
        <v>1681</v>
      </c>
      <c r="BG147" s="3" t="s">
        <v>1683</v>
      </c>
    </row>
    <row r="148" spans="1:59" ht="58" x14ac:dyDescent="0.35">
      <c r="A148" s="2" t="s">
        <v>59</v>
      </c>
      <c r="B148" s="2" t="s">
        <v>94</v>
      </c>
      <c r="C148" s="2" t="s">
        <v>1684</v>
      </c>
      <c r="D148" s="2" t="s">
        <v>1685</v>
      </c>
      <c r="E148" s="2" t="s">
        <v>1686</v>
      </c>
      <c r="G148" s="3" t="s">
        <v>64</v>
      </c>
      <c r="I148" s="3" t="s">
        <v>64</v>
      </c>
      <c r="J148" s="3" t="s">
        <v>64</v>
      </c>
      <c r="K148" s="3" t="s">
        <v>65</v>
      </c>
      <c r="L148" s="2" t="s">
        <v>1687</v>
      </c>
      <c r="M148" s="2" t="s">
        <v>327</v>
      </c>
      <c r="N148" s="3" t="s">
        <v>328</v>
      </c>
      <c r="P148" s="3" t="s">
        <v>69</v>
      </c>
      <c r="R148" s="3" t="s">
        <v>70</v>
      </c>
      <c r="S148" s="4">
        <v>3</v>
      </c>
      <c r="T148" s="4">
        <v>3</v>
      </c>
      <c r="U148" s="5" t="s">
        <v>1688</v>
      </c>
      <c r="V148" s="5" t="s">
        <v>1688</v>
      </c>
      <c r="W148" s="5" t="s">
        <v>72</v>
      </c>
      <c r="X148" s="5" t="s">
        <v>72</v>
      </c>
      <c r="Y148" s="4">
        <v>37</v>
      </c>
      <c r="Z148" s="4">
        <v>1</v>
      </c>
      <c r="AA148" s="4">
        <v>41</v>
      </c>
      <c r="AB148" s="4">
        <v>1</v>
      </c>
      <c r="AC148" s="4">
        <v>7</v>
      </c>
      <c r="AD148" s="4">
        <v>3</v>
      </c>
      <c r="AE148" s="4">
        <v>109</v>
      </c>
      <c r="AF148" s="4">
        <v>0</v>
      </c>
      <c r="AG148" s="4">
        <v>3</v>
      </c>
      <c r="AH148" s="4">
        <v>2</v>
      </c>
      <c r="AI148" s="4">
        <v>93</v>
      </c>
      <c r="AJ148" s="4">
        <v>0</v>
      </c>
      <c r="AK148" s="4">
        <v>20</v>
      </c>
      <c r="AL148" s="4">
        <v>1</v>
      </c>
      <c r="AM148" s="4">
        <v>53</v>
      </c>
      <c r="AN148" s="4">
        <v>0</v>
      </c>
      <c r="AO148" s="4">
        <v>0</v>
      </c>
      <c r="AP148" s="4">
        <v>0</v>
      </c>
      <c r="AQ148" s="4">
        <v>25</v>
      </c>
      <c r="AR148" s="3" t="s">
        <v>64</v>
      </c>
      <c r="AS148" s="3" t="s">
        <v>64</v>
      </c>
      <c r="AT148" s="3" t="s">
        <v>64</v>
      </c>
      <c r="AV148" s="6" t="str">
        <f>HYPERLINK("http://mcgill.on.worldcat.org/oclc/705878678","Catalog Record")</f>
        <v>Catalog Record</v>
      </c>
      <c r="AW148" s="6" t="str">
        <f>HYPERLINK("http://www.worldcat.org/oclc/705878678","WorldCat Record")</f>
        <v>WorldCat Record</v>
      </c>
      <c r="AX148" s="3" t="s">
        <v>1689</v>
      </c>
      <c r="AY148" s="3" t="s">
        <v>1690</v>
      </c>
      <c r="AZ148" s="3" t="s">
        <v>1691</v>
      </c>
      <c r="BA148" s="3" t="s">
        <v>1691</v>
      </c>
      <c r="BB148" s="3" t="s">
        <v>1692</v>
      </c>
      <c r="BC148" s="3" t="s">
        <v>78</v>
      </c>
      <c r="BD148" s="3" t="s">
        <v>79</v>
      </c>
      <c r="BE148" s="3" t="s">
        <v>1693</v>
      </c>
      <c r="BF148" s="3" t="s">
        <v>1692</v>
      </c>
      <c r="BG148" s="3" t="s">
        <v>1694</v>
      </c>
    </row>
    <row r="149" spans="1:59" ht="58" x14ac:dyDescent="0.35">
      <c r="A149" s="2" t="s">
        <v>59</v>
      </c>
      <c r="B149" s="2" t="s">
        <v>94</v>
      </c>
      <c r="C149" s="2" t="s">
        <v>1695</v>
      </c>
      <c r="D149" s="2" t="s">
        <v>1696</v>
      </c>
      <c r="E149" s="2" t="s">
        <v>1697</v>
      </c>
      <c r="G149" s="3" t="s">
        <v>64</v>
      </c>
      <c r="I149" s="3" t="s">
        <v>73</v>
      </c>
      <c r="J149" s="3" t="s">
        <v>64</v>
      </c>
      <c r="K149" s="3" t="s">
        <v>65</v>
      </c>
      <c r="L149" s="2" t="s">
        <v>1698</v>
      </c>
      <c r="M149" s="2" t="s">
        <v>1699</v>
      </c>
      <c r="N149" s="3" t="s">
        <v>473</v>
      </c>
      <c r="P149" s="3" t="s">
        <v>69</v>
      </c>
      <c r="Q149" s="2" t="s">
        <v>1700</v>
      </c>
      <c r="R149" s="3" t="s">
        <v>70</v>
      </c>
      <c r="S149" s="4">
        <v>13</v>
      </c>
      <c r="T149" s="4">
        <v>13</v>
      </c>
      <c r="U149" s="5" t="s">
        <v>1701</v>
      </c>
      <c r="V149" s="5" t="s">
        <v>1701</v>
      </c>
      <c r="W149" s="5" t="s">
        <v>72</v>
      </c>
      <c r="X149" s="5" t="s">
        <v>72</v>
      </c>
      <c r="Y149" s="4">
        <v>325</v>
      </c>
      <c r="Z149" s="4">
        <v>22</v>
      </c>
      <c r="AA149" s="4">
        <v>23</v>
      </c>
      <c r="AB149" s="4">
        <v>2</v>
      </c>
      <c r="AC149" s="4">
        <v>3</v>
      </c>
      <c r="AD149" s="4">
        <v>97</v>
      </c>
      <c r="AE149" s="4">
        <v>98</v>
      </c>
      <c r="AF149" s="4">
        <v>1</v>
      </c>
      <c r="AG149" s="4">
        <v>2</v>
      </c>
      <c r="AH149" s="4">
        <v>88</v>
      </c>
      <c r="AI149" s="4">
        <v>88</v>
      </c>
      <c r="AJ149" s="4">
        <v>16</v>
      </c>
      <c r="AK149" s="4">
        <v>17</v>
      </c>
      <c r="AL149" s="4">
        <v>52</v>
      </c>
      <c r="AM149" s="4">
        <v>52</v>
      </c>
      <c r="AN149" s="4">
        <v>0</v>
      </c>
      <c r="AO149" s="4">
        <v>0</v>
      </c>
      <c r="AP149" s="4">
        <v>17</v>
      </c>
      <c r="AQ149" s="4">
        <v>18</v>
      </c>
      <c r="AR149" s="3" t="s">
        <v>64</v>
      </c>
      <c r="AS149" s="3" t="s">
        <v>64</v>
      </c>
      <c r="AT149" s="3" t="s">
        <v>73</v>
      </c>
      <c r="AU149" s="6" t="str">
        <f>HYPERLINK("http://catalog.hathitrust.org/Record/002371187","HathiTrust Record")</f>
        <v>HathiTrust Record</v>
      </c>
      <c r="AV149" s="6" t="str">
        <f>HYPERLINK("http://mcgill.on.worldcat.org/oclc/22629978","Catalog Record")</f>
        <v>Catalog Record</v>
      </c>
      <c r="AW149" s="6" t="str">
        <f>HYPERLINK("http://www.worldcat.org/oclc/22629978","WorldCat Record")</f>
        <v>WorldCat Record</v>
      </c>
      <c r="AX149" s="3" t="s">
        <v>1702</v>
      </c>
      <c r="AY149" s="3" t="s">
        <v>1703</v>
      </c>
      <c r="AZ149" s="3" t="s">
        <v>1704</v>
      </c>
      <c r="BA149" s="3" t="s">
        <v>1704</v>
      </c>
      <c r="BB149" s="3" t="s">
        <v>1705</v>
      </c>
      <c r="BC149" s="3" t="s">
        <v>78</v>
      </c>
      <c r="BD149" s="3" t="s">
        <v>79</v>
      </c>
      <c r="BE149" s="3" t="s">
        <v>1706</v>
      </c>
      <c r="BF149" s="3" t="s">
        <v>1705</v>
      </c>
      <c r="BG149" s="3" t="s">
        <v>1707</v>
      </c>
    </row>
    <row r="150" spans="1:59" ht="58" x14ac:dyDescent="0.35">
      <c r="A150" s="2" t="s">
        <v>59</v>
      </c>
      <c r="B150" s="2" t="s">
        <v>94</v>
      </c>
      <c r="C150" s="2" t="s">
        <v>1708</v>
      </c>
      <c r="D150" s="2" t="s">
        <v>1709</v>
      </c>
      <c r="E150" s="2" t="s">
        <v>1710</v>
      </c>
      <c r="G150" s="3" t="s">
        <v>64</v>
      </c>
      <c r="I150" s="3" t="s">
        <v>64</v>
      </c>
      <c r="J150" s="3" t="s">
        <v>64</v>
      </c>
      <c r="K150" s="3" t="s">
        <v>65</v>
      </c>
      <c r="L150" s="2" t="s">
        <v>1698</v>
      </c>
      <c r="M150" s="2" t="s">
        <v>1711</v>
      </c>
      <c r="N150" s="3" t="s">
        <v>538</v>
      </c>
      <c r="P150" s="3" t="s">
        <v>69</v>
      </c>
      <c r="Q150" s="2" t="s">
        <v>1712</v>
      </c>
      <c r="R150" s="3" t="s">
        <v>70</v>
      </c>
      <c r="S150" s="4">
        <v>10</v>
      </c>
      <c r="T150" s="4">
        <v>10</v>
      </c>
      <c r="U150" s="5" t="s">
        <v>1701</v>
      </c>
      <c r="V150" s="5" t="s">
        <v>1701</v>
      </c>
      <c r="W150" s="5" t="s">
        <v>72</v>
      </c>
      <c r="X150" s="5" t="s">
        <v>72</v>
      </c>
      <c r="Y150" s="4">
        <v>276</v>
      </c>
      <c r="Z150" s="4">
        <v>25</v>
      </c>
      <c r="AA150" s="4">
        <v>52</v>
      </c>
      <c r="AB150" s="4">
        <v>2</v>
      </c>
      <c r="AC150" s="4">
        <v>9</v>
      </c>
      <c r="AD150" s="4">
        <v>73</v>
      </c>
      <c r="AE150" s="4">
        <v>80</v>
      </c>
      <c r="AF150" s="4">
        <v>1</v>
      </c>
      <c r="AG150" s="4">
        <v>3</v>
      </c>
      <c r="AH150" s="4">
        <v>62</v>
      </c>
      <c r="AI150" s="4">
        <v>65</v>
      </c>
      <c r="AJ150" s="4">
        <v>12</v>
      </c>
      <c r="AK150" s="4">
        <v>15</v>
      </c>
      <c r="AL150" s="4">
        <v>42</v>
      </c>
      <c r="AM150" s="4">
        <v>43</v>
      </c>
      <c r="AN150" s="4">
        <v>0</v>
      </c>
      <c r="AO150" s="4">
        <v>0</v>
      </c>
      <c r="AP150" s="4">
        <v>16</v>
      </c>
      <c r="AQ150" s="4">
        <v>21</v>
      </c>
      <c r="AR150" s="3" t="s">
        <v>64</v>
      </c>
      <c r="AS150" s="3" t="s">
        <v>64</v>
      </c>
      <c r="AT150" s="3" t="s">
        <v>73</v>
      </c>
      <c r="AU150" s="6" t="str">
        <f>HYPERLINK("http://catalog.hathitrust.org/Record/005968803","HathiTrust Record")</f>
        <v>HathiTrust Record</v>
      </c>
      <c r="AV150" s="6" t="str">
        <f>HYPERLINK("http://mcgill.on.worldcat.org/oclc/85623254","Catalog Record")</f>
        <v>Catalog Record</v>
      </c>
      <c r="AW150" s="6" t="str">
        <f>HYPERLINK("http://www.worldcat.org/oclc/85623254","WorldCat Record")</f>
        <v>WorldCat Record</v>
      </c>
      <c r="AX150" s="3" t="s">
        <v>1713</v>
      </c>
      <c r="AY150" s="3" t="s">
        <v>1714</v>
      </c>
      <c r="AZ150" s="3" t="s">
        <v>1715</v>
      </c>
      <c r="BA150" s="3" t="s">
        <v>1715</v>
      </c>
      <c r="BB150" s="3" t="s">
        <v>1716</v>
      </c>
      <c r="BC150" s="3" t="s">
        <v>78</v>
      </c>
      <c r="BD150" s="3" t="s">
        <v>79</v>
      </c>
      <c r="BE150" s="3" t="s">
        <v>1717</v>
      </c>
      <c r="BF150" s="3" t="s">
        <v>1716</v>
      </c>
      <c r="BG150" s="3" t="s">
        <v>1718</v>
      </c>
    </row>
    <row r="151" spans="1:59" ht="58" x14ac:dyDescent="0.35">
      <c r="A151" s="2" t="s">
        <v>59</v>
      </c>
      <c r="B151" s="2" t="s">
        <v>94</v>
      </c>
      <c r="C151" s="2" t="s">
        <v>1719</v>
      </c>
      <c r="D151" s="2" t="s">
        <v>1720</v>
      </c>
      <c r="E151" s="2" t="s">
        <v>1721</v>
      </c>
      <c r="G151" s="3" t="s">
        <v>64</v>
      </c>
      <c r="I151" s="3" t="s">
        <v>64</v>
      </c>
      <c r="J151" s="3" t="s">
        <v>64</v>
      </c>
      <c r="K151" s="3" t="s">
        <v>65</v>
      </c>
      <c r="L151" s="2" t="s">
        <v>1722</v>
      </c>
      <c r="M151" s="2" t="s">
        <v>1723</v>
      </c>
      <c r="N151" s="3" t="s">
        <v>214</v>
      </c>
      <c r="P151" s="3" t="s">
        <v>69</v>
      </c>
      <c r="R151" s="3" t="s">
        <v>70</v>
      </c>
      <c r="S151" s="4">
        <v>4</v>
      </c>
      <c r="T151" s="4">
        <v>4</v>
      </c>
      <c r="U151" s="5" t="s">
        <v>1724</v>
      </c>
      <c r="V151" s="5" t="s">
        <v>1724</v>
      </c>
      <c r="W151" s="5" t="s">
        <v>72</v>
      </c>
      <c r="X151" s="5" t="s">
        <v>72</v>
      </c>
      <c r="Y151" s="4">
        <v>656</v>
      </c>
      <c r="Z151" s="4">
        <v>31</v>
      </c>
      <c r="AA151" s="4">
        <v>94</v>
      </c>
      <c r="AB151" s="4">
        <v>3</v>
      </c>
      <c r="AC151" s="4">
        <v>14</v>
      </c>
      <c r="AD151" s="4">
        <v>102</v>
      </c>
      <c r="AE151" s="4">
        <v>142</v>
      </c>
      <c r="AF151" s="4">
        <v>2</v>
      </c>
      <c r="AG151" s="4">
        <v>8</v>
      </c>
      <c r="AH151" s="4">
        <v>85</v>
      </c>
      <c r="AI151" s="4">
        <v>103</v>
      </c>
      <c r="AJ151" s="4">
        <v>14</v>
      </c>
      <c r="AK151" s="4">
        <v>24</v>
      </c>
      <c r="AL151" s="4">
        <v>51</v>
      </c>
      <c r="AM151" s="4">
        <v>55</v>
      </c>
      <c r="AN151" s="4">
        <v>0</v>
      </c>
      <c r="AO151" s="4">
        <v>0</v>
      </c>
      <c r="AP151" s="4">
        <v>21</v>
      </c>
      <c r="AQ151" s="4">
        <v>46</v>
      </c>
      <c r="AR151" s="3" t="s">
        <v>64</v>
      </c>
      <c r="AS151" s="3" t="s">
        <v>64</v>
      </c>
      <c r="AT151" s="3" t="s">
        <v>64</v>
      </c>
      <c r="AV151" s="6" t="str">
        <f>HYPERLINK("http://mcgill.on.worldcat.org/oclc/313078350","Catalog Record")</f>
        <v>Catalog Record</v>
      </c>
      <c r="AW151" s="6" t="str">
        <f>HYPERLINK("http://www.worldcat.org/oclc/313078350","WorldCat Record")</f>
        <v>WorldCat Record</v>
      </c>
      <c r="AX151" s="3" t="s">
        <v>1725</v>
      </c>
      <c r="AY151" s="3" t="s">
        <v>1726</v>
      </c>
      <c r="AZ151" s="3" t="s">
        <v>1727</v>
      </c>
      <c r="BA151" s="3" t="s">
        <v>1727</v>
      </c>
      <c r="BB151" s="3" t="s">
        <v>1728</v>
      </c>
      <c r="BC151" s="3" t="s">
        <v>78</v>
      </c>
      <c r="BD151" s="3" t="s">
        <v>79</v>
      </c>
      <c r="BE151" s="3" t="s">
        <v>1729</v>
      </c>
      <c r="BF151" s="3" t="s">
        <v>1728</v>
      </c>
      <c r="BG151" s="3" t="s">
        <v>1730</v>
      </c>
    </row>
    <row r="152" spans="1:59" ht="58" x14ac:dyDescent="0.35">
      <c r="A152" s="2" t="s">
        <v>59</v>
      </c>
      <c r="B152" s="2" t="s">
        <v>94</v>
      </c>
      <c r="C152" s="2" t="s">
        <v>1731</v>
      </c>
      <c r="D152" s="2" t="s">
        <v>1732</v>
      </c>
      <c r="E152" s="2" t="s">
        <v>1733</v>
      </c>
      <c r="G152" s="3" t="s">
        <v>64</v>
      </c>
      <c r="I152" s="3" t="s">
        <v>73</v>
      </c>
      <c r="J152" s="3" t="s">
        <v>64</v>
      </c>
      <c r="K152" s="3" t="s">
        <v>65</v>
      </c>
      <c r="L152" s="2" t="s">
        <v>1734</v>
      </c>
      <c r="M152" s="2" t="s">
        <v>1735</v>
      </c>
      <c r="N152" s="3" t="s">
        <v>872</v>
      </c>
      <c r="P152" s="3" t="s">
        <v>69</v>
      </c>
      <c r="Q152" s="2" t="s">
        <v>1736</v>
      </c>
      <c r="R152" s="3" t="s">
        <v>70</v>
      </c>
      <c r="S152" s="4">
        <v>25</v>
      </c>
      <c r="T152" s="4">
        <v>46</v>
      </c>
      <c r="U152" s="5" t="s">
        <v>1737</v>
      </c>
      <c r="V152" s="5" t="s">
        <v>1737</v>
      </c>
      <c r="W152" s="5" t="s">
        <v>72</v>
      </c>
      <c r="X152" s="5" t="s">
        <v>72</v>
      </c>
      <c r="Y152" s="4">
        <v>769</v>
      </c>
      <c r="Z152" s="4">
        <v>39</v>
      </c>
      <c r="AA152" s="4">
        <v>99</v>
      </c>
      <c r="AB152" s="4">
        <v>2</v>
      </c>
      <c r="AC152" s="4">
        <v>16</v>
      </c>
      <c r="AD152" s="4">
        <v>123</v>
      </c>
      <c r="AE152" s="4">
        <v>153</v>
      </c>
      <c r="AF152" s="4">
        <v>1</v>
      </c>
      <c r="AG152" s="4">
        <v>8</v>
      </c>
      <c r="AH152" s="4">
        <v>107</v>
      </c>
      <c r="AI152" s="4">
        <v>113</v>
      </c>
      <c r="AJ152" s="4">
        <v>18</v>
      </c>
      <c r="AK152" s="4">
        <v>26</v>
      </c>
      <c r="AL152" s="4">
        <v>57</v>
      </c>
      <c r="AM152" s="4">
        <v>59</v>
      </c>
      <c r="AN152" s="4">
        <v>0</v>
      </c>
      <c r="AO152" s="4">
        <v>0</v>
      </c>
      <c r="AP152" s="4">
        <v>24</v>
      </c>
      <c r="AQ152" s="4">
        <v>50</v>
      </c>
      <c r="AR152" s="3" t="s">
        <v>64</v>
      </c>
      <c r="AS152" s="3" t="s">
        <v>64</v>
      </c>
      <c r="AT152" s="3" t="s">
        <v>64</v>
      </c>
      <c r="AV152" s="6" t="str">
        <f>HYPERLINK("http://mcgill.on.worldcat.org/oclc/18106662","Catalog Record")</f>
        <v>Catalog Record</v>
      </c>
      <c r="AW152" s="6" t="str">
        <f>HYPERLINK("http://www.worldcat.org/oclc/18106662","WorldCat Record")</f>
        <v>WorldCat Record</v>
      </c>
      <c r="AX152" s="3" t="s">
        <v>1738</v>
      </c>
      <c r="AY152" s="3" t="s">
        <v>1739</v>
      </c>
      <c r="AZ152" s="3" t="s">
        <v>1740</v>
      </c>
      <c r="BA152" s="3" t="s">
        <v>1740</v>
      </c>
      <c r="BB152" s="3" t="s">
        <v>1741</v>
      </c>
      <c r="BC152" s="3" t="s">
        <v>78</v>
      </c>
      <c r="BD152" s="3" t="s">
        <v>79</v>
      </c>
      <c r="BE152" s="3" t="s">
        <v>1742</v>
      </c>
      <c r="BF152" s="3" t="s">
        <v>1741</v>
      </c>
      <c r="BG152" s="3" t="s">
        <v>1743</v>
      </c>
    </row>
    <row r="153" spans="1:59" ht="58" x14ac:dyDescent="0.35">
      <c r="A153" s="2" t="s">
        <v>59</v>
      </c>
      <c r="B153" s="2" t="s">
        <v>94</v>
      </c>
      <c r="C153" s="2" t="s">
        <v>1731</v>
      </c>
      <c r="D153" s="2" t="s">
        <v>1732</v>
      </c>
      <c r="E153" s="2" t="s">
        <v>1733</v>
      </c>
      <c r="G153" s="3" t="s">
        <v>64</v>
      </c>
      <c r="I153" s="3" t="s">
        <v>73</v>
      </c>
      <c r="J153" s="3" t="s">
        <v>64</v>
      </c>
      <c r="K153" s="3" t="s">
        <v>65</v>
      </c>
      <c r="L153" s="2" t="s">
        <v>1734</v>
      </c>
      <c r="M153" s="2" t="s">
        <v>1735</v>
      </c>
      <c r="N153" s="3" t="s">
        <v>872</v>
      </c>
      <c r="P153" s="3" t="s">
        <v>69</v>
      </c>
      <c r="Q153" s="2" t="s">
        <v>1736</v>
      </c>
      <c r="R153" s="3" t="s">
        <v>70</v>
      </c>
      <c r="S153" s="4">
        <v>21</v>
      </c>
      <c r="T153" s="4">
        <v>46</v>
      </c>
      <c r="U153" s="5" t="s">
        <v>1744</v>
      </c>
      <c r="V153" s="5" t="s">
        <v>1737</v>
      </c>
      <c r="W153" s="5" t="s">
        <v>72</v>
      </c>
      <c r="X153" s="5" t="s">
        <v>72</v>
      </c>
      <c r="Y153" s="4">
        <v>769</v>
      </c>
      <c r="Z153" s="4">
        <v>39</v>
      </c>
      <c r="AA153" s="4">
        <v>99</v>
      </c>
      <c r="AB153" s="4">
        <v>2</v>
      </c>
      <c r="AC153" s="4">
        <v>16</v>
      </c>
      <c r="AD153" s="4">
        <v>123</v>
      </c>
      <c r="AE153" s="4">
        <v>153</v>
      </c>
      <c r="AF153" s="4">
        <v>1</v>
      </c>
      <c r="AG153" s="4">
        <v>8</v>
      </c>
      <c r="AH153" s="4">
        <v>107</v>
      </c>
      <c r="AI153" s="4">
        <v>113</v>
      </c>
      <c r="AJ153" s="4">
        <v>18</v>
      </c>
      <c r="AK153" s="4">
        <v>26</v>
      </c>
      <c r="AL153" s="4">
        <v>57</v>
      </c>
      <c r="AM153" s="4">
        <v>59</v>
      </c>
      <c r="AN153" s="4">
        <v>0</v>
      </c>
      <c r="AO153" s="4">
        <v>0</v>
      </c>
      <c r="AP153" s="4">
        <v>24</v>
      </c>
      <c r="AQ153" s="4">
        <v>50</v>
      </c>
      <c r="AR153" s="3" t="s">
        <v>64</v>
      </c>
      <c r="AS153" s="3" t="s">
        <v>64</v>
      </c>
      <c r="AT153" s="3" t="s">
        <v>64</v>
      </c>
      <c r="AV153" s="6" t="str">
        <f>HYPERLINK("http://mcgill.on.worldcat.org/oclc/18106662","Catalog Record")</f>
        <v>Catalog Record</v>
      </c>
      <c r="AW153" s="6" t="str">
        <f>HYPERLINK("http://www.worldcat.org/oclc/18106662","WorldCat Record")</f>
        <v>WorldCat Record</v>
      </c>
      <c r="AX153" s="3" t="s">
        <v>1738</v>
      </c>
      <c r="AY153" s="3" t="s">
        <v>1739</v>
      </c>
      <c r="AZ153" s="3" t="s">
        <v>1740</v>
      </c>
      <c r="BA153" s="3" t="s">
        <v>1740</v>
      </c>
      <c r="BB153" s="3" t="s">
        <v>1745</v>
      </c>
      <c r="BC153" s="3" t="s">
        <v>78</v>
      </c>
      <c r="BD153" s="3" t="s">
        <v>79</v>
      </c>
      <c r="BE153" s="3" t="s">
        <v>1742</v>
      </c>
      <c r="BF153" s="3" t="s">
        <v>1745</v>
      </c>
      <c r="BG153" s="3" t="s">
        <v>1746</v>
      </c>
    </row>
    <row r="154" spans="1:59" ht="58" x14ac:dyDescent="0.35">
      <c r="A154" s="2" t="s">
        <v>59</v>
      </c>
      <c r="B154" s="2" t="s">
        <v>94</v>
      </c>
      <c r="C154" s="2" t="s">
        <v>1747</v>
      </c>
      <c r="D154" s="2" t="s">
        <v>1748</v>
      </c>
      <c r="E154" s="2" t="s">
        <v>1749</v>
      </c>
      <c r="G154" s="3" t="s">
        <v>64</v>
      </c>
      <c r="I154" s="3" t="s">
        <v>64</v>
      </c>
      <c r="J154" s="3" t="s">
        <v>64</v>
      </c>
      <c r="K154" s="3" t="s">
        <v>65</v>
      </c>
      <c r="L154" s="2" t="s">
        <v>1750</v>
      </c>
      <c r="M154" s="2" t="s">
        <v>327</v>
      </c>
      <c r="N154" s="3" t="s">
        <v>328</v>
      </c>
      <c r="P154" s="3" t="s">
        <v>69</v>
      </c>
      <c r="Q154" s="2" t="s">
        <v>1751</v>
      </c>
      <c r="R154" s="3" t="s">
        <v>70</v>
      </c>
      <c r="S154" s="4">
        <v>2</v>
      </c>
      <c r="T154" s="4">
        <v>2</v>
      </c>
      <c r="U154" s="5" t="s">
        <v>1752</v>
      </c>
      <c r="V154" s="5" t="s">
        <v>1752</v>
      </c>
      <c r="W154" s="5" t="s">
        <v>72</v>
      </c>
      <c r="X154" s="5" t="s">
        <v>72</v>
      </c>
      <c r="Y154" s="4">
        <v>353</v>
      </c>
      <c r="Z154" s="4">
        <v>27</v>
      </c>
      <c r="AA154" s="4">
        <v>36</v>
      </c>
      <c r="AB154" s="4">
        <v>2</v>
      </c>
      <c r="AC154" s="4">
        <v>6</v>
      </c>
      <c r="AD154" s="4">
        <v>80</v>
      </c>
      <c r="AE154" s="4">
        <v>100</v>
      </c>
      <c r="AF154" s="4">
        <v>1</v>
      </c>
      <c r="AG154" s="4">
        <v>2</v>
      </c>
      <c r="AH154" s="4">
        <v>68</v>
      </c>
      <c r="AI154" s="4">
        <v>87</v>
      </c>
      <c r="AJ154" s="4">
        <v>15</v>
      </c>
      <c r="AK154" s="4">
        <v>19</v>
      </c>
      <c r="AL154" s="4">
        <v>43</v>
      </c>
      <c r="AM154" s="4">
        <v>50</v>
      </c>
      <c r="AN154" s="4">
        <v>0</v>
      </c>
      <c r="AO154" s="4">
        <v>0</v>
      </c>
      <c r="AP154" s="4">
        <v>18</v>
      </c>
      <c r="AQ154" s="4">
        <v>23</v>
      </c>
      <c r="AR154" s="3" t="s">
        <v>64</v>
      </c>
      <c r="AS154" s="3" t="s">
        <v>64</v>
      </c>
      <c r="AT154" s="3" t="s">
        <v>64</v>
      </c>
      <c r="AV154" s="6" t="str">
        <f>HYPERLINK("http://mcgill.on.worldcat.org/oclc/707267236","Catalog Record")</f>
        <v>Catalog Record</v>
      </c>
      <c r="AW154" s="6" t="str">
        <f>HYPERLINK("http://www.worldcat.org/oclc/707267236","WorldCat Record")</f>
        <v>WorldCat Record</v>
      </c>
      <c r="AX154" s="3" t="s">
        <v>1753</v>
      </c>
      <c r="AY154" s="3" t="s">
        <v>1754</v>
      </c>
      <c r="AZ154" s="3" t="s">
        <v>1755</v>
      </c>
      <c r="BA154" s="3" t="s">
        <v>1755</v>
      </c>
      <c r="BB154" s="3" t="s">
        <v>1756</v>
      </c>
      <c r="BC154" s="3" t="s">
        <v>78</v>
      </c>
      <c r="BD154" s="3" t="s">
        <v>79</v>
      </c>
      <c r="BE154" s="3" t="s">
        <v>1757</v>
      </c>
      <c r="BF154" s="3" t="s">
        <v>1756</v>
      </c>
      <c r="BG154" s="3" t="s">
        <v>1758</v>
      </c>
    </row>
    <row r="155" spans="1:59" ht="58" x14ac:dyDescent="0.35">
      <c r="A155" s="2" t="s">
        <v>59</v>
      </c>
      <c r="B155" s="2" t="s">
        <v>94</v>
      </c>
      <c r="C155" s="2" t="s">
        <v>1759</v>
      </c>
      <c r="D155" s="2" t="s">
        <v>1760</v>
      </c>
      <c r="E155" s="2" t="s">
        <v>1761</v>
      </c>
      <c r="G155" s="3" t="s">
        <v>64</v>
      </c>
      <c r="I155" s="3" t="s">
        <v>64</v>
      </c>
      <c r="J155" s="3" t="s">
        <v>64</v>
      </c>
      <c r="K155" s="3" t="s">
        <v>65</v>
      </c>
      <c r="L155" s="2" t="s">
        <v>1762</v>
      </c>
      <c r="M155" s="2" t="s">
        <v>1763</v>
      </c>
      <c r="N155" s="3" t="s">
        <v>1764</v>
      </c>
      <c r="P155" s="3" t="s">
        <v>69</v>
      </c>
      <c r="Q155" s="2" t="s">
        <v>1765</v>
      </c>
      <c r="R155" s="3" t="s">
        <v>70</v>
      </c>
      <c r="S155" s="4">
        <v>28</v>
      </c>
      <c r="T155" s="4">
        <v>28</v>
      </c>
      <c r="U155" s="5" t="s">
        <v>1766</v>
      </c>
      <c r="V155" s="5" t="s">
        <v>1766</v>
      </c>
      <c r="W155" s="5" t="s">
        <v>72</v>
      </c>
      <c r="X155" s="5" t="s">
        <v>72</v>
      </c>
      <c r="Y155" s="4">
        <v>346</v>
      </c>
      <c r="Z155" s="4">
        <v>15</v>
      </c>
      <c r="AA155" s="4">
        <v>17</v>
      </c>
      <c r="AB155" s="4">
        <v>3</v>
      </c>
      <c r="AC155" s="4">
        <v>4</v>
      </c>
      <c r="AD155" s="4">
        <v>77</v>
      </c>
      <c r="AE155" s="4">
        <v>82</v>
      </c>
      <c r="AF155" s="4">
        <v>1</v>
      </c>
      <c r="AG155" s="4">
        <v>1</v>
      </c>
      <c r="AH155" s="4">
        <v>73</v>
      </c>
      <c r="AI155" s="4">
        <v>77</v>
      </c>
      <c r="AJ155" s="4">
        <v>8</v>
      </c>
      <c r="AK155" s="4">
        <v>8</v>
      </c>
      <c r="AL155" s="4">
        <v>43</v>
      </c>
      <c r="AM155" s="4">
        <v>46</v>
      </c>
      <c r="AN155" s="4">
        <v>0</v>
      </c>
      <c r="AO155" s="4">
        <v>0</v>
      </c>
      <c r="AP155" s="4">
        <v>8</v>
      </c>
      <c r="AQ155" s="4">
        <v>9</v>
      </c>
      <c r="AR155" s="3" t="s">
        <v>64</v>
      </c>
      <c r="AS155" s="3" t="s">
        <v>64</v>
      </c>
      <c r="AT155" s="3" t="s">
        <v>73</v>
      </c>
      <c r="AU155" s="6" t="str">
        <f>HYPERLINK("http://catalog.hathitrust.org/Record/000270776","HathiTrust Record")</f>
        <v>HathiTrust Record</v>
      </c>
      <c r="AV155" s="6" t="str">
        <f>HYPERLINK("http://mcgill.on.worldcat.org/oclc/8194780","Catalog Record")</f>
        <v>Catalog Record</v>
      </c>
      <c r="AW155" s="6" t="str">
        <f>HYPERLINK("http://www.worldcat.org/oclc/8194780","WorldCat Record")</f>
        <v>WorldCat Record</v>
      </c>
      <c r="AX155" s="3" t="s">
        <v>1767</v>
      </c>
      <c r="AY155" s="3" t="s">
        <v>1768</v>
      </c>
      <c r="AZ155" s="3" t="s">
        <v>1769</v>
      </c>
      <c r="BA155" s="3" t="s">
        <v>1769</v>
      </c>
      <c r="BB155" s="3" t="s">
        <v>1770</v>
      </c>
      <c r="BC155" s="3" t="s">
        <v>78</v>
      </c>
      <c r="BD155" s="3" t="s">
        <v>79</v>
      </c>
      <c r="BE155" s="3" t="s">
        <v>1771</v>
      </c>
      <c r="BF155" s="3" t="s">
        <v>1770</v>
      </c>
      <c r="BG155" s="3" t="s">
        <v>1772</v>
      </c>
    </row>
    <row r="156" spans="1:59" ht="58" x14ac:dyDescent="0.35">
      <c r="A156" s="2" t="s">
        <v>59</v>
      </c>
      <c r="B156" s="2" t="s">
        <v>94</v>
      </c>
      <c r="C156" s="2" t="s">
        <v>1773</v>
      </c>
      <c r="D156" s="2" t="s">
        <v>1774</v>
      </c>
      <c r="E156" s="2" t="s">
        <v>1775</v>
      </c>
      <c r="G156" s="3" t="s">
        <v>64</v>
      </c>
      <c r="I156" s="3" t="s">
        <v>64</v>
      </c>
      <c r="J156" s="3" t="s">
        <v>64</v>
      </c>
      <c r="K156" s="3" t="s">
        <v>65</v>
      </c>
      <c r="L156" s="2" t="s">
        <v>1776</v>
      </c>
      <c r="M156" s="2" t="s">
        <v>1777</v>
      </c>
      <c r="N156" s="3" t="s">
        <v>377</v>
      </c>
      <c r="P156" s="3" t="s">
        <v>69</v>
      </c>
      <c r="R156" s="3" t="s">
        <v>70</v>
      </c>
      <c r="S156" s="4">
        <v>2</v>
      </c>
      <c r="T156" s="4">
        <v>2</v>
      </c>
      <c r="U156" s="5" t="s">
        <v>1778</v>
      </c>
      <c r="V156" s="5" t="s">
        <v>1778</v>
      </c>
      <c r="W156" s="5" t="s">
        <v>72</v>
      </c>
      <c r="X156" s="5" t="s">
        <v>72</v>
      </c>
      <c r="Y156" s="4">
        <v>244</v>
      </c>
      <c r="Z156" s="4">
        <v>19</v>
      </c>
      <c r="AA156" s="4">
        <v>25</v>
      </c>
      <c r="AB156" s="4">
        <v>2</v>
      </c>
      <c r="AC156" s="4">
        <v>6</v>
      </c>
      <c r="AD156" s="4">
        <v>68</v>
      </c>
      <c r="AE156" s="4">
        <v>78</v>
      </c>
      <c r="AF156" s="4">
        <v>1</v>
      </c>
      <c r="AG156" s="4">
        <v>3</v>
      </c>
      <c r="AH156" s="4">
        <v>60</v>
      </c>
      <c r="AI156" s="4">
        <v>68</v>
      </c>
      <c r="AJ156" s="4">
        <v>7</v>
      </c>
      <c r="AK156" s="4">
        <v>10</v>
      </c>
      <c r="AL156" s="4">
        <v>37</v>
      </c>
      <c r="AM156" s="4">
        <v>40</v>
      </c>
      <c r="AN156" s="4">
        <v>0</v>
      </c>
      <c r="AO156" s="4">
        <v>0</v>
      </c>
      <c r="AP156" s="4">
        <v>11</v>
      </c>
      <c r="AQ156" s="4">
        <v>14</v>
      </c>
      <c r="AR156" s="3" t="s">
        <v>64</v>
      </c>
      <c r="AS156" s="3" t="s">
        <v>64</v>
      </c>
      <c r="AT156" s="3" t="s">
        <v>64</v>
      </c>
      <c r="AV156" s="6" t="str">
        <f>HYPERLINK("http://mcgill.on.worldcat.org/oclc/769471706","Catalog Record")</f>
        <v>Catalog Record</v>
      </c>
      <c r="AW156" s="6" t="str">
        <f>HYPERLINK("http://www.worldcat.org/oclc/769471706","WorldCat Record")</f>
        <v>WorldCat Record</v>
      </c>
      <c r="AX156" s="3" t="s">
        <v>1779</v>
      </c>
      <c r="AY156" s="3" t="s">
        <v>1780</v>
      </c>
      <c r="AZ156" s="3" t="s">
        <v>1781</v>
      </c>
      <c r="BA156" s="3" t="s">
        <v>1781</v>
      </c>
      <c r="BB156" s="3" t="s">
        <v>1782</v>
      </c>
      <c r="BC156" s="3" t="s">
        <v>78</v>
      </c>
      <c r="BD156" s="3" t="s">
        <v>79</v>
      </c>
      <c r="BE156" s="3" t="s">
        <v>1783</v>
      </c>
      <c r="BF156" s="3" t="s">
        <v>1782</v>
      </c>
      <c r="BG156" s="3" t="s">
        <v>1784</v>
      </c>
    </row>
    <row r="157" spans="1:59" ht="58" x14ac:dyDescent="0.35">
      <c r="A157" s="2" t="s">
        <v>59</v>
      </c>
      <c r="B157" s="2" t="s">
        <v>94</v>
      </c>
      <c r="C157" s="2" t="s">
        <v>1785</v>
      </c>
      <c r="D157" s="2" t="s">
        <v>1786</v>
      </c>
      <c r="E157" s="2" t="s">
        <v>1787</v>
      </c>
      <c r="G157" s="3" t="s">
        <v>64</v>
      </c>
      <c r="I157" s="3" t="s">
        <v>64</v>
      </c>
      <c r="J157" s="3" t="s">
        <v>64</v>
      </c>
      <c r="K157" s="3" t="s">
        <v>65</v>
      </c>
      <c r="L157" s="2" t="s">
        <v>1776</v>
      </c>
      <c r="M157" s="2" t="s">
        <v>1788</v>
      </c>
      <c r="N157" s="3" t="s">
        <v>68</v>
      </c>
      <c r="O157" s="2" t="s">
        <v>1294</v>
      </c>
      <c r="P157" s="3" t="s">
        <v>69</v>
      </c>
      <c r="Q157" s="2" t="s">
        <v>1789</v>
      </c>
      <c r="R157" s="3" t="s">
        <v>70</v>
      </c>
      <c r="S157" s="4">
        <v>9</v>
      </c>
      <c r="T157" s="4">
        <v>9</v>
      </c>
      <c r="U157" s="5" t="s">
        <v>1790</v>
      </c>
      <c r="V157" s="5" t="s">
        <v>1790</v>
      </c>
      <c r="W157" s="5" t="s">
        <v>72</v>
      </c>
      <c r="X157" s="5" t="s">
        <v>72</v>
      </c>
      <c r="Y157" s="4">
        <v>140</v>
      </c>
      <c r="Z157" s="4">
        <v>8</v>
      </c>
      <c r="AA157" s="4">
        <v>10</v>
      </c>
      <c r="AB157" s="4">
        <v>1</v>
      </c>
      <c r="AC157" s="4">
        <v>3</v>
      </c>
      <c r="AD157" s="4">
        <v>38</v>
      </c>
      <c r="AE157" s="4">
        <v>42</v>
      </c>
      <c r="AF157" s="4">
        <v>0</v>
      </c>
      <c r="AG157" s="4">
        <v>2</v>
      </c>
      <c r="AH157" s="4">
        <v>35</v>
      </c>
      <c r="AI157" s="4">
        <v>37</v>
      </c>
      <c r="AJ157" s="4">
        <v>3</v>
      </c>
      <c r="AK157" s="4">
        <v>5</v>
      </c>
      <c r="AL157" s="4">
        <v>23</v>
      </c>
      <c r="AM157" s="4">
        <v>25</v>
      </c>
      <c r="AN157" s="4">
        <v>0</v>
      </c>
      <c r="AO157" s="4">
        <v>0</v>
      </c>
      <c r="AP157" s="4">
        <v>3</v>
      </c>
      <c r="AQ157" s="4">
        <v>4</v>
      </c>
      <c r="AR157" s="3" t="s">
        <v>64</v>
      </c>
      <c r="AS157" s="3" t="s">
        <v>64</v>
      </c>
      <c r="AT157" s="3" t="s">
        <v>73</v>
      </c>
      <c r="AU157" s="6" t="str">
        <f>HYPERLINK("http://catalog.hathitrust.org/Record/004987342","HathiTrust Record")</f>
        <v>HathiTrust Record</v>
      </c>
      <c r="AV157" s="6" t="str">
        <f>HYPERLINK("http://mcgill.on.worldcat.org/oclc/56798901","Catalog Record")</f>
        <v>Catalog Record</v>
      </c>
      <c r="AW157" s="6" t="str">
        <f>HYPERLINK("http://www.worldcat.org/oclc/56798901","WorldCat Record")</f>
        <v>WorldCat Record</v>
      </c>
      <c r="AX157" s="3" t="s">
        <v>1791</v>
      </c>
      <c r="AY157" s="3" t="s">
        <v>1792</v>
      </c>
      <c r="AZ157" s="3" t="s">
        <v>1793</v>
      </c>
      <c r="BA157" s="3" t="s">
        <v>1793</v>
      </c>
      <c r="BB157" s="3" t="s">
        <v>1794</v>
      </c>
      <c r="BC157" s="3" t="s">
        <v>78</v>
      </c>
      <c r="BD157" s="3" t="s">
        <v>79</v>
      </c>
      <c r="BE157" s="3" t="s">
        <v>1795</v>
      </c>
      <c r="BF157" s="3" t="s">
        <v>1794</v>
      </c>
      <c r="BG157" s="3" t="s">
        <v>1796</v>
      </c>
    </row>
    <row r="158" spans="1:59" ht="58" x14ac:dyDescent="0.35">
      <c r="A158" s="2" t="s">
        <v>59</v>
      </c>
      <c r="B158" s="2" t="s">
        <v>94</v>
      </c>
      <c r="C158" s="2" t="s">
        <v>1797</v>
      </c>
      <c r="D158" s="2" t="s">
        <v>1798</v>
      </c>
      <c r="E158" s="2" t="s">
        <v>1799</v>
      </c>
      <c r="G158" s="3" t="s">
        <v>64</v>
      </c>
      <c r="I158" s="3" t="s">
        <v>64</v>
      </c>
      <c r="J158" s="3" t="s">
        <v>64</v>
      </c>
      <c r="K158" s="3" t="s">
        <v>65</v>
      </c>
      <c r="L158" s="2" t="s">
        <v>1800</v>
      </c>
      <c r="M158" s="2" t="s">
        <v>1801</v>
      </c>
      <c r="N158" s="3" t="s">
        <v>1029</v>
      </c>
      <c r="P158" s="3" t="s">
        <v>69</v>
      </c>
      <c r="Q158" s="2" t="s">
        <v>1751</v>
      </c>
      <c r="R158" s="3" t="s">
        <v>70</v>
      </c>
      <c r="S158" s="4">
        <v>8</v>
      </c>
      <c r="T158" s="4">
        <v>8</v>
      </c>
      <c r="U158" s="5" t="s">
        <v>1802</v>
      </c>
      <c r="V158" s="5" t="s">
        <v>1802</v>
      </c>
      <c r="W158" s="5" t="s">
        <v>72</v>
      </c>
      <c r="X158" s="5" t="s">
        <v>72</v>
      </c>
      <c r="Y158" s="4">
        <v>436</v>
      </c>
      <c r="Z158" s="4">
        <v>26</v>
      </c>
      <c r="AA158" s="4">
        <v>62</v>
      </c>
      <c r="AB158" s="4">
        <v>3</v>
      </c>
      <c r="AC158" s="4">
        <v>9</v>
      </c>
      <c r="AD158" s="4">
        <v>90</v>
      </c>
      <c r="AE158" s="4">
        <v>117</v>
      </c>
      <c r="AF158" s="4">
        <v>1</v>
      </c>
      <c r="AG158" s="4">
        <v>4</v>
      </c>
      <c r="AH158" s="4">
        <v>78</v>
      </c>
      <c r="AI158" s="4">
        <v>93</v>
      </c>
      <c r="AJ158" s="4">
        <v>16</v>
      </c>
      <c r="AK158" s="4">
        <v>22</v>
      </c>
      <c r="AL158" s="4">
        <v>51</v>
      </c>
      <c r="AM158" s="4">
        <v>52</v>
      </c>
      <c r="AN158" s="4">
        <v>0</v>
      </c>
      <c r="AO158" s="4">
        <v>0</v>
      </c>
      <c r="AP158" s="4">
        <v>17</v>
      </c>
      <c r="AQ158" s="4">
        <v>31</v>
      </c>
      <c r="AR158" s="3" t="s">
        <v>64</v>
      </c>
      <c r="AS158" s="3" t="s">
        <v>64</v>
      </c>
      <c r="AT158" s="3" t="s">
        <v>64</v>
      </c>
      <c r="AV158" s="6" t="str">
        <f>HYPERLINK("http://mcgill.on.worldcat.org/oclc/226360128","Catalog Record")</f>
        <v>Catalog Record</v>
      </c>
      <c r="AW158" s="6" t="str">
        <f>HYPERLINK("http://www.worldcat.org/oclc/226360128","WorldCat Record")</f>
        <v>WorldCat Record</v>
      </c>
      <c r="AX158" s="3" t="s">
        <v>1803</v>
      </c>
      <c r="AY158" s="3" t="s">
        <v>1804</v>
      </c>
      <c r="AZ158" s="3" t="s">
        <v>1805</v>
      </c>
      <c r="BA158" s="3" t="s">
        <v>1805</v>
      </c>
      <c r="BB158" s="3" t="s">
        <v>1806</v>
      </c>
      <c r="BC158" s="3" t="s">
        <v>78</v>
      </c>
      <c r="BD158" s="3" t="s">
        <v>79</v>
      </c>
      <c r="BE158" s="3" t="s">
        <v>1807</v>
      </c>
      <c r="BF158" s="3" t="s">
        <v>1806</v>
      </c>
      <c r="BG158" s="3" t="s">
        <v>1808</v>
      </c>
    </row>
    <row r="159" spans="1:59" ht="58" x14ac:dyDescent="0.35">
      <c r="A159" s="2" t="s">
        <v>59</v>
      </c>
      <c r="B159" s="2" t="s">
        <v>94</v>
      </c>
      <c r="C159" s="2" t="s">
        <v>1809</v>
      </c>
      <c r="D159" s="2" t="s">
        <v>1810</v>
      </c>
      <c r="E159" s="2" t="s">
        <v>1811</v>
      </c>
      <c r="G159" s="3" t="s">
        <v>64</v>
      </c>
      <c r="I159" s="3" t="s">
        <v>64</v>
      </c>
      <c r="J159" s="3" t="s">
        <v>64</v>
      </c>
      <c r="K159" s="3" t="s">
        <v>65</v>
      </c>
      <c r="M159" s="2" t="s">
        <v>1812</v>
      </c>
      <c r="N159" s="3" t="s">
        <v>1813</v>
      </c>
      <c r="P159" s="3" t="s">
        <v>69</v>
      </c>
      <c r="R159" s="3" t="s">
        <v>70</v>
      </c>
      <c r="S159" s="4">
        <v>0</v>
      </c>
      <c r="T159" s="4">
        <v>0</v>
      </c>
      <c r="W159" s="5" t="s">
        <v>72</v>
      </c>
      <c r="X159" s="5" t="s">
        <v>72</v>
      </c>
      <c r="Y159" s="4">
        <v>56</v>
      </c>
      <c r="Z159" s="4">
        <v>15</v>
      </c>
      <c r="AA159" s="4">
        <v>117</v>
      </c>
      <c r="AB159" s="4">
        <v>1</v>
      </c>
      <c r="AC159" s="4">
        <v>17</v>
      </c>
      <c r="AD159" s="4">
        <v>28</v>
      </c>
      <c r="AE159" s="4">
        <v>113</v>
      </c>
      <c r="AF159" s="4">
        <v>0</v>
      </c>
      <c r="AG159" s="4">
        <v>8</v>
      </c>
      <c r="AH159" s="4">
        <v>20</v>
      </c>
      <c r="AI159" s="4">
        <v>65</v>
      </c>
      <c r="AJ159" s="4">
        <v>8</v>
      </c>
      <c r="AK159" s="4">
        <v>24</v>
      </c>
      <c r="AL159" s="4">
        <v>14</v>
      </c>
      <c r="AM159" s="4">
        <v>34</v>
      </c>
      <c r="AN159" s="4">
        <v>0</v>
      </c>
      <c r="AO159" s="4">
        <v>0</v>
      </c>
      <c r="AP159" s="4">
        <v>7</v>
      </c>
      <c r="AQ159" s="4">
        <v>51</v>
      </c>
      <c r="AR159" s="3" t="s">
        <v>73</v>
      </c>
      <c r="AS159" s="3" t="s">
        <v>64</v>
      </c>
      <c r="AT159" s="3" t="s">
        <v>64</v>
      </c>
      <c r="AV159" s="6" t="str">
        <f>HYPERLINK("http://mcgill.on.worldcat.org/oclc/932386877","Catalog Record")</f>
        <v>Catalog Record</v>
      </c>
      <c r="AW159" s="6" t="str">
        <f>HYPERLINK("http://www.worldcat.org/oclc/932386877","WorldCat Record")</f>
        <v>WorldCat Record</v>
      </c>
      <c r="AX159" s="3" t="s">
        <v>1814</v>
      </c>
      <c r="AY159" s="3" t="s">
        <v>1815</v>
      </c>
      <c r="AZ159" s="3" t="s">
        <v>1816</v>
      </c>
      <c r="BA159" s="3" t="s">
        <v>1816</v>
      </c>
      <c r="BB159" s="3" t="s">
        <v>1817</v>
      </c>
      <c r="BC159" s="3" t="s">
        <v>78</v>
      </c>
      <c r="BD159" s="3" t="s">
        <v>79</v>
      </c>
      <c r="BE159" s="3" t="s">
        <v>1818</v>
      </c>
      <c r="BF159" s="3" t="s">
        <v>1817</v>
      </c>
      <c r="BG159" s="3" t="s">
        <v>1819</v>
      </c>
    </row>
    <row r="160" spans="1:59" ht="58" x14ac:dyDescent="0.35">
      <c r="A160" s="2" t="s">
        <v>59</v>
      </c>
      <c r="B160" s="2" t="s">
        <v>94</v>
      </c>
      <c r="C160" s="2" t="s">
        <v>1820</v>
      </c>
      <c r="D160" s="2" t="s">
        <v>1821</v>
      </c>
      <c r="E160" s="2" t="s">
        <v>1822</v>
      </c>
      <c r="G160" s="3" t="s">
        <v>64</v>
      </c>
      <c r="I160" s="3" t="s">
        <v>64</v>
      </c>
      <c r="J160" s="3" t="s">
        <v>64</v>
      </c>
      <c r="K160" s="3" t="s">
        <v>65</v>
      </c>
      <c r="L160" s="2" t="s">
        <v>1823</v>
      </c>
      <c r="M160" s="2" t="s">
        <v>1824</v>
      </c>
      <c r="N160" s="3" t="s">
        <v>1320</v>
      </c>
      <c r="P160" s="3" t="s">
        <v>69</v>
      </c>
      <c r="R160" s="3" t="s">
        <v>70</v>
      </c>
      <c r="S160" s="4">
        <v>15</v>
      </c>
      <c r="T160" s="4">
        <v>15</v>
      </c>
      <c r="U160" s="5" t="s">
        <v>1825</v>
      </c>
      <c r="V160" s="5" t="s">
        <v>1825</v>
      </c>
      <c r="W160" s="5" t="s">
        <v>72</v>
      </c>
      <c r="X160" s="5" t="s">
        <v>72</v>
      </c>
      <c r="Y160" s="4">
        <v>650</v>
      </c>
      <c r="Z160" s="4">
        <v>46</v>
      </c>
      <c r="AA160" s="4">
        <v>51</v>
      </c>
      <c r="AB160" s="4">
        <v>4</v>
      </c>
      <c r="AC160" s="4">
        <v>8</v>
      </c>
      <c r="AD160" s="4">
        <v>132</v>
      </c>
      <c r="AE160" s="4">
        <v>138</v>
      </c>
      <c r="AF160" s="4">
        <v>2</v>
      </c>
      <c r="AG160" s="4">
        <v>5</v>
      </c>
      <c r="AH160" s="4">
        <v>106</v>
      </c>
      <c r="AI160" s="4">
        <v>109</v>
      </c>
      <c r="AJ160" s="4">
        <v>22</v>
      </c>
      <c r="AK160" s="4">
        <v>25</v>
      </c>
      <c r="AL160" s="4">
        <v>57</v>
      </c>
      <c r="AM160" s="4">
        <v>58</v>
      </c>
      <c r="AN160" s="4">
        <v>0</v>
      </c>
      <c r="AO160" s="4">
        <v>0</v>
      </c>
      <c r="AP160" s="4">
        <v>35</v>
      </c>
      <c r="AQ160" s="4">
        <v>38</v>
      </c>
      <c r="AR160" s="3" t="s">
        <v>64</v>
      </c>
      <c r="AS160" s="3" t="s">
        <v>64</v>
      </c>
      <c r="AT160" s="3" t="s">
        <v>64</v>
      </c>
      <c r="AV160" s="6" t="str">
        <f>HYPERLINK("http://mcgill.on.worldcat.org/oclc/30029349","Catalog Record")</f>
        <v>Catalog Record</v>
      </c>
      <c r="AW160" s="6" t="str">
        <f>HYPERLINK("http://www.worldcat.org/oclc/30029349","WorldCat Record")</f>
        <v>WorldCat Record</v>
      </c>
      <c r="AX160" s="3" t="s">
        <v>1826</v>
      </c>
      <c r="AY160" s="3" t="s">
        <v>1827</v>
      </c>
      <c r="AZ160" s="3" t="s">
        <v>1828</v>
      </c>
      <c r="BA160" s="3" t="s">
        <v>1828</v>
      </c>
      <c r="BB160" s="3" t="s">
        <v>1829</v>
      </c>
      <c r="BC160" s="3" t="s">
        <v>78</v>
      </c>
      <c r="BD160" s="3" t="s">
        <v>79</v>
      </c>
      <c r="BE160" s="3" t="s">
        <v>1830</v>
      </c>
      <c r="BF160" s="3" t="s">
        <v>1829</v>
      </c>
      <c r="BG160" s="3" t="s">
        <v>1831</v>
      </c>
    </row>
    <row r="161" spans="1:59" ht="58" x14ac:dyDescent="0.35">
      <c r="A161" s="2" t="s">
        <v>59</v>
      </c>
      <c r="B161" s="2" t="s">
        <v>94</v>
      </c>
      <c r="C161" s="2" t="s">
        <v>1832</v>
      </c>
      <c r="D161" s="2" t="s">
        <v>1833</v>
      </c>
      <c r="E161" s="2" t="s">
        <v>1834</v>
      </c>
      <c r="G161" s="3" t="s">
        <v>64</v>
      </c>
      <c r="I161" s="3" t="s">
        <v>64</v>
      </c>
      <c r="J161" s="3" t="s">
        <v>73</v>
      </c>
      <c r="K161" s="3" t="s">
        <v>65</v>
      </c>
      <c r="L161" s="2" t="s">
        <v>1835</v>
      </c>
      <c r="M161" s="2" t="s">
        <v>1836</v>
      </c>
      <c r="N161" s="3" t="s">
        <v>68</v>
      </c>
      <c r="P161" s="3" t="s">
        <v>69</v>
      </c>
      <c r="R161" s="3" t="s">
        <v>70</v>
      </c>
      <c r="S161" s="4">
        <v>7</v>
      </c>
      <c r="T161" s="4">
        <v>7</v>
      </c>
      <c r="U161" s="5" t="s">
        <v>1837</v>
      </c>
      <c r="V161" s="5" t="s">
        <v>1837</v>
      </c>
      <c r="W161" s="5" t="s">
        <v>72</v>
      </c>
      <c r="X161" s="5" t="s">
        <v>72</v>
      </c>
      <c r="Y161" s="4">
        <v>788</v>
      </c>
      <c r="Z161" s="4">
        <v>56</v>
      </c>
      <c r="AA161" s="4">
        <v>70</v>
      </c>
      <c r="AB161" s="4">
        <v>3</v>
      </c>
      <c r="AC161" s="4">
        <v>8</v>
      </c>
      <c r="AD161" s="4">
        <v>110</v>
      </c>
      <c r="AE161" s="4">
        <v>120</v>
      </c>
      <c r="AF161" s="4">
        <v>2</v>
      </c>
      <c r="AG161" s="4">
        <v>5</v>
      </c>
      <c r="AH161" s="4">
        <v>81</v>
      </c>
      <c r="AI161" s="4">
        <v>87</v>
      </c>
      <c r="AJ161" s="4">
        <v>22</v>
      </c>
      <c r="AK161" s="4">
        <v>26</v>
      </c>
      <c r="AL161" s="4">
        <v>43</v>
      </c>
      <c r="AM161" s="4">
        <v>46</v>
      </c>
      <c r="AN161" s="4">
        <v>5</v>
      </c>
      <c r="AO161" s="4">
        <v>5</v>
      </c>
      <c r="AP161" s="4">
        <v>36</v>
      </c>
      <c r="AQ161" s="4">
        <v>40</v>
      </c>
      <c r="AR161" s="3" t="s">
        <v>73</v>
      </c>
      <c r="AS161" s="3" t="s">
        <v>64</v>
      </c>
      <c r="AT161" s="3" t="s">
        <v>73</v>
      </c>
      <c r="AU161" s="6" t="str">
        <f>HYPERLINK("http://catalog.hathitrust.org/Record/005402902","HathiTrust Record")</f>
        <v>HathiTrust Record</v>
      </c>
      <c r="AV161" s="6" t="str">
        <f>HYPERLINK("http://mcgill.on.worldcat.org/oclc/69186522","Catalog Record")</f>
        <v>Catalog Record</v>
      </c>
      <c r="AW161" s="6" t="str">
        <f>HYPERLINK("http://www.worldcat.org/oclc/69186522","WorldCat Record")</f>
        <v>WorldCat Record</v>
      </c>
      <c r="AX161" s="3" t="s">
        <v>1838</v>
      </c>
      <c r="AY161" s="3" t="s">
        <v>1839</v>
      </c>
      <c r="AZ161" s="3" t="s">
        <v>1840</v>
      </c>
      <c r="BA161" s="3" t="s">
        <v>1840</v>
      </c>
      <c r="BB161" s="3" t="s">
        <v>1841</v>
      </c>
      <c r="BC161" s="3" t="s">
        <v>78</v>
      </c>
      <c r="BD161" s="3" t="s">
        <v>79</v>
      </c>
      <c r="BE161" s="3" t="s">
        <v>1842</v>
      </c>
      <c r="BF161" s="3" t="s">
        <v>1841</v>
      </c>
      <c r="BG161" s="3" t="s">
        <v>1843</v>
      </c>
    </row>
    <row r="162" spans="1:59" ht="159.5" x14ac:dyDescent="0.35">
      <c r="A162" s="2" t="s">
        <v>59</v>
      </c>
      <c r="B162" s="2" t="s">
        <v>94</v>
      </c>
      <c r="C162" s="2" t="s">
        <v>1844</v>
      </c>
      <c r="D162" s="2" t="s">
        <v>1845</v>
      </c>
      <c r="E162" s="2" t="s">
        <v>1846</v>
      </c>
      <c r="G162" s="3" t="s">
        <v>64</v>
      </c>
      <c r="I162" s="3" t="s">
        <v>64</v>
      </c>
      <c r="J162" s="3" t="s">
        <v>73</v>
      </c>
      <c r="K162" s="3" t="s">
        <v>65</v>
      </c>
      <c r="L162" s="2" t="s">
        <v>1847</v>
      </c>
      <c r="M162" s="2" t="s">
        <v>1848</v>
      </c>
      <c r="N162" s="3" t="s">
        <v>524</v>
      </c>
      <c r="O162" s="2" t="s">
        <v>1849</v>
      </c>
      <c r="P162" s="3" t="s">
        <v>69</v>
      </c>
      <c r="R162" s="3" t="s">
        <v>70</v>
      </c>
      <c r="S162" s="4">
        <v>3</v>
      </c>
      <c r="T162" s="4">
        <v>3</v>
      </c>
      <c r="U162" s="5" t="s">
        <v>1850</v>
      </c>
      <c r="V162" s="5" t="s">
        <v>1850</v>
      </c>
      <c r="W162" s="5" t="s">
        <v>72</v>
      </c>
      <c r="X162" s="5" t="s">
        <v>72</v>
      </c>
      <c r="Y162" s="4">
        <v>103</v>
      </c>
      <c r="Z162" s="4">
        <v>10</v>
      </c>
      <c r="AA162" s="4">
        <v>70</v>
      </c>
      <c r="AB162" s="4">
        <v>1</v>
      </c>
      <c r="AC162" s="4">
        <v>8</v>
      </c>
      <c r="AD162" s="4">
        <v>27</v>
      </c>
      <c r="AE162" s="4">
        <v>120</v>
      </c>
      <c r="AF162" s="4">
        <v>0</v>
      </c>
      <c r="AG162" s="4">
        <v>5</v>
      </c>
      <c r="AH162" s="4">
        <v>24</v>
      </c>
      <c r="AI162" s="4">
        <v>87</v>
      </c>
      <c r="AJ162" s="4">
        <v>5</v>
      </c>
      <c r="AK162" s="4">
        <v>26</v>
      </c>
      <c r="AL162" s="4">
        <v>16</v>
      </c>
      <c r="AM162" s="4">
        <v>46</v>
      </c>
      <c r="AN162" s="4">
        <v>0</v>
      </c>
      <c r="AO162" s="4">
        <v>5</v>
      </c>
      <c r="AP162" s="4">
        <v>5</v>
      </c>
      <c r="AQ162" s="4">
        <v>40</v>
      </c>
      <c r="AR162" s="3" t="s">
        <v>73</v>
      </c>
      <c r="AS162" s="3" t="s">
        <v>64</v>
      </c>
      <c r="AT162" s="3" t="s">
        <v>64</v>
      </c>
      <c r="AV162" s="6" t="str">
        <f>HYPERLINK("http://mcgill.on.worldcat.org/oclc/854936862","Catalog Record")</f>
        <v>Catalog Record</v>
      </c>
      <c r="AW162" s="6" t="str">
        <f>HYPERLINK("http://www.worldcat.org/oclc/854936862","WorldCat Record")</f>
        <v>WorldCat Record</v>
      </c>
      <c r="AX162" s="3" t="s">
        <v>1838</v>
      </c>
      <c r="AY162" s="3" t="s">
        <v>1851</v>
      </c>
      <c r="AZ162" s="3" t="s">
        <v>1852</v>
      </c>
      <c r="BA162" s="3" t="s">
        <v>1852</v>
      </c>
      <c r="BB162" s="3" t="s">
        <v>1853</v>
      </c>
      <c r="BC162" s="3" t="s">
        <v>78</v>
      </c>
      <c r="BD162" s="3" t="s">
        <v>79</v>
      </c>
      <c r="BE162" s="3" t="s">
        <v>1854</v>
      </c>
      <c r="BF162" s="3" t="s">
        <v>1853</v>
      </c>
      <c r="BG162" s="3" t="s">
        <v>1855</v>
      </c>
    </row>
    <row r="163" spans="1:59" ht="58" x14ac:dyDescent="0.35">
      <c r="A163" s="2" t="s">
        <v>59</v>
      </c>
      <c r="B163" s="2" t="s">
        <v>94</v>
      </c>
      <c r="C163" s="2" t="s">
        <v>1856</v>
      </c>
      <c r="D163" s="2" t="s">
        <v>1857</v>
      </c>
      <c r="E163" s="2" t="s">
        <v>1858</v>
      </c>
      <c r="G163" s="3" t="s">
        <v>64</v>
      </c>
      <c r="I163" s="3" t="s">
        <v>64</v>
      </c>
      <c r="J163" s="3" t="s">
        <v>64</v>
      </c>
      <c r="K163" s="3" t="s">
        <v>65</v>
      </c>
      <c r="L163" s="2" t="s">
        <v>1859</v>
      </c>
      <c r="M163" s="2" t="s">
        <v>1860</v>
      </c>
      <c r="N163" s="3" t="s">
        <v>390</v>
      </c>
      <c r="P163" s="3" t="s">
        <v>69</v>
      </c>
      <c r="R163" s="3" t="s">
        <v>70</v>
      </c>
      <c r="S163" s="4">
        <v>33</v>
      </c>
      <c r="T163" s="4">
        <v>33</v>
      </c>
      <c r="U163" s="5" t="s">
        <v>957</v>
      </c>
      <c r="V163" s="5" t="s">
        <v>957</v>
      </c>
      <c r="W163" s="5" t="s">
        <v>72</v>
      </c>
      <c r="X163" s="5" t="s">
        <v>72</v>
      </c>
      <c r="Y163" s="4">
        <v>565</v>
      </c>
      <c r="Z163" s="4">
        <v>27</v>
      </c>
      <c r="AA163" s="4">
        <v>42</v>
      </c>
      <c r="AB163" s="4">
        <v>3</v>
      </c>
      <c r="AC163" s="4">
        <v>5</v>
      </c>
      <c r="AD163" s="4">
        <v>99</v>
      </c>
      <c r="AE163" s="4">
        <v>125</v>
      </c>
      <c r="AF163" s="4">
        <v>1</v>
      </c>
      <c r="AG163" s="4">
        <v>3</v>
      </c>
      <c r="AH163" s="4">
        <v>87</v>
      </c>
      <c r="AI163" s="4">
        <v>107</v>
      </c>
      <c r="AJ163" s="4">
        <v>12</v>
      </c>
      <c r="AK163" s="4">
        <v>22</v>
      </c>
      <c r="AL163" s="4">
        <v>46</v>
      </c>
      <c r="AM163" s="4">
        <v>55</v>
      </c>
      <c r="AN163" s="4">
        <v>0</v>
      </c>
      <c r="AO163" s="4">
        <v>0</v>
      </c>
      <c r="AP163" s="4">
        <v>19</v>
      </c>
      <c r="AQ163" s="4">
        <v>30</v>
      </c>
      <c r="AR163" s="3" t="s">
        <v>64</v>
      </c>
      <c r="AS163" s="3" t="s">
        <v>64</v>
      </c>
      <c r="AT163" s="3" t="s">
        <v>64</v>
      </c>
      <c r="AV163" s="6" t="str">
        <f>HYPERLINK("http://mcgill.on.worldcat.org/oclc/4775082","Catalog Record")</f>
        <v>Catalog Record</v>
      </c>
      <c r="AW163" s="6" t="str">
        <f>HYPERLINK("http://www.worldcat.org/oclc/4775082","WorldCat Record")</f>
        <v>WorldCat Record</v>
      </c>
      <c r="AX163" s="3" t="s">
        <v>1861</v>
      </c>
      <c r="AY163" s="3" t="s">
        <v>1862</v>
      </c>
      <c r="AZ163" s="3" t="s">
        <v>1863</v>
      </c>
      <c r="BA163" s="3" t="s">
        <v>1863</v>
      </c>
      <c r="BB163" s="3" t="s">
        <v>1864</v>
      </c>
      <c r="BC163" s="3" t="s">
        <v>78</v>
      </c>
      <c r="BD163" s="3" t="s">
        <v>414</v>
      </c>
      <c r="BE163" s="3" t="s">
        <v>1865</v>
      </c>
      <c r="BF163" s="3" t="s">
        <v>1864</v>
      </c>
      <c r="BG163" s="3" t="s">
        <v>1866</v>
      </c>
    </row>
    <row r="164" spans="1:59" ht="58" x14ac:dyDescent="0.35">
      <c r="A164" s="2" t="s">
        <v>59</v>
      </c>
      <c r="B164" s="2" t="s">
        <v>94</v>
      </c>
      <c r="C164" s="2" t="s">
        <v>1867</v>
      </c>
      <c r="D164" s="2" t="s">
        <v>1868</v>
      </c>
      <c r="E164" s="2" t="s">
        <v>1869</v>
      </c>
      <c r="G164" s="3" t="s">
        <v>64</v>
      </c>
      <c r="I164" s="3" t="s">
        <v>64</v>
      </c>
      <c r="J164" s="3" t="s">
        <v>64</v>
      </c>
      <c r="K164" s="3" t="s">
        <v>65</v>
      </c>
      <c r="M164" s="2" t="s">
        <v>1870</v>
      </c>
      <c r="N164" s="3" t="s">
        <v>538</v>
      </c>
      <c r="P164" s="3" t="s">
        <v>69</v>
      </c>
      <c r="R164" s="3" t="s">
        <v>70</v>
      </c>
      <c r="S164" s="4">
        <v>6</v>
      </c>
      <c r="T164" s="4">
        <v>6</v>
      </c>
      <c r="U164" s="5" t="s">
        <v>1778</v>
      </c>
      <c r="V164" s="5" t="s">
        <v>1778</v>
      </c>
      <c r="W164" s="5" t="s">
        <v>72</v>
      </c>
      <c r="X164" s="5" t="s">
        <v>72</v>
      </c>
      <c r="Y164" s="4">
        <v>521</v>
      </c>
      <c r="Z164" s="4">
        <v>33</v>
      </c>
      <c r="AA164" s="4">
        <v>38</v>
      </c>
      <c r="AB164" s="4">
        <v>3</v>
      </c>
      <c r="AC164" s="4">
        <v>7</v>
      </c>
      <c r="AD164" s="4">
        <v>104</v>
      </c>
      <c r="AE164" s="4">
        <v>106</v>
      </c>
      <c r="AF164" s="4">
        <v>2</v>
      </c>
      <c r="AG164" s="4">
        <v>4</v>
      </c>
      <c r="AH164" s="4">
        <v>92</v>
      </c>
      <c r="AI164" s="4">
        <v>93</v>
      </c>
      <c r="AJ164" s="4">
        <v>18</v>
      </c>
      <c r="AK164" s="4">
        <v>20</v>
      </c>
      <c r="AL164" s="4">
        <v>53</v>
      </c>
      <c r="AM164" s="4">
        <v>53</v>
      </c>
      <c r="AN164" s="4">
        <v>0</v>
      </c>
      <c r="AO164" s="4">
        <v>0</v>
      </c>
      <c r="AP164" s="4">
        <v>21</v>
      </c>
      <c r="AQ164" s="4">
        <v>22</v>
      </c>
      <c r="AR164" s="3" t="s">
        <v>64</v>
      </c>
      <c r="AS164" s="3" t="s">
        <v>64</v>
      </c>
      <c r="AT164" s="3" t="s">
        <v>64</v>
      </c>
      <c r="AV164" s="6" t="str">
        <f>HYPERLINK("http://mcgill.on.worldcat.org/oclc/74523261","Catalog Record")</f>
        <v>Catalog Record</v>
      </c>
      <c r="AW164" s="6" t="str">
        <f>HYPERLINK("http://www.worldcat.org/oclc/74523261","WorldCat Record")</f>
        <v>WorldCat Record</v>
      </c>
      <c r="AX164" s="3" t="s">
        <v>1871</v>
      </c>
      <c r="AY164" s="3" t="s">
        <v>1872</v>
      </c>
      <c r="AZ164" s="3" t="s">
        <v>1873</v>
      </c>
      <c r="BA164" s="3" t="s">
        <v>1873</v>
      </c>
      <c r="BB164" s="3" t="s">
        <v>1874</v>
      </c>
      <c r="BC164" s="3" t="s">
        <v>78</v>
      </c>
      <c r="BD164" s="3" t="s">
        <v>414</v>
      </c>
      <c r="BE164" s="3" t="s">
        <v>1875</v>
      </c>
      <c r="BF164" s="3" t="s">
        <v>1874</v>
      </c>
      <c r="BG164" s="3" t="s">
        <v>1876</v>
      </c>
    </row>
    <row r="165" spans="1:59" ht="58" x14ac:dyDescent="0.35">
      <c r="A165" s="2" t="s">
        <v>59</v>
      </c>
      <c r="B165" s="2" t="s">
        <v>94</v>
      </c>
      <c r="C165" s="2" t="s">
        <v>1877</v>
      </c>
      <c r="D165" s="2" t="s">
        <v>1878</v>
      </c>
      <c r="E165" s="2" t="s">
        <v>1879</v>
      </c>
      <c r="G165" s="3" t="s">
        <v>64</v>
      </c>
      <c r="I165" s="3" t="s">
        <v>64</v>
      </c>
      <c r="J165" s="3" t="s">
        <v>64</v>
      </c>
      <c r="K165" s="3" t="s">
        <v>65</v>
      </c>
      <c r="M165" s="2" t="s">
        <v>1880</v>
      </c>
      <c r="N165" s="3" t="s">
        <v>538</v>
      </c>
      <c r="P165" s="3" t="s">
        <v>69</v>
      </c>
      <c r="R165" s="3" t="s">
        <v>70</v>
      </c>
      <c r="S165" s="4">
        <v>4</v>
      </c>
      <c r="T165" s="4">
        <v>4</v>
      </c>
      <c r="U165" s="5" t="s">
        <v>1881</v>
      </c>
      <c r="V165" s="5" t="s">
        <v>1881</v>
      </c>
      <c r="W165" s="5" t="s">
        <v>72</v>
      </c>
      <c r="X165" s="5" t="s">
        <v>72</v>
      </c>
      <c r="Y165" s="4">
        <v>268</v>
      </c>
      <c r="Z165" s="4">
        <v>24</v>
      </c>
      <c r="AA165" s="4">
        <v>35</v>
      </c>
      <c r="AB165" s="4">
        <v>1</v>
      </c>
      <c r="AC165" s="4">
        <v>8</v>
      </c>
      <c r="AD165" s="4">
        <v>92</v>
      </c>
      <c r="AE165" s="4">
        <v>104</v>
      </c>
      <c r="AF165" s="4">
        <v>0</v>
      </c>
      <c r="AG165" s="4">
        <v>3</v>
      </c>
      <c r="AH165" s="4">
        <v>79</v>
      </c>
      <c r="AI165" s="4">
        <v>86</v>
      </c>
      <c r="AJ165" s="4">
        <v>14</v>
      </c>
      <c r="AK165" s="4">
        <v>19</v>
      </c>
      <c r="AL165" s="4">
        <v>51</v>
      </c>
      <c r="AM165" s="4">
        <v>52</v>
      </c>
      <c r="AN165" s="4">
        <v>5</v>
      </c>
      <c r="AO165" s="4">
        <v>5</v>
      </c>
      <c r="AP165" s="4">
        <v>18</v>
      </c>
      <c r="AQ165" s="4">
        <v>24</v>
      </c>
      <c r="AR165" s="3" t="s">
        <v>64</v>
      </c>
      <c r="AS165" s="3" t="s">
        <v>64</v>
      </c>
      <c r="AT165" s="3" t="s">
        <v>73</v>
      </c>
      <c r="AU165" s="6" t="str">
        <f>HYPERLINK("http://catalog.hathitrust.org/Record/005631790","HathiTrust Record")</f>
        <v>HathiTrust Record</v>
      </c>
      <c r="AV165" s="6" t="str">
        <f>HYPERLINK("http://mcgill.on.worldcat.org/oclc/123968400","Catalog Record")</f>
        <v>Catalog Record</v>
      </c>
      <c r="AW165" s="6" t="str">
        <f>HYPERLINK("http://www.worldcat.org/oclc/123968400","WorldCat Record")</f>
        <v>WorldCat Record</v>
      </c>
      <c r="AX165" s="3" t="s">
        <v>1882</v>
      </c>
      <c r="AY165" s="3" t="s">
        <v>1883</v>
      </c>
      <c r="AZ165" s="3" t="s">
        <v>1884</v>
      </c>
      <c r="BA165" s="3" t="s">
        <v>1884</v>
      </c>
      <c r="BB165" s="3" t="s">
        <v>1885</v>
      </c>
      <c r="BC165" s="3" t="s">
        <v>78</v>
      </c>
      <c r="BD165" s="3" t="s">
        <v>79</v>
      </c>
      <c r="BE165" s="3" t="s">
        <v>1886</v>
      </c>
      <c r="BF165" s="3" t="s">
        <v>1885</v>
      </c>
      <c r="BG165" s="3" t="s">
        <v>1887</v>
      </c>
    </row>
    <row r="166" spans="1:59" ht="58" x14ac:dyDescent="0.35">
      <c r="A166" s="2" t="s">
        <v>59</v>
      </c>
      <c r="B166" s="2" t="s">
        <v>94</v>
      </c>
      <c r="C166" s="2" t="s">
        <v>1888</v>
      </c>
      <c r="D166" s="2" t="s">
        <v>1889</v>
      </c>
      <c r="E166" s="2" t="s">
        <v>1890</v>
      </c>
      <c r="G166" s="3" t="s">
        <v>64</v>
      </c>
      <c r="I166" s="3" t="s">
        <v>64</v>
      </c>
      <c r="J166" s="3" t="s">
        <v>64</v>
      </c>
      <c r="K166" s="3" t="s">
        <v>65</v>
      </c>
      <c r="L166" s="2" t="s">
        <v>1891</v>
      </c>
      <c r="M166" s="2" t="s">
        <v>1892</v>
      </c>
      <c r="N166" s="3" t="s">
        <v>274</v>
      </c>
      <c r="P166" s="3" t="s">
        <v>69</v>
      </c>
      <c r="R166" s="3" t="s">
        <v>70</v>
      </c>
      <c r="S166" s="4">
        <v>5</v>
      </c>
      <c r="T166" s="4">
        <v>5</v>
      </c>
      <c r="U166" s="5" t="s">
        <v>1893</v>
      </c>
      <c r="V166" s="5" t="s">
        <v>1893</v>
      </c>
      <c r="W166" s="5" t="s">
        <v>72</v>
      </c>
      <c r="X166" s="5" t="s">
        <v>72</v>
      </c>
      <c r="Y166" s="4">
        <v>133</v>
      </c>
      <c r="Z166" s="4">
        <v>14</v>
      </c>
      <c r="AA166" s="4">
        <v>15</v>
      </c>
      <c r="AB166" s="4">
        <v>4</v>
      </c>
      <c r="AC166" s="4">
        <v>5</v>
      </c>
      <c r="AD166" s="4">
        <v>51</v>
      </c>
      <c r="AE166" s="4">
        <v>52</v>
      </c>
      <c r="AF166" s="4">
        <v>1</v>
      </c>
      <c r="AG166" s="4">
        <v>2</v>
      </c>
      <c r="AH166" s="4">
        <v>47</v>
      </c>
      <c r="AI166" s="4">
        <v>47</v>
      </c>
      <c r="AJ166" s="4">
        <v>9</v>
      </c>
      <c r="AK166" s="4">
        <v>10</v>
      </c>
      <c r="AL166" s="4">
        <v>27</v>
      </c>
      <c r="AM166" s="4">
        <v>27</v>
      </c>
      <c r="AN166" s="4">
        <v>0</v>
      </c>
      <c r="AO166" s="4">
        <v>0</v>
      </c>
      <c r="AP166" s="4">
        <v>9</v>
      </c>
      <c r="AQ166" s="4">
        <v>9</v>
      </c>
      <c r="AR166" s="3" t="s">
        <v>64</v>
      </c>
      <c r="AS166" s="3" t="s">
        <v>64</v>
      </c>
      <c r="AT166" s="3" t="s">
        <v>73</v>
      </c>
      <c r="AU166" s="6" t="str">
        <f>HYPERLINK("http://catalog.hathitrust.org/Record/000915051","HathiTrust Record")</f>
        <v>HathiTrust Record</v>
      </c>
      <c r="AV166" s="6" t="str">
        <f>HYPERLINK("http://mcgill.on.worldcat.org/oclc/17440117","Catalog Record")</f>
        <v>Catalog Record</v>
      </c>
      <c r="AW166" s="6" t="str">
        <f>HYPERLINK("http://www.worldcat.org/oclc/17440117","WorldCat Record")</f>
        <v>WorldCat Record</v>
      </c>
      <c r="AX166" s="3" t="s">
        <v>1894</v>
      </c>
      <c r="AY166" s="3" t="s">
        <v>1895</v>
      </c>
      <c r="AZ166" s="3" t="s">
        <v>1896</v>
      </c>
      <c r="BA166" s="3" t="s">
        <v>1896</v>
      </c>
      <c r="BB166" s="3" t="s">
        <v>1897</v>
      </c>
      <c r="BC166" s="3" t="s">
        <v>78</v>
      </c>
      <c r="BD166" s="3" t="s">
        <v>79</v>
      </c>
      <c r="BE166" s="3" t="s">
        <v>1898</v>
      </c>
      <c r="BF166" s="3" t="s">
        <v>1897</v>
      </c>
      <c r="BG166" s="3" t="s">
        <v>1899</v>
      </c>
    </row>
    <row r="167" spans="1:59" ht="58" x14ac:dyDescent="0.35">
      <c r="A167" s="2" t="s">
        <v>59</v>
      </c>
      <c r="B167" s="2" t="s">
        <v>94</v>
      </c>
      <c r="C167" s="2" t="s">
        <v>1900</v>
      </c>
      <c r="D167" s="2" t="s">
        <v>1901</v>
      </c>
      <c r="E167" s="2" t="s">
        <v>1902</v>
      </c>
      <c r="G167" s="3" t="s">
        <v>64</v>
      </c>
      <c r="I167" s="3" t="s">
        <v>64</v>
      </c>
      <c r="J167" s="3" t="s">
        <v>64</v>
      </c>
      <c r="K167" s="3" t="s">
        <v>65</v>
      </c>
      <c r="L167" s="2" t="s">
        <v>1903</v>
      </c>
      <c r="M167" s="2" t="s">
        <v>1904</v>
      </c>
      <c r="N167" s="3" t="s">
        <v>328</v>
      </c>
      <c r="P167" s="3" t="s">
        <v>69</v>
      </c>
      <c r="Q167" s="2" t="s">
        <v>1905</v>
      </c>
      <c r="R167" s="3" t="s">
        <v>70</v>
      </c>
      <c r="S167" s="4">
        <v>5</v>
      </c>
      <c r="T167" s="4">
        <v>5</v>
      </c>
      <c r="U167" s="5" t="s">
        <v>1906</v>
      </c>
      <c r="V167" s="5" t="s">
        <v>1906</v>
      </c>
      <c r="W167" s="5" t="s">
        <v>72</v>
      </c>
      <c r="X167" s="5" t="s">
        <v>72</v>
      </c>
      <c r="Y167" s="4">
        <v>97</v>
      </c>
      <c r="Z167" s="4">
        <v>10</v>
      </c>
      <c r="AA167" s="4">
        <v>16</v>
      </c>
      <c r="AB167" s="4">
        <v>1</v>
      </c>
      <c r="AC167" s="4">
        <v>3</v>
      </c>
      <c r="AD167" s="4">
        <v>46</v>
      </c>
      <c r="AE167" s="4">
        <v>56</v>
      </c>
      <c r="AF167" s="4">
        <v>0</v>
      </c>
      <c r="AG167" s="4">
        <v>0</v>
      </c>
      <c r="AH167" s="4">
        <v>42</v>
      </c>
      <c r="AI167" s="4">
        <v>49</v>
      </c>
      <c r="AJ167" s="4">
        <v>6</v>
      </c>
      <c r="AK167" s="4">
        <v>8</v>
      </c>
      <c r="AL167" s="4">
        <v>24</v>
      </c>
      <c r="AM167" s="4">
        <v>31</v>
      </c>
      <c r="AN167" s="4">
        <v>0</v>
      </c>
      <c r="AO167" s="4">
        <v>0</v>
      </c>
      <c r="AP167" s="4">
        <v>7</v>
      </c>
      <c r="AQ167" s="4">
        <v>10</v>
      </c>
      <c r="AR167" s="3" t="s">
        <v>64</v>
      </c>
      <c r="AS167" s="3" t="s">
        <v>64</v>
      </c>
      <c r="AT167" s="3" t="s">
        <v>64</v>
      </c>
      <c r="AV167" s="6" t="str">
        <f>HYPERLINK("http://mcgill.on.worldcat.org/oclc/692287843","Catalog Record")</f>
        <v>Catalog Record</v>
      </c>
      <c r="AW167" s="6" t="str">
        <f>HYPERLINK("http://www.worldcat.org/oclc/692287843","WorldCat Record")</f>
        <v>WorldCat Record</v>
      </c>
      <c r="AX167" s="3" t="s">
        <v>1907</v>
      </c>
      <c r="AY167" s="3" t="s">
        <v>1908</v>
      </c>
      <c r="AZ167" s="3" t="s">
        <v>1909</v>
      </c>
      <c r="BA167" s="3" t="s">
        <v>1909</v>
      </c>
      <c r="BB167" s="3" t="s">
        <v>1910</v>
      </c>
      <c r="BC167" s="3" t="s">
        <v>78</v>
      </c>
      <c r="BD167" s="3" t="s">
        <v>414</v>
      </c>
      <c r="BE167" s="3" t="s">
        <v>1911</v>
      </c>
      <c r="BF167" s="3" t="s">
        <v>1910</v>
      </c>
      <c r="BG167" s="3" t="s">
        <v>1912</v>
      </c>
    </row>
    <row r="168" spans="1:59" ht="58" x14ac:dyDescent="0.35">
      <c r="A168" s="2" t="s">
        <v>59</v>
      </c>
      <c r="B168" s="2" t="s">
        <v>94</v>
      </c>
      <c r="C168" s="2" t="s">
        <v>1913</v>
      </c>
      <c r="D168" s="2" t="s">
        <v>1914</v>
      </c>
      <c r="E168" s="2" t="s">
        <v>1915</v>
      </c>
      <c r="G168" s="3" t="s">
        <v>64</v>
      </c>
      <c r="I168" s="3" t="s">
        <v>64</v>
      </c>
      <c r="J168" s="3" t="s">
        <v>64</v>
      </c>
      <c r="K168" s="3" t="s">
        <v>65</v>
      </c>
      <c r="M168" s="2" t="s">
        <v>1916</v>
      </c>
      <c r="N168" s="3" t="s">
        <v>524</v>
      </c>
      <c r="O168" s="2" t="s">
        <v>525</v>
      </c>
      <c r="P168" s="3" t="s">
        <v>69</v>
      </c>
      <c r="R168" s="3" t="s">
        <v>70</v>
      </c>
      <c r="S168" s="4">
        <v>20</v>
      </c>
      <c r="T168" s="4">
        <v>20</v>
      </c>
      <c r="U168" s="5" t="s">
        <v>1917</v>
      </c>
      <c r="V168" s="5" t="s">
        <v>1917</v>
      </c>
      <c r="W168" s="5" t="s">
        <v>72</v>
      </c>
      <c r="X168" s="5" t="s">
        <v>72</v>
      </c>
      <c r="Y168" s="4">
        <v>139</v>
      </c>
      <c r="Z168" s="4">
        <v>11</v>
      </c>
      <c r="AA168" s="4">
        <v>28</v>
      </c>
      <c r="AB168" s="4">
        <v>1</v>
      </c>
      <c r="AC168" s="4">
        <v>7</v>
      </c>
      <c r="AD168" s="4">
        <v>48</v>
      </c>
      <c r="AE168" s="4">
        <v>71</v>
      </c>
      <c r="AF168" s="4">
        <v>0</v>
      </c>
      <c r="AG168" s="4">
        <v>4</v>
      </c>
      <c r="AH168" s="4">
        <v>44</v>
      </c>
      <c r="AI168" s="4">
        <v>56</v>
      </c>
      <c r="AJ168" s="4">
        <v>8</v>
      </c>
      <c r="AK168" s="4">
        <v>16</v>
      </c>
      <c r="AL168" s="4">
        <v>26</v>
      </c>
      <c r="AM168" s="4">
        <v>31</v>
      </c>
      <c r="AN168" s="4">
        <v>0</v>
      </c>
      <c r="AO168" s="4">
        <v>0</v>
      </c>
      <c r="AP168" s="4">
        <v>9</v>
      </c>
      <c r="AQ168" s="4">
        <v>22</v>
      </c>
      <c r="AR168" s="3" t="s">
        <v>64</v>
      </c>
      <c r="AS168" s="3" t="s">
        <v>64</v>
      </c>
      <c r="AT168" s="3" t="s">
        <v>64</v>
      </c>
      <c r="AV168" s="6" t="str">
        <f>HYPERLINK("http://mcgill.on.worldcat.org/oclc/825106779","Catalog Record")</f>
        <v>Catalog Record</v>
      </c>
      <c r="AW168" s="6" t="str">
        <f>HYPERLINK("http://www.worldcat.org/oclc/825106779","WorldCat Record")</f>
        <v>WorldCat Record</v>
      </c>
      <c r="AX168" s="3" t="s">
        <v>1918</v>
      </c>
      <c r="AY168" s="3" t="s">
        <v>1919</v>
      </c>
      <c r="AZ168" s="3" t="s">
        <v>1920</v>
      </c>
      <c r="BA168" s="3" t="s">
        <v>1920</v>
      </c>
      <c r="BB168" s="3" t="s">
        <v>1921</v>
      </c>
      <c r="BC168" s="3" t="s">
        <v>78</v>
      </c>
      <c r="BD168" s="3" t="s">
        <v>79</v>
      </c>
      <c r="BE168" s="3" t="s">
        <v>1922</v>
      </c>
      <c r="BF168" s="3" t="s">
        <v>1921</v>
      </c>
      <c r="BG168" s="3" t="s">
        <v>1923</v>
      </c>
    </row>
    <row r="169" spans="1:59" ht="58" x14ac:dyDescent="0.35">
      <c r="A169" s="2" t="s">
        <v>59</v>
      </c>
      <c r="B169" s="2" t="s">
        <v>94</v>
      </c>
      <c r="C169" s="2" t="s">
        <v>1924</v>
      </c>
      <c r="D169" s="2" t="s">
        <v>1925</v>
      </c>
      <c r="E169" s="2" t="s">
        <v>1926</v>
      </c>
      <c r="G169" s="3" t="s">
        <v>64</v>
      </c>
      <c r="I169" s="3" t="s">
        <v>64</v>
      </c>
      <c r="J169" s="3" t="s">
        <v>64</v>
      </c>
      <c r="K169" s="3" t="s">
        <v>65</v>
      </c>
      <c r="M169" s="2" t="s">
        <v>1927</v>
      </c>
      <c r="N169" s="3" t="s">
        <v>328</v>
      </c>
      <c r="O169" s="2" t="s">
        <v>1294</v>
      </c>
      <c r="P169" s="3" t="s">
        <v>69</v>
      </c>
      <c r="R169" s="3" t="s">
        <v>70</v>
      </c>
      <c r="S169" s="4">
        <v>3</v>
      </c>
      <c r="T169" s="4">
        <v>3</v>
      </c>
      <c r="U169" s="5" t="s">
        <v>1928</v>
      </c>
      <c r="V169" s="5" t="s">
        <v>1928</v>
      </c>
      <c r="W169" s="5" t="s">
        <v>72</v>
      </c>
      <c r="X169" s="5" t="s">
        <v>72</v>
      </c>
      <c r="Y169" s="4">
        <v>315</v>
      </c>
      <c r="Z169" s="4">
        <v>14</v>
      </c>
      <c r="AA169" s="4">
        <v>32</v>
      </c>
      <c r="AB169" s="4">
        <v>1</v>
      </c>
      <c r="AC169" s="4">
        <v>7</v>
      </c>
      <c r="AD169" s="4">
        <v>64</v>
      </c>
      <c r="AE169" s="4">
        <v>85</v>
      </c>
      <c r="AF169" s="4">
        <v>0</v>
      </c>
      <c r="AG169" s="4">
        <v>3</v>
      </c>
      <c r="AH169" s="4">
        <v>58</v>
      </c>
      <c r="AI169" s="4">
        <v>68</v>
      </c>
      <c r="AJ169" s="4">
        <v>10</v>
      </c>
      <c r="AK169" s="4">
        <v>18</v>
      </c>
      <c r="AL169" s="4">
        <v>34</v>
      </c>
      <c r="AM169" s="4">
        <v>38</v>
      </c>
      <c r="AN169" s="4">
        <v>0</v>
      </c>
      <c r="AO169" s="4">
        <v>0</v>
      </c>
      <c r="AP169" s="4">
        <v>12</v>
      </c>
      <c r="AQ169" s="4">
        <v>26</v>
      </c>
      <c r="AR169" s="3" t="s">
        <v>64</v>
      </c>
      <c r="AS169" s="3" t="s">
        <v>64</v>
      </c>
      <c r="AT169" s="3" t="s">
        <v>64</v>
      </c>
      <c r="AV169" s="6" t="str">
        <f>HYPERLINK("http://mcgill.on.worldcat.org/oclc/656158759","Catalog Record")</f>
        <v>Catalog Record</v>
      </c>
      <c r="AW169" s="6" t="str">
        <f>HYPERLINK("http://www.worldcat.org/oclc/656158759","WorldCat Record")</f>
        <v>WorldCat Record</v>
      </c>
      <c r="AX169" s="3" t="s">
        <v>1929</v>
      </c>
      <c r="AY169" s="3" t="s">
        <v>1930</v>
      </c>
      <c r="AZ169" s="3" t="s">
        <v>1931</v>
      </c>
      <c r="BA169" s="3" t="s">
        <v>1931</v>
      </c>
      <c r="BB169" s="3" t="s">
        <v>1932</v>
      </c>
      <c r="BC169" s="3" t="s">
        <v>78</v>
      </c>
      <c r="BD169" s="3" t="s">
        <v>79</v>
      </c>
      <c r="BE169" s="3" t="s">
        <v>1933</v>
      </c>
      <c r="BF169" s="3" t="s">
        <v>1932</v>
      </c>
      <c r="BG169" s="3" t="s">
        <v>1934</v>
      </c>
    </row>
    <row r="170" spans="1:59" ht="58" x14ac:dyDescent="0.35">
      <c r="A170" s="2" t="s">
        <v>59</v>
      </c>
      <c r="B170" s="2" t="s">
        <v>94</v>
      </c>
      <c r="C170" s="2" t="s">
        <v>1935</v>
      </c>
      <c r="D170" s="2" t="s">
        <v>1936</v>
      </c>
      <c r="E170" s="2" t="s">
        <v>1937</v>
      </c>
      <c r="G170" s="3" t="s">
        <v>64</v>
      </c>
      <c r="I170" s="3" t="s">
        <v>64</v>
      </c>
      <c r="J170" s="3" t="s">
        <v>64</v>
      </c>
      <c r="K170" s="3" t="s">
        <v>65</v>
      </c>
      <c r="M170" s="2" t="s">
        <v>1927</v>
      </c>
      <c r="N170" s="3" t="s">
        <v>328</v>
      </c>
      <c r="O170" s="2" t="s">
        <v>1294</v>
      </c>
      <c r="P170" s="3" t="s">
        <v>69</v>
      </c>
      <c r="R170" s="3" t="s">
        <v>70</v>
      </c>
      <c r="S170" s="4">
        <v>3</v>
      </c>
      <c r="T170" s="4">
        <v>3</v>
      </c>
      <c r="U170" s="5" t="s">
        <v>1928</v>
      </c>
      <c r="V170" s="5" t="s">
        <v>1928</v>
      </c>
      <c r="W170" s="5" t="s">
        <v>72</v>
      </c>
      <c r="X170" s="5" t="s">
        <v>72</v>
      </c>
      <c r="Y170" s="4">
        <v>280</v>
      </c>
      <c r="Z170" s="4">
        <v>13</v>
      </c>
      <c r="AA170" s="4">
        <v>33</v>
      </c>
      <c r="AB170" s="4">
        <v>1</v>
      </c>
      <c r="AC170" s="4">
        <v>7</v>
      </c>
      <c r="AD170" s="4">
        <v>55</v>
      </c>
      <c r="AE170" s="4">
        <v>79</v>
      </c>
      <c r="AF170" s="4">
        <v>0</v>
      </c>
      <c r="AG170" s="4">
        <v>3</v>
      </c>
      <c r="AH170" s="4">
        <v>49</v>
      </c>
      <c r="AI170" s="4">
        <v>61</v>
      </c>
      <c r="AJ170" s="4">
        <v>9</v>
      </c>
      <c r="AK170" s="4">
        <v>20</v>
      </c>
      <c r="AL170" s="4">
        <v>28</v>
      </c>
      <c r="AM170" s="4">
        <v>33</v>
      </c>
      <c r="AN170" s="4">
        <v>0</v>
      </c>
      <c r="AO170" s="4">
        <v>0</v>
      </c>
      <c r="AP170" s="4">
        <v>11</v>
      </c>
      <c r="AQ170" s="4">
        <v>27</v>
      </c>
      <c r="AR170" s="3" t="s">
        <v>64</v>
      </c>
      <c r="AS170" s="3" t="s">
        <v>64</v>
      </c>
      <c r="AT170" s="3" t="s">
        <v>64</v>
      </c>
      <c r="AV170" s="6" t="str">
        <f>HYPERLINK("http://mcgill.on.worldcat.org/oclc/605014133","Catalog Record")</f>
        <v>Catalog Record</v>
      </c>
      <c r="AW170" s="6" t="str">
        <f>HYPERLINK("http://www.worldcat.org/oclc/605014133","WorldCat Record")</f>
        <v>WorldCat Record</v>
      </c>
      <c r="AX170" s="3" t="s">
        <v>1938</v>
      </c>
      <c r="AY170" s="3" t="s">
        <v>1939</v>
      </c>
      <c r="AZ170" s="3" t="s">
        <v>1940</v>
      </c>
      <c r="BA170" s="3" t="s">
        <v>1940</v>
      </c>
      <c r="BB170" s="3" t="s">
        <v>1941</v>
      </c>
      <c r="BC170" s="3" t="s">
        <v>78</v>
      </c>
      <c r="BD170" s="3" t="s">
        <v>79</v>
      </c>
      <c r="BE170" s="3" t="s">
        <v>1942</v>
      </c>
      <c r="BF170" s="3" t="s">
        <v>1941</v>
      </c>
      <c r="BG170" s="3" t="s">
        <v>1943</v>
      </c>
    </row>
    <row r="171" spans="1:59" ht="58" x14ac:dyDescent="0.35">
      <c r="A171" s="2" t="s">
        <v>59</v>
      </c>
      <c r="B171" s="2" t="s">
        <v>94</v>
      </c>
      <c r="C171" s="2" t="s">
        <v>1944</v>
      </c>
      <c r="D171" s="2" t="s">
        <v>1945</v>
      </c>
      <c r="E171" s="2" t="s">
        <v>1946</v>
      </c>
      <c r="G171" s="3" t="s">
        <v>64</v>
      </c>
      <c r="I171" s="3" t="s">
        <v>64</v>
      </c>
      <c r="J171" s="3" t="s">
        <v>64</v>
      </c>
      <c r="K171" s="3" t="s">
        <v>65</v>
      </c>
      <c r="L171" s="2" t="s">
        <v>1947</v>
      </c>
      <c r="M171" s="2" t="s">
        <v>1948</v>
      </c>
      <c r="N171" s="3" t="s">
        <v>340</v>
      </c>
      <c r="O171" s="2" t="s">
        <v>1949</v>
      </c>
      <c r="P171" s="3" t="s">
        <v>69</v>
      </c>
      <c r="R171" s="3" t="s">
        <v>70</v>
      </c>
      <c r="S171" s="4">
        <v>13</v>
      </c>
      <c r="T171" s="4">
        <v>13</v>
      </c>
      <c r="U171" s="5" t="s">
        <v>1825</v>
      </c>
      <c r="V171" s="5" t="s">
        <v>1825</v>
      </c>
      <c r="W171" s="5" t="s">
        <v>72</v>
      </c>
      <c r="X171" s="5" t="s">
        <v>72</v>
      </c>
      <c r="Y171" s="4">
        <v>107</v>
      </c>
      <c r="Z171" s="4">
        <v>2</v>
      </c>
      <c r="AA171" s="4">
        <v>62</v>
      </c>
      <c r="AB171" s="4">
        <v>1</v>
      </c>
      <c r="AC171" s="4">
        <v>2</v>
      </c>
      <c r="AD171" s="4">
        <v>8</v>
      </c>
      <c r="AE171" s="4">
        <v>136</v>
      </c>
      <c r="AF171" s="4">
        <v>0</v>
      </c>
      <c r="AG171" s="4">
        <v>1</v>
      </c>
      <c r="AH171" s="4">
        <v>8</v>
      </c>
      <c r="AI171" s="4">
        <v>108</v>
      </c>
      <c r="AJ171" s="4">
        <v>1</v>
      </c>
      <c r="AK171" s="4">
        <v>22</v>
      </c>
      <c r="AL171" s="4">
        <v>2</v>
      </c>
      <c r="AM171" s="4">
        <v>56</v>
      </c>
      <c r="AN171" s="4">
        <v>0</v>
      </c>
      <c r="AO171" s="4">
        <v>0</v>
      </c>
      <c r="AP171" s="4">
        <v>1</v>
      </c>
      <c r="AQ171" s="4">
        <v>36</v>
      </c>
      <c r="AR171" s="3" t="s">
        <v>64</v>
      </c>
      <c r="AS171" s="3" t="s">
        <v>64</v>
      </c>
      <c r="AT171" s="3" t="s">
        <v>64</v>
      </c>
      <c r="AV171" s="6" t="str">
        <f>HYPERLINK("http://mcgill.on.worldcat.org/oclc/41979504","Catalog Record")</f>
        <v>Catalog Record</v>
      </c>
      <c r="AW171" s="6" t="str">
        <f>HYPERLINK("http://www.worldcat.org/oclc/41979504","WorldCat Record")</f>
        <v>WorldCat Record</v>
      </c>
      <c r="AX171" s="3" t="s">
        <v>1950</v>
      </c>
      <c r="AY171" s="3" t="s">
        <v>1951</v>
      </c>
      <c r="AZ171" s="3" t="s">
        <v>1952</v>
      </c>
      <c r="BA171" s="3" t="s">
        <v>1952</v>
      </c>
      <c r="BB171" s="3" t="s">
        <v>1953</v>
      </c>
      <c r="BC171" s="3" t="s">
        <v>78</v>
      </c>
      <c r="BD171" s="3" t="s">
        <v>79</v>
      </c>
      <c r="BE171" s="3" t="s">
        <v>1954</v>
      </c>
      <c r="BF171" s="3" t="s">
        <v>1953</v>
      </c>
      <c r="BG171" s="3" t="s">
        <v>1955</v>
      </c>
    </row>
    <row r="172" spans="1:59" ht="58" x14ac:dyDescent="0.35">
      <c r="A172" s="2" t="s">
        <v>59</v>
      </c>
      <c r="B172" s="2" t="s">
        <v>94</v>
      </c>
      <c r="C172" s="2" t="s">
        <v>1956</v>
      </c>
      <c r="D172" s="2" t="s">
        <v>1957</v>
      </c>
      <c r="E172" s="2" t="s">
        <v>1958</v>
      </c>
      <c r="G172" s="3" t="s">
        <v>64</v>
      </c>
      <c r="I172" s="3" t="s">
        <v>64</v>
      </c>
      <c r="J172" s="3" t="s">
        <v>64</v>
      </c>
      <c r="K172" s="3" t="s">
        <v>65</v>
      </c>
      <c r="L172" s="2" t="s">
        <v>1959</v>
      </c>
      <c r="M172" s="2" t="s">
        <v>1960</v>
      </c>
      <c r="N172" s="3" t="s">
        <v>214</v>
      </c>
      <c r="P172" s="3" t="s">
        <v>69</v>
      </c>
      <c r="R172" s="3" t="s">
        <v>70</v>
      </c>
      <c r="S172" s="4">
        <v>4</v>
      </c>
      <c r="T172" s="4">
        <v>4</v>
      </c>
      <c r="U172" s="5" t="s">
        <v>1928</v>
      </c>
      <c r="V172" s="5" t="s">
        <v>1928</v>
      </c>
      <c r="W172" s="5" t="s">
        <v>72</v>
      </c>
      <c r="X172" s="5" t="s">
        <v>72</v>
      </c>
      <c r="Y172" s="4">
        <v>152</v>
      </c>
      <c r="Z172" s="4">
        <v>9</v>
      </c>
      <c r="AA172" s="4">
        <v>79</v>
      </c>
      <c r="AB172" s="4">
        <v>2</v>
      </c>
      <c r="AC172" s="4">
        <v>15</v>
      </c>
      <c r="AD172" s="4">
        <v>62</v>
      </c>
      <c r="AE172" s="4">
        <v>127</v>
      </c>
      <c r="AF172" s="4">
        <v>1</v>
      </c>
      <c r="AG172" s="4">
        <v>8</v>
      </c>
      <c r="AH172" s="4">
        <v>59</v>
      </c>
      <c r="AI172" s="4">
        <v>93</v>
      </c>
      <c r="AJ172" s="4">
        <v>5</v>
      </c>
      <c r="AK172" s="4">
        <v>21</v>
      </c>
      <c r="AL172" s="4">
        <v>37</v>
      </c>
      <c r="AM172" s="4">
        <v>49</v>
      </c>
      <c r="AN172" s="4">
        <v>0</v>
      </c>
      <c r="AO172" s="4">
        <v>0</v>
      </c>
      <c r="AP172" s="4">
        <v>5</v>
      </c>
      <c r="AQ172" s="4">
        <v>42</v>
      </c>
      <c r="AR172" s="3" t="s">
        <v>64</v>
      </c>
      <c r="AS172" s="3" t="s">
        <v>64</v>
      </c>
      <c r="AT172" s="3" t="s">
        <v>64</v>
      </c>
      <c r="AV172" s="6" t="str">
        <f>HYPERLINK("http://mcgill.on.worldcat.org/oclc/377831644","Catalog Record")</f>
        <v>Catalog Record</v>
      </c>
      <c r="AW172" s="6" t="str">
        <f>HYPERLINK("http://www.worldcat.org/oclc/377831644","WorldCat Record")</f>
        <v>WorldCat Record</v>
      </c>
      <c r="AX172" s="3" t="s">
        <v>1961</v>
      </c>
      <c r="AY172" s="3" t="s">
        <v>1962</v>
      </c>
      <c r="AZ172" s="3" t="s">
        <v>1963</v>
      </c>
      <c r="BA172" s="3" t="s">
        <v>1963</v>
      </c>
      <c r="BB172" s="3" t="s">
        <v>1964</v>
      </c>
      <c r="BC172" s="3" t="s">
        <v>78</v>
      </c>
      <c r="BD172" s="3" t="s">
        <v>79</v>
      </c>
      <c r="BE172" s="3" t="s">
        <v>1965</v>
      </c>
      <c r="BF172" s="3" t="s">
        <v>1964</v>
      </c>
      <c r="BG172" s="3" t="s">
        <v>1966</v>
      </c>
    </row>
    <row r="173" spans="1:59" ht="58" x14ac:dyDescent="0.35">
      <c r="A173" s="2" t="s">
        <v>59</v>
      </c>
      <c r="B173" s="2" t="s">
        <v>94</v>
      </c>
      <c r="C173" s="2" t="s">
        <v>1967</v>
      </c>
      <c r="D173" s="2" t="s">
        <v>1968</v>
      </c>
      <c r="E173" s="2" t="s">
        <v>1969</v>
      </c>
      <c r="G173" s="3" t="s">
        <v>64</v>
      </c>
      <c r="I173" s="3" t="s">
        <v>64</v>
      </c>
      <c r="J173" s="3" t="s">
        <v>64</v>
      </c>
      <c r="K173" s="3" t="s">
        <v>65</v>
      </c>
      <c r="M173" s="2" t="s">
        <v>1970</v>
      </c>
      <c r="N173" s="3" t="s">
        <v>1645</v>
      </c>
      <c r="P173" s="3" t="s">
        <v>69</v>
      </c>
      <c r="R173" s="3" t="s">
        <v>70</v>
      </c>
      <c r="S173" s="4">
        <v>0</v>
      </c>
      <c r="T173" s="4">
        <v>0</v>
      </c>
      <c r="W173" s="5" t="s">
        <v>1971</v>
      </c>
      <c r="X173" s="5" t="s">
        <v>1971</v>
      </c>
      <c r="Y173" s="4">
        <v>37</v>
      </c>
      <c r="Z173" s="4">
        <v>31</v>
      </c>
      <c r="AA173" s="4">
        <v>75</v>
      </c>
      <c r="AB173" s="4">
        <v>1</v>
      </c>
      <c r="AC173" s="4">
        <v>3</v>
      </c>
      <c r="AD173" s="4">
        <v>25</v>
      </c>
      <c r="AE173" s="4">
        <v>39</v>
      </c>
      <c r="AF173" s="4">
        <v>0</v>
      </c>
      <c r="AG173" s="4">
        <v>1</v>
      </c>
      <c r="AH173" s="4">
        <v>8</v>
      </c>
      <c r="AI173" s="4">
        <v>10</v>
      </c>
      <c r="AJ173" s="4">
        <v>11</v>
      </c>
      <c r="AK173" s="4">
        <v>18</v>
      </c>
      <c r="AL173" s="4">
        <v>0</v>
      </c>
      <c r="AM173" s="4">
        <v>1</v>
      </c>
      <c r="AN173" s="4">
        <v>0</v>
      </c>
      <c r="AO173" s="4">
        <v>0</v>
      </c>
      <c r="AP173" s="4">
        <v>24</v>
      </c>
      <c r="AQ173" s="4">
        <v>35</v>
      </c>
      <c r="AR173" s="3" t="s">
        <v>73</v>
      </c>
      <c r="AS173" s="3" t="s">
        <v>64</v>
      </c>
      <c r="AT173" s="3" t="s">
        <v>64</v>
      </c>
      <c r="AV173" s="6" t="str">
        <f>HYPERLINK("http://mcgill.on.worldcat.org/oclc/1007479578","Catalog Record")</f>
        <v>Catalog Record</v>
      </c>
      <c r="AW173" s="6" t="str">
        <f>HYPERLINK("http://www.worldcat.org/oclc/1007479578","WorldCat Record")</f>
        <v>WorldCat Record</v>
      </c>
      <c r="AX173" s="3" t="s">
        <v>1972</v>
      </c>
      <c r="AY173" s="3" t="s">
        <v>1973</v>
      </c>
      <c r="AZ173" s="3" t="s">
        <v>1974</v>
      </c>
      <c r="BA173" s="3" t="s">
        <v>1974</v>
      </c>
      <c r="BB173" s="3" t="s">
        <v>1975</v>
      </c>
      <c r="BC173" s="3" t="s">
        <v>78</v>
      </c>
      <c r="BD173" s="3" t="s">
        <v>79</v>
      </c>
      <c r="BE173" s="3" t="s">
        <v>1976</v>
      </c>
      <c r="BF173" s="3" t="s">
        <v>1975</v>
      </c>
      <c r="BG173" s="3" t="s">
        <v>1977</v>
      </c>
    </row>
    <row r="174" spans="1:59" ht="58" x14ac:dyDescent="0.35">
      <c r="A174" s="2" t="s">
        <v>59</v>
      </c>
      <c r="B174" s="2" t="s">
        <v>94</v>
      </c>
      <c r="C174" s="2" t="s">
        <v>1978</v>
      </c>
      <c r="D174" s="2" t="s">
        <v>1979</v>
      </c>
      <c r="E174" s="2" t="s">
        <v>1980</v>
      </c>
      <c r="G174" s="3" t="s">
        <v>64</v>
      </c>
      <c r="I174" s="3" t="s">
        <v>64</v>
      </c>
      <c r="J174" s="3" t="s">
        <v>64</v>
      </c>
      <c r="K174" s="3" t="s">
        <v>65</v>
      </c>
      <c r="L174" s="2" t="s">
        <v>1981</v>
      </c>
      <c r="M174" s="2" t="s">
        <v>1982</v>
      </c>
      <c r="N174" s="3" t="s">
        <v>705</v>
      </c>
      <c r="O174" s="2" t="s">
        <v>1983</v>
      </c>
      <c r="P174" s="3" t="s">
        <v>69</v>
      </c>
      <c r="R174" s="3" t="s">
        <v>70</v>
      </c>
      <c r="S174" s="4">
        <v>47</v>
      </c>
      <c r="T174" s="4">
        <v>47</v>
      </c>
      <c r="U174" s="5" t="s">
        <v>1984</v>
      </c>
      <c r="V174" s="5" t="s">
        <v>1984</v>
      </c>
      <c r="W174" s="5" t="s">
        <v>72</v>
      </c>
      <c r="X174" s="5" t="s">
        <v>72</v>
      </c>
      <c r="Y174" s="4">
        <v>633</v>
      </c>
      <c r="Z174" s="4">
        <v>23</v>
      </c>
      <c r="AA174" s="4">
        <v>88</v>
      </c>
      <c r="AB174" s="4">
        <v>1</v>
      </c>
      <c r="AC174" s="4">
        <v>8</v>
      </c>
      <c r="AD174" s="4">
        <v>41</v>
      </c>
      <c r="AE174" s="4">
        <v>140</v>
      </c>
      <c r="AF174" s="4">
        <v>0</v>
      </c>
      <c r="AG174" s="4">
        <v>3</v>
      </c>
      <c r="AH174" s="4">
        <v>31</v>
      </c>
      <c r="AI174" s="4">
        <v>107</v>
      </c>
      <c r="AJ174" s="4">
        <v>6</v>
      </c>
      <c r="AK174" s="4">
        <v>22</v>
      </c>
      <c r="AL174" s="4">
        <v>19</v>
      </c>
      <c r="AM174" s="4">
        <v>57</v>
      </c>
      <c r="AN174" s="4">
        <v>0</v>
      </c>
      <c r="AO174" s="4">
        <v>0</v>
      </c>
      <c r="AP174" s="4">
        <v>12</v>
      </c>
      <c r="AQ174" s="4">
        <v>40</v>
      </c>
      <c r="AR174" s="3" t="s">
        <v>64</v>
      </c>
      <c r="AS174" s="3" t="s">
        <v>64</v>
      </c>
      <c r="AT174" s="3" t="s">
        <v>64</v>
      </c>
      <c r="AV174" s="6" t="str">
        <f>HYPERLINK("http://mcgill.on.worldcat.org/oclc/36544198","Catalog Record")</f>
        <v>Catalog Record</v>
      </c>
      <c r="AW174" s="6" t="str">
        <f>HYPERLINK("http://www.worldcat.org/oclc/36544198","WorldCat Record")</f>
        <v>WorldCat Record</v>
      </c>
      <c r="AX174" s="3" t="s">
        <v>1985</v>
      </c>
      <c r="AY174" s="3" t="s">
        <v>1986</v>
      </c>
      <c r="AZ174" s="3" t="s">
        <v>1987</v>
      </c>
      <c r="BA174" s="3" t="s">
        <v>1987</v>
      </c>
      <c r="BB174" s="3" t="s">
        <v>1988</v>
      </c>
      <c r="BC174" s="3" t="s">
        <v>78</v>
      </c>
      <c r="BD174" s="3" t="s">
        <v>414</v>
      </c>
      <c r="BE174" s="3" t="s">
        <v>1989</v>
      </c>
      <c r="BF174" s="3" t="s">
        <v>1988</v>
      </c>
      <c r="BG174" s="3" t="s">
        <v>1990</v>
      </c>
    </row>
    <row r="175" spans="1:59" ht="58" x14ac:dyDescent="0.35">
      <c r="A175" s="2" t="s">
        <v>59</v>
      </c>
      <c r="B175" s="2" t="s">
        <v>94</v>
      </c>
      <c r="C175" s="2" t="s">
        <v>1991</v>
      </c>
      <c r="D175" s="2" t="s">
        <v>1992</v>
      </c>
      <c r="E175" s="2" t="s">
        <v>1993</v>
      </c>
      <c r="G175" s="3" t="s">
        <v>64</v>
      </c>
      <c r="I175" s="3" t="s">
        <v>64</v>
      </c>
      <c r="J175" s="3" t="s">
        <v>64</v>
      </c>
      <c r="K175" s="3" t="s">
        <v>65</v>
      </c>
      <c r="L175" s="2" t="s">
        <v>1994</v>
      </c>
      <c r="M175" s="2" t="s">
        <v>1995</v>
      </c>
      <c r="N175" s="3" t="s">
        <v>328</v>
      </c>
      <c r="P175" s="3" t="s">
        <v>69</v>
      </c>
      <c r="Q175" s="2" t="s">
        <v>1996</v>
      </c>
      <c r="R175" s="3" t="s">
        <v>70</v>
      </c>
      <c r="S175" s="4">
        <v>4</v>
      </c>
      <c r="T175" s="4">
        <v>4</v>
      </c>
      <c r="U175" s="5" t="s">
        <v>1997</v>
      </c>
      <c r="V175" s="5" t="s">
        <v>1997</v>
      </c>
      <c r="W175" s="5" t="s">
        <v>72</v>
      </c>
      <c r="X175" s="5" t="s">
        <v>72</v>
      </c>
      <c r="Y175" s="4">
        <v>330</v>
      </c>
      <c r="Z175" s="4">
        <v>13</v>
      </c>
      <c r="AA175" s="4">
        <v>16</v>
      </c>
      <c r="AB175" s="4">
        <v>1</v>
      </c>
      <c r="AC175" s="4">
        <v>3</v>
      </c>
      <c r="AD175" s="4">
        <v>67</v>
      </c>
      <c r="AE175" s="4">
        <v>69</v>
      </c>
      <c r="AF175" s="4">
        <v>0</v>
      </c>
      <c r="AG175" s="4">
        <v>0</v>
      </c>
      <c r="AH175" s="4">
        <v>62</v>
      </c>
      <c r="AI175" s="4">
        <v>63</v>
      </c>
      <c r="AJ175" s="4">
        <v>10</v>
      </c>
      <c r="AK175" s="4">
        <v>10</v>
      </c>
      <c r="AL175" s="4">
        <v>38</v>
      </c>
      <c r="AM175" s="4">
        <v>38</v>
      </c>
      <c r="AN175" s="4">
        <v>0</v>
      </c>
      <c r="AO175" s="4">
        <v>0</v>
      </c>
      <c r="AP175" s="4">
        <v>10</v>
      </c>
      <c r="AQ175" s="4">
        <v>11</v>
      </c>
      <c r="AR175" s="3" t="s">
        <v>64</v>
      </c>
      <c r="AS175" s="3" t="s">
        <v>64</v>
      </c>
      <c r="AT175" s="3" t="s">
        <v>64</v>
      </c>
      <c r="AV175" s="6" t="str">
        <f>HYPERLINK("http://mcgill.on.worldcat.org/oclc/681500342","Catalog Record")</f>
        <v>Catalog Record</v>
      </c>
      <c r="AW175" s="6" t="str">
        <f>HYPERLINK("http://www.worldcat.org/oclc/681500342","WorldCat Record")</f>
        <v>WorldCat Record</v>
      </c>
      <c r="AX175" s="3" t="s">
        <v>1998</v>
      </c>
      <c r="AY175" s="3" t="s">
        <v>1999</v>
      </c>
      <c r="AZ175" s="3" t="s">
        <v>2000</v>
      </c>
      <c r="BA175" s="3" t="s">
        <v>2000</v>
      </c>
      <c r="BB175" s="3" t="s">
        <v>2001</v>
      </c>
      <c r="BC175" s="3" t="s">
        <v>78</v>
      </c>
      <c r="BD175" s="3" t="s">
        <v>79</v>
      </c>
      <c r="BE175" s="3" t="s">
        <v>2002</v>
      </c>
      <c r="BF175" s="3" t="s">
        <v>2001</v>
      </c>
      <c r="BG175" s="3" t="s">
        <v>2003</v>
      </c>
    </row>
    <row r="176" spans="1:59" ht="58" x14ac:dyDescent="0.35">
      <c r="A176" s="2" t="s">
        <v>59</v>
      </c>
      <c r="B176" s="2" t="s">
        <v>94</v>
      </c>
      <c r="C176" s="2" t="s">
        <v>2004</v>
      </c>
      <c r="D176" s="2" t="s">
        <v>2005</v>
      </c>
      <c r="E176" s="2" t="s">
        <v>2006</v>
      </c>
      <c r="G176" s="3" t="s">
        <v>64</v>
      </c>
      <c r="I176" s="3" t="s">
        <v>64</v>
      </c>
      <c r="J176" s="3" t="s">
        <v>64</v>
      </c>
      <c r="K176" s="3" t="s">
        <v>65</v>
      </c>
      <c r="M176" s="2" t="s">
        <v>2007</v>
      </c>
      <c r="N176" s="3" t="s">
        <v>328</v>
      </c>
      <c r="P176" s="3" t="s">
        <v>69</v>
      </c>
      <c r="Q176" s="2" t="s">
        <v>2008</v>
      </c>
      <c r="R176" s="3" t="s">
        <v>70</v>
      </c>
      <c r="S176" s="4">
        <v>0</v>
      </c>
      <c r="T176" s="4">
        <v>0</v>
      </c>
      <c r="W176" s="5" t="s">
        <v>72</v>
      </c>
      <c r="X176" s="5" t="s">
        <v>72</v>
      </c>
      <c r="Y176" s="4">
        <v>106</v>
      </c>
      <c r="Z176" s="4">
        <v>8</v>
      </c>
      <c r="AA176" s="4">
        <v>9</v>
      </c>
      <c r="AB176" s="4">
        <v>1</v>
      </c>
      <c r="AC176" s="4">
        <v>1</v>
      </c>
      <c r="AD176" s="4">
        <v>50</v>
      </c>
      <c r="AE176" s="4">
        <v>55</v>
      </c>
      <c r="AF176" s="4">
        <v>0</v>
      </c>
      <c r="AG176" s="4">
        <v>0</v>
      </c>
      <c r="AH176" s="4">
        <v>48</v>
      </c>
      <c r="AI176" s="4">
        <v>53</v>
      </c>
      <c r="AJ176" s="4">
        <v>5</v>
      </c>
      <c r="AK176" s="4">
        <v>6</v>
      </c>
      <c r="AL176" s="4">
        <v>26</v>
      </c>
      <c r="AM176" s="4">
        <v>28</v>
      </c>
      <c r="AN176" s="4">
        <v>0</v>
      </c>
      <c r="AO176" s="4">
        <v>0</v>
      </c>
      <c r="AP176" s="4">
        <v>6</v>
      </c>
      <c r="AQ176" s="4">
        <v>7</v>
      </c>
      <c r="AR176" s="3" t="s">
        <v>64</v>
      </c>
      <c r="AS176" s="3" t="s">
        <v>64</v>
      </c>
      <c r="AT176" s="3" t="s">
        <v>64</v>
      </c>
      <c r="AV176" s="6" t="str">
        <f>HYPERLINK("http://mcgill.on.worldcat.org/oclc/701622850","Catalog Record")</f>
        <v>Catalog Record</v>
      </c>
      <c r="AW176" s="6" t="str">
        <f>HYPERLINK("http://www.worldcat.org/oclc/701622850","WorldCat Record")</f>
        <v>WorldCat Record</v>
      </c>
      <c r="AX176" s="3" t="s">
        <v>2009</v>
      </c>
      <c r="AY176" s="3" t="s">
        <v>2010</v>
      </c>
      <c r="AZ176" s="3" t="s">
        <v>2011</v>
      </c>
      <c r="BA176" s="3" t="s">
        <v>2011</v>
      </c>
      <c r="BB176" s="3" t="s">
        <v>2012</v>
      </c>
      <c r="BC176" s="3" t="s">
        <v>78</v>
      </c>
      <c r="BD176" s="3" t="s">
        <v>79</v>
      </c>
      <c r="BE176" s="3" t="s">
        <v>2013</v>
      </c>
      <c r="BF176" s="3" t="s">
        <v>2012</v>
      </c>
      <c r="BG176" s="3" t="s">
        <v>2014</v>
      </c>
    </row>
    <row r="177" spans="1:59" ht="58" x14ac:dyDescent="0.35">
      <c r="A177" s="2" t="s">
        <v>59</v>
      </c>
      <c r="B177" s="2" t="s">
        <v>94</v>
      </c>
      <c r="C177" s="2" t="s">
        <v>2015</v>
      </c>
      <c r="D177" s="2" t="s">
        <v>2016</v>
      </c>
      <c r="E177" s="2" t="s">
        <v>2017</v>
      </c>
      <c r="G177" s="3" t="s">
        <v>64</v>
      </c>
      <c r="I177" s="3" t="s">
        <v>64</v>
      </c>
      <c r="J177" s="3" t="s">
        <v>64</v>
      </c>
      <c r="K177" s="3" t="s">
        <v>65</v>
      </c>
      <c r="L177" s="2" t="s">
        <v>762</v>
      </c>
      <c r="M177" s="2" t="s">
        <v>2018</v>
      </c>
      <c r="N177" s="3" t="s">
        <v>861</v>
      </c>
      <c r="P177" s="3" t="s">
        <v>69</v>
      </c>
      <c r="R177" s="3" t="s">
        <v>70</v>
      </c>
      <c r="S177" s="4">
        <v>3</v>
      </c>
      <c r="T177" s="4">
        <v>3</v>
      </c>
      <c r="U177" s="5" t="s">
        <v>2019</v>
      </c>
      <c r="V177" s="5" t="s">
        <v>2019</v>
      </c>
      <c r="W177" s="5" t="s">
        <v>72</v>
      </c>
      <c r="X177" s="5" t="s">
        <v>72</v>
      </c>
      <c r="Y177" s="4">
        <v>490</v>
      </c>
      <c r="Z177" s="4">
        <v>25</v>
      </c>
      <c r="AA177" s="4">
        <v>112</v>
      </c>
      <c r="AB177" s="4">
        <v>3</v>
      </c>
      <c r="AC177" s="4">
        <v>19</v>
      </c>
      <c r="AD177" s="4">
        <v>104</v>
      </c>
      <c r="AE177" s="4">
        <v>145</v>
      </c>
      <c r="AF177" s="4">
        <v>1</v>
      </c>
      <c r="AG177" s="4">
        <v>8</v>
      </c>
      <c r="AH177" s="4">
        <v>93</v>
      </c>
      <c r="AI177" s="4">
        <v>107</v>
      </c>
      <c r="AJ177" s="4">
        <v>14</v>
      </c>
      <c r="AK177" s="4">
        <v>24</v>
      </c>
      <c r="AL177" s="4">
        <v>53</v>
      </c>
      <c r="AM177" s="4">
        <v>54</v>
      </c>
      <c r="AN177" s="4">
        <v>0</v>
      </c>
      <c r="AO177" s="4">
        <v>0</v>
      </c>
      <c r="AP177" s="4">
        <v>16</v>
      </c>
      <c r="AQ177" s="4">
        <v>47</v>
      </c>
      <c r="AR177" s="3" t="s">
        <v>64</v>
      </c>
      <c r="AS177" s="3" t="s">
        <v>64</v>
      </c>
      <c r="AT177" s="3" t="s">
        <v>64</v>
      </c>
      <c r="AV177" s="6" t="str">
        <f>HYPERLINK("http://mcgill.on.worldcat.org/oclc/55085723","Catalog Record")</f>
        <v>Catalog Record</v>
      </c>
      <c r="AW177" s="6" t="str">
        <f>HYPERLINK("http://www.worldcat.org/oclc/55085723","WorldCat Record")</f>
        <v>WorldCat Record</v>
      </c>
      <c r="AX177" s="3" t="s">
        <v>2020</v>
      </c>
      <c r="AY177" s="3" t="s">
        <v>2021</v>
      </c>
      <c r="AZ177" s="3" t="s">
        <v>2022</v>
      </c>
      <c r="BA177" s="3" t="s">
        <v>2022</v>
      </c>
      <c r="BB177" s="3" t="s">
        <v>2023</v>
      </c>
      <c r="BC177" s="3" t="s">
        <v>78</v>
      </c>
      <c r="BD177" s="3" t="s">
        <v>79</v>
      </c>
      <c r="BE177" s="3" t="s">
        <v>2024</v>
      </c>
      <c r="BF177" s="3" t="s">
        <v>2023</v>
      </c>
      <c r="BG177" s="3" t="s">
        <v>2025</v>
      </c>
    </row>
    <row r="178" spans="1:59" ht="58" x14ac:dyDescent="0.35">
      <c r="A178" s="2" t="s">
        <v>59</v>
      </c>
      <c r="B178" s="2" t="s">
        <v>94</v>
      </c>
      <c r="C178" s="2" t="s">
        <v>2026</v>
      </c>
      <c r="D178" s="2" t="s">
        <v>2027</v>
      </c>
      <c r="E178" s="2" t="s">
        <v>2028</v>
      </c>
      <c r="G178" s="3" t="s">
        <v>64</v>
      </c>
      <c r="I178" s="3" t="s">
        <v>64</v>
      </c>
      <c r="J178" s="3" t="s">
        <v>64</v>
      </c>
      <c r="K178" s="3" t="s">
        <v>65</v>
      </c>
      <c r="L178" s="2" t="s">
        <v>2029</v>
      </c>
      <c r="M178" s="2" t="s">
        <v>2030</v>
      </c>
      <c r="N178" s="3" t="s">
        <v>524</v>
      </c>
      <c r="P178" s="3" t="s">
        <v>69</v>
      </c>
      <c r="Q178" s="2" t="s">
        <v>2031</v>
      </c>
      <c r="R178" s="3" t="s">
        <v>70</v>
      </c>
      <c r="S178" s="4">
        <v>0</v>
      </c>
      <c r="T178" s="4">
        <v>0</v>
      </c>
      <c r="W178" s="5" t="s">
        <v>72</v>
      </c>
      <c r="X178" s="5" t="s">
        <v>72</v>
      </c>
      <c r="Y178" s="4">
        <v>67</v>
      </c>
      <c r="Z178" s="4">
        <v>4</v>
      </c>
      <c r="AA178" s="4">
        <v>104</v>
      </c>
      <c r="AB178" s="4">
        <v>1</v>
      </c>
      <c r="AC178" s="4">
        <v>17</v>
      </c>
      <c r="AD178" s="4">
        <v>42</v>
      </c>
      <c r="AE178" s="4">
        <v>129</v>
      </c>
      <c r="AF178" s="4">
        <v>0</v>
      </c>
      <c r="AG178" s="4">
        <v>8</v>
      </c>
      <c r="AH178" s="4">
        <v>41</v>
      </c>
      <c r="AI178" s="4">
        <v>89</v>
      </c>
      <c r="AJ178" s="4">
        <v>3</v>
      </c>
      <c r="AK178" s="4">
        <v>21</v>
      </c>
      <c r="AL178" s="4">
        <v>22</v>
      </c>
      <c r="AM178" s="4">
        <v>48</v>
      </c>
      <c r="AN178" s="4">
        <v>0</v>
      </c>
      <c r="AO178" s="4">
        <v>0</v>
      </c>
      <c r="AP178" s="4">
        <v>3</v>
      </c>
      <c r="AQ178" s="4">
        <v>44</v>
      </c>
      <c r="AR178" s="3" t="s">
        <v>64</v>
      </c>
      <c r="AS178" s="3" t="s">
        <v>64</v>
      </c>
      <c r="AT178" s="3" t="s">
        <v>64</v>
      </c>
      <c r="AV178" s="6" t="str">
        <f>HYPERLINK("http://mcgill.on.worldcat.org/oclc/835951521","Catalog Record")</f>
        <v>Catalog Record</v>
      </c>
      <c r="AW178" s="6" t="str">
        <f>HYPERLINK("http://www.worldcat.org/oclc/835951521","WorldCat Record")</f>
        <v>WorldCat Record</v>
      </c>
      <c r="AX178" s="3" t="s">
        <v>2032</v>
      </c>
      <c r="AY178" s="3" t="s">
        <v>2033</v>
      </c>
      <c r="AZ178" s="3" t="s">
        <v>2034</v>
      </c>
      <c r="BA178" s="3" t="s">
        <v>2034</v>
      </c>
      <c r="BB178" s="3" t="s">
        <v>2035</v>
      </c>
      <c r="BC178" s="3" t="s">
        <v>78</v>
      </c>
      <c r="BD178" s="3" t="s">
        <v>79</v>
      </c>
      <c r="BE178" s="3" t="s">
        <v>2036</v>
      </c>
      <c r="BF178" s="3" t="s">
        <v>2035</v>
      </c>
      <c r="BG178" s="3" t="s">
        <v>2037</v>
      </c>
    </row>
    <row r="179" spans="1:59" ht="58" x14ac:dyDescent="0.35">
      <c r="A179" s="2" t="s">
        <v>59</v>
      </c>
      <c r="B179" s="2" t="s">
        <v>94</v>
      </c>
      <c r="C179" s="2" t="s">
        <v>2038</v>
      </c>
      <c r="D179" s="2" t="s">
        <v>2039</v>
      </c>
      <c r="E179" s="2" t="s">
        <v>2040</v>
      </c>
      <c r="G179" s="3" t="s">
        <v>64</v>
      </c>
      <c r="I179" s="3" t="s">
        <v>73</v>
      </c>
      <c r="J179" s="3" t="s">
        <v>64</v>
      </c>
      <c r="K179" s="3" t="s">
        <v>65</v>
      </c>
      <c r="L179" s="2" t="s">
        <v>2041</v>
      </c>
      <c r="M179" s="2" t="s">
        <v>2042</v>
      </c>
      <c r="N179" s="3" t="s">
        <v>473</v>
      </c>
      <c r="P179" s="3" t="s">
        <v>69</v>
      </c>
      <c r="R179" s="3" t="s">
        <v>70</v>
      </c>
      <c r="S179" s="4">
        <v>8</v>
      </c>
      <c r="T179" s="4">
        <v>23</v>
      </c>
      <c r="U179" s="5" t="s">
        <v>2043</v>
      </c>
      <c r="V179" s="5" t="s">
        <v>2044</v>
      </c>
      <c r="W179" s="5" t="s">
        <v>72</v>
      </c>
      <c r="X179" s="5" t="s">
        <v>72</v>
      </c>
      <c r="Y179" s="4">
        <v>1053</v>
      </c>
      <c r="Z179" s="4">
        <v>49</v>
      </c>
      <c r="AA179" s="4">
        <v>60</v>
      </c>
      <c r="AB179" s="4">
        <v>3</v>
      </c>
      <c r="AC179" s="4">
        <v>6</v>
      </c>
      <c r="AD179" s="4">
        <v>132</v>
      </c>
      <c r="AE179" s="4">
        <v>137</v>
      </c>
      <c r="AF179" s="4">
        <v>2</v>
      </c>
      <c r="AG179" s="4">
        <v>3</v>
      </c>
      <c r="AH179" s="4">
        <v>109</v>
      </c>
      <c r="AI179" s="4">
        <v>109</v>
      </c>
      <c r="AJ179" s="4">
        <v>21</v>
      </c>
      <c r="AK179" s="4">
        <v>22</v>
      </c>
      <c r="AL179" s="4">
        <v>57</v>
      </c>
      <c r="AM179" s="4">
        <v>58</v>
      </c>
      <c r="AN179" s="4">
        <v>0</v>
      </c>
      <c r="AO179" s="4">
        <v>0</v>
      </c>
      <c r="AP179" s="4">
        <v>34</v>
      </c>
      <c r="AQ179" s="4">
        <v>38</v>
      </c>
      <c r="AR179" s="3" t="s">
        <v>64</v>
      </c>
      <c r="AS179" s="3" t="s">
        <v>64</v>
      </c>
      <c r="AT179" s="3" t="s">
        <v>64</v>
      </c>
      <c r="AV179" s="6" t="str">
        <f>HYPERLINK("http://mcgill.on.worldcat.org/oclc/20012821","Catalog Record")</f>
        <v>Catalog Record</v>
      </c>
      <c r="AW179" s="6" t="str">
        <f>HYPERLINK("http://www.worldcat.org/oclc/20012821","WorldCat Record")</f>
        <v>WorldCat Record</v>
      </c>
      <c r="AX179" s="3" t="s">
        <v>2045</v>
      </c>
      <c r="AY179" s="3" t="s">
        <v>2046</v>
      </c>
      <c r="AZ179" s="3" t="s">
        <v>2047</v>
      </c>
      <c r="BA179" s="3" t="s">
        <v>2047</v>
      </c>
      <c r="BB179" s="3" t="s">
        <v>2048</v>
      </c>
      <c r="BC179" s="3" t="s">
        <v>78</v>
      </c>
      <c r="BD179" s="3" t="s">
        <v>79</v>
      </c>
      <c r="BE179" s="3" t="s">
        <v>2049</v>
      </c>
      <c r="BF179" s="3" t="s">
        <v>2048</v>
      </c>
      <c r="BG179" s="3" t="s">
        <v>2050</v>
      </c>
    </row>
    <row r="180" spans="1:59" ht="58" x14ac:dyDescent="0.35">
      <c r="A180" s="2" t="s">
        <v>59</v>
      </c>
      <c r="B180" s="2" t="s">
        <v>94</v>
      </c>
      <c r="C180" s="2" t="s">
        <v>2038</v>
      </c>
      <c r="D180" s="2" t="s">
        <v>2039</v>
      </c>
      <c r="E180" s="2" t="s">
        <v>2040</v>
      </c>
      <c r="G180" s="3" t="s">
        <v>64</v>
      </c>
      <c r="I180" s="3" t="s">
        <v>73</v>
      </c>
      <c r="J180" s="3" t="s">
        <v>64</v>
      </c>
      <c r="K180" s="3" t="s">
        <v>65</v>
      </c>
      <c r="L180" s="2" t="s">
        <v>2041</v>
      </c>
      <c r="M180" s="2" t="s">
        <v>2042</v>
      </c>
      <c r="N180" s="3" t="s">
        <v>473</v>
      </c>
      <c r="P180" s="3" t="s">
        <v>69</v>
      </c>
      <c r="R180" s="3" t="s">
        <v>70</v>
      </c>
      <c r="S180" s="4">
        <v>15</v>
      </c>
      <c r="T180" s="4">
        <v>23</v>
      </c>
      <c r="U180" s="5" t="s">
        <v>2044</v>
      </c>
      <c r="V180" s="5" t="s">
        <v>2044</v>
      </c>
      <c r="W180" s="5" t="s">
        <v>72</v>
      </c>
      <c r="X180" s="5" t="s">
        <v>72</v>
      </c>
      <c r="Y180" s="4">
        <v>1053</v>
      </c>
      <c r="Z180" s="4">
        <v>49</v>
      </c>
      <c r="AA180" s="4">
        <v>60</v>
      </c>
      <c r="AB180" s="4">
        <v>3</v>
      </c>
      <c r="AC180" s="4">
        <v>6</v>
      </c>
      <c r="AD180" s="4">
        <v>132</v>
      </c>
      <c r="AE180" s="4">
        <v>137</v>
      </c>
      <c r="AF180" s="4">
        <v>2</v>
      </c>
      <c r="AG180" s="4">
        <v>3</v>
      </c>
      <c r="AH180" s="4">
        <v>109</v>
      </c>
      <c r="AI180" s="4">
        <v>109</v>
      </c>
      <c r="AJ180" s="4">
        <v>21</v>
      </c>
      <c r="AK180" s="4">
        <v>22</v>
      </c>
      <c r="AL180" s="4">
        <v>57</v>
      </c>
      <c r="AM180" s="4">
        <v>58</v>
      </c>
      <c r="AN180" s="4">
        <v>0</v>
      </c>
      <c r="AO180" s="4">
        <v>0</v>
      </c>
      <c r="AP180" s="4">
        <v>34</v>
      </c>
      <c r="AQ180" s="4">
        <v>38</v>
      </c>
      <c r="AR180" s="3" t="s">
        <v>64</v>
      </c>
      <c r="AS180" s="3" t="s">
        <v>64</v>
      </c>
      <c r="AT180" s="3" t="s">
        <v>64</v>
      </c>
      <c r="AV180" s="6" t="str">
        <f>HYPERLINK("http://mcgill.on.worldcat.org/oclc/20012821","Catalog Record")</f>
        <v>Catalog Record</v>
      </c>
      <c r="AW180" s="6" t="str">
        <f>HYPERLINK("http://www.worldcat.org/oclc/20012821","WorldCat Record")</f>
        <v>WorldCat Record</v>
      </c>
      <c r="AX180" s="3" t="s">
        <v>2045</v>
      </c>
      <c r="AY180" s="3" t="s">
        <v>2046</v>
      </c>
      <c r="AZ180" s="3" t="s">
        <v>2047</v>
      </c>
      <c r="BA180" s="3" t="s">
        <v>2047</v>
      </c>
      <c r="BB180" s="3" t="s">
        <v>2051</v>
      </c>
      <c r="BC180" s="3" t="s">
        <v>78</v>
      </c>
      <c r="BD180" s="3" t="s">
        <v>79</v>
      </c>
      <c r="BE180" s="3" t="s">
        <v>2049</v>
      </c>
      <c r="BF180" s="3" t="s">
        <v>2051</v>
      </c>
      <c r="BG180" s="3" t="s">
        <v>2052</v>
      </c>
    </row>
    <row r="181" spans="1:59" ht="58" x14ac:dyDescent="0.35">
      <c r="A181" s="2" t="s">
        <v>59</v>
      </c>
      <c r="B181" s="2" t="s">
        <v>94</v>
      </c>
      <c r="C181" s="2" t="s">
        <v>2053</v>
      </c>
      <c r="D181" s="2" t="s">
        <v>2054</v>
      </c>
      <c r="E181" s="2" t="s">
        <v>2055</v>
      </c>
      <c r="G181" s="3" t="s">
        <v>64</v>
      </c>
      <c r="I181" s="3" t="s">
        <v>64</v>
      </c>
      <c r="J181" s="3" t="s">
        <v>64</v>
      </c>
      <c r="K181" s="3" t="s">
        <v>65</v>
      </c>
      <c r="M181" s="2" t="s">
        <v>2056</v>
      </c>
      <c r="N181" s="3" t="s">
        <v>377</v>
      </c>
      <c r="P181" s="3" t="s">
        <v>69</v>
      </c>
      <c r="Q181" s="2" t="s">
        <v>2057</v>
      </c>
      <c r="R181" s="3" t="s">
        <v>70</v>
      </c>
      <c r="S181" s="4">
        <v>3</v>
      </c>
      <c r="T181" s="4">
        <v>3</v>
      </c>
      <c r="U181" s="5" t="s">
        <v>2058</v>
      </c>
      <c r="V181" s="5" t="s">
        <v>2058</v>
      </c>
      <c r="W181" s="5" t="s">
        <v>72</v>
      </c>
      <c r="X181" s="5" t="s">
        <v>72</v>
      </c>
      <c r="Y181" s="4">
        <v>162</v>
      </c>
      <c r="Z181" s="4">
        <v>12</v>
      </c>
      <c r="AA181" s="4">
        <v>18</v>
      </c>
      <c r="AB181" s="4">
        <v>1</v>
      </c>
      <c r="AC181" s="4">
        <v>2</v>
      </c>
      <c r="AD181" s="4">
        <v>51</v>
      </c>
      <c r="AE181" s="4">
        <v>62</v>
      </c>
      <c r="AF181" s="4">
        <v>0</v>
      </c>
      <c r="AG181" s="4">
        <v>1</v>
      </c>
      <c r="AH181" s="4">
        <v>48</v>
      </c>
      <c r="AI181" s="4">
        <v>55</v>
      </c>
      <c r="AJ181" s="4">
        <v>10</v>
      </c>
      <c r="AK181" s="4">
        <v>13</v>
      </c>
      <c r="AL181" s="4">
        <v>27</v>
      </c>
      <c r="AM181" s="4">
        <v>31</v>
      </c>
      <c r="AN181" s="4">
        <v>0</v>
      </c>
      <c r="AO181" s="4">
        <v>0</v>
      </c>
      <c r="AP181" s="4">
        <v>10</v>
      </c>
      <c r="AQ181" s="4">
        <v>15</v>
      </c>
      <c r="AR181" s="3" t="s">
        <v>64</v>
      </c>
      <c r="AS181" s="3" t="s">
        <v>64</v>
      </c>
      <c r="AT181" s="3" t="s">
        <v>64</v>
      </c>
      <c r="AV181" s="6" t="str">
        <f>HYPERLINK("http://mcgill.on.worldcat.org/oclc/713834813","Catalog Record")</f>
        <v>Catalog Record</v>
      </c>
      <c r="AW181" s="6" t="str">
        <f>HYPERLINK("http://www.worldcat.org/oclc/713834813","WorldCat Record")</f>
        <v>WorldCat Record</v>
      </c>
      <c r="AX181" s="3" t="s">
        <v>2059</v>
      </c>
      <c r="AY181" s="3" t="s">
        <v>2060</v>
      </c>
      <c r="AZ181" s="3" t="s">
        <v>2061</v>
      </c>
      <c r="BA181" s="3" t="s">
        <v>2061</v>
      </c>
      <c r="BB181" s="3" t="s">
        <v>2062</v>
      </c>
      <c r="BC181" s="3" t="s">
        <v>78</v>
      </c>
      <c r="BD181" s="3" t="s">
        <v>79</v>
      </c>
      <c r="BE181" s="3" t="s">
        <v>2063</v>
      </c>
      <c r="BF181" s="3" t="s">
        <v>2062</v>
      </c>
      <c r="BG181" s="3" t="s">
        <v>2064</v>
      </c>
    </row>
    <row r="182" spans="1:59" ht="58" x14ac:dyDescent="0.35">
      <c r="A182" s="2" t="s">
        <v>59</v>
      </c>
      <c r="B182" s="2" t="s">
        <v>94</v>
      </c>
      <c r="C182" s="2" t="s">
        <v>2065</v>
      </c>
      <c r="D182" s="2" t="s">
        <v>2066</v>
      </c>
      <c r="E182" s="2" t="s">
        <v>2067</v>
      </c>
      <c r="G182" s="3" t="s">
        <v>64</v>
      </c>
      <c r="I182" s="3" t="s">
        <v>64</v>
      </c>
      <c r="J182" s="3" t="s">
        <v>64</v>
      </c>
      <c r="K182" s="3" t="s">
        <v>65</v>
      </c>
      <c r="M182" s="2" t="s">
        <v>2068</v>
      </c>
      <c r="N182" s="3" t="s">
        <v>328</v>
      </c>
      <c r="P182" s="3" t="s">
        <v>69</v>
      </c>
      <c r="R182" s="3" t="s">
        <v>70</v>
      </c>
      <c r="S182" s="4">
        <v>4</v>
      </c>
      <c r="T182" s="4">
        <v>4</v>
      </c>
      <c r="U182" s="5" t="s">
        <v>2069</v>
      </c>
      <c r="V182" s="5" t="s">
        <v>2069</v>
      </c>
      <c r="W182" s="5" t="s">
        <v>72</v>
      </c>
      <c r="X182" s="5" t="s">
        <v>72</v>
      </c>
      <c r="Y182" s="4">
        <v>122</v>
      </c>
      <c r="Z182" s="4">
        <v>6</v>
      </c>
      <c r="AA182" s="4">
        <v>102</v>
      </c>
      <c r="AB182" s="4">
        <v>1</v>
      </c>
      <c r="AC182" s="4">
        <v>20</v>
      </c>
      <c r="AD182" s="4">
        <v>52</v>
      </c>
      <c r="AE182" s="4">
        <v>135</v>
      </c>
      <c r="AF182" s="4">
        <v>0</v>
      </c>
      <c r="AG182" s="4">
        <v>8</v>
      </c>
      <c r="AH182" s="4">
        <v>51</v>
      </c>
      <c r="AI182" s="4">
        <v>97</v>
      </c>
      <c r="AJ182" s="4">
        <v>3</v>
      </c>
      <c r="AK182" s="4">
        <v>21</v>
      </c>
      <c r="AL182" s="4">
        <v>28</v>
      </c>
      <c r="AM182" s="4">
        <v>51</v>
      </c>
      <c r="AN182" s="4">
        <v>0</v>
      </c>
      <c r="AO182" s="4">
        <v>0</v>
      </c>
      <c r="AP182" s="4">
        <v>4</v>
      </c>
      <c r="AQ182" s="4">
        <v>43</v>
      </c>
      <c r="AR182" s="3" t="s">
        <v>64</v>
      </c>
      <c r="AS182" s="3" t="s">
        <v>64</v>
      </c>
      <c r="AT182" s="3" t="s">
        <v>64</v>
      </c>
      <c r="AV182" s="6" t="str">
        <f>HYPERLINK("http://mcgill.on.worldcat.org/oclc/733731512","Catalog Record")</f>
        <v>Catalog Record</v>
      </c>
      <c r="AW182" s="6" t="str">
        <f>HYPERLINK("http://www.worldcat.org/oclc/733731512","WorldCat Record")</f>
        <v>WorldCat Record</v>
      </c>
      <c r="AX182" s="3" t="s">
        <v>2070</v>
      </c>
      <c r="AY182" s="3" t="s">
        <v>2071</v>
      </c>
      <c r="AZ182" s="3" t="s">
        <v>2072</v>
      </c>
      <c r="BA182" s="3" t="s">
        <v>2072</v>
      </c>
      <c r="BB182" s="3" t="s">
        <v>2073</v>
      </c>
      <c r="BC182" s="3" t="s">
        <v>78</v>
      </c>
      <c r="BD182" s="3" t="s">
        <v>79</v>
      </c>
      <c r="BE182" s="3" t="s">
        <v>2074</v>
      </c>
      <c r="BF182" s="3" t="s">
        <v>2073</v>
      </c>
      <c r="BG182" s="3" t="s">
        <v>2075</v>
      </c>
    </row>
    <row r="183" spans="1:59" ht="58" x14ac:dyDescent="0.35">
      <c r="A183" s="2" t="s">
        <v>59</v>
      </c>
      <c r="B183" s="2" t="s">
        <v>94</v>
      </c>
      <c r="C183" s="2" t="s">
        <v>2076</v>
      </c>
      <c r="D183" s="2" t="s">
        <v>2077</v>
      </c>
      <c r="E183" s="2" t="s">
        <v>2078</v>
      </c>
      <c r="G183" s="3" t="s">
        <v>64</v>
      </c>
      <c r="I183" s="3" t="s">
        <v>64</v>
      </c>
      <c r="J183" s="3" t="s">
        <v>64</v>
      </c>
      <c r="K183" s="3" t="s">
        <v>65</v>
      </c>
      <c r="M183" s="2" t="s">
        <v>2079</v>
      </c>
      <c r="N183" s="3" t="s">
        <v>303</v>
      </c>
      <c r="P183" s="3" t="s">
        <v>69</v>
      </c>
      <c r="R183" s="3" t="s">
        <v>70</v>
      </c>
      <c r="S183" s="4">
        <v>30</v>
      </c>
      <c r="T183" s="4">
        <v>30</v>
      </c>
      <c r="U183" s="5" t="s">
        <v>2080</v>
      </c>
      <c r="V183" s="5" t="s">
        <v>2080</v>
      </c>
      <c r="W183" s="5" t="s">
        <v>72</v>
      </c>
      <c r="X183" s="5" t="s">
        <v>72</v>
      </c>
      <c r="Y183" s="4">
        <v>527</v>
      </c>
      <c r="Z183" s="4">
        <v>36</v>
      </c>
      <c r="AA183" s="4">
        <v>45</v>
      </c>
      <c r="AB183" s="4">
        <v>2</v>
      </c>
      <c r="AC183" s="4">
        <v>11</v>
      </c>
      <c r="AD183" s="4">
        <v>113</v>
      </c>
      <c r="AE183" s="4">
        <v>116</v>
      </c>
      <c r="AF183" s="4">
        <v>0</v>
      </c>
      <c r="AG183" s="4">
        <v>3</v>
      </c>
      <c r="AH183" s="4">
        <v>93</v>
      </c>
      <c r="AI183" s="4">
        <v>93</v>
      </c>
      <c r="AJ183" s="4">
        <v>15</v>
      </c>
      <c r="AK183" s="4">
        <v>17</v>
      </c>
      <c r="AL183" s="4">
        <v>50</v>
      </c>
      <c r="AM183" s="4">
        <v>50</v>
      </c>
      <c r="AN183" s="4">
        <v>0</v>
      </c>
      <c r="AO183" s="4">
        <v>0</v>
      </c>
      <c r="AP183" s="4">
        <v>26</v>
      </c>
      <c r="AQ183" s="4">
        <v>28</v>
      </c>
      <c r="AR183" s="3" t="s">
        <v>64</v>
      </c>
      <c r="AS183" s="3" t="s">
        <v>64</v>
      </c>
      <c r="AT183" s="3" t="s">
        <v>64</v>
      </c>
      <c r="AV183" s="6" t="str">
        <f>HYPERLINK("http://mcgill.on.worldcat.org/oclc/27107516","Catalog Record")</f>
        <v>Catalog Record</v>
      </c>
      <c r="AW183" s="6" t="str">
        <f>HYPERLINK("http://www.worldcat.org/oclc/27107516","WorldCat Record")</f>
        <v>WorldCat Record</v>
      </c>
      <c r="AX183" s="3" t="s">
        <v>2081</v>
      </c>
      <c r="AY183" s="3" t="s">
        <v>2082</v>
      </c>
      <c r="AZ183" s="3" t="s">
        <v>2083</v>
      </c>
      <c r="BA183" s="3" t="s">
        <v>2083</v>
      </c>
      <c r="BB183" s="3" t="s">
        <v>2084</v>
      </c>
      <c r="BC183" s="3" t="s">
        <v>78</v>
      </c>
      <c r="BD183" s="3" t="s">
        <v>414</v>
      </c>
      <c r="BE183" s="3" t="s">
        <v>2085</v>
      </c>
      <c r="BF183" s="3" t="s">
        <v>2084</v>
      </c>
      <c r="BG183" s="3" t="s">
        <v>2086</v>
      </c>
    </row>
    <row r="184" spans="1:59" ht="58" x14ac:dyDescent="0.35">
      <c r="A184" s="2" t="s">
        <v>59</v>
      </c>
      <c r="B184" s="2" t="s">
        <v>94</v>
      </c>
      <c r="C184" s="2" t="s">
        <v>2087</v>
      </c>
      <c r="D184" s="2" t="s">
        <v>2088</v>
      </c>
      <c r="E184" s="2" t="s">
        <v>2089</v>
      </c>
      <c r="G184" s="3" t="s">
        <v>64</v>
      </c>
      <c r="I184" s="3" t="s">
        <v>64</v>
      </c>
      <c r="J184" s="3" t="s">
        <v>64</v>
      </c>
      <c r="K184" s="3" t="s">
        <v>65</v>
      </c>
      <c r="M184" s="2" t="s">
        <v>2090</v>
      </c>
      <c r="N184" s="3" t="s">
        <v>689</v>
      </c>
      <c r="P184" s="3" t="s">
        <v>69</v>
      </c>
      <c r="R184" s="3" t="s">
        <v>70</v>
      </c>
      <c r="S184" s="4">
        <v>20</v>
      </c>
      <c r="T184" s="4">
        <v>20</v>
      </c>
      <c r="U184" s="5" t="s">
        <v>2091</v>
      </c>
      <c r="V184" s="5" t="s">
        <v>2091</v>
      </c>
      <c r="W184" s="5" t="s">
        <v>72</v>
      </c>
      <c r="X184" s="5" t="s">
        <v>72</v>
      </c>
      <c r="Y184" s="4">
        <v>337</v>
      </c>
      <c r="Z184" s="4">
        <v>27</v>
      </c>
      <c r="AA184" s="4">
        <v>31</v>
      </c>
      <c r="AB184" s="4">
        <v>3</v>
      </c>
      <c r="AC184" s="4">
        <v>6</v>
      </c>
      <c r="AD184" s="4">
        <v>100</v>
      </c>
      <c r="AE184" s="4">
        <v>105</v>
      </c>
      <c r="AF184" s="4">
        <v>1</v>
      </c>
      <c r="AG184" s="4">
        <v>3</v>
      </c>
      <c r="AH184" s="4">
        <v>85</v>
      </c>
      <c r="AI184" s="4">
        <v>87</v>
      </c>
      <c r="AJ184" s="4">
        <v>15</v>
      </c>
      <c r="AK184" s="4">
        <v>17</v>
      </c>
      <c r="AL184" s="4">
        <v>48</v>
      </c>
      <c r="AM184" s="4">
        <v>50</v>
      </c>
      <c r="AN184" s="4">
        <v>0</v>
      </c>
      <c r="AO184" s="4">
        <v>0</v>
      </c>
      <c r="AP184" s="4">
        <v>22</v>
      </c>
      <c r="AQ184" s="4">
        <v>24</v>
      </c>
      <c r="AR184" s="3" t="s">
        <v>64</v>
      </c>
      <c r="AS184" s="3" t="s">
        <v>64</v>
      </c>
      <c r="AT184" s="3" t="s">
        <v>73</v>
      </c>
      <c r="AU184" s="6" t="str">
        <f>HYPERLINK("http://catalog.hathitrust.org/Record/002452283","HathiTrust Record")</f>
        <v>HathiTrust Record</v>
      </c>
      <c r="AV184" s="6" t="str">
        <f>HYPERLINK("http://mcgill.on.worldcat.org/oclc/23382396","Catalog Record")</f>
        <v>Catalog Record</v>
      </c>
      <c r="AW184" s="6" t="str">
        <f>HYPERLINK("http://www.worldcat.org/oclc/23382396","WorldCat Record")</f>
        <v>WorldCat Record</v>
      </c>
      <c r="AX184" s="3" t="s">
        <v>2092</v>
      </c>
      <c r="AY184" s="3" t="s">
        <v>2093</v>
      </c>
      <c r="AZ184" s="3" t="s">
        <v>2094</v>
      </c>
      <c r="BA184" s="3" t="s">
        <v>2094</v>
      </c>
      <c r="BB184" s="3" t="s">
        <v>2095</v>
      </c>
      <c r="BC184" s="3" t="s">
        <v>78</v>
      </c>
      <c r="BD184" s="3" t="s">
        <v>79</v>
      </c>
      <c r="BE184" s="3" t="s">
        <v>2096</v>
      </c>
      <c r="BF184" s="3" t="s">
        <v>2095</v>
      </c>
      <c r="BG184" s="3" t="s">
        <v>2097</v>
      </c>
    </row>
    <row r="185" spans="1:59" ht="58" x14ac:dyDescent="0.35">
      <c r="A185" s="2" t="s">
        <v>59</v>
      </c>
      <c r="B185" s="2" t="s">
        <v>94</v>
      </c>
      <c r="C185" s="2" t="s">
        <v>2098</v>
      </c>
      <c r="D185" s="2" t="s">
        <v>2099</v>
      </c>
      <c r="E185" s="2" t="s">
        <v>2100</v>
      </c>
      <c r="G185" s="3" t="s">
        <v>64</v>
      </c>
      <c r="I185" s="3" t="s">
        <v>64</v>
      </c>
      <c r="J185" s="3" t="s">
        <v>64</v>
      </c>
      <c r="K185" s="3" t="s">
        <v>65</v>
      </c>
      <c r="L185" s="2" t="s">
        <v>2101</v>
      </c>
      <c r="M185" s="2" t="s">
        <v>2102</v>
      </c>
      <c r="N185" s="3" t="s">
        <v>861</v>
      </c>
      <c r="O185" s="2" t="s">
        <v>275</v>
      </c>
      <c r="P185" s="3" t="s">
        <v>69</v>
      </c>
      <c r="Q185" s="2" t="s">
        <v>2103</v>
      </c>
      <c r="R185" s="3" t="s">
        <v>70</v>
      </c>
      <c r="S185" s="4">
        <v>2</v>
      </c>
      <c r="T185" s="4">
        <v>2</v>
      </c>
      <c r="U185" s="5" t="s">
        <v>2104</v>
      </c>
      <c r="V185" s="5" t="s">
        <v>2104</v>
      </c>
      <c r="W185" s="5" t="s">
        <v>72</v>
      </c>
      <c r="X185" s="5" t="s">
        <v>72</v>
      </c>
      <c r="Y185" s="4">
        <v>105</v>
      </c>
      <c r="Z185" s="4">
        <v>5</v>
      </c>
      <c r="AA185" s="4">
        <v>32</v>
      </c>
      <c r="AB185" s="4">
        <v>1</v>
      </c>
      <c r="AC185" s="4">
        <v>6</v>
      </c>
      <c r="AD185" s="4">
        <v>16</v>
      </c>
      <c r="AE185" s="4">
        <v>71</v>
      </c>
      <c r="AF185" s="4">
        <v>0</v>
      </c>
      <c r="AG185" s="4">
        <v>2</v>
      </c>
      <c r="AH185" s="4">
        <v>15</v>
      </c>
      <c r="AI185" s="4">
        <v>62</v>
      </c>
      <c r="AJ185" s="4">
        <v>3</v>
      </c>
      <c r="AK185" s="4">
        <v>10</v>
      </c>
      <c r="AL185" s="4">
        <v>10</v>
      </c>
      <c r="AM185" s="4">
        <v>32</v>
      </c>
      <c r="AN185" s="4">
        <v>0</v>
      </c>
      <c r="AO185" s="4">
        <v>0</v>
      </c>
      <c r="AP185" s="4">
        <v>3</v>
      </c>
      <c r="AQ185" s="4">
        <v>12</v>
      </c>
      <c r="AR185" s="3" t="s">
        <v>64</v>
      </c>
      <c r="AS185" s="3" t="s">
        <v>64</v>
      </c>
      <c r="AT185" s="3" t="s">
        <v>64</v>
      </c>
      <c r="AV185" s="6" t="str">
        <f>HYPERLINK("http://mcgill.on.worldcat.org/oclc/56845225","Catalog Record")</f>
        <v>Catalog Record</v>
      </c>
      <c r="AW185" s="6" t="str">
        <f>HYPERLINK("http://www.worldcat.org/oclc/56845225","WorldCat Record")</f>
        <v>WorldCat Record</v>
      </c>
      <c r="AX185" s="3" t="s">
        <v>2105</v>
      </c>
      <c r="AY185" s="3" t="s">
        <v>2106</v>
      </c>
      <c r="AZ185" s="3" t="s">
        <v>2107</v>
      </c>
      <c r="BA185" s="3" t="s">
        <v>2107</v>
      </c>
      <c r="BB185" s="3" t="s">
        <v>2108</v>
      </c>
      <c r="BC185" s="3" t="s">
        <v>78</v>
      </c>
      <c r="BD185" s="3" t="s">
        <v>79</v>
      </c>
      <c r="BE185" s="3" t="s">
        <v>2109</v>
      </c>
      <c r="BF185" s="3" t="s">
        <v>2108</v>
      </c>
      <c r="BG185" s="3" t="s">
        <v>2110</v>
      </c>
    </row>
    <row r="186" spans="1:59" ht="58" x14ac:dyDescent="0.35">
      <c r="A186" s="2" t="s">
        <v>59</v>
      </c>
      <c r="B186" s="2" t="s">
        <v>94</v>
      </c>
      <c r="C186" s="2" t="s">
        <v>2111</v>
      </c>
      <c r="D186" s="2" t="s">
        <v>2112</v>
      </c>
      <c r="E186" s="2" t="s">
        <v>2113</v>
      </c>
      <c r="F186" s="3" t="s">
        <v>2114</v>
      </c>
      <c r="G186" s="3" t="s">
        <v>73</v>
      </c>
      <c r="I186" s="3" t="s">
        <v>64</v>
      </c>
      <c r="J186" s="3" t="s">
        <v>64</v>
      </c>
      <c r="K186" s="3" t="s">
        <v>65</v>
      </c>
      <c r="M186" s="2" t="s">
        <v>2115</v>
      </c>
      <c r="N186" s="3" t="s">
        <v>2116</v>
      </c>
      <c r="P186" s="3" t="s">
        <v>202</v>
      </c>
      <c r="R186" s="3" t="s">
        <v>70</v>
      </c>
      <c r="S186" s="4">
        <v>2</v>
      </c>
      <c r="T186" s="4">
        <v>14</v>
      </c>
      <c r="U186" s="5" t="s">
        <v>2117</v>
      </c>
      <c r="V186" s="5" t="s">
        <v>203</v>
      </c>
      <c r="W186" s="5" t="s">
        <v>72</v>
      </c>
      <c r="X186" s="5" t="s">
        <v>72</v>
      </c>
      <c r="Y186" s="4">
        <v>94</v>
      </c>
      <c r="Z186" s="4">
        <v>5</v>
      </c>
      <c r="AA186" s="4">
        <v>5</v>
      </c>
      <c r="AB186" s="4">
        <v>1</v>
      </c>
      <c r="AC186" s="4">
        <v>1</v>
      </c>
      <c r="AD186" s="4">
        <v>51</v>
      </c>
      <c r="AE186" s="4">
        <v>51</v>
      </c>
      <c r="AF186" s="4">
        <v>0</v>
      </c>
      <c r="AG186" s="4">
        <v>0</v>
      </c>
      <c r="AH186" s="4">
        <v>49</v>
      </c>
      <c r="AI186" s="4">
        <v>49</v>
      </c>
      <c r="AJ186" s="4">
        <v>4</v>
      </c>
      <c r="AK186" s="4">
        <v>4</v>
      </c>
      <c r="AL186" s="4">
        <v>32</v>
      </c>
      <c r="AM186" s="4">
        <v>32</v>
      </c>
      <c r="AN186" s="4">
        <v>0</v>
      </c>
      <c r="AO186" s="4">
        <v>0</v>
      </c>
      <c r="AP186" s="4">
        <v>4</v>
      </c>
      <c r="AQ186" s="4">
        <v>4</v>
      </c>
      <c r="AR186" s="3" t="s">
        <v>64</v>
      </c>
      <c r="AS186" s="3" t="s">
        <v>64</v>
      </c>
      <c r="AT186" s="3" t="s">
        <v>73</v>
      </c>
      <c r="AU186" s="6" t="str">
        <f t="shared" ref="AU186:AU191" si="0">HYPERLINK("http://catalog.hathitrust.org/Record/001046961","HathiTrust Record")</f>
        <v>HathiTrust Record</v>
      </c>
      <c r="AV186" s="6" t="str">
        <f t="shared" ref="AV186:AV191" si="1">HYPERLINK("http://mcgill.on.worldcat.org/oclc/8109684","Catalog Record")</f>
        <v>Catalog Record</v>
      </c>
      <c r="AW186" s="6" t="str">
        <f t="shared" ref="AW186:AW191" si="2">HYPERLINK("http://www.worldcat.org/oclc/8109684","WorldCat Record")</f>
        <v>WorldCat Record</v>
      </c>
      <c r="AX186" s="3" t="s">
        <v>2118</v>
      </c>
      <c r="AY186" s="3" t="s">
        <v>2119</v>
      </c>
      <c r="AZ186" s="3" t="s">
        <v>2120</v>
      </c>
      <c r="BA186" s="3" t="s">
        <v>2120</v>
      </c>
      <c r="BB186" s="3" t="s">
        <v>2121</v>
      </c>
      <c r="BC186" s="3" t="s">
        <v>78</v>
      </c>
      <c r="BD186" s="3" t="s">
        <v>79</v>
      </c>
      <c r="BF186" s="3" t="s">
        <v>2121</v>
      </c>
      <c r="BG186" s="3" t="s">
        <v>2122</v>
      </c>
    </row>
    <row r="187" spans="1:59" ht="58" x14ac:dyDescent="0.35">
      <c r="A187" s="2" t="s">
        <v>59</v>
      </c>
      <c r="B187" s="2" t="s">
        <v>94</v>
      </c>
      <c r="C187" s="2" t="s">
        <v>2111</v>
      </c>
      <c r="D187" s="2" t="s">
        <v>2112</v>
      </c>
      <c r="E187" s="2" t="s">
        <v>2113</v>
      </c>
      <c r="F187" s="3" t="s">
        <v>2123</v>
      </c>
      <c r="G187" s="3" t="s">
        <v>73</v>
      </c>
      <c r="I187" s="3" t="s">
        <v>64</v>
      </c>
      <c r="J187" s="3" t="s">
        <v>64</v>
      </c>
      <c r="K187" s="3" t="s">
        <v>65</v>
      </c>
      <c r="M187" s="2" t="s">
        <v>2115</v>
      </c>
      <c r="N187" s="3" t="s">
        <v>2116</v>
      </c>
      <c r="P187" s="3" t="s">
        <v>202</v>
      </c>
      <c r="R187" s="3" t="s">
        <v>70</v>
      </c>
      <c r="S187" s="4">
        <v>2</v>
      </c>
      <c r="T187" s="4">
        <v>14</v>
      </c>
      <c r="U187" s="5" t="s">
        <v>2117</v>
      </c>
      <c r="V187" s="5" t="s">
        <v>203</v>
      </c>
      <c r="W187" s="5" t="s">
        <v>72</v>
      </c>
      <c r="X187" s="5" t="s">
        <v>72</v>
      </c>
      <c r="Y187" s="4">
        <v>94</v>
      </c>
      <c r="Z187" s="4">
        <v>5</v>
      </c>
      <c r="AA187" s="4">
        <v>5</v>
      </c>
      <c r="AB187" s="4">
        <v>1</v>
      </c>
      <c r="AC187" s="4">
        <v>1</v>
      </c>
      <c r="AD187" s="4">
        <v>51</v>
      </c>
      <c r="AE187" s="4">
        <v>51</v>
      </c>
      <c r="AF187" s="4">
        <v>0</v>
      </c>
      <c r="AG187" s="4">
        <v>0</v>
      </c>
      <c r="AH187" s="4">
        <v>49</v>
      </c>
      <c r="AI187" s="4">
        <v>49</v>
      </c>
      <c r="AJ187" s="4">
        <v>4</v>
      </c>
      <c r="AK187" s="4">
        <v>4</v>
      </c>
      <c r="AL187" s="4">
        <v>32</v>
      </c>
      <c r="AM187" s="4">
        <v>32</v>
      </c>
      <c r="AN187" s="4">
        <v>0</v>
      </c>
      <c r="AO187" s="4">
        <v>0</v>
      </c>
      <c r="AP187" s="4">
        <v>4</v>
      </c>
      <c r="AQ187" s="4">
        <v>4</v>
      </c>
      <c r="AR187" s="3" t="s">
        <v>64</v>
      </c>
      <c r="AS187" s="3" t="s">
        <v>64</v>
      </c>
      <c r="AT187" s="3" t="s">
        <v>73</v>
      </c>
      <c r="AU187" s="6" t="str">
        <f t="shared" si="0"/>
        <v>HathiTrust Record</v>
      </c>
      <c r="AV187" s="6" t="str">
        <f t="shared" si="1"/>
        <v>Catalog Record</v>
      </c>
      <c r="AW187" s="6" t="str">
        <f t="shared" si="2"/>
        <v>WorldCat Record</v>
      </c>
      <c r="AX187" s="3" t="s">
        <v>2118</v>
      </c>
      <c r="AY187" s="3" t="s">
        <v>2119</v>
      </c>
      <c r="AZ187" s="3" t="s">
        <v>2120</v>
      </c>
      <c r="BA187" s="3" t="s">
        <v>2120</v>
      </c>
      <c r="BB187" s="3" t="s">
        <v>2124</v>
      </c>
      <c r="BC187" s="3" t="s">
        <v>78</v>
      </c>
      <c r="BD187" s="3" t="s">
        <v>79</v>
      </c>
      <c r="BF187" s="3" t="s">
        <v>2124</v>
      </c>
      <c r="BG187" s="3" t="s">
        <v>2125</v>
      </c>
    </row>
    <row r="188" spans="1:59" ht="58" x14ac:dyDescent="0.35">
      <c r="A188" s="2" t="s">
        <v>59</v>
      </c>
      <c r="B188" s="2" t="s">
        <v>94</v>
      </c>
      <c r="C188" s="2" t="s">
        <v>2111</v>
      </c>
      <c r="D188" s="2" t="s">
        <v>2112</v>
      </c>
      <c r="E188" s="2" t="s">
        <v>2113</v>
      </c>
      <c r="F188" s="3" t="s">
        <v>2126</v>
      </c>
      <c r="G188" s="3" t="s">
        <v>73</v>
      </c>
      <c r="I188" s="3" t="s">
        <v>64</v>
      </c>
      <c r="J188" s="3" t="s">
        <v>64</v>
      </c>
      <c r="K188" s="3" t="s">
        <v>65</v>
      </c>
      <c r="M188" s="2" t="s">
        <v>2115</v>
      </c>
      <c r="N188" s="3" t="s">
        <v>2116</v>
      </c>
      <c r="P188" s="3" t="s">
        <v>202</v>
      </c>
      <c r="R188" s="3" t="s">
        <v>70</v>
      </c>
      <c r="S188" s="4">
        <v>2</v>
      </c>
      <c r="T188" s="4">
        <v>14</v>
      </c>
      <c r="U188" s="5" t="s">
        <v>2117</v>
      </c>
      <c r="V188" s="5" t="s">
        <v>203</v>
      </c>
      <c r="W188" s="5" t="s">
        <v>72</v>
      </c>
      <c r="X188" s="5" t="s">
        <v>72</v>
      </c>
      <c r="Y188" s="4">
        <v>94</v>
      </c>
      <c r="Z188" s="4">
        <v>5</v>
      </c>
      <c r="AA188" s="4">
        <v>5</v>
      </c>
      <c r="AB188" s="4">
        <v>1</v>
      </c>
      <c r="AC188" s="4">
        <v>1</v>
      </c>
      <c r="AD188" s="4">
        <v>51</v>
      </c>
      <c r="AE188" s="4">
        <v>51</v>
      </c>
      <c r="AF188" s="4">
        <v>0</v>
      </c>
      <c r="AG188" s="4">
        <v>0</v>
      </c>
      <c r="AH188" s="4">
        <v>49</v>
      </c>
      <c r="AI188" s="4">
        <v>49</v>
      </c>
      <c r="AJ188" s="4">
        <v>4</v>
      </c>
      <c r="AK188" s="4">
        <v>4</v>
      </c>
      <c r="AL188" s="4">
        <v>32</v>
      </c>
      <c r="AM188" s="4">
        <v>32</v>
      </c>
      <c r="AN188" s="4">
        <v>0</v>
      </c>
      <c r="AO188" s="4">
        <v>0</v>
      </c>
      <c r="AP188" s="4">
        <v>4</v>
      </c>
      <c r="AQ188" s="4">
        <v>4</v>
      </c>
      <c r="AR188" s="3" t="s">
        <v>64</v>
      </c>
      <c r="AS188" s="3" t="s">
        <v>64</v>
      </c>
      <c r="AT188" s="3" t="s">
        <v>73</v>
      </c>
      <c r="AU188" s="6" t="str">
        <f t="shared" si="0"/>
        <v>HathiTrust Record</v>
      </c>
      <c r="AV188" s="6" t="str">
        <f t="shared" si="1"/>
        <v>Catalog Record</v>
      </c>
      <c r="AW188" s="6" t="str">
        <f t="shared" si="2"/>
        <v>WorldCat Record</v>
      </c>
      <c r="AX188" s="3" t="s">
        <v>2118</v>
      </c>
      <c r="AY188" s="3" t="s">
        <v>2119</v>
      </c>
      <c r="AZ188" s="3" t="s">
        <v>2120</v>
      </c>
      <c r="BA188" s="3" t="s">
        <v>2120</v>
      </c>
      <c r="BB188" s="3" t="s">
        <v>2127</v>
      </c>
      <c r="BC188" s="3" t="s">
        <v>78</v>
      </c>
      <c r="BD188" s="3" t="s">
        <v>79</v>
      </c>
      <c r="BF188" s="3" t="s">
        <v>2127</v>
      </c>
      <c r="BG188" s="3" t="s">
        <v>2128</v>
      </c>
    </row>
    <row r="189" spans="1:59" ht="58" x14ac:dyDescent="0.35">
      <c r="A189" s="2" t="s">
        <v>59</v>
      </c>
      <c r="B189" s="2" t="s">
        <v>94</v>
      </c>
      <c r="C189" s="2" t="s">
        <v>2111</v>
      </c>
      <c r="D189" s="2" t="s">
        <v>2112</v>
      </c>
      <c r="E189" s="2" t="s">
        <v>2113</v>
      </c>
      <c r="F189" s="3" t="s">
        <v>2129</v>
      </c>
      <c r="G189" s="3" t="s">
        <v>73</v>
      </c>
      <c r="I189" s="3" t="s">
        <v>64</v>
      </c>
      <c r="J189" s="3" t="s">
        <v>64</v>
      </c>
      <c r="K189" s="3" t="s">
        <v>65</v>
      </c>
      <c r="M189" s="2" t="s">
        <v>2115</v>
      </c>
      <c r="N189" s="3" t="s">
        <v>2116</v>
      </c>
      <c r="P189" s="3" t="s">
        <v>202</v>
      </c>
      <c r="R189" s="3" t="s">
        <v>70</v>
      </c>
      <c r="S189" s="4">
        <v>3</v>
      </c>
      <c r="T189" s="4">
        <v>14</v>
      </c>
      <c r="U189" s="5" t="s">
        <v>203</v>
      </c>
      <c r="V189" s="5" t="s">
        <v>203</v>
      </c>
      <c r="W189" s="5" t="s">
        <v>72</v>
      </c>
      <c r="X189" s="5" t="s">
        <v>72</v>
      </c>
      <c r="Y189" s="4">
        <v>94</v>
      </c>
      <c r="Z189" s="4">
        <v>5</v>
      </c>
      <c r="AA189" s="4">
        <v>5</v>
      </c>
      <c r="AB189" s="4">
        <v>1</v>
      </c>
      <c r="AC189" s="4">
        <v>1</v>
      </c>
      <c r="AD189" s="4">
        <v>51</v>
      </c>
      <c r="AE189" s="4">
        <v>51</v>
      </c>
      <c r="AF189" s="4">
        <v>0</v>
      </c>
      <c r="AG189" s="4">
        <v>0</v>
      </c>
      <c r="AH189" s="4">
        <v>49</v>
      </c>
      <c r="AI189" s="4">
        <v>49</v>
      </c>
      <c r="AJ189" s="4">
        <v>4</v>
      </c>
      <c r="AK189" s="4">
        <v>4</v>
      </c>
      <c r="AL189" s="4">
        <v>32</v>
      </c>
      <c r="AM189" s="4">
        <v>32</v>
      </c>
      <c r="AN189" s="4">
        <v>0</v>
      </c>
      <c r="AO189" s="4">
        <v>0</v>
      </c>
      <c r="AP189" s="4">
        <v>4</v>
      </c>
      <c r="AQ189" s="4">
        <v>4</v>
      </c>
      <c r="AR189" s="3" t="s">
        <v>64</v>
      </c>
      <c r="AS189" s="3" t="s">
        <v>64</v>
      </c>
      <c r="AT189" s="3" t="s">
        <v>73</v>
      </c>
      <c r="AU189" s="6" t="str">
        <f t="shared" si="0"/>
        <v>HathiTrust Record</v>
      </c>
      <c r="AV189" s="6" t="str">
        <f t="shared" si="1"/>
        <v>Catalog Record</v>
      </c>
      <c r="AW189" s="6" t="str">
        <f t="shared" si="2"/>
        <v>WorldCat Record</v>
      </c>
      <c r="AX189" s="3" t="s">
        <v>2118</v>
      </c>
      <c r="AY189" s="3" t="s">
        <v>2119</v>
      </c>
      <c r="AZ189" s="3" t="s">
        <v>2120</v>
      </c>
      <c r="BA189" s="3" t="s">
        <v>2120</v>
      </c>
      <c r="BB189" s="3" t="s">
        <v>2130</v>
      </c>
      <c r="BC189" s="3" t="s">
        <v>78</v>
      </c>
      <c r="BD189" s="3" t="s">
        <v>79</v>
      </c>
      <c r="BF189" s="3" t="s">
        <v>2130</v>
      </c>
      <c r="BG189" s="3" t="s">
        <v>2131</v>
      </c>
    </row>
    <row r="190" spans="1:59" ht="58" x14ac:dyDescent="0.35">
      <c r="A190" s="2" t="s">
        <v>59</v>
      </c>
      <c r="B190" s="2" t="s">
        <v>94</v>
      </c>
      <c r="C190" s="2" t="s">
        <v>2111</v>
      </c>
      <c r="D190" s="2" t="s">
        <v>2112</v>
      </c>
      <c r="E190" s="2" t="s">
        <v>2113</v>
      </c>
      <c r="F190" s="3" t="s">
        <v>2132</v>
      </c>
      <c r="G190" s="3" t="s">
        <v>73</v>
      </c>
      <c r="I190" s="3" t="s">
        <v>64</v>
      </c>
      <c r="J190" s="3" t="s">
        <v>64</v>
      </c>
      <c r="K190" s="3" t="s">
        <v>65</v>
      </c>
      <c r="M190" s="2" t="s">
        <v>2115</v>
      </c>
      <c r="N190" s="3" t="s">
        <v>2116</v>
      </c>
      <c r="P190" s="3" t="s">
        <v>202</v>
      </c>
      <c r="R190" s="3" t="s">
        <v>70</v>
      </c>
      <c r="S190" s="4">
        <v>2</v>
      </c>
      <c r="T190" s="4">
        <v>14</v>
      </c>
      <c r="U190" s="5" t="s">
        <v>2117</v>
      </c>
      <c r="V190" s="5" t="s">
        <v>203</v>
      </c>
      <c r="W190" s="5" t="s">
        <v>72</v>
      </c>
      <c r="X190" s="5" t="s">
        <v>72</v>
      </c>
      <c r="Y190" s="4">
        <v>94</v>
      </c>
      <c r="Z190" s="4">
        <v>5</v>
      </c>
      <c r="AA190" s="4">
        <v>5</v>
      </c>
      <c r="AB190" s="4">
        <v>1</v>
      </c>
      <c r="AC190" s="4">
        <v>1</v>
      </c>
      <c r="AD190" s="4">
        <v>51</v>
      </c>
      <c r="AE190" s="4">
        <v>51</v>
      </c>
      <c r="AF190" s="4">
        <v>0</v>
      </c>
      <c r="AG190" s="4">
        <v>0</v>
      </c>
      <c r="AH190" s="4">
        <v>49</v>
      </c>
      <c r="AI190" s="4">
        <v>49</v>
      </c>
      <c r="AJ190" s="4">
        <v>4</v>
      </c>
      <c r="AK190" s="4">
        <v>4</v>
      </c>
      <c r="AL190" s="4">
        <v>32</v>
      </c>
      <c r="AM190" s="4">
        <v>32</v>
      </c>
      <c r="AN190" s="4">
        <v>0</v>
      </c>
      <c r="AO190" s="4">
        <v>0</v>
      </c>
      <c r="AP190" s="4">
        <v>4</v>
      </c>
      <c r="AQ190" s="4">
        <v>4</v>
      </c>
      <c r="AR190" s="3" t="s">
        <v>64</v>
      </c>
      <c r="AS190" s="3" t="s">
        <v>64</v>
      </c>
      <c r="AT190" s="3" t="s">
        <v>73</v>
      </c>
      <c r="AU190" s="6" t="str">
        <f t="shared" si="0"/>
        <v>HathiTrust Record</v>
      </c>
      <c r="AV190" s="6" t="str">
        <f t="shared" si="1"/>
        <v>Catalog Record</v>
      </c>
      <c r="AW190" s="6" t="str">
        <f t="shared" si="2"/>
        <v>WorldCat Record</v>
      </c>
      <c r="AX190" s="3" t="s">
        <v>2118</v>
      </c>
      <c r="AY190" s="3" t="s">
        <v>2119</v>
      </c>
      <c r="AZ190" s="3" t="s">
        <v>2120</v>
      </c>
      <c r="BA190" s="3" t="s">
        <v>2120</v>
      </c>
      <c r="BB190" s="3" t="s">
        <v>2133</v>
      </c>
      <c r="BC190" s="3" t="s">
        <v>78</v>
      </c>
      <c r="BD190" s="3" t="s">
        <v>79</v>
      </c>
      <c r="BF190" s="3" t="s">
        <v>2133</v>
      </c>
      <c r="BG190" s="3" t="s">
        <v>2134</v>
      </c>
    </row>
    <row r="191" spans="1:59" ht="58" x14ac:dyDescent="0.35">
      <c r="A191" s="2" t="s">
        <v>59</v>
      </c>
      <c r="B191" s="2" t="s">
        <v>94</v>
      </c>
      <c r="C191" s="2" t="s">
        <v>2111</v>
      </c>
      <c r="D191" s="2" t="s">
        <v>2112</v>
      </c>
      <c r="E191" s="2" t="s">
        <v>2113</v>
      </c>
      <c r="F191" s="3" t="s">
        <v>2135</v>
      </c>
      <c r="G191" s="3" t="s">
        <v>73</v>
      </c>
      <c r="I191" s="3" t="s">
        <v>64</v>
      </c>
      <c r="J191" s="3" t="s">
        <v>64</v>
      </c>
      <c r="K191" s="3" t="s">
        <v>65</v>
      </c>
      <c r="M191" s="2" t="s">
        <v>2115</v>
      </c>
      <c r="N191" s="3" t="s">
        <v>2116</v>
      </c>
      <c r="P191" s="3" t="s">
        <v>202</v>
      </c>
      <c r="R191" s="3" t="s">
        <v>70</v>
      </c>
      <c r="S191" s="4">
        <v>3</v>
      </c>
      <c r="T191" s="4">
        <v>14</v>
      </c>
      <c r="U191" s="5" t="s">
        <v>203</v>
      </c>
      <c r="V191" s="5" t="s">
        <v>203</v>
      </c>
      <c r="W191" s="5" t="s">
        <v>72</v>
      </c>
      <c r="X191" s="5" t="s">
        <v>72</v>
      </c>
      <c r="Y191" s="4">
        <v>94</v>
      </c>
      <c r="Z191" s="4">
        <v>5</v>
      </c>
      <c r="AA191" s="4">
        <v>5</v>
      </c>
      <c r="AB191" s="4">
        <v>1</v>
      </c>
      <c r="AC191" s="4">
        <v>1</v>
      </c>
      <c r="AD191" s="4">
        <v>51</v>
      </c>
      <c r="AE191" s="4">
        <v>51</v>
      </c>
      <c r="AF191" s="4">
        <v>0</v>
      </c>
      <c r="AG191" s="4">
        <v>0</v>
      </c>
      <c r="AH191" s="4">
        <v>49</v>
      </c>
      <c r="AI191" s="4">
        <v>49</v>
      </c>
      <c r="AJ191" s="4">
        <v>4</v>
      </c>
      <c r="AK191" s="4">
        <v>4</v>
      </c>
      <c r="AL191" s="4">
        <v>32</v>
      </c>
      <c r="AM191" s="4">
        <v>32</v>
      </c>
      <c r="AN191" s="4">
        <v>0</v>
      </c>
      <c r="AO191" s="4">
        <v>0</v>
      </c>
      <c r="AP191" s="4">
        <v>4</v>
      </c>
      <c r="AQ191" s="4">
        <v>4</v>
      </c>
      <c r="AR191" s="3" t="s">
        <v>64</v>
      </c>
      <c r="AS191" s="3" t="s">
        <v>64</v>
      </c>
      <c r="AT191" s="3" t="s">
        <v>73</v>
      </c>
      <c r="AU191" s="6" t="str">
        <f t="shared" si="0"/>
        <v>HathiTrust Record</v>
      </c>
      <c r="AV191" s="6" t="str">
        <f t="shared" si="1"/>
        <v>Catalog Record</v>
      </c>
      <c r="AW191" s="6" t="str">
        <f t="shared" si="2"/>
        <v>WorldCat Record</v>
      </c>
      <c r="AX191" s="3" t="s">
        <v>2118</v>
      </c>
      <c r="AY191" s="3" t="s">
        <v>2119</v>
      </c>
      <c r="AZ191" s="3" t="s">
        <v>2120</v>
      </c>
      <c r="BA191" s="3" t="s">
        <v>2120</v>
      </c>
      <c r="BB191" s="3" t="s">
        <v>2136</v>
      </c>
      <c r="BC191" s="3" t="s">
        <v>78</v>
      </c>
      <c r="BD191" s="3" t="s">
        <v>79</v>
      </c>
      <c r="BF191" s="3" t="s">
        <v>2136</v>
      </c>
      <c r="BG191" s="3" t="s">
        <v>2137</v>
      </c>
    </row>
    <row r="192" spans="1:59" ht="58" x14ac:dyDescent="0.35">
      <c r="A192" s="2" t="s">
        <v>59</v>
      </c>
      <c r="B192" s="2" t="s">
        <v>94</v>
      </c>
      <c r="C192" s="2" t="s">
        <v>2138</v>
      </c>
      <c r="D192" s="2" t="s">
        <v>2139</v>
      </c>
      <c r="E192" s="2" t="s">
        <v>2140</v>
      </c>
      <c r="G192" s="3" t="s">
        <v>64</v>
      </c>
      <c r="I192" s="3" t="s">
        <v>64</v>
      </c>
      <c r="J192" s="3" t="s">
        <v>64</v>
      </c>
      <c r="K192" s="3" t="s">
        <v>65</v>
      </c>
      <c r="L192" s="2" t="s">
        <v>2141</v>
      </c>
      <c r="M192" s="2" t="s">
        <v>2142</v>
      </c>
      <c r="N192" s="3" t="s">
        <v>1154</v>
      </c>
      <c r="P192" s="3" t="s">
        <v>69</v>
      </c>
      <c r="R192" s="3" t="s">
        <v>70</v>
      </c>
      <c r="S192" s="4">
        <v>28</v>
      </c>
      <c r="T192" s="4">
        <v>28</v>
      </c>
      <c r="U192" s="5" t="s">
        <v>2143</v>
      </c>
      <c r="V192" s="5" t="s">
        <v>2143</v>
      </c>
      <c r="W192" s="5" t="s">
        <v>72</v>
      </c>
      <c r="X192" s="5" t="s">
        <v>72</v>
      </c>
      <c r="Y192" s="4">
        <v>434</v>
      </c>
      <c r="Z192" s="4">
        <v>19</v>
      </c>
      <c r="AA192" s="4">
        <v>20</v>
      </c>
      <c r="AB192" s="4">
        <v>2</v>
      </c>
      <c r="AC192" s="4">
        <v>3</v>
      </c>
      <c r="AD192" s="4">
        <v>95</v>
      </c>
      <c r="AE192" s="4">
        <v>96</v>
      </c>
      <c r="AF192" s="4">
        <v>0</v>
      </c>
      <c r="AG192" s="4">
        <v>1</v>
      </c>
      <c r="AH192" s="4">
        <v>87</v>
      </c>
      <c r="AI192" s="4">
        <v>87</v>
      </c>
      <c r="AJ192" s="4">
        <v>10</v>
      </c>
      <c r="AK192" s="4">
        <v>11</v>
      </c>
      <c r="AL192" s="4">
        <v>52</v>
      </c>
      <c r="AM192" s="4">
        <v>52</v>
      </c>
      <c r="AN192" s="4">
        <v>0</v>
      </c>
      <c r="AO192" s="4">
        <v>0</v>
      </c>
      <c r="AP192" s="4">
        <v>13</v>
      </c>
      <c r="AQ192" s="4">
        <v>13</v>
      </c>
      <c r="AR192" s="3" t="s">
        <v>64</v>
      </c>
      <c r="AS192" s="3" t="s">
        <v>64</v>
      </c>
      <c r="AT192" s="3" t="s">
        <v>64</v>
      </c>
      <c r="AV192" s="6" t="str">
        <f>HYPERLINK("http://mcgill.on.worldcat.org/oclc/26012586","Catalog Record")</f>
        <v>Catalog Record</v>
      </c>
      <c r="AW192" s="6" t="str">
        <f>HYPERLINK("http://www.worldcat.org/oclc/26012586","WorldCat Record")</f>
        <v>WorldCat Record</v>
      </c>
      <c r="AX192" s="3" t="s">
        <v>2144</v>
      </c>
      <c r="AY192" s="3" t="s">
        <v>2145</v>
      </c>
      <c r="AZ192" s="3" t="s">
        <v>2146</v>
      </c>
      <c r="BA192" s="3" t="s">
        <v>2146</v>
      </c>
      <c r="BB192" s="3" t="s">
        <v>2147</v>
      </c>
      <c r="BC192" s="3" t="s">
        <v>78</v>
      </c>
      <c r="BD192" s="3" t="s">
        <v>79</v>
      </c>
      <c r="BE192" s="3" t="s">
        <v>2148</v>
      </c>
      <c r="BF192" s="3" t="s">
        <v>2147</v>
      </c>
      <c r="BG192" s="3" t="s">
        <v>2149</v>
      </c>
    </row>
    <row r="193" spans="1:59" ht="58" x14ac:dyDescent="0.35">
      <c r="A193" s="2" t="s">
        <v>59</v>
      </c>
      <c r="B193" s="2" t="s">
        <v>94</v>
      </c>
      <c r="C193" s="2" t="s">
        <v>2150</v>
      </c>
      <c r="D193" s="2" t="s">
        <v>2151</v>
      </c>
      <c r="E193" s="2" t="s">
        <v>2152</v>
      </c>
      <c r="G193" s="3" t="s">
        <v>64</v>
      </c>
      <c r="I193" s="3" t="s">
        <v>64</v>
      </c>
      <c r="J193" s="3" t="s">
        <v>64</v>
      </c>
      <c r="K193" s="3" t="s">
        <v>65</v>
      </c>
      <c r="M193" s="2" t="s">
        <v>2153</v>
      </c>
      <c r="N193" s="3" t="s">
        <v>499</v>
      </c>
      <c r="P193" s="3" t="s">
        <v>69</v>
      </c>
      <c r="R193" s="3" t="s">
        <v>70</v>
      </c>
      <c r="S193" s="4">
        <v>10</v>
      </c>
      <c r="T193" s="4">
        <v>10</v>
      </c>
      <c r="U193" s="5" t="s">
        <v>2154</v>
      </c>
      <c r="V193" s="5" t="s">
        <v>2154</v>
      </c>
      <c r="W193" s="5" t="s">
        <v>72</v>
      </c>
      <c r="X193" s="5" t="s">
        <v>72</v>
      </c>
      <c r="Y193" s="4">
        <v>381</v>
      </c>
      <c r="Z193" s="4">
        <v>27</v>
      </c>
      <c r="AA193" s="4">
        <v>29</v>
      </c>
      <c r="AB193" s="4">
        <v>2</v>
      </c>
      <c r="AC193" s="4">
        <v>3</v>
      </c>
      <c r="AD193" s="4">
        <v>95</v>
      </c>
      <c r="AE193" s="4">
        <v>99</v>
      </c>
      <c r="AF193" s="4">
        <v>1</v>
      </c>
      <c r="AG193" s="4">
        <v>2</v>
      </c>
      <c r="AH193" s="4">
        <v>82</v>
      </c>
      <c r="AI193" s="4">
        <v>86</v>
      </c>
      <c r="AJ193" s="4">
        <v>14</v>
      </c>
      <c r="AK193" s="4">
        <v>16</v>
      </c>
      <c r="AL193" s="4">
        <v>47</v>
      </c>
      <c r="AM193" s="4">
        <v>49</v>
      </c>
      <c r="AN193" s="4">
        <v>0</v>
      </c>
      <c r="AO193" s="4">
        <v>0</v>
      </c>
      <c r="AP193" s="4">
        <v>19</v>
      </c>
      <c r="AQ193" s="4">
        <v>21</v>
      </c>
      <c r="AR193" s="3" t="s">
        <v>64</v>
      </c>
      <c r="AS193" s="3" t="s">
        <v>64</v>
      </c>
      <c r="AT193" s="3" t="s">
        <v>64</v>
      </c>
      <c r="AV193" s="6" t="str">
        <f>HYPERLINK("http://mcgill.on.worldcat.org/oclc/58423142","Catalog Record")</f>
        <v>Catalog Record</v>
      </c>
      <c r="AW193" s="6" t="str">
        <f>HYPERLINK("http://www.worldcat.org/oclc/58423142","WorldCat Record")</f>
        <v>WorldCat Record</v>
      </c>
      <c r="AX193" s="3" t="s">
        <v>2155</v>
      </c>
      <c r="AY193" s="3" t="s">
        <v>2156</v>
      </c>
      <c r="AZ193" s="3" t="s">
        <v>2157</v>
      </c>
      <c r="BA193" s="3" t="s">
        <v>2157</v>
      </c>
      <c r="BB193" s="3" t="s">
        <v>2158</v>
      </c>
      <c r="BC193" s="3" t="s">
        <v>78</v>
      </c>
      <c r="BD193" s="3" t="s">
        <v>79</v>
      </c>
      <c r="BE193" s="3" t="s">
        <v>2159</v>
      </c>
      <c r="BF193" s="3" t="s">
        <v>2158</v>
      </c>
      <c r="BG193" s="3" t="s">
        <v>2160</v>
      </c>
    </row>
    <row r="194" spans="1:59" ht="58" x14ac:dyDescent="0.35">
      <c r="A194" s="2" t="s">
        <v>59</v>
      </c>
      <c r="B194" s="2" t="s">
        <v>94</v>
      </c>
      <c r="C194" s="2" t="s">
        <v>2161</v>
      </c>
      <c r="D194" s="2" t="s">
        <v>2162</v>
      </c>
      <c r="E194" s="2" t="s">
        <v>2163</v>
      </c>
      <c r="G194" s="3" t="s">
        <v>64</v>
      </c>
      <c r="I194" s="3" t="s">
        <v>64</v>
      </c>
      <c r="J194" s="3" t="s">
        <v>64</v>
      </c>
      <c r="K194" s="3" t="s">
        <v>65</v>
      </c>
      <c r="L194" s="2" t="s">
        <v>2164</v>
      </c>
      <c r="M194" s="2" t="s">
        <v>2165</v>
      </c>
      <c r="N194" s="3" t="s">
        <v>538</v>
      </c>
      <c r="P194" s="3" t="s">
        <v>69</v>
      </c>
      <c r="Q194" s="2" t="s">
        <v>2166</v>
      </c>
      <c r="R194" s="3" t="s">
        <v>70</v>
      </c>
      <c r="S194" s="4">
        <v>2</v>
      </c>
      <c r="T194" s="4">
        <v>2</v>
      </c>
      <c r="U194" s="5" t="s">
        <v>2167</v>
      </c>
      <c r="V194" s="5" t="s">
        <v>2167</v>
      </c>
      <c r="W194" s="5" t="s">
        <v>72</v>
      </c>
      <c r="X194" s="5" t="s">
        <v>72</v>
      </c>
      <c r="Y194" s="4">
        <v>41</v>
      </c>
      <c r="Z194" s="4">
        <v>1</v>
      </c>
      <c r="AA194" s="4">
        <v>1</v>
      </c>
      <c r="AB194" s="4">
        <v>1</v>
      </c>
      <c r="AC194" s="4">
        <v>1</v>
      </c>
      <c r="AD194" s="4">
        <v>9</v>
      </c>
      <c r="AE194" s="4">
        <v>10</v>
      </c>
      <c r="AF194" s="4">
        <v>0</v>
      </c>
      <c r="AG194" s="4">
        <v>0</v>
      </c>
      <c r="AH194" s="4">
        <v>9</v>
      </c>
      <c r="AI194" s="4">
        <v>10</v>
      </c>
      <c r="AJ194" s="4">
        <v>0</v>
      </c>
      <c r="AK194" s="4">
        <v>0</v>
      </c>
      <c r="AL194" s="4">
        <v>6</v>
      </c>
      <c r="AM194" s="4">
        <v>7</v>
      </c>
      <c r="AN194" s="4">
        <v>4</v>
      </c>
      <c r="AO194" s="4">
        <v>4</v>
      </c>
      <c r="AP194" s="4">
        <v>0</v>
      </c>
      <c r="AQ194" s="4">
        <v>0</v>
      </c>
      <c r="AR194" s="3" t="s">
        <v>64</v>
      </c>
      <c r="AS194" s="3" t="s">
        <v>64</v>
      </c>
      <c r="AT194" s="3" t="s">
        <v>73</v>
      </c>
      <c r="AU194" s="6" t="str">
        <f>HYPERLINK("http://catalog.hathitrust.org/Record/005608943","HathiTrust Record")</f>
        <v>HathiTrust Record</v>
      </c>
      <c r="AV194" s="6" t="str">
        <f>HYPERLINK("http://mcgill.on.worldcat.org/oclc/124072651","Catalog Record")</f>
        <v>Catalog Record</v>
      </c>
      <c r="AW194" s="6" t="str">
        <f>HYPERLINK("http://www.worldcat.org/oclc/124072651","WorldCat Record")</f>
        <v>WorldCat Record</v>
      </c>
      <c r="AX194" s="3" t="s">
        <v>2168</v>
      </c>
      <c r="AY194" s="3" t="s">
        <v>2169</v>
      </c>
      <c r="AZ194" s="3" t="s">
        <v>2170</v>
      </c>
      <c r="BA194" s="3" t="s">
        <v>2170</v>
      </c>
      <c r="BB194" s="3" t="s">
        <v>2171</v>
      </c>
      <c r="BC194" s="3" t="s">
        <v>78</v>
      </c>
      <c r="BD194" s="3" t="s">
        <v>79</v>
      </c>
      <c r="BE194" s="3" t="s">
        <v>2172</v>
      </c>
      <c r="BF194" s="3" t="s">
        <v>2171</v>
      </c>
      <c r="BG194" s="3" t="s">
        <v>2173</v>
      </c>
    </row>
    <row r="195" spans="1:59" ht="58" x14ac:dyDescent="0.35">
      <c r="A195" s="2" t="s">
        <v>59</v>
      </c>
      <c r="B195" s="2" t="s">
        <v>94</v>
      </c>
      <c r="C195" s="2" t="s">
        <v>2174</v>
      </c>
      <c r="D195" s="2" t="s">
        <v>2175</v>
      </c>
      <c r="E195" s="2" t="s">
        <v>2176</v>
      </c>
      <c r="G195" s="3" t="s">
        <v>64</v>
      </c>
      <c r="I195" s="3" t="s">
        <v>64</v>
      </c>
      <c r="J195" s="3" t="s">
        <v>64</v>
      </c>
      <c r="K195" s="3" t="s">
        <v>65</v>
      </c>
      <c r="M195" s="2" t="s">
        <v>2177</v>
      </c>
      <c r="N195" s="3" t="s">
        <v>1530</v>
      </c>
      <c r="P195" s="3" t="s">
        <v>69</v>
      </c>
      <c r="Q195" s="2" t="s">
        <v>2178</v>
      </c>
      <c r="R195" s="3" t="s">
        <v>70</v>
      </c>
      <c r="S195" s="4">
        <v>10</v>
      </c>
      <c r="T195" s="4">
        <v>10</v>
      </c>
      <c r="U195" s="5" t="s">
        <v>957</v>
      </c>
      <c r="V195" s="5" t="s">
        <v>957</v>
      </c>
      <c r="W195" s="5" t="s">
        <v>72</v>
      </c>
      <c r="X195" s="5" t="s">
        <v>72</v>
      </c>
      <c r="Y195" s="4">
        <v>257</v>
      </c>
      <c r="Z195" s="4">
        <v>14</v>
      </c>
      <c r="AA195" s="4">
        <v>14</v>
      </c>
      <c r="AB195" s="4">
        <v>2</v>
      </c>
      <c r="AC195" s="4">
        <v>2</v>
      </c>
      <c r="AD195" s="4">
        <v>83</v>
      </c>
      <c r="AE195" s="4">
        <v>83</v>
      </c>
      <c r="AF195" s="4">
        <v>0</v>
      </c>
      <c r="AG195" s="4">
        <v>0</v>
      </c>
      <c r="AH195" s="4">
        <v>77</v>
      </c>
      <c r="AI195" s="4">
        <v>77</v>
      </c>
      <c r="AJ195" s="4">
        <v>8</v>
      </c>
      <c r="AK195" s="4">
        <v>8</v>
      </c>
      <c r="AL195" s="4">
        <v>46</v>
      </c>
      <c r="AM195" s="4">
        <v>46</v>
      </c>
      <c r="AN195" s="4">
        <v>0</v>
      </c>
      <c r="AO195" s="4">
        <v>0</v>
      </c>
      <c r="AP195" s="4">
        <v>9</v>
      </c>
      <c r="AQ195" s="4">
        <v>9</v>
      </c>
      <c r="AR195" s="3" t="s">
        <v>64</v>
      </c>
      <c r="AS195" s="3" t="s">
        <v>64</v>
      </c>
      <c r="AT195" s="3" t="s">
        <v>64</v>
      </c>
      <c r="AV195" s="6" t="str">
        <f>HYPERLINK("http://mcgill.on.worldcat.org/oclc/47650415","Catalog Record")</f>
        <v>Catalog Record</v>
      </c>
      <c r="AW195" s="6" t="str">
        <f>HYPERLINK("http://www.worldcat.org/oclc/47650415","WorldCat Record")</f>
        <v>WorldCat Record</v>
      </c>
      <c r="AX195" s="3" t="s">
        <v>2179</v>
      </c>
      <c r="AY195" s="3" t="s">
        <v>2180</v>
      </c>
      <c r="AZ195" s="3" t="s">
        <v>2181</v>
      </c>
      <c r="BA195" s="3" t="s">
        <v>2181</v>
      </c>
      <c r="BB195" s="3" t="s">
        <v>2182</v>
      </c>
      <c r="BC195" s="3" t="s">
        <v>78</v>
      </c>
      <c r="BD195" s="3" t="s">
        <v>414</v>
      </c>
      <c r="BE195" s="3" t="s">
        <v>2183</v>
      </c>
      <c r="BF195" s="3" t="s">
        <v>2182</v>
      </c>
      <c r="BG195" s="3" t="s">
        <v>2184</v>
      </c>
    </row>
    <row r="196" spans="1:59" ht="72.5" x14ac:dyDescent="0.35">
      <c r="A196" s="2" t="s">
        <v>59</v>
      </c>
      <c r="B196" s="2" t="s">
        <v>94</v>
      </c>
      <c r="C196" s="2" t="s">
        <v>2185</v>
      </c>
      <c r="D196" s="2" t="s">
        <v>2186</v>
      </c>
      <c r="E196" s="2" t="s">
        <v>2187</v>
      </c>
      <c r="F196" s="3" t="s">
        <v>2188</v>
      </c>
      <c r="G196" s="3" t="s">
        <v>73</v>
      </c>
      <c r="I196" s="3" t="s">
        <v>64</v>
      </c>
      <c r="J196" s="3" t="s">
        <v>73</v>
      </c>
      <c r="K196" s="3" t="s">
        <v>65</v>
      </c>
      <c r="L196" s="2" t="s">
        <v>2189</v>
      </c>
      <c r="M196" s="2" t="s">
        <v>2190</v>
      </c>
      <c r="N196" s="3" t="s">
        <v>136</v>
      </c>
      <c r="O196" s="2" t="s">
        <v>2191</v>
      </c>
      <c r="P196" s="3" t="s">
        <v>2192</v>
      </c>
      <c r="R196" s="3" t="s">
        <v>70</v>
      </c>
      <c r="S196" s="4">
        <v>3</v>
      </c>
      <c r="T196" s="4">
        <v>7</v>
      </c>
      <c r="U196" s="5" t="s">
        <v>2193</v>
      </c>
      <c r="V196" s="5" t="s">
        <v>2193</v>
      </c>
      <c r="W196" s="5" t="s">
        <v>72</v>
      </c>
      <c r="X196" s="5" t="s">
        <v>72</v>
      </c>
      <c r="Y196" s="4">
        <v>17</v>
      </c>
      <c r="Z196" s="4">
        <v>1</v>
      </c>
      <c r="AA196" s="4">
        <v>19</v>
      </c>
      <c r="AB196" s="4">
        <v>1</v>
      </c>
      <c r="AC196" s="4">
        <v>1</v>
      </c>
      <c r="AD196" s="4">
        <v>7</v>
      </c>
      <c r="AE196" s="4">
        <v>92</v>
      </c>
      <c r="AF196" s="4">
        <v>0</v>
      </c>
      <c r="AG196" s="4">
        <v>0</v>
      </c>
      <c r="AH196" s="4">
        <v>7</v>
      </c>
      <c r="AI196" s="4">
        <v>81</v>
      </c>
      <c r="AJ196" s="4">
        <v>0</v>
      </c>
      <c r="AK196" s="4">
        <v>14</v>
      </c>
      <c r="AL196" s="4">
        <v>6</v>
      </c>
      <c r="AM196" s="4">
        <v>46</v>
      </c>
      <c r="AN196" s="4">
        <v>0</v>
      </c>
      <c r="AO196" s="4">
        <v>0</v>
      </c>
      <c r="AP196" s="4">
        <v>0</v>
      </c>
      <c r="AQ196" s="4">
        <v>16</v>
      </c>
      <c r="AR196" s="3" t="s">
        <v>64</v>
      </c>
      <c r="AS196" s="3" t="s">
        <v>64</v>
      </c>
      <c r="AT196" s="3" t="s">
        <v>64</v>
      </c>
      <c r="AV196" s="6" t="str">
        <f>HYPERLINK("http://mcgill.on.worldcat.org/oclc/45681054","Catalog Record")</f>
        <v>Catalog Record</v>
      </c>
      <c r="AW196" s="6" t="str">
        <f>HYPERLINK("http://www.worldcat.org/oclc/45681054","WorldCat Record")</f>
        <v>WorldCat Record</v>
      </c>
      <c r="AX196" s="3" t="s">
        <v>2194</v>
      </c>
      <c r="AY196" s="3" t="s">
        <v>2195</v>
      </c>
      <c r="AZ196" s="3" t="s">
        <v>2196</v>
      </c>
      <c r="BA196" s="3" t="s">
        <v>2196</v>
      </c>
      <c r="BB196" s="3" t="s">
        <v>2197</v>
      </c>
      <c r="BC196" s="3" t="s">
        <v>78</v>
      </c>
      <c r="BD196" s="3" t="s">
        <v>79</v>
      </c>
      <c r="BE196" s="3" t="s">
        <v>2198</v>
      </c>
      <c r="BF196" s="3" t="s">
        <v>2197</v>
      </c>
      <c r="BG196" s="3" t="s">
        <v>2199</v>
      </c>
    </row>
    <row r="197" spans="1:59" ht="72.5" x14ac:dyDescent="0.35">
      <c r="A197" s="2" t="s">
        <v>59</v>
      </c>
      <c r="B197" s="2" t="s">
        <v>94</v>
      </c>
      <c r="C197" s="2" t="s">
        <v>2185</v>
      </c>
      <c r="D197" s="2" t="s">
        <v>2186</v>
      </c>
      <c r="E197" s="2" t="s">
        <v>2187</v>
      </c>
      <c r="F197" s="3" t="s">
        <v>2200</v>
      </c>
      <c r="G197" s="3" t="s">
        <v>73</v>
      </c>
      <c r="I197" s="3" t="s">
        <v>64</v>
      </c>
      <c r="J197" s="3" t="s">
        <v>73</v>
      </c>
      <c r="K197" s="3" t="s">
        <v>65</v>
      </c>
      <c r="L197" s="2" t="s">
        <v>2189</v>
      </c>
      <c r="M197" s="2" t="s">
        <v>2190</v>
      </c>
      <c r="N197" s="3" t="s">
        <v>136</v>
      </c>
      <c r="O197" s="2" t="s">
        <v>2191</v>
      </c>
      <c r="P197" s="3" t="s">
        <v>2192</v>
      </c>
      <c r="R197" s="3" t="s">
        <v>70</v>
      </c>
      <c r="S197" s="4">
        <v>1</v>
      </c>
      <c r="T197" s="4">
        <v>7</v>
      </c>
      <c r="U197" s="5" t="s">
        <v>2193</v>
      </c>
      <c r="V197" s="5" t="s">
        <v>2193</v>
      </c>
      <c r="W197" s="5" t="s">
        <v>72</v>
      </c>
      <c r="X197" s="5" t="s">
        <v>72</v>
      </c>
      <c r="Y197" s="4">
        <v>17</v>
      </c>
      <c r="Z197" s="4">
        <v>1</v>
      </c>
      <c r="AA197" s="4">
        <v>19</v>
      </c>
      <c r="AB197" s="4">
        <v>1</v>
      </c>
      <c r="AC197" s="4">
        <v>1</v>
      </c>
      <c r="AD197" s="4">
        <v>7</v>
      </c>
      <c r="AE197" s="4">
        <v>92</v>
      </c>
      <c r="AF197" s="4">
        <v>0</v>
      </c>
      <c r="AG197" s="4">
        <v>0</v>
      </c>
      <c r="AH197" s="4">
        <v>7</v>
      </c>
      <c r="AI197" s="4">
        <v>81</v>
      </c>
      <c r="AJ197" s="4">
        <v>0</v>
      </c>
      <c r="AK197" s="4">
        <v>14</v>
      </c>
      <c r="AL197" s="4">
        <v>6</v>
      </c>
      <c r="AM197" s="4">
        <v>46</v>
      </c>
      <c r="AN197" s="4">
        <v>0</v>
      </c>
      <c r="AO197" s="4">
        <v>0</v>
      </c>
      <c r="AP197" s="4">
        <v>0</v>
      </c>
      <c r="AQ197" s="4">
        <v>16</v>
      </c>
      <c r="AR197" s="3" t="s">
        <v>64</v>
      </c>
      <c r="AS197" s="3" t="s">
        <v>64</v>
      </c>
      <c r="AT197" s="3" t="s">
        <v>64</v>
      </c>
      <c r="AV197" s="6" t="str">
        <f>HYPERLINK("http://mcgill.on.worldcat.org/oclc/45681054","Catalog Record")</f>
        <v>Catalog Record</v>
      </c>
      <c r="AW197" s="6" t="str">
        <f>HYPERLINK("http://www.worldcat.org/oclc/45681054","WorldCat Record")</f>
        <v>WorldCat Record</v>
      </c>
      <c r="AX197" s="3" t="s">
        <v>2194</v>
      </c>
      <c r="AY197" s="3" t="s">
        <v>2195</v>
      </c>
      <c r="AZ197" s="3" t="s">
        <v>2196</v>
      </c>
      <c r="BA197" s="3" t="s">
        <v>2196</v>
      </c>
      <c r="BB197" s="3" t="s">
        <v>2201</v>
      </c>
      <c r="BC197" s="3" t="s">
        <v>78</v>
      </c>
      <c r="BD197" s="3" t="s">
        <v>79</v>
      </c>
      <c r="BE197" s="3" t="s">
        <v>2198</v>
      </c>
      <c r="BF197" s="3" t="s">
        <v>2201</v>
      </c>
      <c r="BG197" s="3" t="s">
        <v>2202</v>
      </c>
    </row>
    <row r="198" spans="1:59" ht="72.5" x14ac:dyDescent="0.35">
      <c r="A198" s="2" t="s">
        <v>59</v>
      </c>
      <c r="B198" s="2" t="s">
        <v>94</v>
      </c>
      <c r="C198" s="2" t="s">
        <v>2185</v>
      </c>
      <c r="D198" s="2" t="s">
        <v>2186</v>
      </c>
      <c r="E198" s="2" t="s">
        <v>2187</v>
      </c>
      <c r="F198" s="3" t="s">
        <v>2203</v>
      </c>
      <c r="G198" s="3" t="s">
        <v>73</v>
      </c>
      <c r="I198" s="3" t="s">
        <v>64</v>
      </c>
      <c r="J198" s="3" t="s">
        <v>73</v>
      </c>
      <c r="K198" s="3" t="s">
        <v>65</v>
      </c>
      <c r="L198" s="2" t="s">
        <v>2189</v>
      </c>
      <c r="M198" s="2" t="s">
        <v>2190</v>
      </c>
      <c r="N198" s="3" t="s">
        <v>136</v>
      </c>
      <c r="O198" s="2" t="s">
        <v>2191</v>
      </c>
      <c r="P198" s="3" t="s">
        <v>2192</v>
      </c>
      <c r="R198" s="3" t="s">
        <v>70</v>
      </c>
      <c r="S198" s="4">
        <v>2</v>
      </c>
      <c r="T198" s="4">
        <v>7</v>
      </c>
      <c r="U198" s="5" t="s">
        <v>2193</v>
      </c>
      <c r="V198" s="5" t="s">
        <v>2193</v>
      </c>
      <c r="W198" s="5" t="s">
        <v>72</v>
      </c>
      <c r="X198" s="5" t="s">
        <v>72</v>
      </c>
      <c r="Y198" s="4">
        <v>17</v>
      </c>
      <c r="Z198" s="4">
        <v>1</v>
      </c>
      <c r="AA198" s="4">
        <v>19</v>
      </c>
      <c r="AB198" s="4">
        <v>1</v>
      </c>
      <c r="AC198" s="4">
        <v>1</v>
      </c>
      <c r="AD198" s="4">
        <v>7</v>
      </c>
      <c r="AE198" s="4">
        <v>92</v>
      </c>
      <c r="AF198" s="4">
        <v>0</v>
      </c>
      <c r="AG198" s="4">
        <v>0</v>
      </c>
      <c r="AH198" s="4">
        <v>7</v>
      </c>
      <c r="AI198" s="4">
        <v>81</v>
      </c>
      <c r="AJ198" s="4">
        <v>0</v>
      </c>
      <c r="AK198" s="4">
        <v>14</v>
      </c>
      <c r="AL198" s="4">
        <v>6</v>
      </c>
      <c r="AM198" s="4">
        <v>46</v>
      </c>
      <c r="AN198" s="4">
        <v>0</v>
      </c>
      <c r="AO198" s="4">
        <v>0</v>
      </c>
      <c r="AP198" s="4">
        <v>0</v>
      </c>
      <c r="AQ198" s="4">
        <v>16</v>
      </c>
      <c r="AR198" s="3" t="s">
        <v>64</v>
      </c>
      <c r="AS198" s="3" t="s">
        <v>64</v>
      </c>
      <c r="AT198" s="3" t="s">
        <v>64</v>
      </c>
      <c r="AV198" s="6" t="str">
        <f>HYPERLINK("http://mcgill.on.worldcat.org/oclc/45681054","Catalog Record")</f>
        <v>Catalog Record</v>
      </c>
      <c r="AW198" s="6" t="str">
        <f>HYPERLINK("http://www.worldcat.org/oclc/45681054","WorldCat Record")</f>
        <v>WorldCat Record</v>
      </c>
      <c r="AX198" s="3" t="s">
        <v>2194</v>
      </c>
      <c r="AY198" s="3" t="s">
        <v>2195</v>
      </c>
      <c r="AZ198" s="3" t="s">
        <v>2196</v>
      </c>
      <c r="BA198" s="3" t="s">
        <v>2196</v>
      </c>
      <c r="BB198" s="3" t="s">
        <v>2204</v>
      </c>
      <c r="BC198" s="3" t="s">
        <v>78</v>
      </c>
      <c r="BD198" s="3" t="s">
        <v>79</v>
      </c>
      <c r="BE198" s="3" t="s">
        <v>2198</v>
      </c>
      <c r="BF198" s="3" t="s">
        <v>2204</v>
      </c>
      <c r="BG198" s="3" t="s">
        <v>2205</v>
      </c>
    </row>
    <row r="199" spans="1:59" ht="72.5" x14ac:dyDescent="0.35">
      <c r="A199" s="2" t="s">
        <v>59</v>
      </c>
      <c r="B199" s="2" t="s">
        <v>94</v>
      </c>
      <c r="C199" s="2" t="s">
        <v>2185</v>
      </c>
      <c r="D199" s="2" t="s">
        <v>2186</v>
      </c>
      <c r="E199" s="2" t="s">
        <v>2187</v>
      </c>
      <c r="F199" s="3" t="s">
        <v>2206</v>
      </c>
      <c r="G199" s="3" t="s">
        <v>73</v>
      </c>
      <c r="I199" s="3" t="s">
        <v>64</v>
      </c>
      <c r="J199" s="3" t="s">
        <v>73</v>
      </c>
      <c r="K199" s="3" t="s">
        <v>65</v>
      </c>
      <c r="L199" s="2" t="s">
        <v>2189</v>
      </c>
      <c r="M199" s="2" t="s">
        <v>2190</v>
      </c>
      <c r="N199" s="3" t="s">
        <v>136</v>
      </c>
      <c r="O199" s="2" t="s">
        <v>2191</v>
      </c>
      <c r="P199" s="3" t="s">
        <v>2192</v>
      </c>
      <c r="R199" s="3" t="s">
        <v>70</v>
      </c>
      <c r="S199" s="4">
        <v>1</v>
      </c>
      <c r="T199" s="4">
        <v>7</v>
      </c>
      <c r="U199" s="5" t="s">
        <v>2193</v>
      </c>
      <c r="V199" s="5" t="s">
        <v>2193</v>
      </c>
      <c r="W199" s="5" t="s">
        <v>72</v>
      </c>
      <c r="X199" s="5" t="s">
        <v>72</v>
      </c>
      <c r="Y199" s="4">
        <v>17</v>
      </c>
      <c r="Z199" s="4">
        <v>1</v>
      </c>
      <c r="AA199" s="4">
        <v>19</v>
      </c>
      <c r="AB199" s="4">
        <v>1</v>
      </c>
      <c r="AC199" s="4">
        <v>1</v>
      </c>
      <c r="AD199" s="4">
        <v>7</v>
      </c>
      <c r="AE199" s="4">
        <v>92</v>
      </c>
      <c r="AF199" s="4">
        <v>0</v>
      </c>
      <c r="AG199" s="4">
        <v>0</v>
      </c>
      <c r="AH199" s="4">
        <v>7</v>
      </c>
      <c r="AI199" s="4">
        <v>81</v>
      </c>
      <c r="AJ199" s="4">
        <v>0</v>
      </c>
      <c r="AK199" s="4">
        <v>14</v>
      </c>
      <c r="AL199" s="4">
        <v>6</v>
      </c>
      <c r="AM199" s="4">
        <v>46</v>
      </c>
      <c r="AN199" s="4">
        <v>0</v>
      </c>
      <c r="AO199" s="4">
        <v>0</v>
      </c>
      <c r="AP199" s="4">
        <v>0</v>
      </c>
      <c r="AQ199" s="4">
        <v>16</v>
      </c>
      <c r="AR199" s="3" t="s">
        <v>64</v>
      </c>
      <c r="AS199" s="3" t="s">
        <v>64</v>
      </c>
      <c r="AT199" s="3" t="s">
        <v>64</v>
      </c>
      <c r="AV199" s="6" t="str">
        <f>HYPERLINK("http://mcgill.on.worldcat.org/oclc/45681054","Catalog Record")</f>
        <v>Catalog Record</v>
      </c>
      <c r="AW199" s="6" t="str">
        <f>HYPERLINK("http://www.worldcat.org/oclc/45681054","WorldCat Record")</f>
        <v>WorldCat Record</v>
      </c>
      <c r="AX199" s="3" t="s">
        <v>2194</v>
      </c>
      <c r="AY199" s="3" t="s">
        <v>2195</v>
      </c>
      <c r="AZ199" s="3" t="s">
        <v>2196</v>
      </c>
      <c r="BA199" s="3" t="s">
        <v>2196</v>
      </c>
      <c r="BB199" s="3" t="s">
        <v>2207</v>
      </c>
      <c r="BC199" s="3" t="s">
        <v>78</v>
      </c>
      <c r="BD199" s="3" t="s">
        <v>79</v>
      </c>
      <c r="BE199" s="3" t="s">
        <v>2198</v>
      </c>
      <c r="BF199" s="3" t="s">
        <v>2207</v>
      </c>
      <c r="BG199" s="3" t="s">
        <v>2208</v>
      </c>
    </row>
    <row r="200" spans="1:59" ht="58" x14ac:dyDescent="0.35">
      <c r="A200" s="2" t="s">
        <v>59</v>
      </c>
      <c r="B200" s="2" t="s">
        <v>94</v>
      </c>
      <c r="C200" s="2" t="s">
        <v>2209</v>
      </c>
      <c r="D200" s="2" t="s">
        <v>2210</v>
      </c>
      <c r="E200" s="2" t="s">
        <v>2211</v>
      </c>
      <c r="F200" s="3" t="s">
        <v>2212</v>
      </c>
      <c r="G200" s="3" t="s">
        <v>73</v>
      </c>
      <c r="I200" s="3" t="s">
        <v>64</v>
      </c>
      <c r="J200" s="3" t="s">
        <v>64</v>
      </c>
      <c r="K200" s="3" t="s">
        <v>65</v>
      </c>
      <c r="L200" s="2" t="s">
        <v>2189</v>
      </c>
      <c r="M200" s="2" t="s">
        <v>2213</v>
      </c>
      <c r="N200" s="3" t="s">
        <v>2214</v>
      </c>
      <c r="P200" s="3" t="s">
        <v>69</v>
      </c>
      <c r="Q200" s="2" t="s">
        <v>2215</v>
      </c>
      <c r="R200" s="3" t="s">
        <v>70</v>
      </c>
      <c r="S200" s="4">
        <v>16</v>
      </c>
      <c r="T200" s="4">
        <v>61</v>
      </c>
      <c r="U200" s="5" t="s">
        <v>2216</v>
      </c>
      <c r="V200" s="5" t="s">
        <v>2217</v>
      </c>
      <c r="W200" s="5" t="s">
        <v>72</v>
      </c>
      <c r="X200" s="5" t="s">
        <v>72</v>
      </c>
      <c r="Y200" s="4">
        <v>629</v>
      </c>
      <c r="Z200" s="4">
        <v>30</v>
      </c>
      <c r="AA200" s="4">
        <v>45</v>
      </c>
      <c r="AB200" s="4">
        <v>1</v>
      </c>
      <c r="AC200" s="4">
        <v>7</v>
      </c>
      <c r="AD200" s="4">
        <v>123</v>
      </c>
      <c r="AE200" s="4">
        <v>133</v>
      </c>
      <c r="AF200" s="4">
        <v>0</v>
      </c>
      <c r="AG200" s="4">
        <v>3</v>
      </c>
      <c r="AH200" s="4">
        <v>105</v>
      </c>
      <c r="AI200" s="4">
        <v>110</v>
      </c>
      <c r="AJ200" s="4">
        <v>16</v>
      </c>
      <c r="AK200" s="4">
        <v>20</v>
      </c>
      <c r="AL200" s="4">
        <v>59</v>
      </c>
      <c r="AM200" s="4">
        <v>59</v>
      </c>
      <c r="AN200" s="4">
        <v>0</v>
      </c>
      <c r="AO200" s="4">
        <v>0</v>
      </c>
      <c r="AP200" s="4">
        <v>24</v>
      </c>
      <c r="AQ200" s="4">
        <v>30</v>
      </c>
      <c r="AR200" s="3" t="s">
        <v>64</v>
      </c>
      <c r="AS200" s="3" t="s">
        <v>64</v>
      </c>
      <c r="AT200" s="3" t="s">
        <v>73</v>
      </c>
      <c r="AU200" s="6" t="str">
        <f>HYPERLINK("http://catalog.hathitrust.org/Record/000276018","HathiTrust Record")</f>
        <v>HathiTrust Record</v>
      </c>
      <c r="AV200" s="6" t="str">
        <f>HYPERLINK("http://mcgill.on.worldcat.org/oclc/1217224","Catalog Record")</f>
        <v>Catalog Record</v>
      </c>
      <c r="AW200" s="6" t="str">
        <f>HYPERLINK("http://www.worldcat.org/oclc/1217224","WorldCat Record")</f>
        <v>WorldCat Record</v>
      </c>
      <c r="AX200" s="3" t="s">
        <v>2218</v>
      </c>
      <c r="AY200" s="3" t="s">
        <v>2219</v>
      </c>
      <c r="AZ200" s="3" t="s">
        <v>2220</v>
      </c>
      <c r="BA200" s="3" t="s">
        <v>2220</v>
      </c>
      <c r="BB200" s="3" t="s">
        <v>2221</v>
      </c>
      <c r="BC200" s="3" t="s">
        <v>78</v>
      </c>
      <c r="BD200" s="3" t="s">
        <v>79</v>
      </c>
      <c r="BE200" s="3" t="s">
        <v>2222</v>
      </c>
      <c r="BF200" s="3" t="s">
        <v>2221</v>
      </c>
      <c r="BG200" s="3" t="s">
        <v>2223</v>
      </c>
    </row>
    <row r="201" spans="1:59" ht="58" x14ac:dyDescent="0.35">
      <c r="A201" s="2" t="s">
        <v>59</v>
      </c>
      <c r="B201" s="2" t="s">
        <v>94</v>
      </c>
      <c r="C201" s="2" t="s">
        <v>2209</v>
      </c>
      <c r="D201" s="2" t="s">
        <v>2210</v>
      </c>
      <c r="E201" s="2" t="s">
        <v>2211</v>
      </c>
      <c r="F201" s="3" t="s">
        <v>2224</v>
      </c>
      <c r="G201" s="3" t="s">
        <v>73</v>
      </c>
      <c r="I201" s="3" t="s">
        <v>64</v>
      </c>
      <c r="J201" s="3" t="s">
        <v>64</v>
      </c>
      <c r="K201" s="3" t="s">
        <v>65</v>
      </c>
      <c r="L201" s="2" t="s">
        <v>2189</v>
      </c>
      <c r="M201" s="2" t="s">
        <v>2213</v>
      </c>
      <c r="N201" s="3" t="s">
        <v>2214</v>
      </c>
      <c r="P201" s="3" t="s">
        <v>69</v>
      </c>
      <c r="Q201" s="2" t="s">
        <v>2215</v>
      </c>
      <c r="R201" s="3" t="s">
        <v>70</v>
      </c>
      <c r="S201" s="4">
        <v>19</v>
      </c>
      <c r="T201" s="4">
        <v>61</v>
      </c>
      <c r="U201" s="5" t="s">
        <v>2225</v>
      </c>
      <c r="V201" s="5" t="s">
        <v>2217</v>
      </c>
      <c r="W201" s="5" t="s">
        <v>72</v>
      </c>
      <c r="X201" s="5" t="s">
        <v>72</v>
      </c>
      <c r="Y201" s="4">
        <v>629</v>
      </c>
      <c r="Z201" s="4">
        <v>30</v>
      </c>
      <c r="AA201" s="4">
        <v>45</v>
      </c>
      <c r="AB201" s="4">
        <v>1</v>
      </c>
      <c r="AC201" s="4">
        <v>7</v>
      </c>
      <c r="AD201" s="4">
        <v>123</v>
      </c>
      <c r="AE201" s="4">
        <v>133</v>
      </c>
      <c r="AF201" s="4">
        <v>0</v>
      </c>
      <c r="AG201" s="4">
        <v>3</v>
      </c>
      <c r="AH201" s="4">
        <v>105</v>
      </c>
      <c r="AI201" s="4">
        <v>110</v>
      </c>
      <c r="AJ201" s="4">
        <v>16</v>
      </c>
      <c r="AK201" s="4">
        <v>20</v>
      </c>
      <c r="AL201" s="4">
        <v>59</v>
      </c>
      <c r="AM201" s="4">
        <v>59</v>
      </c>
      <c r="AN201" s="4">
        <v>0</v>
      </c>
      <c r="AO201" s="4">
        <v>0</v>
      </c>
      <c r="AP201" s="4">
        <v>24</v>
      </c>
      <c r="AQ201" s="4">
        <v>30</v>
      </c>
      <c r="AR201" s="3" t="s">
        <v>64</v>
      </c>
      <c r="AS201" s="3" t="s">
        <v>64</v>
      </c>
      <c r="AT201" s="3" t="s">
        <v>73</v>
      </c>
      <c r="AU201" s="6" t="str">
        <f>HYPERLINK("http://catalog.hathitrust.org/Record/000276018","HathiTrust Record")</f>
        <v>HathiTrust Record</v>
      </c>
      <c r="AV201" s="6" t="str">
        <f>HYPERLINK("http://mcgill.on.worldcat.org/oclc/1217224","Catalog Record")</f>
        <v>Catalog Record</v>
      </c>
      <c r="AW201" s="6" t="str">
        <f>HYPERLINK("http://www.worldcat.org/oclc/1217224","WorldCat Record")</f>
        <v>WorldCat Record</v>
      </c>
      <c r="AX201" s="3" t="s">
        <v>2218</v>
      </c>
      <c r="AY201" s="3" t="s">
        <v>2219</v>
      </c>
      <c r="AZ201" s="3" t="s">
        <v>2220</v>
      </c>
      <c r="BA201" s="3" t="s">
        <v>2220</v>
      </c>
      <c r="BB201" s="3" t="s">
        <v>2226</v>
      </c>
      <c r="BC201" s="3" t="s">
        <v>78</v>
      </c>
      <c r="BD201" s="3" t="s">
        <v>79</v>
      </c>
      <c r="BE201" s="3" t="s">
        <v>2222</v>
      </c>
      <c r="BF201" s="3" t="s">
        <v>2226</v>
      </c>
      <c r="BG201" s="3" t="s">
        <v>2227</v>
      </c>
    </row>
    <row r="202" spans="1:59" ht="58" x14ac:dyDescent="0.35">
      <c r="A202" s="2" t="s">
        <v>59</v>
      </c>
      <c r="B202" s="2" t="s">
        <v>94</v>
      </c>
      <c r="C202" s="2" t="s">
        <v>2209</v>
      </c>
      <c r="D202" s="2" t="s">
        <v>2210</v>
      </c>
      <c r="E202" s="2" t="s">
        <v>2211</v>
      </c>
      <c r="F202" s="3" t="s">
        <v>2228</v>
      </c>
      <c r="G202" s="3" t="s">
        <v>73</v>
      </c>
      <c r="I202" s="3" t="s">
        <v>64</v>
      </c>
      <c r="J202" s="3" t="s">
        <v>64</v>
      </c>
      <c r="K202" s="3" t="s">
        <v>65</v>
      </c>
      <c r="L202" s="2" t="s">
        <v>2189</v>
      </c>
      <c r="M202" s="2" t="s">
        <v>2213</v>
      </c>
      <c r="N202" s="3" t="s">
        <v>2214</v>
      </c>
      <c r="P202" s="3" t="s">
        <v>69</v>
      </c>
      <c r="Q202" s="2" t="s">
        <v>2215</v>
      </c>
      <c r="R202" s="3" t="s">
        <v>70</v>
      </c>
      <c r="S202" s="4">
        <v>18</v>
      </c>
      <c r="T202" s="4">
        <v>61</v>
      </c>
      <c r="U202" s="5" t="s">
        <v>2217</v>
      </c>
      <c r="V202" s="5" t="s">
        <v>2217</v>
      </c>
      <c r="W202" s="5" t="s">
        <v>72</v>
      </c>
      <c r="X202" s="5" t="s">
        <v>72</v>
      </c>
      <c r="Y202" s="4">
        <v>629</v>
      </c>
      <c r="Z202" s="4">
        <v>30</v>
      </c>
      <c r="AA202" s="4">
        <v>45</v>
      </c>
      <c r="AB202" s="4">
        <v>1</v>
      </c>
      <c r="AC202" s="4">
        <v>7</v>
      </c>
      <c r="AD202" s="4">
        <v>123</v>
      </c>
      <c r="AE202" s="4">
        <v>133</v>
      </c>
      <c r="AF202" s="4">
        <v>0</v>
      </c>
      <c r="AG202" s="4">
        <v>3</v>
      </c>
      <c r="AH202" s="4">
        <v>105</v>
      </c>
      <c r="AI202" s="4">
        <v>110</v>
      </c>
      <c r="AJ202" s="4">
        <v>16</v>
      </c>
      <c r="AK202" s="4">
        <v>20</v>
      </c>
      <c r="AL202" s="4">
        <v>59</v>
      </c>
      <c r="AM202" s="4">
        <v>59</v>
      </c>
      <c r="AN202" s="4">
        <v>0</v>
      </c>
      <c r="AO202" s="4">
        <v>0</v>
      </c>
      <c r="AP202" s="4">
        <v>24</v>
      </c>
      <c r="AQ202" s="4">
        <v>30</v>
      </c>
      <c r="AR202" s="3" t="s">
        <v>64</v>
      </c>
      <c r="AS202" s="3" t="s">
        <v>64</v>
      </c>
      <c r="AT202" s="3" t="s">
        <v>73</v>
      </c>
      <c r="AU202" s="6" t="str">
        <f>HYPERLINK("http://catalog.hathitrust.org/Record/000276018","HathiTrust Record")</f>
        <v>HathiTrust Record</v>
      </c>
      <c r="AV202" s="6" t="str">
        <f>HYPERLINK("http://mcgill.on.worldcat.org/oclc/1217224","Catalog Record")</f>
        <v>Catalog Record</v>
      </c>
      <c r="AW202" s="6" t="str">
        <f>HYPERLINK("http://www.worldcat.org/oclc/1217224","WorldCat Record")</f>
        <v>WorldCat Record</v>
      </c>
      <c r="AX202" s="3" t="s">
        <v>2218</v>
      </c>
      <c r="AY202" s="3" t="s">
        <v>2219</v>
      </c>
      <c r="AZ202" s="3" t="s">
        <v>2220</v>
      </c>
      <c r="BA202" s="3" t="s">
        <v>2220</v>
      </c>
      <c r="BB202" s="3" t="s">
        <v>2229</v>
      </c>
      <c r="BC202" s="3" t="s">
        <v>78</v>
      </c>
      <c r="BD202" s="3" t="s">
        <v>79</v>
      </c>
      <c r="BE202" s="3" t="s">
        <v>2222</v>
      </c>
      <c r="BF202" s="3" t="s">
        <v>2229</v>
      </c>
      <c r="BG202" s="3" t="s">
        <v>2230</v>
      </c>
    </row>
    <row r="203" spans="1:59" ht="58" x14ac:dyDescent="0.35">
      <c r="A203" s="2" t="s">
        <v>59</v>
      </c>
      <c r="B203" s="2" t="s">
        <v>94</v>
      </c>
      <c r="C203" s="2" t="s">
        <v>2209</v>
      </c>
      <c r="D203" s="2" t="s">
        <v>2210</v>
      </c>
      <c r="E203" s="2" t="s">
        <v>2211</v>
      </c>
      <c r="F203" s="3" t="s">
        <v>2231</v>
      </c>
      <c r="G203" s="3" t="s">
        <v>73</v>
      </c>
      <c r="I203" s="3" t="s">
        <v>64</v>
      </c>
      <c r="J203" s="3" t="s">
        <v>64</v>
      </c>
      <c r="K203" s="3" t="s">
        <v>65</v>
      </c>
      <c r="L203" s="2" t="s">
        <v>2189</v>
      </c>
      <c r="M203" s="2" t="s">
        <v>2213</v>
      </c>
      <c r="N203" s="3" t="s">
        <v>2214</v>
      </c>
      <c r="P203" s="3" t="s">
        <v>69</v>
      </c>
      <c r="Q203" s="2" t="s">
        <v>2215</v>
      </c>
      <c r="R203" s="3" t="s">
        <v>70</v>
      </c>
      <c r="S203" s="4">
        <v>8</v>
      </c>
      <c r="T203" s="4">
        <v>61</v>
      </c>
      <c r="U203" s="5" t="s">
        <v>2232</v>
      </c>
      <c r="V203" s="5" t="s">
        <v>2217</v>
      </c>
      <c r="W203" s="5" t="s">
        <v>72</v>
      </c>
      <c r="X203" s="5" t="s">
        <v>72</v>
      </c>
      <c r="Y203" s="4">
        <v>629</v>
      </c>
      <c r="Z203" s="4">
        <v>30</v>
      </c>
      <c r="AA203" s="4">
        <v>45</v>
      </c>
      <c r="AB203" s="4">
        <v>1</v>
      </c>
      <c r="AC203" s="4">
        <v>7</v>
      </c>
      <c r="AD203" s="4">
        <v>123</v>
      </c>
      <c r="AE203" s="4">
        <v>133</v>
      </c>
      <c r="AF203" s="4">
        <v>0</v>
      </c>
      <c r="AG203" s="4">
        <v>3</v>
      </c>
      <c r="AH203" s="4">
        <v>105</v>
      </c>
      <c r="AI203" s="4">
        <v>110</v>
      </c>
      <c r="AJ203" s="4">
        <v>16</v>
      </c>
      <c r="AK203" s="4">
        <v>20</v>
      </c>
      <c r="AL203" s="4">
        <v>59</v>
      </c>
      <c r="AM203" s="4">
        <v>59</v>
      </c>
      <c r="AN203" s="4">
        <v>0</v>
      </c>
      <c r="AO203" s="4">
        <v>0</v>
      </c>
      <c r="AP203" s="4">
        <v>24</v>
      </c>
      <c r="AQ203" s="4">
        <v>30</v>
      </c>
      <c r="AR203" s="3" t="s">
        <v>64</v>
      </c>
      <c r="AS203" s="3" t="s">
        <v>64</v>
      </c>
      <c r="AT203" s="3" t="s">
        <v>73</v>
      </c>
      <c r="AU203" s="6" t="str">
        <f>HYPERLINK("http://catalog.hathitrust.org/Record/000276018","HathiTrust Record")</f>
        <v>HathiTrust Record</v>
      </c>
      <c r="AV203" s="6" t="str">
        <f>HYPERLINK("http://mcgill.on.worldcat.org/oclc/1217224","Catalog Record")</f>
        <v>Catalog Record</v>
      </c>
      <c r="AW203" s="6" t="str">
        <f>HYPERLINK("http://www.worldcat.org/oclc/1217224","WorldCat Record")</f>
        <v>WorldCat Record</v>
      </c>
      <c r="AX203" s="3" t="s">
        <v>2218</v>
      </c>
      <c r="AY203" s="3" t="s">
        <v>2219</v>
      </c>
      <c r="AZ203" s="3" t="s">
        <v>2220</v>
      </c>
      <c r="BA203" s="3" t="s">
        <v>2220</v>
      </c>
      <c r="BB203" s="3" t="s">
        <v>2233</v>
      </c>
      <c r="BC203" s="3" t="s">
        <v>78</v>
      </c>
      <c r="BD203" s="3" t="s">
        <v>79</v>
      </c>
      <c r="BE203" s="3" t="s">
        <v>2222</v>
      </c>
      <c r="BF203" s="3" t="s">
        <v>2233</v>
      </c>
      <c r="BG203" s="3" t="s">
        <v>2234</v>
      </c>
    </row>
    <row r="204" spans="1:59" ht="58" x14ac:dyDescent="0.35">
      <c r="A204" s="2" t="s">
        <v>59</v>
      </c>
      <c r="B204" s="2" t="s">
        <v>94</v>
      </c>
      <c r="C204" s="2" t="s">
        <v>2235</v>
      </c>
      <c r="D204" s="2" t="s">
        <v>2236</v>
      </c>
      <c r="E204" s="2" t="s">
        <v>2237</v>
      </c>
      <c r="G204" s="3" t="s">
        <v>64</v>
      </c>
      <c r="I204" s="3" t="s">
        <v>64</v>
      </c>
      <c r="J204" s="3" t="s">
        <v>64</v>
      </c>
      <c r="K204" s="3" t="s">
        <v>65</v>
      </c>
      <c r="L204" s="2" t="s">
        <v>2238</v>
      </c>
      <c r="M204" s="2" t="s">
        <v>2239</v>
      </c>
      <c r="N204" s="3" t="s">
        <v>422</v>
      </c>
      <c r="P204" s="3" t="s">
        <v>69</v>
      </c>
      <c r="R204" s="3" t="s">
        <v>70</v>
      </c>
      <c r="S204" s="4">
        <v>22</v>
      </c>
      <c r="T204" s="4">
        <v>22</v>
      </c>
      <c r="U204" s="5" t="s">
        <v>2240</v>
      </c>
      <c r="V204" s="5" t="s">
        <v>2240</v>
      </c>
      <c r="W204" s="5" t="s">
        <v>72</v>
      </c>
      <c r="X204" s="5" t="s">
        <v>72</v>
      </c>
      <c r="Y204" s="4">
        <v>261</v>
      </c>
      <c r="Z204" s="4">
        <v>18</v>
      </c>
      <c r="AA204" s="4">
        <v>18</v>
      </c>
      <c r="AB204" s="4">
        <v>3</v>
      </c>
      <c r="AC204" s="4">
        <v>3</v>
      </c>
      <c r="AD204" s="4">
        <v>70</v>
      </c>
      <c r="AE204" s="4">
        <v>70</v>
      </c>
      <c r="AF204" s="4">
        <v>0</v>
      </c>
      <c r="AG204" s="4">
        <v>0</v>
      </c>
      <c r="AH204" s="4">
        <v>65</v>
      </c>
      <c r="AI204" s="4">
        <v>65</v>
      </c>
      <c r="AJ204" s="4">
        <v>9</v>
      </c>
      <c r="AK204" s="4">
        <v>9</v>
      </c>
      <c r="AL204" s="4">
        <v>35</v>
      </c>
      <c r="AM204" s="4">
        <v>35</v>
      </c>
      <c r="AN204" s="4">
        <v>0</v>
      </c>
      <c r="AO204" s="4">
        <v>0</v>
      </c>
      <c r="AP204" s="4">
        <v>12</v>
      </c>
      <c r="AQ204" s="4">
        <v>12</v>
      </c>
      <c r="AR204" s="3" t="s">
        <v>64</v>
      </c>
      <c r="AS204" s="3" t="s">
        <v>64</v>
      </c>
      <c r="AT204" s="3" t="s">
        <v>64</v>
      </c>
      <c r="AV204" s="6" t="str">
        <f>HYPERLINK("http://mcgill.on.worldcat.org/oclc/59488772","Catalog Record")</f>
        <v>Catalog Record</v>
      </c>
      <c r="AW204" s="6" t="str">
        <f>HYPERLINK("http://www.worldcat.org/oclc/59488772","WorldCat Record")</f>
        <v>WorldCat Record</v>
      </c>
      <c r="AX204" s="3" t="s">
        <v>2241</v>
      </c>
      <c r="AY204" s="3" t="s">
        <v>2242</v>
      </c>
      <c r="AZ204" s="3" t="s">
        <v>2243</v>
      </c>
      <c r="BA204" s="3" t="s">
        <v>2243</v>
      </c>
      <c r="BB204" s="3" t="s">
        <v>2244</v>
      </c>
      <c r="BC204" s="3" t="s">
        <v>78</v>
      </c>
      <c r="BD204" s="3" t="s">
        <v>414</v>
      </c>
      <c r="BE204" s="3" t="s">
        <v>2245</v>
      </c>
      <c r="BF204" s="3" t="s">
        <v>2244</v>
      </c>
      <c r="BG204" s="3" t="s">
        <v>2246</v>
      </c>
    </row>
    <row r="205" spans="1:59" ht="72.5" x14ac:dyDescent="0.35">
      <c r="A205" s="2" t="s">
        <v>59</v>
      </c>
      <c r="B205" s="2" t="s">
        <v>94</v>
      </c>
      <c r="C205" s="2" t="s">
        <v>2247</v>
      </c>
      <c r="D205" s="2" t="s">
        <v>2248</v>
      </c>
      <c r="E205" s="2" t="s">
        <v>2249</v>
      </c>
      <c r="G205" s="3" t="s">
        <v>64</v>
      </c>
      <c r="I205" s="3" t="s">
        <v>64</v>
      </c>
      <c r="J205" s="3" t="s">
        <v>73</v>
      </c>
      <c r="K205" s="3" t="s">
        <v>65</v>
      </c>
      <c r="L205" s="2" t="s">
        <v>2250</v>
      </c>
      <c r="M205" s="2" t="s">
        <v>2251</v>
      </c>
      <c r="N205" s="3" t="s">
        <v>422</v>
      </c>
      <c r="O205" s="2" t="s">
        <v>2252</v>
      </c>
      <c r="P205" s="3" t="s">
        <v>69</v>
      </c>
      <c r="R205" s="3" t="s">
        <v>70</v>
      </c>
      <c r="S205" s="4">
        <v>21</v>
      </c>
      <c r="T205" s="4">
        <v>21</v>
      </c>
      <c r="U205" s="5" t="s">
        <v>2253</v>
      </c>
      <c r="V205" s="5" t="s">
        <v>2253</v>
      </c>
      <c r="W205" s="5" t="s">
        <v>72</v>
      </c>
      <c r="X205" s="5" t="s">
        <v>72</v>
      </c>
      <c r="Y205" s="4">
        <v>340</v>
      </c>
      <c r="Z205" s="4">
        <v>8</v>
      </c>
      <c r="AA205" s="4">
        <v>26</v>
      </c>
      <c r="AB205" s="4">
        <v>2</v>
      </c>
      <c r="AC205" s="4">
        <v>8</v>
      </c>
      <c r="AD205" s="4">
        <v>56</v>
      </c>
      <c r="AE205" s="4">
        <v>88</v>
      </c>
      <c r="AF205" s="4">
        <v>0</v>
      </c>
      <c r="AG205" s="4">
        <v>2</v>
      </c>
      <c r="AH205" s="4">
        <v>54</v>
      </c>
      <c r="AI205" s="4">
        <v>79</v>
      </c>
      <c r="AJ205" s="4">
        <v>4</v>
      </c>
      <c r="AK205" s="4">
        <v>12</v>
      </c>
      <c r="AL205" s="4">
        <v>35</v>
      </c>
      <c r="AM205" s="4">
        <v>44</v>
      </c>
      <c r="AN205" s="4">
        <v>0</v>
      </c>
      <c r="AO205" s="4">
        <v>0</v>
      </c>
      <c r="AP205" s="4">
        <v>4</v>
      </c>
      <c r="AQ205" s="4">
        <v>15</v>
      </c>
      <c r="AR205" s="3" t="s">
        <v>64</v>
      </c>
      <c r="AS205" s="3" t="s">
        <v>64</v>
      </c>
      <c r="AT205" s="3" t="s">
        <v>64</v>
      </c>
      <c r="AV205" s="6" t="str">
        <f>HYPERLINK("http://mcgill.on.worldcat.org/oclc/43864269","Catalog Record")</f>
        <v>Catalog Record</v>
      </c>
      <c r="AW205" s="6" t="str">
        <f>HYPERLINK("http://www.worldcat.org/oclc/43864269","WorldCat Record")</f>
        <v>WorldCat Record</v>
      </c>
      <c r="AX205" s="3" t="s">
        <v>2254</v>
      </c>
      <c r="AY205" s="3" t="s">
        <v>2255</v>
      </c>
      <c r="AZ205" s="3" t="s">
        <v>2256</v>
      </c>
      <c r="BA205" s="3" t="s">
        <v>2256</v>
      </c>
      <c r="BB205" s="3" t="s">
        <v>2257</v>
      </c>
      <c r="BC205" s="3" t="s">
        <v>78</v>
      </c>
      <c r="BD205" s="3" t="s">
        <v>79</v>
      </c>
      <c r="BE205" s="3" t="s">
        <v>2258</v>
      </c>
      <c r="BF205" s="3" t="s">
        <v>2257</v>
      </c>
      <c r="BG205" s="3" t="s">
        <v>2259</v>
      </c>
    </row>
    <row r="206" spans="1:59" ht="58" x14ac:dyDescent="0.35">
      <c r="A206" s="2" t="s">
        <v>59</v>
      </c>
      <c r="B206" s="2" t="s">
        <v>94</v>
      </c>
      <c r="C206" s="2" t="s">
        <v>2260</v>
      </c>
      <c r="D206" s="2" t="s">
        <v>2261</v>
      </c>
      <c r="E206" s="2" t="s">
        <v>2262</v>
      </c>
      <c r="F206" s="3" t="s">
        <v>2228</v>
      </c>
      <c r="G206" s="3" t="s">
        <v>73</v>
      </c>
      <c r="I206" s="3" t="s">
        <v>73</v>
      </c>
      <c r="J206" s="3" t="s">
        <v>64</v>
      </c>
      <c r="K206" s="3" t="s">
        <v>65</v>
      </c>
      <c r="L206" s="2" t="s">
        <v>2263</v>
      </c>
      <c r="M206" s="2" t="s">
        <v>2264</v>
      </c>
      <c r="N206" s="3" t="s">
        <v>2265</v>
      </c>
      <c r="P206" s="3" t="s">
        <v>69</v>
      </c>
      <c r="R206" s="3" t="s">
        <v>70</v>
      </c>
      <c r="S206" s="4">
        <v>22</v>
      </c>
      <c r="T206" s="4">
        <v>23</v>
      </c>
      <c r="U206" s="5" t="s">
        <v>2266</v>
      </c>
      <c r="V206" s="5" t="s">
        <v>2266</v>
      </c>
      <c r="W206" s="5" t="s">
        <v>72</v>
      </c>
      <c r="X206" s="5" t="s">
        <v>72</v>
      </c>
      <c r="Y206" s="4">
        <v>76</v>
      </c>
      <c r="Z206" s="4">
        <v>6</v>
      </c>
      <c r="AA206" s="4">
        <v>21</v>
      </c>
      <c r="AB206" s="4">
        <v>1</v>
      </c>
      <c r="AC206" s="4">
        <v>3</v>
      </c>
      <c r="AD206" s="4">
        <v>20</v>
      </c>
      <c r="AE206" s="4">
        <v>66</v>
      </c>
      <c r="AF206" s="4">
        <v>0</v>
      </c>
      <c r="AG206" s="4">
        <v>2</v>
      </c>
      <c r="AH206" s="4">
        <v>18</v>
      </c>
      <c r="AI206" s="4">
        <v>54</v>
      </c>
      <c r="AJ206" s="4">
        <v>5</v>
      </c>
      <c r="AK206" s="4">
        <v>10</v>
      </c>
      <c r="AL206" s="4">
        <v>9</v>
      </c>
      <c r="AM206" s="4">
        <v>31</v>
      </c>
      <c r="AN206" s="4">
        <v>0</v>
      </c>
      <c r="AO206" s="4">
        <v>0</v>
      </c>
      <c r="AP206" s="4">
        <v>5</v>
      </c>
      <c r="AQ206" s="4">
        <v>15</v>
      </c>
      <c r="AR206" s="3" t="s">
        <v>64</v>
      </c>
      <c r="AS206" s="3" t="s">
        <v>64</v>
      </c>
      <c r="AT206" s="3" t="s">
        <v>64</v>
      </c>
      <c r="AV206" s="6" t="str">
        <f>HYPERLINK("http://mcgill.on.worldcat.org/oclc/19006","Catalog Record")</f>
        <v>Catalog Record</v>
      </c>
      <c r="AW206" s="6" t="str">
        <f>HYPERLINK("http://www.worldcat.org/oclc/19006","WorldCat Record")</f>
        <v>WorldCat Record</v>
      </c>
      <c r="AX206" s="3" t="s">
        <v>2267</v>
      </c>
      <c r="AY206" s="3" t="s">
        <v>2268</v>
      </c>
      <c r="AZ206" s="3" t="s">
        <v>2269</v>
      </c>
      <c r="BA206" s="3" t="s">
        <v>2269</v>
      </c>
      <c r="BB206" s="3" t="s">
        <v>2270</v>
      </c>
      <c r="BC206" s="3" t="s">
        <v>78</v>
      </c>
      <c r="BD206" s="3" t="s">
        <v>79</v>
      </c>
      <c r="BE206" s="3" t="s">
        <v>2271</v>
      </c>
      <c r="BF206" s="3" t="s">
        <v>2270</v>
      </c>
      <c r="BG206" s="3" t="s">
        <v>2272</v>
      </c>
    </row>
    <row r="207" spans="1:59" ht="58" x14ac:dyDescent="0.35">
      <c r="A207" s="2" t="s">
        <v>59</v>
      </c>
      <c r="B207" s="2" t="s">
        <v>94</v>
      </c>
      <c r="C207" s="2" t="s">
        <v>2260</v>
      </c>
      <c r="D207" s="2" t="s">
        <v>2261</v>
      </c>
      <c r="E207" s="2" t="s">
        <v>2262</v>
      </c>
      <c r="F207" s="3" t="s">
        <v>388</v>
      </c>
      <c r="G207" s="3" t="s">
        <v>73</v>
      </c>
      <c r="I207" s="3" t="s">
        <v>73</v>
      </c>
      <c r="J207" s="3" t="s">
        <v>64</v>
      </c>
      <c r="K207" s="3" t="s">
        <v>65</v>
      </c>
      <c r="L207" s="2" t="s">
        <v>2263</v>
      </c>
      <c r="M207" s="2" t="s">
        <v>2264</v>
      </c>
      <c r="N207" s="3" t="s">
        <v>2265</v>
      </c>
      <c r="P207" s="3" t="s">
        <v>69</v>
      </c>
      <c r="R207" s="3" t="s">
        <v>70</v>
      </c>
      <c r="S207" s="4">
        <v>0</v>
      </c>
      <c r="T207" s="4">
        <v>23</v>
      </c>
      <c r="V207" s="5" t="s">
        <v>2266</v>
      </c>
      <c r="W207" s="5" t="s">
        <v>72</v>
      </c>
      <c r="X207" s="5" t="s">
        <v>72</v>
      </c>
      <c r="Y207" s="4">
        <v>76</v>
      </c>
      <c r="Z207" s="4">
        <v>6</v>
      </c>
      <c r="AA207" s="4">
        <v>21</v>
      </c>
      <c r="AB207" s="4">
        <v>1</v>
      </c>
      <c r="AC207" s="4">
        <v>3</v>
      </c>
      <c r="AD207" s="4">
        <v>20</v>
      </c>
      <c r="AE207" s="4">
        <v>66</v>
      </c>
      <c r="AF207" s="4">
        <v>0</v>
      </c>
      <c r="AG207" s="4">
        <v>2</v>
      </c>
      <c r="AH207" s="4">
        <v>18</v>
      </c>
      <c r="AI207" s="4">
        <v>54</v>
      </c>
      <c r="AJ207" s="4">
        <v>5</v>
      </c>
      <c r="AK207" s="4">
        <v>10</v>
      </c>
      <c r="AL207" s="4">
        <v>9</v>
      </c>
      <c r="AM207" s="4">
        <v>31</v>
      </c>
      <c r="AN207" s="4">
        <v>0</v>
      </c>
      <c r="AO207" s="4">
        <v>0</v>
      </c>
      <c r="AP207" s="4">
        <v>5</v>
      </c>
      <c r="AQ207" s="4">
        <v>15</v>
      </c>
      <c r="AR207" s="3" t="s">
        <v>64</v>
      </c>
      <c r="AS207" s="3" t="s">
        <v>64</v>
      </c>
      <c r="AT207" s="3" t="s">
        <v>64</v>
      </c>
      <c r="AV207" s="6" t="str">
        <f>HYPERLINK("http://mcgill.on.worldcat.org/oclc/19006","Catalog Record")</f>
        <v>Catalog Record</v>
      </c>
      <c r="AW207" s="6" t="str">
        <f>HYPERLINK("http://www.worldcat.org/oclc/19006","WorldCat Record")</f>
        <v>WorldCat Record</v>
      </c>
      <c r="AX207" s="3" t="s">
        <v>2267</v>
      </c>
      <c r="AY207" s="3" t="s">
        <v>2268</v>
      </c>
      <c r="AZ207" s="3" t="s">
        <v>2269</v>
      </c>
      <c r="BA207" s="3" t="s">
        <v>2269</v>
      </c>
      <c r="BB207" s="3" t="s">
        <v>2273</v>
      </c>
      <c r="BC207" s="3" t="s">
        <v>78</v>
      </c>
      <c r="BD207" s="3" t="s">
        <v>79</v>
      </c>
      <c r="BE207" s="3" t="s">
        <v>2271</v>
      </c>
      <c r="BF207" s="3" t="s">
        <v>2273</v>
      </c>
      <c r="BG207" s="3" t="s">
        <v>2274</v>
      </c>
    </row>
    <row r="208" spans="1:59" ht="58" x14ac:dyDescent="0.35">
      <c r="A208" s="2" t="s">
        <v>59</v>
      </c>
      <c r="B208" s="2" t="s">
        <v>94</v>
      </c>
      <c r="C208" s="2" t="s">
        <v>2260</v>
      </c>
      <c r="D208" s="2" t="s">
        <v>2261</v>
      </c>
      <c r="E208" s="2" t="s">
        <v>2262</v>
      </c>
      <c r="F208" s="3" t="s">
        <v>2212</v>
      </c>
      <c r="G208" s="3" t="s">
        <v>73</v>
      </c>
      <c r="I208" s="3" t="s">
        <v>73</v>
      </c>
      <c r="J208" s="3" t="s">
        <v>64</v>
      </c>
      <c r="K208" s="3" t="s">
        <v>65</v>
      </c>
      <c r="L208" s="2" t="s">
        <v>2263</v>
      </c>
      <c r="M208" s="2" t="s">
        <v>2264</v>
      </c>
      <c r="N208" s="3" t="s">
        <v>2265</v>
      </c>
      <c r="P208" s="3" t="s">
        <v>69</v>
      </c>
      <c r="R208" s="3" t="s">
        <v>70</v>
      </c>
      <c r="S208" s="4">
        <v>1</v>
      </c>
      <c r="T208" s="4">
        <v>23</v>
      </c>
      <c r="U208" s="5" t="s">
        <v>2275</v>
      </c>
      <c r="V208" s="5" t="s">
        <v>2266</v>
      </c>
      <c r="W208" s="5" t="s">
        <v>72</v>
      </c>
      <c r="X208" s="5" t="s">
        <v>72</v>
      </c>
      <c r="Y208" s="4">
        <v>76</v>
      </c>
      <c r="Z208" s="4">
        <v>6</v>
      </c>
      <c r="AA208" s="4">
        <v>21</v>
      </c>
      <c r="AB208" s="4">
        <v>1</v>
      </c>
      <c r="AC208" s="4">
        <v>3</v>
      </c>
      <c r="AD208" s="4">
        <v>20</v>
      </c>
      <c r="AE208" s="4">
        <v>66</v>
      </c>
      <c r="AF208" s="4">
        <v>0</v>
      </c>
      <c r="AG208" s="4">
        <v>2</v>
      </c>
      <c r="AH208" s="4">
        <v>18</v>
      </c>
      <c r="AI208" s="4">
        <v>54</v>
      </c>
      <c r="AJ208" s="4">
        <v>5</v>
      </c>
      <c r="AK208" s="4">
        <v>10</v>
      </c>
      <c r="AL208" s="4">
        <v>9</v>
      </c>
      <c r="AM208" s="4">
        <v>31</v>
      </c>
      <c r="AN208" s="4">
        <v>0</v>
      </c>
      <c r="AO208" s="4">
        <v>0</v>
      </c>
      <c r="AP208" s="4">
        <v>5</v>
      </c>
      <c r="AQ208" s="4">
        <v>15</v>
      </c>
      <c r="AR208" s="3" t="s">
        <v>64</v>
      </c>
      <c r="AS208" s="3" t="s">
        <v>64</v>
      </c>
      <c r="AT208" s="3" t="s">
        <v>64</v>
      </c>
      <c r="AV208" s="6" t="str">
        <f>HYPERLINK("http://mcgill.on.worldcat.org/oclc/19006","Catalog Record")</f>
        <v>Catalog Record</v>
      </c>
      <c r="AW208" s="6" t="str">
        <f>HYPERLINK("http://www.worldcat.org/oclc/19006","WorldCat Record")</f>
        <v>WorldCat Record</v>
      </c>
      <c r="AX208" s="3" t="s">
        <v>2267</v>
      </c>
      <c r="AY208" s="3" t="s">
        <v>2268</v>
      </c>
      <c r="AZ208" s="3" t="s">
        <v>2269</v>
      </c>
      <c r="BA208" s="3" t="s">
        <v>2269</v>
      </c>
      <c r="BB208" s="3" t="s">
        <v>2276</v>
      </c>
      <c r="BC208" s="3" t="s">
        <v>78</v>
      </c>
      <c r="BD208" s="3" t="s">
        <v>79</v>
      </c>
      <c r="BE208" s="3" t="s">
        <v>2271</v>
      </c>
      <c r="BF208" s="3" t="s">
        <v>2276</v>
      </c>
      <c r="BG208" s="3" t="s">
        <v>2277</v>
      </c>
    </row>
    <row r="209" spans="1:59" ht="58" x14ac:dyDescent="0.35">
      <c r="A209" s="2" t="s">
        <v>59</v>
      </c>
      <c r="B209" s="2" t="s">
        <v>94</v>
      </c>
      <c r="C209" s="2" t="s">
        <v>2278</v>
      </c>
      <c r="D209" s="2" t="s">
        <v>2279</v>
      </c>
      <c r="E209" s="2" t="s">
        <v>2280</v>
      </c>
      <c r="G209" s="3" t="s">
        <v>64</v>
      </c>
      <c r="I209" s="3" t="s">
        <v>64</v>
      </c>
      <c r="J209" s="3" t="s">
        <v>64</v>
      </c>
      <c r="K209" s="3" t="s">
        <v>65</v>
      </c>
      <c r="L209" s="2" t="s">
        <v>2281</v>
      </c>
      <c r="M209" s="2" t="s">
        <v>2282</v>
      </c>
      <c r="N209" s="3" t="s">
        <v>315</v>
      </c>
      <c r="P209" s="3" t="s">
        <v>69</v>
      </c>
      <c r="R209" s="3" t="s">
        <v>70</v>
      </c>
      <c r="S209" s="4">
        <v>33</v>
      </c>
      <c r="T209" s="4">
        <v>33</v>
      </c>
      <c r="U209" s="5" t="s">
        <v>487</v>
      </c>
      <c r="V209" s="5" t="s">
        <v>487</v>
      </c>
      <c r="W209" s="5" t="s">
        <v>72</v>
      </c>
      <c r="X209" s="5" t="s">
        <v>72</v>
      </c>
      <c r="Y209" s="4">
        <v>951</v>
      </c>
      <c r="Z209" s="4">
        <v>40</v>
      </c>
      <c r="AA209" s="4">
        <v>53</v>
      </c>
      <c r="AB209" s="4">
        <v>2</v>
      </c>
      <c r="AC209" s="4">
        <v>3</v>
      </c>
      <c r="AD209" s="4">
        <v>111</v>
      </c>
      <c r="AE209" s="4">
        <v>121</v>
      </c>
      <c r="AF209" s="4">
        <v>0</v>
      </c>
      <c r="AG209" s="4">
        <v>0</v>
      </c>
      <c r="AH209" s="4">
        <v>99</v>
      </c>
      <c r="AI209" s="4">
        <v>105</v>
      </c>
      <c r="AJ209" s="4">
        <v>12</v>
      </c>
      <c r="AK209" s="4">
        <v>15</v>
      </c>
      <c r="AL209" s="4">
        <v>53</v>
      </c>
      <c r="AM209" s="4">
        <v>53</v>
      </c>
      <c r="AN209" s="4">
        <v>0</v>
      </c>
      <c r="AO209" s="4">
        <v>0</v>
      </c>
      <c r="AP209" s="4">
        <v>20</v>
      </c>
      <c r="AQ209" s="4">
        <v>25</v>
      </c>
      <c r="AR209" s="3" t="s">
        <v>64</v>
      </c>
      <c r="AS209" s="3" t="s">
        <v>64</v>
      </c>
      <c r="AT209" s="3" t="s">
        <v>73</v>
      </c>
      <c r="AU209" s="6" t="str">
        <f>HYPERLINK("http://catalog.hathitrust.org/Record/000876035","HathiTrust Record")</f>
        <v>HathiTrust Record</v>
      </c>
      <c r="AV209" s="6" t="str">
        <f>HYPERLINK("http://mcgill.on.worldcat.org/oclc/14376658","Catalog Record")</f>
        <v>Catalog Record</v>
      </c>
      <c r="AW209" s="6" t="str">
        <f>HYPERLINK("http://www.worldcat.org/oclc/14376658","WorldCat Record")</f>
        <v>WorldCat Record</v>
      </c>
      <c r="AX209" s="3" t="s">
        <v>2283</v>
      </c>
      <c r="AY209" s="3" t="s">
        <v>2284</v>
      </c>
      <c r="AZ209" s="3" t="s">
        <v>2285</v>
      </c>
      <c r="BA209" s="3" t="s">
        <v>2285</v>
      </c>
      <c r="BB209" s="3" t="s">
        <v>2286</v>
      </c>
      <c r="BC209" s="3" t="s">
        <v>78</v>
      </c>
      <c r="BD209" s="3" t="s">
        <v>79</v>
      </c>
      <c r="BE209" s="3" t="s">
        <v>2287</v>
      </c>
      <c r="BF209" s="3" t="s">
        <v>2286</v>
      </c>
      <c r="BG209" s="3" t="s">
        <v>2288</v>
      </c>
    </row>
    <row r="210" spans="1:59" ht="58" x14ac:dyDescent="0.35">
      <c r="A210" s="2" t="s">
        <v>59</v>
      </c>
      <c r="B210" s="2" t="s">
        <v>94</v>
      </c>
      <c r="C210" s="2" t="s">
        <v>2289</v>
      </c>
      <c r="D210" s="2" t="s">
        <v>2290</v>
      </c>
      <c r="E210" s="2" t="s">
        <v>2291</v>
      </c>
      <c r="G210" s="3" t="s">
        <v>64</v>
      </c>
      <c r="H210" s="3" t="s">
        <v>2292</v>
      </c>
      <c r="I210" s="3" t="s">
        <v>73</v>
      </c>
      <c r="J210" s="3" t="s">
        <v>64</v>
      </c>
      <c r="K210" s="3" t="s">
        <v>65</v>
      </c>
      <c r="L210" s="2" t="s">
        <v>2293</v>
      </c>
      <c r="M210" s="2" t="s">
        <v>2294</v>
      </c>
      <c r="N210" s="3" t="s">
        <v>1154</v>
      </c>
      <c r="O210" s="2" t="s">
        <v>2295</v>
      </c>
      <c r="P210" s="3" t="s">
        <v>69</v>
      </c>
      <c r="R210" s="3" t="s">
        <v>70</v>
      </c>
      <c r="S210" s="4">
        <v>0</v>
      </c>
      <c r="T210" s="4">
        <v>3</v>
      </c>
      <c r="V210" s="5" t="s">
        <v>2296</v>
      </c>
      <c r="W210" s="5" t="s">
        <v>2297</v>
      </c>
      <c r="X210" s="5" t="s">
        <v>2297</v>
      </c>
      <c r="Y210" s="4">
        <v>314</v>
      </c>
      <c r="Z210" s="4">
        <v>11</v>
      </c>
      <c r="AA210" s="4">
        <v>115</v>
      </c>
      <c r="AB210" s="4">
        <v>1</v>
      </c>
      <c r="AC210" s="4">
        <v>13</v>
      </c>
      <c r="AD210" s="4">
        <v>25</v>
      </c>
      <c r="AE210" s="4">
        <v>154</v>
      </c>
      <c r="AF210" s="4">
        <v>0</v>
      </c>
      <c r="AG210" s="4">
        <v>6</v>
      </c>
      <c r="AH210" s="4">
        <v>21</v>
      </c>
      <c r="AI210" s="4">
        <v>113</v>
      </c>
      <c r="AJ210" s="4">
        <v>2</v>
      </c>
      <c r="AK210" s="4">
        <v>28</v>
      </c>
      <c r="AL210" s="4">
        <v>13</v>
      </c>
      <c r="AM210" s="4">
        <v>60</v>
      </c>
      <c r="AN210" s="4">
        <v>0</v>
      </c>
      <c r="AO210" s="4">
        <v>0</v>
      </c>
      <c r="AP210" s="4">
        <v>5</v>
      </c>
      <c r="AQ210" s="4">
        <v>48</v>
      </c>
      <c r="AR210" s="3" t="s">
        <v>64</v>
      </c>
      <c r="AS210" s="3" t="s">
        <v>64</v>
      </c>
      <c r="AT210" s="3" t="s">
        <v>73</v>
      </c>
      <c r="AU210" s="6" t="str">
        <f>HYPERLINK("http://catalog.hathitrust.org/Record/004530438","HathiTrust Record")</f>
        <v>HathiTrust Record</v>
      </c>
      <c r="AV210" s="6" t="str">
        <f>HYPERLINK("http://mcgill.on.worldcat.org/oclc/32173170","Catalog Record")</f>
        <v>Catalog Record</v>
      </c>
      <c r="AW210" s="6" t="str">
        <f>HYPERLINK("http://www.worldcat.org/oclc/32173170","WorldCat Record")</f>
        <v>WorldCat Record</v>
      </c>
      <c r="AX210" s="3" t="s">
        <v>2298</v>
      </c>
      <c r="AY210" s="3" t="s">
        <v>2299</v>
      </c>
      <c r="AZ210" s="3" t="s">
        <v>2300</v>
      </c>
      <c r="BA210" s="3" t="s">
        <v>2300</v>
      </c>
      <c r="BB210" s="3" t="s">
        <v>2301</v>
      </c>
      <c r="BC210" s="3" t="s">
        <v>78</v>
      </c>
      <c r="BD210" s="3" t="s">
        <v>79</v>
      </c>
      <c r="BE210" s="3" t="s">
        <v>2302</v>
      </c>
      <c r="BF210" s="3" t="s">
        <v>2301</v>
      </c>
      <c r="BG210" s="3" t="s">
        <v>2303</v>
      </c>
    </row>
    <row r="211" spans="1:59" ht="58" x14ac:dyDescent="0.35">
      <c r="A211" s="2" t="s">
        <v>59</v>
      </c>
      <c r="B211" s="2" t="s">
        <v>94</v>
      </c>
      <c r="C211" s="2" t="s">
        <v>2304</v>
      </c>
      <c r="D211" s="2" t="s">
        <v>2305</v>
      </c>
      <c r="E211" s="2" t="s">
        <v>2291</v>
      </c>
      <c r="G211" s="3" t="s">
        <v>64</v>
      </c>
      <c r="I211" s="3" t="s">
        <v>73</v>
      </c>
      <c r="J211" s="3" t="s">
        <v>64</v>
      </c>
      <c r="K211" s="3" t="s">
        <v>65</v>
      </c>
      <c r="L211" s="2" t="s">
        <v>2293</v>
      </c>
      <c r="M211" s="2" t="s">
        <v>2294</v>
      </c>
      <c r="N211" s="3" t="s">
        <v>1154</v>
      </c>
      <c r="O211" s="2" t="s">
        <v>2295</v>
      </c>
      <c r="P211" s="3" t="s">
        <v>69</v>
      </c>
      <c r="R211" s="3" t="s">
        <v>70</v>
      </c>
      <c r="S211" s="4">
        <v>3</v>
      </c>
      <c r="T211" s="4">
        <v>3</v>
      </c>
      <c r="U211" s="5" t="s">
        <v>2296</v>
      </c>
      <c r="V211" s="5" t="s">
        <v>2296</v>
      </c>
      <c r="W211" s="5" t="s">
        <v>72</v>
      </c>
      <c r="X211" s="5" t="s">
        <v>2297</v>
      </c>
      <c r="Y211" s="4">
        <v>314</v>
      </c>
      <c r="Z211" s="4">
        <v>11</v>
      </c>
      <c r="AA211" s="4">
        <v>115</v>
      </c>
      <c r="AB211" s="4">
        <v>1</v>
      </c>
      <c r="AC211" s="4">
        <v>13</v>
      </c>
      <c r="AD211" s="4">
        <v>25</v>
      </c>
      <c r="AE211" s="4">
        <v>154</v>
      </c>
      <c r="AF211" s="4">
        <v>0</v>
      </c>
      <c r="AG211" s="4">
        <v>6</v>
      </c>
      <c r="AH211" s="4">
        <v>21</v>
      </c>
      <c r="AI211" s="4">
        <v>113</v>
      </c>
      <c r="AJ211" s="4">
        <v>2</v>
      </c>
      <c r="AK211" s="4">
        <v>28</v>
      </c>
      <c r="AL211" s="4">
        <v>13</v>
      </c>
      <c r="AM211" s="4">
        <v>60</v>
      </c>
      <c r="AN211" s="4">
        <v>0</v>
      </c>
      <c r="AO211" s="4">
        <v>0</v>
      </c>
      <c r="AP211" s="4">
        <v>5</v>
      </c>
      <c r="AQ211" s="4">
        <v>48</v>
      </c>
      <c r="AR211" s="3" t="s">
        <v>64</v>
      </c>
      <c r="AS211" s="3" t="s">
        <v>64</v>
      </c>
      <c r="AT211" s="3" t="s">
        <v>73</v>
      </c>
      <c r="AU211" s="6" t="str">
        <f>HYPERLINK("http://catalog.hathitrust.org/Record/004530438","HathiTrust Record")</f>
        <v>HathiTrust Record</v>
      </c>
      <c r="AV211" s="6" t="str">
        <f>HYPERLINK("http://mcgill.on.worldcat.org/oclc/32173170","Catalog Record")</f>
        <v>Catalog Record</v>
      </c>
      <c r="AW211" s="6" t="str">
        <f>HYPERLINK("http://www.worldcat.org/oclc/32173170","WorldCat Record")</f>
        <v>WorldCat Record</v>
      </c>
      <c r="AX211" s="3" t="s">
        <v>2298</v>
      </c>
      <c r="AY211" s="3" t="s">
        <v>2299</v>
      </c>
      <c r="AZ211" s="3" t="s">
        <v>2300</v>
      </c>
      <c r="BA211" s="3" t="s">
        <v>2300</v>
      </c>
      <c r="BB211" s="3" t="s">
        <v>2306</v>
      </c>
      <c r="BC211" s="3" t="s">
        <v>78</v>
      </c>
      <c r="BD211" s="3" t="s">
        <v>2307</v>
      </c>
      <c r="BE211" s="3" t="s">
        <v>2302</v>
      </c>
      <c r="BF211" s="3" t="s">
        <v>2306</v>
      </c>
      <c r="BG211" s="3" t="s">
        <v>2308</v>
      </c>
    </row>
    <row r="212" spans="1:59" ht="58" x14ac:dyDescent="0.35">
      <c r="A212" s="2" t="s">
        <v>59</v>
      </c>
      <c r="B212" s="2" t="s">
        <v>94</v>
      </c>
      <c r="C212" s="2" t="s">
        <v>2309</v>
      </c>
      <c r="D212" s="2" t="s">
        <v>2310</v>
      </c>
      <c r="E212" s="2" t="s">
        <v>2311</v>
      </c>
      <c r="G212" s="3" t="s">
        <v>64</v>
      </c>
      <c r="I212" s="3" t="s">
        <v>64</v>
      </c>
      <c r="J212" s="3" t="s">
        <v>64</v>
      </c>
      <c r="K212" s="3" t="s">
        <v>65</v>
      </c>
      <c r="L212" s="2" t="s">
        <v>883</v>
      </c>
      <c r="M212" s="2" t="s">
        <v>884</v>
      </c>
      <c r="N212" s="3" t="s">
        <v>328</v>
      </c>
      <c r="P212" s="3" t="s">
        <v>69</v>
      </c>
      <c r="R212" s="3" t="s">
        <v>70</v>
      </c>
      <c r="S212" s="4">
        <v>4</v>
      </c>
      <c r="T212" s="4">
        <v>4</v>
      </c>
      <c r="U212" s="5" t="s">
        <v>2312</v>
      </c>
      <c r="V212" s="5" t="s">
        <v>2312</v>
      </c>
      <c r="W212" s="5" t="s">
        <v>72</v>
      </c>
      <c r="X212" s="5" t="s">
        <v>72</v>
      </c>
      <c r="Y212" s="4">
        <v>110</v>
      </c>
      <c r="Z212" s="4">
        <v>6</v>
      </c>
      <c r="AA212" s="4">
        <v>37</v>
      </c>
      <c r="AB212" s="4">
        <v>1</v>
      </c>
      <c r="AC212" s="4">
        <v>4</v>
      </c>
      <c r="AD212" s="4">
        <v>49</v>
      </c>
      <c r="AE212" s="4">
        <v>81</v>
      </c>
      <c r="AF212" s="4">
        <v>0</v>
      </c>
      <c r="AG212" s="4">
        <v>1</v>
      </c>
      <c r="AH212" s="4">
        <v>47</v>
      </c>
      <c r="AI212" s="4">
        <v>69</v>
      </c>
      <c r="AJ212" s="4">
        <v>4</v>
      </c>
      <c r="AK212" s="4">
        <v>11</v>
      </c>
      <c r="AL212" s="4">
        <v>28</v>
      </c>
      <c r="AM212" s="4">
        <v>38</v>
      </c>
      <c r="AN212" s="4">
        <v>0</v>
      </c>
      <c r="AO212" s="4">
        <v>0</v>
      </c>
      <c r="AP212" s="4">
        <v>4</v>
      </c>
      <c r="AQ212" s="4">
        <v>16</v>
      </c>
      <c r="AR212" s="3" t="s">
        <v>64</v>
      </c>
      <c r="AS212" s="3" t="s">
        <v>64</v>
      </c>
      <c r="AT212" s="3" t="s">
        <v>64</v>
      </c>
      <c r="AV212" s="6" t="str">
        <f>HYPERLINK("http://mcgill.on.worldcat.org/oclc/700205692","Catalog Record")</f>
        <v>Catalog Record</v>
      </c>
      <c r="AW212" s="6" t="str">
        <f>HYPERLINK("http://www.worldcat.org/oclc/700205692","WorldCat Record")</f>
        <v>WorldCat Record</v>
      </c>
      <c r="AX212" s="3" t="s">
        <v>2313</v>
      </c>
      <c r="AY212" s="3" t="s">
        <v>2314</v>
      </c>
      <c r="AZ212" s="3" t="s">
        <v>2315</v>
      </c>
      <c r="BA212" s="3" t="s">
        <v>2315</v>
      </c>
      <c r="BB212" s="3" t="s">
        <v>2316</v>
      </c>
      <c r="BC212" s="3" t="s">
        <v>78</v>
      </c>
      <c r="BD212" s="3" t="s">
        <v>79</v>
      </c>
      <c r="BE212" s="3" t="s">
        <v>2317</v>
      </c>
      <c r="BF212" s="3" t="s">
        <v>2316</v>
      </c>
      <c r="BG212" s="3" t="s">
        <v>2318</v>
      </c>
    </row>
    <row r="213" spans="1:59" ht="58" x14ac:dyDescent="0.35">
      <c r="A213" s="2" t="s">
        <v>59</v>
      </c>
      <c r="B213" s="2" t="s">
        <v>94</v>
      </c>
      <c r="C213" s="2" t="s">
        <v>2319</v>
      </c>
      <c r="D213" s="2" t="s">
        <v>2320</v>
      </c>
      <c r="E213" s="2" t="s">
        <v>2321</v>
      </c>
      <c r="G213" s="3" t="s">
        <v>64</v>
      </c>
      <c r="I213" s="3" t="s">
        <v>64</v>
      </c>
      <c r="J213" s="3" t="s">
        <v>64</v>
      </c>
      <c r="K213" s="3" t="s">
        <v>65</v>
      </c>
      <c r="M213" s="2" t="s">
        <v>2322</v>
      </c>
      <c r="N213" s="3" t="s">
        <v>68</v>
      </c>
      <c r="P213" s="3" t="s">
        <v>69</v>
      </c>
      <c r="R213" s="3" t="s">
        <v>70</v>
      </c>
      <c r="S213" s="4">
        <v>4</v>
      </c>
      <c r="T213" s="4">
        <v>4</v>
      </c>
      <c r="U213" s="5" t="s">
        <v>2323</v>
      </c>
      <c r="V213" s="5" t="s">
        <v>2323</v>
      </c>
      <c r="W213" s="5" t="s">
        <v>72</v>
      </c>
      <c r="X213" s="5" t="s">
        <v>72</v>
      </c>
      <c r="Y213" s="4">
        <v>304</v>
      </c>
      <c r="Z213" s="4">
        <v>19</v>
      </c>
      <c r="AA213" s="4">
        <v>52</v>
      </c>
      <c r="AB213" s="4">
        <v>1</v>
      </c>
      <c r="AC213" s="4">
        <v>6</v>
      </c>
      <c r="AD213" s="4">
        <v>84</v>
      </c>
      <c r="AE213" s="4">
        <v>107</v>
      </c>
      <c r="AF213" s="4">
        <v>0</v>
      </c>
      <c r="AG213" s="4">
        <v>2</v>
      </c>
      <c r="AH213" s="4">
        <v>74</v>
      </c>
      <c r="AI213" s="4">
        <v>90</v>
      </c>
      <c r="AJ213" s="4">
        <v>11</v>
      </c>
      <c r="AK213" s="4">
        <v>16</v>
      </c>
      <c r="AL213" s="4">
        <v>45</v>
      </c>
      <c r="AM213" s="4">
        <v>49</v>
      </c>
      <c r="AN213" s="4">
        <v>0</v>
      </c>
      <c r="AO213" s="4">
        <v>0</v>
      </c>
      <c r="AP213" s="4">
        <v>13</v>
      </c>
      <c r="AQ213" s="4">
        <v>23</v>
      </c>
      <c r="AR213" s="3" t="s">
        <v>64</v>
      </c>
      <c r="AS213" s="3" t="s">
        <v>64</v>
      </c>
      <c r="AT213" s="3" t="s">
        <v>64</v>
      </c>
      <c r="AV213" s="6" t="str">
        <f>HYPERLINK("http://mcgill.on.worldcat.org/oclc/61757977","Catalog Record")</f>
        <v>Catalog Record</v>
      </c>
      <c r="AW213" s="6" t="str">
        <f>HYPERLINK("http://www.worldcat.org/oclc/61757977","WorldCat Record")</f>
        <v>WorldCat Record</v>
      </c>
      <c r="AX213" s="3" t="s">
        <v>2324</v>
      </c>
      <c r="AY213" s="3" t="s">
        <v>2325</v>
      </c>
      <c r="AZ213" s="3" t="s">
        <v>2326</v>
      </c>
      <c r="BA213" s="3" t="s">
        <v>2326</v>
      </c>
      <c r="BB213" s="3" t="s">
        <v>2327</v>
      </c>
      <c r="BC213" s="3" t="s">
        <v>78</v>
      </c>
      <c r="BD213" s="3" t="s">
        <v>79</v>
      </c>
      <c r="BE213" s="3" t="s">
        <v>2328</v>
      </c>
      <c r="BF213" s="3" t="s">
        <v>2327</v>
      </c>
      <c r="BG213" s="3" t="s">
        <v>2329</v>
      </c>
    </row>
    <row r="214" spans="1:59" ht="58" x14ac:dyDescent="0.35">
      <c r="A214" s="2" t="s">
        <v>59</v>
      </c>
      <c r="B214" s="2" t="s">
        <v>94</v>
      </c>
      <c r="C214" s="2" t="s">
        <v>2330</v>
      </c>
      <c r="D214" s="2" t="s">
        <v>2331</v>
      </c>
      <c r="E214" s="2" t="s">
        <v>2332</v>
      </c>
      <c r="G214" s="3" t="s">
        <v>64</v>
      </c>
      <c r="I214" s="3" t="s">
        <v>64</v>
      </c>
      <c r="J214" s="3" t="s">
        <v>64</v>
      </c>
      <c r="K214" s="3" t="s">
        <v>65</v>
      </c>
      <c r="L214" s="2" t="s">
        <v>2333</v>
      </c>
      <c r="M214" s="2" t="s">
        <v>2334</v>
      </c>
      <c r="N214" s="3" t="s">
        <v>1154</v>
      </c>
      <c r="P214" s="3" t="s">
        <v>69</v>
      </c>
      <c r="R214" s="3" t="s">
        <v>70</v>
      </c>
      <c r="S214" s="4">
        <v>30</v>
      </c>
      <c r="T214" s="4">
        <v>30</v>
      </c>
      <c r="U214" s="5" t="s">
        <v>2335</v>
      </c>
      <c r="V214" s="5" t="s">
        <v>2335</v>
      </c>
      <c r="W214" s="5" t="s">
        <v>72</v>
      </c>
      <c r="X214" s="5" t="s">
        <v>72</v>
      </c>
      <c r="Y214" s="4">
        <v>64</v>
      </c>
      <c r="Z214" s="4">
        <v>13</v>
      </c>
      <c r="AA214" s="4">
        <v>14</v>
      </c>
      <c r="AB214" s="4">
        <v>1</v>
      </c>
      <c r="AC214" s="4">
        <v>1</v>
      </c>
      <c r="AD214" s="4">
        <v>16</v>
      </c>
      <c r="AE214" s="4">
        <v>19</v>
      </c>
      <c r="AF214" s="4">
        <v>0</v>
      </c>
      <c r="AG214" s="4">
        <v>0</v>
      </c>
      <c r="AH214" s="4">
        <v>15</v>
      </c>
      <c r="AI214" s="4">
        <v>18</v>
      </c>
      <c r="AJ214" s="4">
        <v>6</v>
      </c>
      <c r="AK214" s="4">
        <v>6</v>
      </c>
      <c r="AL214" s="4">
        <v>10</v>
      </c>
      <c r="AM214" s="4">
        <v>11</v>
      </c>
      <c r="AN214" s="4">
        <v>5</v>
      </c>
      <c r="AO214" s="4">
        <v>5</v>
      </c>
      <c r="AP214" s="4">
        <v>6</v>
      </c>
      <c r="AQ214" s="4">
        <v>6</v>
      </c>
      <c r="AR214" s="3" t="s">
        <v>64</v>
      </c>
      <c r="AS214" s="3" t="s">
        <v>64</v>
      </c>
      <c r="AT214" s="3" t="s">
        <v>73</v>
      </c>
      <c r="AU214" s="6" t="str">
        <f>HYPERLINK("http://catalog.hathitrust.org/Record/101957414","HathiTrust Record")</f>
        <v>HathiTrust Record</v>
      </c>
      <c r="AV214" s="6" t="str">
        <f>HYPERLINK("http://mcgill.on.worldcat.org/oclc/30032267","Catalog Record")</f>
        <v>Catalog Record</v>
      </c>
      <c r="AW214" s="6" t="str">
        <f>HYPERLINK("http://www.worldcat.org/oclc/30032267","WorldCat Record")</f>
        <v>WorldCat Record</v>
      </c>
      <c r="AX214" s="3" t="s">
        <v>2336</v>
      </c>
      <c r="AY214" s="3" t="s">
        <v>2337</v>
      </c>
      <c r="AZ214" s="3" t="s">
        <v>2338</v>
      </c>
      <c r="BA214" s="3" t="s">
        <v>2338</v>
      </c>
      <c r="BB214" s="3" t="s">
        <v>2339</v>
      </c>
      <c r="BC214" s="3" t="s">
        <v>78</v>
      </c>
      <c r="BD214" s="3" t="s">
        <v>79</v>
      </c>
      <c r="BE214" s="3" t="s">
        <v>2340</v>
      </c>
      <c r="BF214" s="3" t="s">
        <v>2339</v>
      </c>
      <c r="BG214" s="3" t="s">
        <v>2341</v>
      </c>
    </row>
    <row r="215" spans="1:59" ht="58" x14ac:dyDescent="0.35">
      <c r="A215" s="2" t="s">
        <v>59</v>
      </c>
      <c r="B215" s="2" t="s">
        <v>94</v>
      </c>
      <c r="C215" s="2" t="s">
        <v>2342</v>
      </c>
      <c r="D215" s="2" t="s">
        <v>2343</v>
      </c>
      <c r="E215" s="2" t="s">
        <v>2344</v>
      </c>
      <c r="F215" s="3" t="s">
        <v>2228</v>
      </c>
      <c r="G215" s="3" t="s">
        <v>73</v>
      </c>
      <c r="I215" s="3" t="s">
        <v>64</v>
      </c>
      <c r="J215" s="3" t="s">
        <v>64</v>
      </c>
      <c r="K215" s="3" t="s">
        <v>65</v>
      </c>
      <c r="L215" s="2" t="s">
        <v>2345</v>
      </c>
      <c r="M215" s="2" t="s">
        <v>2346</v>
      </c>
      <c r="N215" s="3" t="s">
        <v>2347</v>
      </c>
      <c r="P215" s="3" t="s">
        <v>202</v>
      </c>
      <c r="R215" s="3" t="s">
        <v>70</v>
      </c>
      <c r="S215" s="4">
        <v>1</v>
      </c>
      <c r="T215" s="4">
        <v>8</v>
      </c>
      <c r="U215" s="5" t="s">
        <v>2348</v>
      </c>
      <c r="V215" s="5" t="s">
        <v>2349</v>
      </c>
      <c r="W215" s="5" t="s">
        <v>72</v>
      </c>
      <c r="X215" s="5" t="s">
        <v>72</v>
      </c>
      <c r="Y215" s="4">
        <v>1</v>
      </c>
      <c r="Z215" s="4">
        <v>1</v>
      </c>
      <c r="AA215" s="4">
        <v>6</v>
      </c>
      <c r="AB215" s="4">
        <v>1</v>
      </c>
      <c r="AC215" s="4">
        <v>1</v>
      </c>
      <c r="AD215" s="4">
        <v>0</v>
      </c>
      <c r="AE215" s="4">
        <v>43</v>
      </c>
      <c r="AF215" s="4">
        <v>0</v>
      </c>
      <c r="AG215" s="4">
        <v>0</v>
      </c>
      <c r="AH215" s="4">
        <v>0</v>
      </c>
      <c r="AI215" s="4">
        <v>41</v>
      </c>
      <c r="AJ215" s="4">
        <v>0</v>
      </c>
      <c r="AK215" s="4">
        <v>3</v>
      </c>
      <c r="AL215" s="4">
        <v>0</v>
      </c>
      <c r="AM215" s="4">
        <v>32</v>
      </c>
      <c r="AN215" s="4">
        <v>0</v>
      </c>
      <c r="AO215" s="4">
        <v>0</v>
      </c>
      <c r="AP215" s="4">
        <v>0</v>
      </c>
      <c r="AQ215" s="4">
        <v>3</v>
      </c>
      <c r="AR215" s="3" t="s">
        <v>64</v>
      </c>
      <c r="AS215" s="3" t="s">
        <v>64</v>
      </c>
      <c r="AT215" s="3" t="s">
        <v>64</v>
      </c>
      <c r="AV215" s="6" t="str">
        <f>HYPERLINK("http://mcgill.on.worldcat.org/oclc/427541051","Catalog Record")</f>
        <v>Catalog Record</v>
      </c>
      <c r="AW215" s="6" t="str">
        <f>HYPERLINK("http://www.worldcat.org/oclc/427541051","WorldCat Record")</f>
        <v>WorldCat Record</v>
      </c>
      <c r="AX215" s="3" t="s">
        <v>2350</v>
      </c>
      <c r="AY215" s="3" t="s">
        <v>2351</v>
      </c>
      <c r="AZ215" s="3" t="s">
        <v>2352</v>
      </c>
      <c r="BA215" s="3" t="s">
        <v>2352</v>
      </c>
      <c r="BB215" s="3" t="s">
        <v>2353</v>
      </c>
      <c r="BC215" s="3" t="s">
        <v>78</v>
      </c>
      <c r="BD215" s="3" t="s">
        <v>79</v>
      </c>
      <c r="BF215" s="3" t="s">
        <v>2353</v>
      </c>
      <c r="BG215" s="3" t="s">
        <v>2354</v>
      </c>
    </row>
    <row r="216" spans="1:59" ht="58" x14ac:dyDescent="0.35">
      <c r="A216" s="2" t="s">
        <v>59</v>
      </c>
      <c r="B216" s="2" t="s">
        <v>94</v>
      </c>
      <c r="C216" s="2" t="s">
        <v>2342</v>
      </c>
      <c r="D216" s="2" t="s">
        <v>2343</v>
      </c>
      <c r="E216" s="2" t="s">
        <v>2344</v>
      </c>
      <c r="F216" s="3" t="s">
        <v>2212</v>
      </c>
      <c r="G216" s="3" t="s">
        <v>73</v>
      </c>
      <c r="I216" s="3" t="s">
        <v>64</v>
      </c>
      <c r="J216" s="3" t="s">
        <v>64</v>
      </c>
      <c r="K216" s="3" t="s">
        <v>65</v>
      </c>
      <c r="L216" s="2" t="s">
        <v>2345</v>
      </c>
      <c r="M216" s="2" t="s">
        <v>2346</v>
      </c>
      <c r="N216" s="3" t="s">
        <v>2347</v>
      </c>
      <c r="P216" s="3" t="s">
        <v>202</v>
      </c>
      <c r="R216" s="3" t="s">
        <v>70</v>
      </c>
      <c r="S216" s="4">
        <v>7</v>
      </c>
      <c r="T216" s="4">
        <v>8</v>
      </c>
      <c r="U216" s="5" t="s">
        <v>2349</v>
      </c>
      <c r="V216" s="5" t="s">
        <v>2349</v>
      </c>
      <c r="W216" s="5" t="s">
        <v>72</v>
      </c>
      <c r="X216" s="5" t="s">
        <v>72</v>
      </c>
      <c r="Y216" s="4">
        <v>1</v>
      </c>
      <c r="Z216" s="4">
        <v>1</v>
      </c>
      <c r="AA216" s="4">
        <v>6</v>
      </c>
      <c r="AB216" s="4">
        <v>1</v>
      </c>
      <c r="AC216" s="4">
        <v>1</v>
      </c>
      <c r="AD216" s="4">
        <v>0</v>
      </c>
      <c r="AE216" s="4">
        <v>43</v>
      </c>
      <c r="AF216" s="4">
        <v>0</v>
      </c>
      <c r="AG216" s="4">
        <v>0</v>
      </c>
      <c r="AH216" s="4">
        <v>0</v>
      </c>
      <c r="AI216" s="4">
        <v>41</v>
      </c>
      <c r="AJ216" s="4">
        <v>0</v>
      </c>
      <c r="AK216" s="4">
        <v>3</v>
      </c>
      <c r="AL216" s="4">
        <v>0</v>
      </c>
      <c r="AM216" s="4">
        <v>32</v>
      </c>
      <c r="AN216" s="4">
        <v>0</v>
      </c>
      <c r="AO216" s="4">
        <v>0</v>
      </c>
      <c r="AP216" s="4">
        <v>0</v>
      </c>
      <c r="AQ216" s="4">
        <v>3</v>
      </c>
      <c r="AR216" s="3" t="s">
        <v>64</v>
      </c>
      <c r="AS216" s="3" t="s">
        <v>64</v>
      </c>
      <c r="AT216" s="3" t="s">
        <v>64</v>
      </c>
      <c r="AV216" s="6" t="str">
        <f>HYPERLINK("http://mcgill.on.worldcat.org/oclc/427541051","Catalog Record")</f>
        <v>Catalog Record</v>
      </c>
      <c r="AW216" s="6" t="str">
        <f>HYPERLINK("http://www.worldcat.org/oclc/427541051","WorldCat Record")</f>
        <v>WorldCat Record</v>
      </c>
      <c r="AX216" s="3" t="s">
        <v>2350</v>
      </c>
      <c r="AY216" s="3" t="s">
        <v>2351</v>
      </c>
      <c r="AZ216" s="3" t="s">
        <v>2352</v>
      </c>
      <c r="BA216" s="3" t="s">
        <v>2352</v>
      </c>
      <c r="BB216" s="3" t="s">
        <v>2355</v>
      </c>
      <c r="BC216" s="3" t="s">
        <v>78</v>
      </c>
      <c r="BD216" s="3" t="s">
        <v>79</v>
      </c>
      <c r="BF216" s="3" t="s">
        <v>2355</v>
      </c>
      <c r="BG216" s="3" t="s">
        <v>2356</v>
      </c>
    </row>
    <row r="217" spans="1:59" ht="58" x14ac:dyDescent="0.35">
      <c r="A217" s="2" t="s">
        <v>59</v>
      </c>
      <c r="B217" s="2" t="s">
        <v>94</v>
      </c>
      <c r="C217" s="2" t="s">
        <v>2357</v>
      </c>
      <c r="D217" s="2" t="s">
        <v>2358</v>
      </c>
      <c r="E217" s="2" t="s">
        <v>2359</v>
      </c>
      <c r="G217" s="3" t="s">
        <v>64</v>
      </c>
      <c r="I217" s="3" t="s">
        <v>64</v>
      </c>
      <c r="J217" s="3" t="s">
        <v>64</v>
      </c>
      <c r="K217" s="3" t="s">
        <v>65</v>
      </c>
      <c r="L217" s="2" t="s">
        <v>2360</v>
      </c>
      <c r="M217" s="2" t="s">
        <v>2361</v>
      </c>
      <c r="N217" s="3" t="s">
        <v>2362</v>
      </c>
      <c r="P217" s="3" t="s">
        <v>202</v>
      </c>
      <c r="R217" s="3" t="s">
        <v>70</v>
      </c>
      <c r="S217" s="4">
        <v>7</v>
      </c>
      <c r="T217" s="4">
        <v>7</v>
      </c>
      <c r="U217" s="5" t="s">
        <v>2349</v>
      </c>
      <c r="V217" s="5" t="s">
        <v>2349</v>
      </c>
      <c r="W217" s="5" t="s">
        <v>72</v>
      </c>
      <c r="X217" s="5" t="s">
        <v>72</v>
      </c>
      <c r="Y217" s="4">
        <v>1</v>
      </c>
      <c r="Z217" s="4">
        <v>1</v>
      </c>
      <c r="AA217" s="4">
        <v>1</v>
      </c>
      <c r="AB217" s="4">
        <v>1</v>
      </c>
      <c r="AC217" s="4">
        <v>1</v>
      </c>
      <c r="AD217" s="4">
        <v>0</v>
      </c>
      <c r="AE217" s="4">
        <v>0</v>
      </c>
      <c r="AF217" s="4">
        <v>0</v>
      </c>
      <c r="AG217" s="4">
        <v>0</v>
      </c>
      <c r="AH217" s="4">
        <v>0</v>
      </c>
      <c r="AI217" s="4">
        <v>0</v>
      </c>
      <c r="AJ217" s="4">
        <v>0</v>
      </c>
      <c r="AK217" s="4">
        <v>0</v>
      </c>
      <c r="AL217" s="4">
        <v>0</v>
      </c>
      <c r="AM217" s="4">
        <v>0</v>
      </c>
      <c r="AN217" s="4">
        <v>0</v>
      </c>
      <c r="AO217" s="4">
        <v>0</v>
      </c>
      <c r="AP217" s="4">
        <v>0</v>
      </c>
      <c r="AQ217" s="4">
        <v>0</v>
      </c>
      <c r="AR217" s="3" t="s">
        <v>64</v>
      </c>
      <c r="AS217" s="3" t="s">
        <v>64</v>
      </c>
      <c r="AT217" s="3" t="s">
        <v>64</v>
      </c>
      <c r="AV217" s="6" t="str">
        <f>HYPERLINK("http://mcgill.on.worldcat.org/oclc/427868787","Catalog Record")</f>
        <v>Catalog Record</v>
      </c>
      <c r="AW217" s="6" t="str">
        <f>HYPERLINK("http://www.worldcat.org/oclc/427868787","WorldCat Record")</f>
        <v>WorldCat Record</v>
      </c>
      <c r="AX217" s="3" t="s">
        <v>2363</v>
      </c>
      <c r="AY217" s="3" t="s">
        <v>2364</v>
      </c>
      <c r="AZ217" s="3" t="s">
        <v>2365</v>
      </c>
      <c r="BA217" s="3" t="s">
        <v>2365</v>
      </c>
      <c r="BB217" s="3" t="s">
        <v>2366</v>
      </c>
      <c r="BC217" s="3" t="s">
        <v>78</v>
      </c>
      <c r="BD217" s="3" t="s">
        <v>79</v>
      </c>
      <c r="BF217" s="3" t="s">
        <v>2366</v>
      </c>
      <c r="BG217" s="3" t="s">
        <v>2367</v>
      </c>
    </row>
    <row r="218" spans="1:59" ht="58" x14ac:dyDescent="0.35">
      <c r="A218" s="2" t="s">
        <v>59</v>
      </c>
      <c r="B218" s="2" t="s">
        <v>94</v>
      </c>
      <c r="C218" s="2" t="s">
        <v>2368</v>
      </c>
      <c r="D218" s="2" t="s">
        <v>2369</v>
      </c>
      <c r="E218" s="2" t="s">
        <v>2370</v>
      </c>
      <c r="G218" s="3" t="s">
        <v>64</v>
      </c>
      <c r="I218" s="3" t="s">
        <v>64</v>
      </c>
      <c r="J218" s="3" t="s">
        <v>64</v>
      </c>
      <c r="K218" s="3" t="s">
        <v>65</v>
      </c>
      <c r="L218" s="2" t="s">
        <v>1292</v>
      </c>
      <c r="M218" s="2" t="s">
        <v>2371</v>
      </c>
      <c r="N218" s="3" t="s">
        <v>872</v>
      </c>
      <c r="P218" s="3" t="s">
        <v>69</v>
      </c>
      <c r="R218" s="3" t="s">
        <v>70</v>
      </c>
      <c r="S218" s="4">
        <v>36</v>
      </c>
      <c r="T218" s="4">
        <v>36</v>
      </c>
      <c r="U218" s="5" t="s">
        <v>2372</v>
      </c>
      <c r="V218" s="5" t="s">
        <v>2372</v>
      </c>
      <c r="W218" s="5" t="s">
        <v>72</v>
      </c>
      <c r="X218" s="5" t="s">
        <v>72</v>
      </c>
      <c r="Y218" s="4">
        <v>1194</v>
      </c>
      <c r="Z218" s="4">
        <v>44</v>
      </c>
      <c r="AA218" s="4">
        <v>59</v>
      </c>
      <c r="AB218" s="4">
        <v>2</v>
      </c>
      <c r="AC218" s="4">
        <v>7</v>
      </c>
      <c r="AD218" s="4">
        <v>126</v>
      </c>
      <c r="AE218" s="4">
        <v>140</v>
      </c>
      <c r="AF218" s="4">
        <v>1</v>
      </c>
      <c r="AG218" s="4">
        <v>4</v>
      </c>
      <c r="AH218" s="4">
        <v>106</v>
      </c>
      <c r="AI218" s="4">
        <v>113</v>
      </c>
      <c r="AJ218" s="4">
        <v>19</v>
      </c>
      <c r="AK218" s="4">
        <v>22</v>
      </c>
      <c r="AL218" s="4">
        <v>56</v>
      </c>
      <c r="AM218" s="4">
        <v>60</v>
      </c>
      <c r="AN218" s="4">
        <v>0</v>
      </c>
      <c r="AO218" s="4">
        <v>0</v>
      </c>
      <c r="AP218" s="4">
        <v>28</v>
      </c>
      <c r="AQ218" s="4">
        <v>34</v>
      </c>
      <c r="AR218" s="3" t="s">
        <v>64</v>
      </c>
      <c r="AS218" s="3" t="s">
        <v>64</v>
      </c>
      <c r="AT218" s="3" t="s">
        <v>73</v>
      </c>
      <c r="AU218" s="6" t="str">
        <f>HYPERLINK("http://catalog.hathitrust.org/Record/001081220","HathiTrust Record")</f>
        <v>HathiTrust Record</v>
      </c>
      <c r="AV218" s="6" t="str">
        <f>HYPERLINK("http://mcgill.on.worldcat.org/oclc/18106933","Catalog Record")</f>
        <v>Catalog Record</v>
      </c>
      <c r="AW218" s="6" t="str">
        <f>HYPERLINK("http://www.worldcat.org/oclc/18106933","WorldCat Record")</f>
        <v>WorldCat Record</v>
      </c>
      <c r="AX218" s="3" t="s">
        <v>2373</v>
      </c>
      <c r="AY218" s="3" t="s">
        <v>2374</v>
      </c>
      <c r="AZ218" s="3" t="s">
        <v>2375</v>
      </c>
      <c r="BA218" s="3" t="s">
        <v>2375</v>
      </c>
      <c r="BB218" s="3" t="s">
        <v>2376</v>
      </c>
      <c r="BC218" s="3" t="s">
        <v>78</v>
      </c>
      <c r="BD218" s="3" t="s">
        <v>79</v>
      </c>
      <c r="BE218" s="3" t="s">
        <v>2377</v>
      </c>
      <c r="BF218" s="3" t="s">
        <v>2376</v>
      </c>
      <c r="BG218" s="3" t="s">
        <v>2378</v>
      </c>
    </row>
    <row r="219" spans="1:59" ht="58" x14ac:dyDescent="0.35">
      <c r="A219" s="2" t="s">
        <v>59</v>
      </c>
      <c r="B219" s="2" t="s">
        <v>94</v>
      </c>
      <c r="C219" s="2" t="s">
        <v>2379</v>
      </c>
      <c r="D219" s="2" t="s">
        <v>2380</v>
      </c>
      <c r="E219" s="2" t="s">
        <v>2381</v>
      </c>
      <c r="G219" s="3" t="s">
        <v>64</v>
      </c>
      <c r="I219" s="3" t="s">
        <v>64</v>
      </c>
      <c r="J219" s="3" t="s">
        <v>64</v>
      </c>
      <c r="K219" s="3" t="s">
        <v>65</v>
      </c>
      <c r="M219" s="2" t="s">
        <v>2382</v>
      </c>
      <c r="N219" s="3" t="s">
        <v>328</v>
      </c>
      <c r="P219" s="3" t="s">
        <v>69</v>
      </c>
      <c r="Q219" s="2" t="s">
        <v>2383</v>
      </c>
      <c r="R219" s="3" t="s">
        <v>70</v>
      </c>
      <c r="S219" s="4">
        <v>1</v>
      </c>
      <c r="T219" s="4">
        <v>1</v>
      </c>
      <c r="U219" s="5" t="s">
        <v>2384</v>
      </c>
      <c r="V219" s="5" t="s">
        <v>2384</v>
      </c>
      <c r="W219" s="5" t="s">
        <v>72</v>
      </c>
      <c r="X219" s="5" t="s">
        <v>72</v>
      </c>
      <c r="Y219" s="4">
        <v>215</v>
      </c>
      <c r="Z219" s="4">
        <v>15</v>
      </c>
      <c r="AA219" s="4">
        <v>17</v>
      </c>
      <c r="AB219" s="4">
        <v>2</v>
      </c>
      <c r="AC219" s="4">
        <v>2</v>
      </c>
      <c r="AD219" s="4">
        <v>71</v>
      </c>
      <c r="AE219" s="4">
        <v>77</v>
      </c>
      <c r="AF219" s="4">
        <v>1</v>
      </c>
      <c r="AG219" s="4">
        <v>1</v>
      </c>
      <c r="AH219" s="4">
        <v>66</v>
      </c>
      <c r="AI219" s="4">
        <v>69</v>
      </c>
      <c r="AJ219" s="4">
        <v>12</v>
      </c>
      <c r="AK219" s="4">
        <v>14</v>
      </c>
      <c r="AL219" s="4">
        <v>37</v>
      </c>
      <c r="AM219" s="4">
        <v>40</v>
      </c>
      <c r="AN219" s="4">
        <v>0</v>
      </c>
      <c r="AO219" s="4">
        <v>0</v>
      </c>
      <c r="AP219" s="4">
        <v>12</v>
      </c>
      <c r="AQ219" s="4">
        <v>14</v>
      </c>
      <c r="AR219" s="3" t="s">
        <v>64</v>
      </c>
      <c r="AS219" s="3" t="s">
        <v>64</v>
      </c>
      <c r="AT219" s="3" t="s">
        <v>64</v>
      </c>
      <c r="AV219" s="6" t="str">
        <f>HYPERLINK("http://mcgill.on.worldcat.org/oclc/724667367","Catalog Record")</f>
        <v>Catalog Record</v>
      </c>
      <c r="AW219" s="6" t="str">
        <f>HYPERLINK("http://www.worldcat.org/oclc/724667367","WorldCat Record")</f>
        <v>WorldCat Record</v>
      </c>
      <c r="AX219" s="3" t="s">
        <v>2385</v>
      </c>
      <c r="AY219" s="3" t="s">
        <v>2386</v>
      </c>
      <c r="AZ219" s="3" t="s">
        <v>2387</v>
      </c>
      <c r="BA219" s="3" t="s">
        <v>2387</v>
      </c>
      <c r="BB219" s="3" t="s">
        <v>2388</v>
      </c>
      <c r="BC219" s="3" t="s">
        <v>78</v>
      </c>
      <c r="BD219" s="3" t="s">
        <v>79</v>
      </c>
      <c r="BE219" s="3" t="s">
        <v>2389</v>
      </c>
      <c r="BF219" s="3" t="s">
        <v>2388</v>
      </c>
      <c r="BG219" s="3" t="s">
        <v>2390</v>
      </c>
    </row>
    <row r="220" spans="1:59" ht="58" x14ac:dyDescent="0.35">
      <c r="A220" s="2" t="s">
        <v>59</v>
      </c>
      <c r="B220" s="2" t="s">
        <v>94</v>
      </c>
      <c r="C220" s="2" t="s">
        <v>2391</v>
      </c>
      <c r="D220" s="2" t="s">
        <v>2392</v>
      </c>
      <c r="E220" s="2" t="s">
        <v>2393</v>
      </c>
      <c r="G220" s="3" t="s">
        <v>64</v>
      </c>
      <c r="I220" s="3" t="s">
        <v>64</v>
      </c>
      <c r="J220" s="3" t="s">
        <v>64</v>
      </c>
      <c r="K220" s="3" t="s">
        <v>65</v>
      </c>
      <c r="M220" s="2" t="s">
        <v>2394</v>
      </c>
      <c r="N220" s="3" t="s">
        <v>872</v>
      </c>
      <c r="P220" s="3" t="s">
        <v>69</v>
      </c>
      <c r="R220" s="3" t="s">
        <v>70</v>
      </c>
      <c r="S220" s="4">
        <v>15</v>
      </c>
      <c r="T220" s="4">
        <v>15</v>
      </c>
      <c r="U220" s="5" t="s">
        <v>2395</v>
      </c>
      <c r="V220" s="5" t="s">
        <v>2395</v>
      </c>
      <c r="W220" s="5" t="s">
        <v>72</v>
      </c>
      <c r="X220" s="5" t="s">
        <v>72</v>
      </c>
      <c r="Y220" s="4">
        <v>506</v>
      </c>
      <c r="Z220" s="4">
        <v>27</v>
      </c>
      <c r="AA220" s="4">
        <v>44</v>
      </c>
      <c r="AB220" s="4">
        <v>4</v>
      </c>
      <c r="AC220" s="4">
        <v>6</v>
      </c>
      <c r="AD220" s="4">
        <v>44</v>
      </c>
      <c r="AE220" s="4">
        <v>92</v>
      </c>
      <c r="AF220" s="4">
        <v>1</v>
      </c>
      <c r="AG220" s="4">
        <v>3</v>
      </c>
      <c r="AH220" s="4">
        <v>38</v>
      </c>
      <c r="AI220" s="4">
        <v>76</v>
      </c>
      <c r="AJ220" s="4">
        <v>4</v>
      </c>
      <c r="AK220" s="4">
        <v>15</v>
      </c>
      <c r="AL220" s="4">
        <v>19</v>
      </c>
      <c r="AM220" s="4">
        <v>45</v>
      </c>
      <c r="AN220" s="4">
        <v>0</v>
      </c>
      <c r="AO220" s="4">
        <v>5</v>
      </c>
      <c r="AP220" s="4">
        <v>9</v>
      </c>
      <c r="AQ220" s="4">
        <v>24</v>
      </c>
      <c r="AR220" s="3" t="s">
        <v>64</v>
      </c>
      <c r="AS220" s="3" t="s">
        <v>64</v>
      </c>
      <c r="AT220" s="3" t="s">
        <v>64</v>
      </c>
      <c r="AV220" s="6" t="str">
        <f>HYPERLINK("http://mcgill.on.worldcat.org/oclc/21080347","Catalog Record")</f>
        <v>Catalog Record</v>
      </c>
      <c r="AW220" s="6" t="str">
        <f>HYPERLINK("http://www.worldcat.org/oclc/21080347","WorldCat Record")</f>
        <v>WorldCat Record</v>
      </c>
      <c r="AX220" s="3" t="s">
        <v>2396</v>
      </c>
      <c r="AY220" s="3" t="s">
        <v>2397</v>
      </c>
      <c r="AZ220" s="3" t="s">
        <v>2398</v>
      </c>
      <c r="BA220" s="3" t="s">
        <v>2398</v>
      </c>
      <c r="BB220" s="3" t="s">
        <v>2399</v>
      </c>
      <c r="BC220" s="3" t="s">
        <v>78</v>
      </c>
      <c r="BD220" s="3" t="s">
        <v>79</v>
      </c>
      <c r="BE220" s="3" t="s">
        <v>2400</v>
      </c>
      <c r="BF220" s="3" t="s">
        <v>2399</v>
      </c>
      <c r="BG220" s="3" t="s">
        <v>2401</v>
      </c>
    </row>
    <row r="221" spans="1:59" ht="58" x14ac:dyDescent="0.35">
      <c r="A221" s="2" t="s">
        <v>59</v>
      </c>
      <c r="B221" s="2" t="s">
        <v>94</v>
      </c>
      <c r="C221" s="2" t="s">
        <v>2402</v>
      </c>
      <c r="D221" s="2" t="s">
        <v>2403</v>
      </c>
      <c r="E221" s="2" t="s">
        <v>2404</v>
      </c>
      <c r="G221" s="3" t="s">
        <v>64</v>
      </c>
      <c r="I221" s="3" t="s">
        <v>64</v>
      </c>
      <c r="J221" s="3" t="s">
        <v>64</v>
      </c>
      <c r="K221" s="3" t="s">
        <v>65</v>
      </c>
      <c r="L221" s="2" t="s">
        <v>2405</v>
      </c>
      <c r="M221" s="2" t="s">
        <v>2406</v>
      </c>
      <c r="N221" s="3" t="s">
        <v>422</v>
      </c>
      <c r="P221" s="3" t="s">
        <v>69</v>
      </c>
      <c r="R221" s="3" t="s">
        <v>70</v>
      </c>
      <c r="S221" s="4">
        <v>21</v>
      </c>
      <c r="T221" s="4">
        <v>21</v>
      </c>
      <c r="U221" s="5" t="s">
        <v>2335</v>
      </c>
      <c r="V221" s="5" t="s">
        <v>2335</v>
      </c>
      <c r="W221" s="5" t="s">
        <v>72</v>
      </c>
      <c r="X221" s="5" t="s">
        <v>72</v>
      </c>
      <c r="Y221" s="4">
        <v>400</v>
      </c>
      <c r="Z221" s="4">
        <v>21</v>
      </c>
      <c r="AA221" s="4">
        <v>51</v>
      </c>
      <c r="AB221" s="4">
        <v>1</v>
      </c>
      <c r="AC221" s="4">
        <v>8</v>
      </c>
      <c r="AD221" s="4">
        <v>99</v>
      </c>
      <c r="AE221" s="4">
        <v>105</v>
      </c>
      <c r="AF221" s="4">
        <v>0</v>
      </c>
      <c r="AG221" s="4">
        <v>1</v>
      </c>
      <c r="AH221" s="4">
        <v>88</v>
      </c>
      <c r="AI221" s="4">
        <v>89</v>
      </c>
      <c r="AJ221" s="4">
        <v>13</v>
      </c>
      <c r="AK221" s="4">
        <v>15</v>
      </c>
      <c r="AL221" s="4">
        <v>46</v>
      </c>
      <c r="AM221" s="4">
        <v>47</v>
      </c>
      <c r="AN221" s="4">
        <v>0</v>
      </c>
      <c r="AO221" s="4">
        <v>0</v>
      </c>
      <c r="AP221" s="4">
        <v>18</v>
      </c>
      <c r="AQ221" s="4">
        <v>22</v>
      </c>
      <c r="AR221" s="3" t="s">
        <v>64</v>
      </c>
      <c r="AS221" s="3" t="s">
        <v>64</v>
      </c>
      <c r="AT221" s="3" t="s">
        <v>64</v>
      </c>
      <c r="AV221" s="6" t="str">
        <f>HYPERLINK("http://mcgill.on.worldcat.org/oclc/42682582","Catalog Record")</f>
        <v>Catalog Record</v>
      </c>
      <c r="AW221" s="6" t="str">
        <f>HYPERLINK("http://www.worldcat.org/oclc/42682582","WorldCat Record")</f>
        <v>WorldCat Record</v>
      </c>
      <c r="AX221" s="3" t="s">
        <v>2407</v>
      </c>
      <c r="AY221" s="3" t="s">
        <v>2408</v>
      </c>
      <c r="AZ221" s="3" t="s">
        <v>2409</v>
      </c>
      <c r="BA221" s="3" t="s">
        <v>2409</v>
      </c>
      <c r="BB221" s="3" t="s">
        <v>2410</v>
      </c>
      <c r="BC221" s="3" t="s">
        <v>78</v>
      </c>
      <c r="BD221" s="3" t="s">
        <v>79</v>
      </c>
      <c r="BE221" s="3" t="s">
        <v>2411</v>
      </c>
      <c r="BF221" s="3" t="s">
        <v>2410</v>
      </c>
      <c r="BG221" s="3" t="s">
        <v>2412</v>
      </c>
    </row>
    <row r="222" spans="1:59" ht="58" x14ac:dyDescent="0.35">
      <c r="A222" s="2" t="s">
        <v>59</v>
      </c>
      <c r="B222" s="2" t="s">
        <v>94</v>
      </c>
      <c r="C222" s="2" t="s">
        <v>2413</v>
      </c>
      <c r="D222" s="2" t="s">
        <v>2414</v>
      </c>
      <c r="E222" s="2" t="s">
        <v>2415</v>
      </c>
      <c r="G222" s="3" t="s">
        <v>64</v>
      </c>
      <c r="I222" s="3" t="s">
        <v>64</v>
      </c>
      <c r="J222" s="3" t="s">
        <v>64</v>
      </c>
      <c r="K222" s="3" t="s">
        <v>65</v>
      </c>
      <c r="L222" s="2" t="s">
        <v>2416</v>
      </c>
      <c r="M222" s="2" t="s">
        <v>2417</v>
      </c>
      <c r="N222" s="3" t="s">
        <v>499</v>
      </c>
      <c r="P222" s="3" t="s">
        <v>69</v>
      </c>
      <c r="R222" s="3" t="s">
        <v>70</v>
      </c>
      <c r="S222" s="4">
        <v>19</v>
      </c>
      <c r="T222" s="4">
        <v>19</v>
      </c>
      <c r="U222" s="5" t="s">
        <v>2418</v>
      </c>
      <c r="V222" s="5" t="s">
        <v>2418</v>
      </c>
      <c r="W222" s="5" t="s">
        <v>72</v>
      </c>
      <c r="X222" s="5" t="s">
        <v>72</v>
      </c>
      <c r="Y222" s="4">
        <v>129</v>
      </c>
      <c r="Z222" s="4">
        <v>9</v>
      </c>
      <c r="AA222" s="4">
        <v>12</v>
      </c>
      <c r="AB222" s="4">
        <v>1</v>
      </c>
      <c r="AC222" s="4">
        <v>3</v>
      </c>
      <c r="AD222" s="4">
        <v>22</v>
      </c>
      <c r="AE222" s="4">
        <v>23</v>
      </c>
      <c r="AF222" s="4">
        <v>0</v>
      </c>
      <c r="AG222" s="4">
        <v>0</v>
      </c>
      <c r="AH222" s="4">
        <v>19</v>
      </c>
      <c r="AI222" s="4">
        <v>20</v>
      </c>
      <c r="AJ222" s="4">
        <v>5</v>
      </c>
      <c r="AK222" s="4">
        <v>5</v>
      </c>
      <c r="AL222" s="4">
        <v>9</v>
      </c>
      <c r="AM222" s="4">
        <v>10</v>
      </c>
      <c r="AN222" s="4">
        <v>0</v>
      </c>
      <c r="AO222" s="4">
        <v>0</v>
      </c>
      <c r="AP222" s="4">
        <v>7</v>
      </c>
      <c r="AQ222" s="4">
        <v>7</v>
      </c>
      <c r="AR222" s="3" t="s">
        <v>64</v>
      </c>
      <c r="AS222" s="3" t="s">
        <v>64</v>
      </c>
      <c r="AT222" s="3" t="s">
        <v>64</v>
      </c>
      <c r="AV222" s="6" t="str">
        <f>HYPERLINK("http://mcgill.on.worldcat.org/oclc/60668371","Catalog Record")</f>
        <v>Catalog Record</v>
      </c>
      <c r="AW222" s="6" t="str">
        <f>HYPERLINK("http://www.worldcat.org/oclc/60668371","WorldCat Record")</f>
        <v>WorldCat Record</v>
      </c>
      <c r="AX222" s="3" t="s">
        <v>2419</v>
      </c>
      <c r="AY222" s="3" t="s">
        <v>2420</v>
      </c>
      <c r="AZ222" s="3" t="s">
        <v>2421</v>
      </c>
      <c r="BA222" s="3" t="s">
        <v>2421</v>
      </c>
      <c r="BB222" s="3" t="s">
        <v>2422</v>
      </c>
      <c r="BC222" s="3" t="s">
        <v>78</v>
      </c>
      <c r="BD222" s="3" t="s">
        <v>79</v>
      </c>
      <c r="BE222" s="3" t="s">
        <v>2423</v>
      </c>
      <c r="BF222" s="3" t="s">
        <v>2422</v>
      </c>
      <c r="BG222" s="3" t="s">
        <v>2424</v>
      </c>
    </row>
    <row r="223" spans="1:59" ht="58" x14ac:dyDescent="0.35">
      <c r="A223" s="2" t="s">
        <v>59</v>
      </c>
      <c r="B223" s="2" t="s">
        <v>94</v>
      </c>
      <c r="C223" s="2" t="s">
        <v>2425</v>
      </c>
      <c r="D223" s="2" t="s">
        <v>2426</v>
      </c>
      <c r="E223" s="2" t="s">
        <v>2427</v>
      </c>
      <c r="G223" s="3" t="s">
        <v>64</v>
      </c>
      <c r="I223" s="3" t="s">
        <v>64</v>
      </c>
      <c r="J223" s="3" t="s">
        <v>64</v>
      </c>
      <c r="K223" s="3" t="s">
        <v>65</v>
      </c>
      <c r="L223" s="2" t="s">
        <v>2428</v>
      </c>
      <c r="M223" s="2" t="s">
        <v>2429</v>
      </c>
      <c r="N223" s="3" t="s">
        <v>705</v>
      </c>
      <c r="P223" s="3" t="s">
        <v>69</v>
      </c>
      <c r="Q223" s="2" t="s">
        <v>2430</v>
      </c>
      <c r="R223" s="3" t="s">
        <v>70</v>
      </c>
      <c r="S223" s="4">
        <v>28</v>
      </c>
      <c r="T223" s="4">
        <v>28</v>
      </c>
      <c r="U223" s="5" t="s">
        <v>2431</v>
      </c>
      <c r="V223" s="5" t="s">
        <v>2431</v>
      </c>
      <c r="W223" s="5" t="s">
        <v>72</v>
      </c>
      <c r="X223" s="5" t="s">
        <v>72</v>
      </c>
      <c r="Y223" s="4">
        <v>481</v>
      </c>
      <c r="Z223" s="4">
        <v>27</v>
      </c>
      <c r="AA223" s="4">
        <v>31</v>
      </c>
      <c r="AB223" s="4">
        <v>1</v>
      </c>
      <c r="AC223" s="4">
        <v>4</v>
      </c>
      <c r="AD223" s="4">
        <v>91</v>
      </c>
      <c r="AE223" s="4">
        <v>95</v>
      </c>
      <c r="AF223" s="4">
        <v>0</v>
      </c>
      <c r="AG223" s="4">
        <v>1</v>
      </c>
      <c r="AH223" s="4">
        <v>78</v>
      </c>
      <c r="AI223" s="4">
        <v>82</v>
      </c>
      <c r="AJ223" s="4">
        <v>11</v>
      </c>
      <c r="AK223" s="4">
        <v>13</v>
      </c>
      <c r="AL223" s="4">
        <v>44</v>
      </c>
      <c r="AM223" s="4">
        <v>46</v>
      </c>
      <c r="AN223" s="4">
        <v>0</v>
      </c>
      <c r="AO223" s="4">
        <v>0</v>
      </c>
      <c r="AP223" s="4">
        <v>19</v>
      </c>
      <c r="AQ223" s="4">
        <v>21</v>
      </c>
      <c r="AR223" s="3" t="s">
        <v>64</v>
      </c>
      <c r="AS223" s="3" t="s">
        <v>64</v>
      </c>
      <c r="AT223" s="3" t="s">
        <v>73</v>
      </c>
      <c r="AU223" s="6" t="str">
        <f>HYPERLINK("http://catalog.hathitrust.org/Record/004120352","HathiTrust Record")</f>
        <v>HathiTrust Record</v>
      </c>
      <c r="AV223" s="6" t="str">
        <f>HYPERLINK("http://mcgill.on.worldcat.org/oclc/35679047","Catalog Record")</f>
        <v>Catalog Record</v>
      </c>
      <c r="AW223" s="6" t="str">
        <f>HYPERLINK("http://www.worldcat.org/oclc/35679047","WorldCat Record")</f>
        <v>WorldCat Record</v>
      </c>
      <c r="AX223" s="3" t="s">
        <v>2432</v>
      </c>
      <c r="AY223" s="3" t="s">
        <v>2433</v>
      </c>
      <c r="AZ223" s="3" t="s">
        <v>2434</v>
      </c>
      <c r="BA223" s="3" t="s">
        <v>2434</v>
      </c>
      <c r="BB223" s="3" t="s">
        <v>2435</v>
      </c>
      <c r="BC223" s="3" t="s">
        <v>78</v>
      </c>
      <c r="BD223" s="3" t="s">
        <v>79</v>
      </c>
      <c r="BE223" s="3" t="s">
        <v>2436</v>
      </c>
      <c r="BF223" s="3" t="s">
        <v>2435</v>
      </c>
      <c r="BG223" s="3" t="s">
        <v>2437</v>
      </c>
    </row>
    <row r="224" spans="1:59" ht="58" x14ac:dyDescent="0.35">
      <c r="A224" s="2" t="s">
        <v>59</v>
      </c>
      <c r="B224" s="2" t="s">
        <v>94</v>
      </c>
      <c r="C224" s="2" t="s">
        <v>2438</v>
      </c>
      <c r="D224" s="2" t="s">
        <v>2439</v>
      </c>
      <c r="E224" s="2" t="s">
        <v>2440</v>
      </c>
      <c r="G224" s="3" t="s">
        <v>64</v>
      </c>
      <c r="I224" s="3" t="s">
        <v>64</v>
      </c>
      <c r="J224" s="3" t="s">
        <v>64</v>
      </c>
      <c r="K224" s="3" t="s">
        <v>65</v>
      </c>
      <c r="M224" s="2" t="s">
        <v>2441</v>
      </c>
      <c r="N224" s="3" t="s">
        <v>499</v>
      </c>
      <c r="O224" s="2" t="s">
        <v>2442</v>
      </c>
      <c r="P224" s="3" t="s">
        <v>69</v>
      </c>
      <c r="R224" s="3" t="s">
        <v>70</v>
      </c>
      <c r="S224" s="4">
        <v>16</v>
      </c>
      <c r="T224" s="4">
        <v>16</v>
      </c>
      <c r="U224" s="5" t="s">
        <v>2443</v>
      </c>
      <c r="V224" s="5" t="s">
        <v>2443</v>
      </c>
      <c r="W224" s="5" t="s">
        <v>72</v>
      </c>
      <c r="X224" s="5" t="s">
        <v>72</v>
      </c>
      <c r="Y224" s="4">
        <v>35</v>
      </c>
      <c r="Z224" s="4">
        <v>4</v>
      </c>
      <c r="AA224" s="4">
        <v>24</v>
      </c>
      <c r="AB224" s="4">
        <v>1</v>
      </c>
      <c r="AC224" s="4">
        <v>2</v>
      </c>
      <c r="AD224" s="4">
        <v>7</v>
      </c>
      <c r="AE224" s="4">
        <v>61</v>
      </c>
      <c r="AF224" s="4">
        <v>0</v>
      </c>
      <c r="AG224" s="4">
        <v>0</v>
      </c>
      <c r="AH224" s="4">
        <v>6</v>
      </c>
      <c r="AI224" s="4">
        <v>54</v>
      </c>
      <c r="AJ224" s="4">
        <v>1</v>
      </c>
      <c r="AK224" s="4">
        <v>8</v>
      </c>
      <c r="AL224" s="4">
        <v>4</v>
      </c>
      <c r="AM224" s="4">
        <v>30</v>
      </c>
      <c r="AN224" s="4">
        <v>0</v>
      </c>
      <c r="AO224" s="4">
        <v>0</v>
      </c>
      <c r="AP224" s="4">
        <v>2</v>
      </c>
      <c r="AQ224" s="4">
        <v>10</v>
      </c>
      <c r="AR224" s="3" t="s">
        <v>64</v>
      </c>
      <c r="AS224" s="3" t="s">
        <v>64</v>
      </c>
      <c r="AT224" s="3" t="s">
        <v>64</v>
      </c>
      <c r="AV224" s="6" t="str">
        <f>HYPERLINK("http://mcgill.on.worldcat.org/oclc/60838421","Catalog Record")</f>
        <v>Catalog Record</v>
      </c>
      <c r="AW224" s="6" t="str">
        <f>HYPERLINK("http://www.worldcat.org/oclc/60838421","WorldCat Record")</f>
        <v>WorldCat Record</v>
      </c>
      <c r="AX224" s="3" t="s">
        <v>2444</v>
      </c>
      <c r="AY224" s="3" t="s">
        <v>2445</v>
      </c>
      <c r="AZ224" s="3" t="s">
        <v>2446</v>
      </c>
      <c r="BA224" s="3" t="s">
        <v>2446</v>
      </c>
      <c r="BB224" s="3" t="s">
        <v>2447</v>
      </c>
      <c r="BC224" s="3" t="s">
        <v>78</v>
      </c>
      <c r="BD224" s="3" t="s">
        <v>79</v>
      </c>
      <c r="BE224" s="3" t="s">
        <v>2448</v>
      </c>
      <c r="BF224" s="3" t="s">
        <v>2447</v>
      </c>
      <c r="BG224" s="3" t="s">
        <v>2449</v>
      </c>
    </row>
    <row r="225" spans="1:59" ht="58" x14ac:dyDescent="0.35">
      <c r="A225" s="2" t="s">
        <v>59</v>
      </c>
      <c r="B225" s="2" t="s">
        <v>94</v>
      </c>
      <c r="C225" s="2" t="s">
        <v>2450</v>
      </c>
      <c r="D225" s="2" t="s">
        <v>2451</v>
      </c>
      <c r="E225" s="2" t="s">
        <v>2452</v>
      </c>
      <c r="G225" s="3" t="s">
        <v>64</v>
      </c>
      <c r="I225" s="3" t="s">
        <v>64</v>
      </c>
      <c r="J225" s="3" t="s">
        <v>64</v>
      </c>
      <c r="K225" s="3" t="s">
        <v>65</v>
      </c>
      <c r="M225" s="2" t="s">
        <v>2453</v>
      </c>
      <c r="N225" s="3" t="s">
        <v>214</v>
      </c>
      <c r="P225" s="3" t="s">
        <v>69</v>
      </c>
      <c r="R225" s="3" t="s">
        <v>70</v>
      </c>
      <c r="S225" s="4">
        <v>9</v>
      </c>
      <c r="T225" s="4">
        <v>9</v>
      </c>
      <c r="U225" s="5" t="s">
        <v>2454</v>
      </c>
      <c r="V225" s="5" t="s">
        <v>2454</v>
      </c>
      <c r="W225" s="5" t="s">
        <v>72</v>
      </c>
      <c r="X225" s="5" t="s">
        <v>72</v>
      </c>
      <c r="Y225" s="4">
        <v>487</v>
      </c>
      <c r="Z225" s="4">
        <v>38</v>
      </c>
      <c r="AA225" s="4">
        <v>46</v>
      </c>
      <c r="AB225" s="4">
        <v>3</v>
      </c>
      <c r="AC225" s="4">
        <v>7</v>
      </c>
      <c r="AD225" s="4">
        <v>106</v>
      </c>
      <c r="AE225" s="4">
        <v>119</v>
      </c>
      <c r="AF225" s="4">
        <v>2</v>
      </c>
      <c r="AG225" s="4">
        <v>3</v>
      </c>
      <c r="AH225" s="4">
        <v>89</v>
      </c>
      <c r="AI225" s="4">
        <v>99</v>
      </c>
      <c r="AJ225" s="4">
        <v>17</v>
      </c>
      <c r="AK225" s="4">
        <v>19</v>
      </c>
      <c r="AL225" s="4">
        <v>52</v>
      </c>
      <c r="AM225" s="4">
        <v>54</v>
      </c>
      <c r="AN225" s="4">
        <v>0</v>
      </c>
      <c r="AO225" s="4">
        <v>0</v>
      </c>
      <c r="AP225" s="4">
        <v>25</v>
      </c>
      <c r="AQ225" s="4">
        <v>29</v>
      </c>
      <c r="AR225" s="3" t="s">
        <v>64</v>
      </c>
      <c r="AS225" s="3" t="s">
        <v>64</v>
      </c>
      <c r="AT225" s="3" t="s">
        <v>64</v>
      </c>
      <c r="AV225" s="6" t="str">
        <f>HYPERLINK("http://mcgill.on.worldcat.org/oclc/435711006","Catalog Record")</f>
        <v>Catalog Record</v>
      </c>
      <c r="AW225" s="6" t="str">
        <f>HYPERLINK("http://www.worldcat.org/oclc/435711006","WorldCat Record")</f>
        <v>WorldCat Record</v>
      </c>
      <c r="AX225" s="3" t="s">
        <v>2455</v>
      </c>
      <c r="AY225" s="3" t="s">
        <v>2456</v>
      </c>
      <c r="AZ225" s="3" t="s">
        <v>2457</v>
      </c>
      <c r="BA225" s="3" t="s">
        <v>2457</v>
      </c>
      <c r="BB225" s="3" t="s">
        <v>2458</v>
      </c>
      <c r="BC225" s="3" t="s">
        <v>78</v>
      </c>
      <c r="BD225" s="3" t="s">
        <v>79</v>
      </c>
      <c r="BE225" s="3" t="s">
        <v>2459</v>
      </c>
      <c r="BF225" s="3" t="s">
        <v>2458</v>
      </c>
      <c r="BG225" s="3" t="s">
        <v>2460</v>
      </c>
    </row>
    <row r="226" spans="1:59" ht="58" x14ac:dyDescent="0.35">
      <c r="A226" s="2" t="s">
        <v>59</v>
      </c>
      <c r="B226" s="2" t="s">
        <v>94</v>
      </c>
      <c r="C226" s="2" t="s">
        <v>2461</v>
      </c>
      <c r="D226" s="2" t="s">
        <v>2462</v>
      </c>
      <c r="E226" s="2" t="s">
        <v>2463</v>
      </c>
      <c r="G226" s="3" t="s">
        <v>64</v>
      </c>
      <c r="I226" s="3" t="s">
        <v>64</v>
      </c>
      <c r="J226" s="3" t="s">
        <v>73</v>
      </c>
      <c r="K226" s="3" t="s">
        <v>65</v>
      </c>
      <c r="L226" s="2" t="s">
        <v>2464</v>
      </c>
      <c r="M226" s="2" t="s">
        <v>2465</v>
      </c>
      <c r="N226" s="3" t="s">
        <v>2466</v>
      </c>
      <c r="P226" s="3" t="s">
        <v>69</v>
      </c>
      <c r="Q226" s="2" t="s">
        <v>2467</v>
      </c>
      <c r="R226" s="3" t="s">
        <v>70</v>
      </c>
      <c r="S226" s="4">
        <v>8</v>
      </c>
      <c r="T226" s="4">
        <v>8</v>
      </c>
      <c r="U226" s="5" t="s">
        <v>2395</v>
      </c>
      <c r="V226" s="5" t="s">
        <v>2395</v>
      </c>
      <c r="W226" s="5" t="s">
        <v>72</v>
      </c>
      <c r="X226" s="5" t="s">
        <v>72</v>
      </c>
      <c r="Y226" s="4">
        <v>549</v>
      </c>
      <c r="Z226" s="4">
        <v>26</v>
      </c>
      <c r="AA226" s="4">
        <v>49</v>
      </c>
      <c r="AB226" s="4">
        <v>2</v>
      </c>
      <c r="AC226" s="4">
        <v>5</v>
      </c>
      <c r="AD226" s="4">
        <v>70</v>
      </c>
      <c r="AE226" s="4">
        <v>126</v>
      </c>
      <c r="AF226" s="4">
        <v>1</v>
      </c>
      <c r="AG226" s="4">
        <v>4</v>
      </c>
      <c r="AH226" s="4">
        <v>53</v>
      </c>
      <c r="AI226" s="4">
        <v>102</v>
      </c>
      <c r="AJ226" s="4">
        <v>13</v>
      </c>
      <c r="AK226" s="4">
        <v>20</v>
      </c>
      <c r="AL226" s="4">
        <v>24</v>
      </c>
      <c r="AM226" s="4">
        <v>55</v>
      </c>
      <c r="AN226" s="4">
        <v>1</v>
      </c>
      <c r="AO226" s="4">
        <v>1</v>
      </c>
      <c r="AP226" s="4">
        <v>22</v>
      </c>
      <c r="AQ226" s="4">
        <v>32</v>
      </c>
      <c r="AR226" s="3" t="s">
        <v>64</v>
      </c>
      <c r="AS226" s="3" t="s">
        <v>73</v>
      </c>
      <c r="AT226" s="3" t="s">
        <v>64</v>
      </c>
      <c r="AU226" s="6" t="str">
        <f>HYPERLINK("http://catalog.hathitrust.org/Record/000838997","HathiTrust Record")</f>
        <v>HathiTrust Record</v>
      </c>
      <c r="AV226" s="6" t="str">
        <f>HYPERLINK("http://mcgill.on.worldcat.org/oclc/784011","Catalog Record")</f>
        <v>Catalog Record</v>
      </c>
      <c r="AW226" s="6" t="str">
        <f>HYPERLINK("http://www.worldcat.org/oclc/784011","WorldCat Record")</f>
        <v>WorldCat Record</v>
      </c>
      <c r="AX226" s="3" t="s">
        <v>2468</v>
      </c>
      <c r="AY226" s="3" t="s">
        <v>2469</v>
      </c>
      <c r="AZ226" s="3" t="s">
        <v>2470</v>
      </c>
      <c r="BA226" s="3" t="s">
        <v>2470</v>
      </c>
      <c r="BB226" s="3" t="s">
        <v>2471</v>
      </c>
      <c r="BC226" s="3" t="s">
        <v>78</v>
      </c>
      <c r="BD226" s="3" t="s">
        <v>79</v>
      </c>
      <c r="BF226" s="3" t="s">
        <v>2471</v>
      </c>
      <c r="BG226" s="3" t="s">
        <v>2472</v>
      </c>
    </row>
    <row r="227" spans="1:59" ht="58" x14ac:dyDescent="0.35">
      <c r="A227" s="2" t="s">
        <v>59</v>
      </c>
      <c r="B227" s="2" t="s">
        <v>94</v>
      </c>
      <c r="C227" s="2" t="s">
        <v>2473</v>
      </c>
      <c r="D227" s="2" t="s">
        <v>2474</v>
      </c>
      <c r="E227" s="2" t="s">
        <v>2475</v>
      </c>
      <c r="G227" s="3" t="s">
        <v>64</v>
      </c>
      <c r="I227" s="3" t="s">
        <v>64</v>
      </c>
      <c r="J227" s="3" t="s">
        <v>64</v>
      </c>
      <c r="K227" s="3" t="s">
        <v>65</v>
      </c>
      <c r="M227" s="2" t="s">
        <v>2476</v>
      </c>
      <c r="N227" s="3" t="s">
        <v>214</v>
      </c>
      <c r="P227" s="3" t="s">
        <v>69</v>
      </c>
      <c r="Q227" s="2" t="s">
        <v>2477</v>
      </c>
      <c r="R227" s="3" t="s">
        <v>70</v>
      </c>
      <c r="S227" s="4">
        <v>5</v>
      </c>
      <c r="T227" s="4">
        <v>5</v>
      </c>
      <c r="U227" s="5" t="s">
        <v>2478</v>
      </c>
      <c r="V227" s="5" t="s">
        <v>2478</v>
      </c>
      <c r="W227" s="5" t="s">
        <v>72</v>
      </c>
      <c r="X227" s="5" t="s">
        <v>72</v>
      </c>
      <c r="Y227" s="4">
        <v>107</v>
      </c>
      <c r="Z227" s="4">
        <v>10</v>
      </c>
      <c r="AA227" s="4">
        <v>95</v>
      </c>
      <c r="AB227" s="4">
        <v>1</v>
      </c>
      <c r="AC227" s="4">
        <v>17</v>
      </c>
      <c r="AD227" s="4">
        <v>40</v>
      </c>
      <c r="AE227" s="4">
        <v>114</v>
      </c>
      <c r="AF227" s="4">
        <v>0</v>
      </c>
      <c r="AG227" s="4">
        <v>8</v>
      </c>
      <c r="AH227" s="4">
        <v>37</v>
      </c>
      <c r="AI227" s="4">
        <v>79</v>
      </c>
      <c r="AJ227" s="4">
        <v>7</v>
      </c>
      <c r="AK227" s="4">
        <v>21</v>
      </c>
      <c r="AL227" s="4">
        <v>27</v>
      </c>
      <c r="AM227" s="4">
        <v>42</v>
      </c>
      <c r="AN227" s="4">
        <v>0</v>
      </c>
      <c r="AO227" s="4">
        <v>0</v>
      </c>
      <c r="AP227" s="4">
        <v>8</v>
      </c>
      <c r="AQ227" s="4">
        <v>42</v>
      </c>
      <c r="AR227" s="3" t="s">
        <v>64</v>
      </c>
      <c r="AS227" s="3" t="s">
        <v>64</v>
      </c>
      <c r="AT227" s="3" t="s">
        <v>64</v>
      </c>
      <c r="AV227" s="6" t="str">
        <f>HYPERLINK("http://mcgill.on.worldcat.org/oclc/607656475","Catalog Record")</f>
        <v>Catalog Record</v>
      </c>
      <c r="AW227" s="6" t="str">
        <f>HYPERLINK("http://www.worldcat.org/oclc/607656475","WorldCat Record")</f>
        <v>WorldCat Record</v>
      </c>
      <c r="AX227" s="3" t="s">
        <v>2479</v>
      </c>
      <c r="AY227" s="3" t="s">
        <v>2480</v>
      </c>
      <c r="AZ227" s="3" t="s">
        <v>2481</v>
      </c>
      <c r="BA227" s="3" t="s">
        <v>2481</v>
      </c>
      <c r="BB227" s="3" t="s">
        <v>2482</v>
      </c>
      <c r="BC227" s="3" t="s">
        <v>78</v>
      </c>
      <c r="BD227" s="3" t="s">
        <v>79</v>
      </c>
      <c r="BE227" s="3" t="s">
        <v>2483</v>
      </c>
      <c r="BF227" s="3" t="s">
        <v>2482</v>
      </c>
      <c r="BG227" s="3" t="s">
        <v>2484</v>
      </c>
    </row>
    <row r="228" spans="1:59" ht="58" x14ac:dyDescent="0.35">
      <c r="A228" s="2" t="s">
        <v>59</v>
      </c>
      <c r="B228" s="2" t="s">
        <v>94</v>
      </c>
      <c r="C228" s="2" t="s">
        <v>2485</v>
      </c>
      <c r="D228" s="2" t="s">
        <v>2486</v>
      </c>
      <c r="E228" s="2" t="s">
        <v>2487</v>
      </c>
      <c r="G228" s="3" t="s">
        <v>64</v>
      </c>
      <c r="I228" s="3" t="s">
        <v>64</v>
      </c>
      <c r="J228" s="3" t="s">
        <v>64</v>
      </c>
      <c r="K228" s="3" t="s">
        <v>65</v>
      </c>
      <c r="M228" s="2" t="s">
        <v>2488</v>
      </c>
      <c r="N228" s="3" t="s">
        <v>524</v>
      </c>
      <c r="P228" s="3" t="s">
        <v>69</v>
      </c>
      <c r="Q228" s="2" t="s">
        <v>922</v>
      </c>
      <c r="R228" s="3" t="s">
        <v>70</v>
      </c>
      <c r="S228" s="4">
        <v>16</v>
      </c>
      <c r="T228" s="4">
        <v>16</v>
      </c>
      <c r="U228" s="5" t="s">
        <v>2418</v>
      </c>
      <c r="V228" s="5" t="s">
        <v>2418</v>
      </c>
      <c r="W228" s="5" t="s">
        <v>72</v>
      </c>
      <c r="X228" s="5" t="s">
        <v>72</v>
      </c>
      <c r="Y228" s="4">
        <v>334</v>
      </c>
      <c r="Z228" s="4">
        <v>24</v>
      </c>
      <c r="AA228" s="4">
        <v>34</v>
      </c>
      <c r="AB228" s="4">
        <v>2</v>
      </c>
      <c r="AC228" s="4">
        <v>5</v>
      </c>
      <c r="AD228" s="4">
        <v>76</v>
      </c>
      <c r="AE228" s="4">
        <v>91</v>
      </c>
      <c r="AF228" s="4">
        <v>1</v>
      </c>
      <c r="AG228" s="4">
        <v>2</v>
      </c>
      <c r="AH228" s="4">
        <v>65</v>
      </c>
      <c r="AI228" s="4">
        <v>78</v>
      </c>
      <c r="AJ228" s="4">
        <v>15</v>
      </c>
      <c r="AK228" s="4">
        <v>21</v>
      </c>
      <c r="AL228" s="4">
        <v>37</v>
      </c>
      <c r="AM228" s="4">
        <v>45</v>
      </c>
      <c r="AN228" s="4">
        <v>0</v>
      </c>
      <c r="AO228" s="4">
        <v>0</v>
      </c>
      <c r="AP228" s="4">
        <v>19</v>
      </c>
      <c r="AQ228" s="4">
        <v>24</v>
      </c>
      <c r="AR228" s="3" t="s">
        <v>64</v>
      </c>
      <c r="AS228" s="3" t="s">
        <v>64</v>
      </c>
      <c r="AT228" s="3" t="s">
        <v>64</v>
      </c>
      <c r="AV228" s="6" t="str">
        <f>HYPERLINK("http://mcgill.on.worldcat.org/oclc/779472263","Catalog Record")</f>
        <v>Catalog Record</v>
      </c>
      <c r="AW228" s="6" t="str">
        <f>HYPERLINK("http://www.worldcat.org/oclc/779472263","WorldCat Record")</f>
        <v>WorldCat Record</v>
      </c>
      <c r="AX228" s="3" t="s">
        <v>2489</v>
      </c>
      <c r="AY228" s="3" t="s">
        <v>2490</v>
      </c>
      <c r="AZ228" s="3" t="s">
        <v>2491</v>
      </c>
      <c r="BA228" s="3" t="s">
        <v>2491</v>
      </c>
      <c r="BB228" s="3" t="s">
        <v>2492</v>
      </c>
      <c r="BC228" s="3" t="s">
        <v>78</v>
      </c>
      <c r="BD228" s="3" t="s">
        <v>79</v>
      </c>
      <c r="BE228" s="3" t="s">
        <v>2493</v>
      </c>
      <c r="BF228" s="3" t="s">
        <v>2492</v>
      </c>
      <c r="BG228" s="3" t="s">
        <v>2494</v>
      </c>
    </row>
    <row r="229" spans="1:59" ht="58" x14ac:dyDescent="0.35">
      <c r="A229" s="2" t="s">
        <v>59</v>
      </c>
      <c r="B229" s="2" t="s">
        <v>94</v>
      </c>
      <c r="C229" s="2" t="s">
        <v>2495</v>
      </c>
      <c r="D229" s="2" t="s">
        <v>2496</v>
      </c>
      <c r="E229" s="2" t="s">
        <v>2497</v>
      </c>
      <c r="G229" s="3" t="s">
        <v>64</v>
      </c>
      <c r="I229" s="3" t="s">
        <v>64</v>
      </c>
      <c r="J229" s="3" t="s">
        <v>64</v>
      </c>
      <c r="K229" s="3" t="s">
        <v>65</v>
      </c>
      <c r="L229" s="2" t="s">
        <v>2498</v>
      </c>
      <c r="M229" s="2" t="s">
        <v>2499</v>
      </c>
      <c r="N229" s="3" t="s">
        <v>226</v>
      </c>
      <c r="P229" s="3" t="s">
        <v>69</v>
      </c>
      <c r="Q229" s="2" t="s">
        <v>2430</v>
      </c>
      <c r="R229" s="3" t="s">
        <v>70</v>
      </c>
      <c r="S229" s="4">
        <v>29</v>
      </c>
      <c r="T229" s="4">
        <v>29</v>
      </c>
      <c r="U229" s="5" t="s">
        <v>2500</v>
      </c>
      <c r="V229" s="5" t="s">
        <v>2500</v>
      </c>
      <c r="W229" s="5" t="s">
        <v>72</v>
      </c>
      <c r="X229" s="5" t="s">
        <v>72</v>
      </c>
      <c r="Y229" s="4">
        <v>362</v>
      </c>
      <c r="Z229" s="4">
        <v>27</v>
      </c>
      <c r="AA229" s="4">
        <v>28</v>
      </c>
      <c r="AB229" s="4">
        <v>2</v>
      </c>
      <c r="AC229" s="4">
        <v>3</v>
      </c>
      <c r="AD229" s="4">
        <v>101</v>
      </c>
      <c r="AE229" s="4">
        <v>101</v>
      </c>
      <c r="AF229" s="4">
        <v>1</v>
      </c>
      <c r="AG229" s="4">
        <v>1</v>
      </c>
      <c r="AH229" s="4">
        <v>89</v>
      </c>
      <c r="AI229" s="4">
        <v>89</v>
      </c>
      <c r="AJ229" s="4">
        <v>15</v>
      </c>
      <c r="AK229" s="4">
        <v>15</v>
      </c>
      <c r="AL229" s="4">
        <v>51</v>
      </c>
      <c r="AM229" s="4">
        <v>51</v>
      </c>
      <c r="AN229" s="4">
        <v>0</v>
      </c>
      <c r="AO229" s="4">
        <v>0</v>
      </c>
      <c r="AP229" s="4">
        <v>19</v>
      </c>
      <c r="AQ229" s="4">
        <v>19</v>
      </c>
      <c r="AR229" s="3" t="s">
        <v>64</v>
      </c>
      <c r="AS229" s="3" t="s">
        <v>64</v>
      </c>
      <c r="AT229" s="3" t="s">
        <v>73</v>
      </c>
      <c r="AU229" s="6" t="str">
        <f>HYPERLINK("http://catalog.hathitrust.org/Record/003958375","HathiTrust Record")</f>
        <v>HathiTrust Record</v>
      </c>
      <c r="AV229" s="6" t="str">
        <f>HYPERLINK("http://mcgill.on.worldcat.org/oclc/36461686","Catalog Record")</f>
        <v>Catalog Record</v>
      </c>
      <c r="AW229" s="6" t="str">
        <f>HYPERLINK("http://www.worldcat.org/oclc/36461686","WorldCat Record")</f>
        <v>WorldCat Record</v>
      </c>
      <c r="AX229" s="3" t="s">
        <v>2501</v>
      </c>
      <c r="AY229" s="3" t="s">
        <v>2502</v>
      </c>
      <c r="AZ229" s="3" t="s">
        <v>2503</v>
      </c>
      <c r="BA229" s="3" t="s">
        <v>2503</v>
      </c>
      <c r="BB229" s="3" t="s">
        <v>2504</v>
      </c>
      <c r="BC229" s="3" t="s">
        <v>78</v>
      </c>
      <c r="BD229" s="3" t="s">
        <v>79</v>
      </c>
      <c r="BE229" s="3" t="s">
        <v>2505</v>
      </c>
      <c r="BF229" s="3" t="s">
        <v>2504</v>
      </c>
      <c r="BG229" s="3" t="s">
        <v>2506</v>
      </c>
    </row>
    <row r="230" spans="1:59" ht="58" x14ac:dyDescent="0.35">
      <c r="A230" s="2" t="s">
        <v>59</v>
      </c>
      <c r="B230" s="2" t="s">
        <v>94</v>
      </c>
      <c r="C230" s="2" t="s">
        <v>2507</v>
      </c>
      <c r="D230" s="2" t="s">
        <v>2508</v>
      </c>
      <c r="E230" s="2" t="s">
        <v>2509</v>
      </c>
      <c r="G230" s="3" t="s">
        <v>64</v>
      </c>
      <c r="I230" s="3" t="s">
        <v>64</v>
      </c>
      <c r="J230" s="3" t="s">
        <v>64</v>
      </c>
      <c r="K230" s="3" t="s">
        <v>65</v>
      </c>
      <c r="L230" s="2" t="s">
        <v>2510</v>
      </c>
      <c r="M230" s="2" t="s">
        <v>2511</v>
      </c>
      <c r="N230" s="3" t="s">
        <v>473</v>
      </c>
      <c r="O230" s="2" t="s">
        <v>1294</v>
      </c>
      <c r="P230" s="3" t="s">
        <v>69</v>
      </c>
      <c r="R230" s="3" t="s">
        <v>70</v>
      </c>
      <c r="S230" s="4">
        <v>7</v>
      </c>
      <c r="T230" s="4">
        <v>7</v>
      </c>
      <c r="U230" s="5" t="s">
        <v>2217</v>
      </c>
      <c r="V230" s="5" t="s">
        <v>2217</v>
      </c>
      <c r="W230" s="5" t="s">
        <v>72</v>
      </c>
      <c r="X230" s="5" t="s">
        <v>72</v>
      </c>
      <c r="Y230" s="4">
        <v>279</v>
      </c>
      <c r="Z230" s="4">
        <v>13</v>
      </c>
      <c r="AA230" s="4">
        <v>17</v>
      </c>
      <c r="AB230" s="4">
        <v>1</v>
      </c>
      <c r="AC230" s="4">
        <v>2</v>
      </c>
      <c r="AD230" s="4">
        <v>64</v>
      </c>
      <c r="AE230" s="4">
        <v>72</v>
      </c>
      <c r="AF230" s="4">
        <v>0</v>
      </c>
      <c r="AG230" s="4">
        <v>1</v>
      </c>
      <c r="AH230" s="4">
        <v>59</v>
      </c>
      <c r="AI230" s="4">
        <v>64</v>
      </c>
      <c r="AJ230" s="4">
        <v>5</v>
      </c>
      <c r="AK230" s="4">
        <v>8</v>
      </c>
      <c r="AL230" s="4">
        <v>34</v>
      </c>
      <c r="AM230" s="4">
        <v>38</v>
      </c>
      <c r="AN230" s="4">
        <v>0</v>
      </c>
      <c r="AO230" s="4">
        <v>0</v>
      </c>
      <c r="AP230" s="4">
        <v>7</v>
      </c>
      <c r="AQ230" s="4">
        <v>11</v>
      </c>
      <c r="AR230" s="3" t="s">
        <v>64</v>
      </c>
      <c r="AS230" s="3" t="s">
        <v>64</v>
      </c>
      <c r="AT230" s="3" t="s">
        <v>64</v>
      </c>
      <c r="AV230" s="6" t="str">
        <f>HYPERLINK("http://mcgill.on.worldcat.org/oclc/21559134","Catalog Record")</f>
        <v>Catalog Record</v>
      </c>
      <c r="AW230" s="6" t="str">
        <f>HYPERLINK("http://www.worldcat.org/oclc/21559134","WorldCat Record")</f>
        <v>WorldCat Record</v>
      </c>
      <c r="AX230" s="3" t="s">
        <v>2512</v>
      </c>
      <c r="AY230" s="3" t="s">
        <v>2513</v>
      </c>
      <c r="AZ230" s="3" t="s">
        <v>2514</v>
      </c>
      <c r="BA230" s="3" t="s">
        <v>2514</v>
      </c>
      <c r="BB230" s="3" t="s">
        <v>2515</v>
      </c>
      <c r="BC230" s="3" t="s">
        <v>78</v>
      </c>
      <c r="BD230" s="3" t="s">
        <v>79</v>
      </c>
      <c r="BE230" s="3" t="s">
        <v>2516</v>
      </c>
      <c r="BF230" s="3" t="s">
        <v>2515</v>
      </c>
      <c r="BG230" s="3" t="s">
        <v>2517</v>
      </c>
    </row>
    <row r="231" spans="1:59" ht="58" x14ac:dyDescent="0.35">
      <c r="A231" s="2" t="s">
        <v>59</v>
      </c>
      <c r="B231" s="2" t="s">
        <v>94</v>
      </c>
      <c r="C231" s="2" t="s">
        <v>2518</v>
      </c>
      <c r="D231" s="2" t="s">
        <v>2519</v>
      </c>
      <c r="E231" s="2" t="s">
        <v>2520</v>
      </c>
      <c r="G231" s="3" t="s">
        <v>64</v>
      </c>
      <c r="I231" s="3" t="s">
        <v>64</v>
      </c>
      <c r="J231" s="3" t="s">
        <v>64</v>
      </c>
      <c r="K231" s="3" t="s">
        <v>65</v>
      </c>
      <c r="M231" s="2" t="s">
        <v>2521</v>
      </c>
      <c r="N231" s="3" t="s">
        <v>538</v>
      </c>
      <c r="P231" s="3" t="s">
        <v>69</v>
      </c>
      <c r="Q231" s="2" t="s">
        <v>2522</v>
      </c>
      <c r="R231" s="3" t="s">
        <v>70</v>
      </c>
      <c r="S231" s="4">
        <v>17</v>
      </c>
      <c r="T231" s="4">
        <v>17</v>
      </c>
      <c r="U231" s="5" t="s">
        <v>2523</v>
      </c>
      <c r="V231" s="5" t="s">
        <v>2523</v>
      </c>
      <c r="W231" s="5" t="s">
        <v>72</v>
      </c>
      <c r="X231" s="5" t="s">
        <v>72</v>
      </c>
      <c r="Y231" s="4">
        <v>327</v>
      </c>
      <c r="Z231" s="4">
        <v>28</v>
      </c>
      <c r="AA231" s="4">
        <v>35</v>
      </c>
      <c r="AB231" s="4">
        <v>2</v>
      </c>
      <c r="AC231" s="4">
        <v>9</v>
      </c>
      <c r="AD231" s="4">
        <v>91</v>
      </c>
      <c r="AE231" s="4">
        <v>99</v>
      </c>
      <c r="AF231" s="4">
        <v>1</v>
      </c>
      <c r="AG231" s="4">
        <v>5</v>
      </c>
      <c r="AH231" s="4">
        <v>76</v>
      </c>
      <c r="AI231" s="4">
        <v>81</v>
      </c>
      <c r="AJ231" s="4">
        <v>15</v>
      </c>
      <c r="AK231" s="4">
        <v>18</v>
      </c>
      <c r="AL231" s="4">
        <v>47</v>
      </c>
      <c r="AM231" s="4">
        <v>50</v>
      </c>
      <c r="AN231" s="4">
        <v>0</v>
      </c>
      <c r="AO231" s="4">
        <v>0</v>
      </c>
      <c r="AP231" s="4">
        <v>22</v>
      </c>
      <c r="AQ231" s="4">
        <v>25</v>
      </c>
      <c r="AR231" s="3" t="s">
        <v>64</v>
      </c>
      <c r="AS231" s="3" t="s">
        <v>64</v>
      </c>
      <c r="AT231" s="3" t="s">
        <v>64</v>
      </c>
      <c r="AV231" s="6" t="str">
        <f>HYPERLINK("http://mcgill.on.worldcat.org/oclc/65197915","Catalog Record")</f>
        <v>Catalog Record</v>
      </c>
      <c r="AW231" s="6" t="str">
        <f>HYPERLINK("http://www.worldcat.org/oclc/65197915","WorldCat Record")</f>
        <v>WorldCat Record</v>
      </c>
      <c r="AX231" s="3" t="s">
        <v>2524</v>
      </c>
      <c r="AY231" s="3" t="s">
        <v>2525</v>
      </c>
      <c r="AZ231" s="3" t="s">
        <v>2526</v>
      </c>
      <c r="BA231" s="3" t="s">
        <v>2526</v>
      </c>
      <c r="BB231" s="3" t="s">
        <v>2527</v>
      </c>
      <c r="BC231" s="3" t="s">
        <v>78</v>
      </c>
      <c r="BD231" s="3" t="s">
        <v>79</v>
      </c>
      <c r="BE231" s="3" t="s">
        <v>2528</v>
      </c>
      <c r="BF231" s="3" t="s">
        <v>2527</v>
      </c>
      <c r="BG231" s="3" t="s">
        <v>2529</v>
      </c>
    </row>
    <row r="232" spans="1:59" ht="58" x14ac:dyDescent="0.35">
      <c r="A232" s="2" t="s">
        <v>59</v>
      </c>
      <c r="B232" s="2" t="s">
        <v>94</v>
      </c>
      <c r="C232" s="2" t="s">
        <v>2530</v>
      </c>
      <c r="D232" s="2" t="s">
        <v>2531</v>
      </c>
      <c r="E232" s="2" t="s">
        <v>2532</v>
      </c>
      <c r="G232" s="3" t="s">
        <v>64</v>
      </c>
      <c r="I232" s="3" t="s">
        <v>64</v>
      </c>
      <c r="J232" s="3" t="s">
        <v>64</v>
      </c>
      <c r="K232" s="3" t="s">
        <v>65</v>
      </c>
      <c r="L232" s="2" t="s">
        <v>2533</v>
      </c>
      <c r="M232" s="2" t="s">
        <v>2534</v>
      </c>
      <c r="N232" s="3" t="s">
        <v>499</v>
      </c>
      <c r="P232" s="3" t="s">
        <v>69</v>
      </c>
      <c r="Q232" s="2" t="s">
        <v>2535</v>
      </c>
      <c r="R232" s="3" t="s">
        <v>70</v>
      </c>
      <c r="S232" s="4">
        <v>45</v>
      </c>
      <c r="T232" s="4">
        <v>45</v>
      </c>
      <c r="U232" s="5" t="s">
        <v>2536</v>
      </c>
      <c r="V232" s="5" t="s">
        <v>2536</v>
      </c>
      <c r="W232" s="5" t="s">
        <v>72</v>
      </c>
      <c r="X232" s="5" t="s">
        <v>72</v>
      </c>
      <c r="Y232" s="4">
        <v>350</v>
      </c>
      <c r="Z232" s="4">
        <v>31</v>
      </c>
      <c r="AA232" s="4">
        <v>38</v>
      </c>
      <c r="AB232" s="4">
        <v>1</v>
      </c>
      <c r="AC232" s="4">
        <v>8</v>
      </c>
      <c r="AD232" s="4">
        <v>95</v>
      </c>
      <c r="AE232" s="4">
        <v>102</v>
      </c>
      <c r="AF232" s="4">
        <v>0</v>
      </c>
      <c r="AG232" s="4">
        <v>4</v>
      </c>
      <c r="AH232" s="4">
        <v>81</v>
      </c>
      <c r="AI232" s="4">
        <v>84</v>
      </c>
      <c r="AJ232" s="4">
        <v>18</v>
      </c>
      <c r="AK232" s="4">
        <v>21</v>
      </c>
      <c r="AL232" s="4">
        <v>43</v>
      </c>
      <c r="AM232" s="4">
        <v>44</v>
      </c>
      <c r="AN232" s="4">
        <v>0</v>
      </c>
      <c r="AO232" s="4">
        <v>0</v>
      </c>
      <c r="AP232" s="4">
        <v>25</v>
      </c>
      <c r="AQ232" s="4">
        <v>28</v>
      </c>
      <c r="AR232" s="3" t="s">
        <v>64</v>
      </c>
      <c r="AS232" s="3" t="s">
        <v>64</v>
      </c>
      <c r="AT232" s="3" t="s">
        <v>64</v>
      </c>
      <c r="AV232" s="6" t="str">
        <f>HYPERLINK("http://mcgill.on.worldcat.org/oclc/55015708","Catalog Record")</f>
        <v>Catalog Record</v>
      </c>
      <c r="AW232" s="6" t="str">
        <f>HYPERLINK("http://www.worldcat.org/oclc/55015708","WorldCat Record")</f>
        <v>WorldCat Record</v>
      </c>
      <c r="AX232" s="3" t="s">
        <v>2537</v>
      </c>
      <c r="AY232" s="3" t="s">
        <v>2538</v>
      </c>
      <c r="AZ232" s="3" t="s">
        <v>2539</v>
      </c>
      <c r="BA232" s="3" t="s">
        <v>2539</v>
      </c>
      <c r="BB232" s="3" t="s">
        <v>2540</v>
      </c>
      <c r="BC232" s="3" t="s">
        <v>78</v>
      </c>
      <c r="BD232" s="3" t="s">
        <v>79</v>
      </c>
      <c r="BE232" s="3" t="s">
        <v>2541</v>
      </c>
      <c r="BF232" s="3" t="s">
        <v>2540</v>
      </c>
      <c r="BG232" s="3" t="s">
        <v>2542</v>
      </c>
    </row>
    <row r="233" spans="1:59" ht="58" x14ac:dyDescent="0.35">
      <c r="A233" s="2" t="s">
        <v>59</v>
      </c>
      <c r="B233" s="2" t="s">
        <v>94</v>
      </c>
      <c r="C233" s="2" t="s">
        <v>2543</v>
      </c>
      <c r="D233" s="2" t="s">
        <v>2544</v>
      </c>
      <c r="E233" s="2" t="s">
        <v>2545</v>
      </c>
      <c r="G233" s="3" t="s">
        <v>64</v>
      </c>
      <c r="I233" s="3" t="s">
        <v>64</v>
      </c>
      <c r="J233" s="3" t="s">
        <v>64</v>
      </c>
      <c r="K233" s="3" t="s">
        <v>65</v>
      </c>
      <c r="M233" s="2" t="s">
        <v>2546</v>
      </c>
      <c r="N233" s="3" t="s">
        <v>175</v>
      </c>
      <c r="P233" s="3" t="s">
        <v>69</v>
      </c>
      <c r="Q233" s="2" t="s">
        <v>2547</v>
      </c>
      <c r="R233" s="3" t="s">
        <v>70</v>
      </c>
      <c r="S233" s="4">
        <v>0</v>
      </c>
      <c r="T233" s="4">
        <v>0</v>
      </c>
      <c r="W233" s="5" t="s">
        <v>72</v>
      </c>
      <c r="X233" s="5" t="s">
        <v>72</v>
      </c>
      <c r="Y233" s="4">
        <v>96</v>
      </c>
      <c r="Z233" s="4">
        <v>6</v>
      </c>
      <c r="AA233" s="4">
        <v>6</v>
      </c>
      <c r="AB233" s="4">
        <v>1</v>
      </c>
      <c r="AC233" s="4">
        <v>1</v>
      </c>
      <c r="AD233" s="4">
        <v>34</v>
      </c>
      <c r="AE233" s="4">
        <v>34</v>
      </c>
      <c r="AF233" s="4">
        <v>0</v>
      </c>
      <c r="AG233" s="4">
        <v>0</v>
      </c>
      <c r="AH233" s="4">
        <v>33</v>
      </c>
      <c r="AI233" s="4">
        <v>33</v>
      </c>
      <c r="AJ233" s="4">
        <v>4</v>
      </c>
      <c r="AK233" s="4">
        <v>4</v>
      </c>
      <c r="AL233" s="4">
        <v>26</v>
      </c>
      <c r="AM233" s="4">
        <v>26</v>
      </c>
      <c r="AN233" s="4">
        <v>0</v>
      </c>
      <c r="AO233" s="4">
        <v>0</v>
      </c>
      <c r="AP233" s="4">
        <v>4</v>
      </c>
      <c r="AQ233" s="4">
        <v>4</v>
      </c>
      <c r="AR233" s="3" t="s">
        <v>64</v>
      </c>
      <c r="AS233" s="3" t="s">
        <v>64</v>
      </c>
      <c r="AT233" s="3" t="s">
        <v>64</v>
      </c>
      <c r="AV233" s="6" t="str">
        <f>HYPERLINK("http://mcgill.on.worldcat.org/oclc/884233271","Catalog Record")</f>
        <v>Catalog Record</v>
      </c>
      <c r="AW233" s="6" t="str">
        <f>HYPERLINK("http://www.worldcat.org/oclc/884233271","WorldCat Record")</f>
        <v>WorldCat Record</v>
      </c>
      <c r="AX233" s="3" t="s">
        <v>2548</v>
      </c>
      <c r="AY233" s="3" t="s">
        <v>2549</v>
      </c>
      <c r="AZ233" s="3" t="s">
        <v>2550</v>
      </c>
      <c r="BA233" s="3" t="s">
        <v>2550</v>
      </c>
      <c r="BB233" s="3" t="s">
        <v>2551</v>
      </c>
      <c r="BC233" s="3" t="s">
        <v>78</v>
      </c>
      <c r="BD233" s="3" t="s">
        <v>79</v>
      </c>
      <c r="BE233" s="3" t="s">
        <v>2552</v>
      </c>
      <c r="BF233" s="3" t="s">
        <v>2551</v>
      </c>
      <c r="BG233" s="3" t="s">
        <v>2553</v>
      </c>
    </row>
    <row r="234" spans="1:59" ht="58" x14ac:dyDescent="0.35">
      <c r="A234" s="2" t="s">
        <v>59</v>
      </c>
      <c r="B234" s="2" t="s">
        <v>94</v>
      </c>
      <c r="C234" s="2" t="s">
        <v>2554</v>
      </c>
      <c r="D234" s="2" t="s">
        <v>2555</v>
      </c>
      <c r="E234" s="2" t="s">
        <v>2556</v>
      </c>
      <c r="G234" s="3" t="s">
        <v>64</v>
      </c>
      <c r="I234" s="3" t="s">
        <v>73</v>
      </c>
      <c r="J234" s="3" t="s">
        <v>64</v>
      </c>
      <c r="K234" s="3" t="s">
        <v>65</v>
      </c>
      <c r="L234" s="2" t="s">
        <v>2557</v>
      </c>
      <c r="M234" s="2" t="s">
        <v>2558</v>
      </c>
      <c r="N234" s="3" t="s">
        <v>861</v>
      </c>
      <c r="P234" s="3" t="s">
        <v>69</v>
      </c>
      <c r="R234" s="3" t="s">
        <v>70</v>
      </c>
      <c r="S234" s="4">
        <v>8</v>
      </c>
      <c r="T234" s="4">
        <v>15</v>
      </c>
      <c r="U234" s="5" t="s">
        <v>2559</v>
      </c>
      <c r="V234" s="5" t="s">
        <v>2560</v>
      </c>
      <c r="W234" s="5" t="s">
        <v>72</v>
      </c>
      <c r="X234" s="5" t="s">
        <v>72</v>
      </c>
      <c r="Y234" s="4">
        <v>182</v>
      </c>
      <c r="Z234" s="4">
        <v>6</v>
      </c>
      <c r="AA234" s="4">
        <v>6</v>
      </c>
      <c r="AB234" s="4">
        <v>1</v>
      </c>
      <c r="AC234" s="4">
        <v>1</v>
      </c>
      <c r="AD234" s="4">
        <v>65</v>
      </c>
      <c r="AE234" s="4">
        <v>65</v>
      </c>
      <c r="AF234" s="4">
        <v>0</v>
      </c>
      <c r="AG234" s="4">
        <v>0</v>
      </c>
      <c r="AH234" s="4">
        <v>62</v>
      </c>
      <c r="AI234" s="4">
        <v>62</v>
      </c>
      <c r="AJ234" s="4">
        <v>3</v>
      </c>
      <c r="AK234" s="4">
        <v>3</v>
      </c>
      <c r="AL234" s="4">
        <v>40</v>
      </c>
      <c r="AM234" s="4">
        <v>40</v>
      </c>
      <c r="AN234" s="4">
        <v>0</v>
      </c>
      <c r="AO234" s="4">
        <v>0</v>
      </c>
      <c r="AP234" s="4">
        <v>3</v>
      </c>
      <c r="AQ234" s="4">
        <v>3</v>
      </c>
      <c r="AR234" s="3" t="s">
        <v>64</v>
      </c>
      <c r="AS234" s="3" t="s">
        <v>64</v>
      </c>
      <c r="AT234" s="3" t="s">
        <v>64</v>
      </c>
      <c r="AV234" s="6" t="str">
        <f>HYPERLINK("http://mcgill.on.worldcat.org/oclc/52887360","Catalog Record")</f>
        <v>Catalog Record</v>
      </c>
      <c r="AW234" s="6" t="str">
        <f>HYPERLINK("http://www.worldcat.org/oclc/52887360","WorldCat Record")</f>
        <v>WorldCat Record</v>
      </c>
      <c r="AX234" s="3" t="s">
        <v>2561</v>
      </c>
      <c r="AY234" s="3" t="s">
        <v>2562</v>
      </c>
      <c r="AZ234" s="3" t="s">
        <v>2563</v>
      </c>
      <c r="BA234" s="3" t="s">
        <v>2563</v>
      </c>
      <c r="BB234" s="3" t="s">
        <v>2564</v>
      </c>
      <c r="BC234" s="3" t="s">
        <v>78</v>
      </c>
      <c r="BD234" s="3" t="s">
        <v>79</v>
      </c>
      <c r="BE234" s="3" t="s">
        <v>2565</v>
      </c>
      <c r="BF234" s="3" t="s">
        <v>2564</v>
      </c>
      <c r="BG234" s="3" t="s">
        <v>2566</v>
      </c>
    </row>
    <row r="235" spans="1:59" ht="58" x14ac:dyDescent="0.35">
      <c r="A235" s="2" t="s">
        <v>59</v>
      </c>
      <c r="B235" s="2" t="s">
        <v>94</v>
      </c>
      <c r="C235" s="2" t="s">
        <v>2554</v>
      </c>
      <c r="D235" s="2" t="s">
        <v>2555</v>
      </c>
      <c r="E235" s="2" t="s">
        <v>2556</v>
      </c>
      <c r="G235" s="3" t="s">
        <v>64</v>
      </c>
      <c r="I235" s="3" t="s">
        <v>73</v>
      </c>
      <c r="J235" s="3" t="s">
        <v>64</v>
      </c>
      <c r="K235" s="3" t="s">
        <v>65</v>
      </c>
      <c r="L235" s="2" t="s">
        <v>2557</v>
      </c>
      <c r="M235" s="2" t="s">
        <v>2558</v>
      </c>
      <c r="N235" s="3" t="s">
        <v>861</v>
      </c>
      <c r="P235" s="3" t="s">
        <v>69</v>
      </c>
      <c r="R235" s="3" t="s">
        <v>70</v>
      </c>
      <c r="S235" s="4">
        <v>7</v>
      </c>
      <c r="T235" s="4">
        <v>15</v>
      </c>
      <c r="U235" s="5" t="s">
        <v>2560</v>
      </c>
      <c r="V235" s="5" t="s">
        <v>2560</v>
      </c>
      <c r="W235" s="5" t="s">
        <v>72</v>
      </c>
      <c r="X235" s="5" t="s">
        <v>72</v>
      </c>
      <c r="Y235" s="4">
        <v>182</v>
      </c>
      <c r="Z235" s="4">
        <v>6</v>
      </c>
      <c r="AA235" s="4">
        <v>6</v>
      </c>
      <c r="AB235" s="4">
        <v>1</v>
      </c>
      <c r="AC235" s="4">
        <v>1</v>
      </c>
      <c r="AD235" s="4">
        <v>65</v>
      </c>
      <c r="AE235" s="4">
        <v>65</v>
      </c>
      <c r="AF235" s="4">
        <v>0</v>
      </c>
      <c r="AG235" s="4">
        <v>0</v>
      </c>
      <c r="AH235" s="4">
        <v>62</v>
      </c>
      <c r="AI235" s="4">
        <v>62</v>
      </c>
      <c r="AJ235" s="4">
        <v>3</v>
      </c>
      <c r="AK235" s="4">
        <v>3</v>
      </c>
      <c r="AL235" s="4">
        <v>40</v>
      </c>
      <c r="AM235" s="4">
        <v>40</v>
      </c>
      <c r="AN235" s="4">
        <v>0</v>
      </c>
      <c r="AO235" s="4">
        <v>0</v>
      </c>
      <c r="AP235" s="4">
        <v>3</v>
      </c>
      <c r="AQ235" s="4">
        <v>3</v>
      </c>
      <c r="AR235" s="3" t="s">
        <v>64</v>
      </c>
      <c r="AS235" s="3" t="s">
        <v>64</v>
      </c>
      <c r="AT235" s="3" t="s">
        <v>64</v>
      </c>
      <c r="AV235" s="6" t="str">
        <f>HYPERLINK("http://mcgill.on.worldcat.org/oclc/52887360","Catalog Record")</f>
        <v>Catalog Record</v>
      </c>
      <c r="AW235" s="6" t="str">
        <f>HYPERLINK("http://www.worldcat.org/oclc/52887360","WorldCat Record")</f>
        <v>WorldCat Record</v>
      </c>
      <c r="AX235" s="3" t="s">
        <v>2561</v>
      </c>
      <c r="AY235" s="3" t="s">
        <v>2562</v>
      </c>
      <c r="AZ235" s="3" t="s">
        <v>2563</v>
      </c>
      <c r="BA235" s="3" t="s">
        <v>2563</v>
      </c>
      <c r="BB235" s="3" t="s">
        <v>2567</v>
      </c>
      <c r="BC235" s="3" t="s">
        <v>78</v>
      </c>
      <c r="BD235" s="3" t="s">
        <v>79</v>
      </c>
      <c r="BE235" s="3" t="s">
        <v>2565</v>
      </c>
      <c r="BF235" s="3" t="s">
        <v>2567</v>
      </c>
      <c r="BG235" s="3" t="s">
        <v>2568</v>
      </c>
    </row>
    <row r="236" spans="1:59" ht="58" x14ac:dyDescent="0.35">
      <c r="A236" s="2" t="s">
        <v>59</v>
      </c>
      <c r="B236" s="2" t="s">
        <v>94</v>
      </c>
      <c r="C236" s="2" t="s">
        <v>2569</v>
      </c>
      <c r="D236" s="2" t="s">
        <v>2570</v>
      </c>
      <c r="E236" s="2" t="s">
        <v>2571</v>
      </c>
      <c r="G236" s="3" t="s">
        <v>64</v>
      </c>
      <c r="I236" s="3" t="s">
        <v>64</v>
      </c>
      <c r="J236" s="3" t="s">
        <v>64</v>
      </c>
      <c r="K236" s="3" t="s">
        <v>65</v>
      </c>
      <c r="L236" s="2" t="s">
        <v>2572</v>
      </c>
      <c r="M236" s="2" t="s">
        <v>2573</v>
      </c>
      <c r="N236" s="3" t="s">
        <v>2574</v>
      </c>
      <c r="P236" s="3" t="s">
        <v>69</v>
      </c>
      <c r="R236" s="3" t="s">
        <v>70</v>
      </c>
      <c r="S236" s="4">
        <v>6</v>
      </c>
      <c r="T236" s="4">
        <v>6</v>
      </c>
      <c r="U236" s="5" t="s">
        <v>1737</v>
      </c>
      <c r="V236" s="5" t="s">
        <v>1737</v>
      </c>
      <c r="W236" s="5" t="s">
        <v>72</v>
      </c>
      <c r="X236" s="5" t="s">
        <v>72</v>
      </c>
      <c r="Y236" s="4">
        <v>4</v>
      </c>
      <c r="Z236" s="4">
        <v>3</v>
      </c>
      <c r="AA236" s="4">
        <v>17</v>
      </c>
      <c r="AB236" s="4">
        <v>1</v>
      </c>
      <c r="AC236" s="4">
        <v>1</v>
      </c>
      <c r="AD236" s="4">
        <v>2</v>
      </c>
      <c r="AE236" s="4">
        <v>81</v>
      </c>
      <c r="AF236" s="4">
        <v>0</v>
      </c>
      <c r="AG236" s="4">
        <v>0</v>
      </c>
      <c r="AH236" s="4">
        <v>1</v>
      </c>
      <c r="AI236" s="4">
        <v>73</v>
      </c>
      <c r="AJ236" s="4">
        <v>2</v>
      </c>
      <c r="AK236" s="4">
        <v>12</v>
      </c>
      <c r="AL236" s="4">
        <v>0</v>
      </c>
      <c r="AM236" s="4">
        <v>45</v>
      </c>
      <c r="AN236" s="4">
        <v>0</v>
      </c>
      <c r="AO236" s="4">
        <v>5</v>
      </c>
      <c r="AP236" s="4">
        <v>2</v>
      </c>
      <c r="AQ236" s="4">
        <v>14</v>
      </c>
      <c r="AR236" s="3" t="s">
        <v>64</v>
      </c>
      <c r="AS236" s="3" t="s">
        <v>64</v>
      </c>
      <c r="AT236" s="3" t="s">
        <v>64</v>
      </c>
      <c r="AV236" s="6" t="str">
        <f>HYPERLINK("http://mcgill.on.worldcat.org/oclc/61587380","Catalog Record")</f>
        <v>Catalog Record</v>
      </c>
      <c r="AW236" s="6" t="str">
        <f>HYPERLINK("http://www.worldcat.org/oclc/61587380","WorldCat Record")</f>
        <v>WorldCat Record</v>
      </c>
      <c r="AX236" s="3" t="s">
        <v>2575</v>
      </c>
      <c r="AY236" s="3" t="s">
        <v>2576</v>
      </c>
      <c r="AZ236" s="3" t="s">
        <v>2577</v>
      </c>
      <c r="BA236" s="3" t="s">
        <v>2577</v>
      </c>
      <c r="BB236" s="3" t="s">
        <v>2578</v>
      </c>
      <c r="BC236" s="3" t="s">
        <v>78</v>
      </c>
      <c r="BD236" s="3" t="s">
        <v>79</v>
      </c>
      <c r="BF236" s="3" t="s">
        <v>2578</v>
      </c>
      <c r="BG236" s="3" t="s">
        <v>2579</v>
      </c>
    </row>
    <row r="237" spans="1:59" ht="58" x14ac:dyDescent="0.35">
      <c r="A237" s="2" t="s">
        <v>59</v>
      </c>
      <c r="B237" s="2" t="s">
        <v>94</v>
      </c>
      <c r="C237" s="2" t="s">
        <v>2580</v>
      </c>
      <c r="D237" s="2" t="s">
        <v>2581</v>
      </c>
      <c r="E237" s="2" t="s">
        <v>2582</v>
      </c>
      <c r="G237" s="3" t="s">
        <v>64</v>
      </c>
      <c r="I237" s="3" t="s">
        <v>64</v>
      </c>
      <c r="J237" s="3" t="s">
        <v>64</v>
      </c>
      <c r="K237" s="3" t="s">
        <v>65</v>
      </c>
      <c r="L237" s="2" t="s">
        <v>2583</v>
      </c>
      <c r="M237" s="2" t="s">
        <v>2584</v>
      </c>
      <c r="N237" s="3" t="s">
        <v>499</v>
      </c>
      <c r="P237" s="3" t="s">
        <v>69</v>
      </c>
      <c r="Q237" s="2" t="s">
        <v>2535</v>
      </c>
      <c r="R237" s="3" t="s">
        <v>70</v>
      </c>
      <c r="S237" s="4">
        <v>13</v>
      </c>
      <c r="T237" s="4">
        <v>13</v>
      </c>
      <c r="U237" s="5" t="s">
        <v>2585</v>
      </c>
      <c r="V237" s="5" t="s">
        <v>2585</v>
      </c>
      <c r="W237" s="5" t="s">
        <v>72</v>
      </c>
      <c r="X237" s="5" t="s">
        <v>72</v>
      </c>
      <c r="Y237" s="4">
        <v>363</v>
      </c>
      <c r="Z237" s="4">
        <v>24</v>
      </c>
      <c r="AA237" s="4">
        <v>33</v>
      </c>
      <c r="AB237" s="4">
        <v>1</v>
      </c>
      <c r="AC237" s="4">
        <v>8</v>
      </c>
      <c r="AD237" s="4">
        <v>82</v>
      </c>
      <c r="AE237" s="4">
        <v>96</v>
      </c>
      <c r="AF237" s="4">
        <v>0</v>
      </c>
      <c r="AG237" s="4">
        <v>4</v>
      </c>
      <c r="AH237" s="4">
        <v>68</v>
      </c>
      <c r="AI237" s="4">
        <v>77</v>
      </c>
      <c r="AJ237" s="4">
        <v>11</v>
      </c>
      <c r="AK237" s="4">
        <v>15</v>
      </c>
      <c r="AL237" s="4">
        <v>37</v>
      </c>
      <c r="AM237" s="4">
        <v>42</v>
      </c>
      <c r="AN237" s="4">
        <v>0</v>
      </c>
      <c r="AO237" s="4">
        <v>0</v>
      </c>
      <c r="AP237" s="4">
        <v>18</v>
      </c>
      <c r="AQ237" s="4">
        <v>23</v>
      </c>
      <c r="AR237" s="3" t="s">
        <v>64</v>
      </c>
      <c r="AS237" s="3" t="s">
        <v>64</v>
      </c>
      <c r="AT237" s="3" t="s">
        <v>64</v>
      </c>
      <c r="AV237" s="6" t="str">
        <f>HYPERLINK("http://mcgill.on.worldcat.org/oclc/54817216","Catalog Record")</f>
        <v>Catalog Record</v>
      </c>
      <c r="AW237" s="6" t="str">
        <f>HYPERLINK("http://www.worldcat.org/oclc/54817216","WorldCat Record")</f>
        <v>WorldCat Record</v>
      </c>
      <c r="AX237" s="3" t="s">
        <v>2586</v>
      </c>
      <c r="AY237" s="3" t="s">
        <v>2587</v>
      </c>
      <c r="AZ237" s="3" t="s">
        <v>2588</v>
      </c>
      <c r="BA237" s="3" t="s">
        <v>2588</v>
      </c>
      <c r="BB237" s="3" t="s">
        <v>2589</v>
      </c>
      <c r="BC237" s="3" t="s">
        <v>78</v>
      </c>
      <c r="BD237" s="3" t="s">
        <v>414</v>
      </c>
      <c r="BE237" s="3" t="s">
        <v>2590</v>
      </c>
      <c r="BF237" s="3" t="s">
        <v>2589</v>
      </c>
      <c r="BG237" s="3" t="s">
        <v>2591</v>
      </c>
    </row>
    <row r="238" spans="1:59" ht="58" x14ac:dyDescent="0.35">
      <c r="A238" s="2" t="s">
        <v>59</v>
      </c>
      <c r="B238" s="2" t="s">
        <v>94</v>
      </c>
      <c r="C238" s="2" t="s">
        <v>2592</v>
      </c>
      <c r="D238" s="2" t="s">
        <v>2593</v>
      </c>
      <c r="E238" s="2" t="s">
        <v>2594</v>
      </c>
      <c r="G238" s="3" t="s">
        <v>64</v>
      </c>
      <c r="I238" s="3" t="s">
        <v>64</v>
      </c>
      <c r="J238" s="3" t="s">
        <v>64</v>
      </c>
      <c r="K238" s="3" t="s">
        <v>65</v>
      </c>
      <c r="L238" s="2" t="s">
        <v>2595</v>
      </c>
      <c r="M238" s="2" t="s">
        <v>2596</v>
      </c>
      <c r="N238" s="3" t="s">
        <v>214</v>
      </c>
      <c r="P238" s="3" t="s">
        <v>69</v>
      </c>
      <c r="R238" s="3" t="s">
        <v>70</v>
      </c>
      <c r="S238" s="4">
        <v>1</v>
      </c>
      <c r="T238" s="4">
        <v>1</v>
      </c>
      <c r="U238" s="5" t="s">
        <v>2597</v>
      </c>
      <c r="V238" s="5" t="s">
        <v>2597</v>
      </c>
      <c r="W238" s="5" t="s">
        <v>72</v>
      </c>
      <c r="X238" s="5" t="s">
        <v>72</v>
      </c>
      <c r="Y238" s="4">
        <v>37</v>
      </c>
      <c r="Z238" s="4">
        <v>4</v>
      </c>
      <c r="AA238" s="4">
        <v>4</v>
      </c>
      <c r="AB238" s="4">
        <v>1</v>
      </c>
      <c r="AC238" s="4">
        <v>1</v>
      </c>
      <c r="AD238" s="4">
        <v>26</v>
      </c>
      <c r="AE238" s="4">
        <v>26</v>
      </c>
      <c r="AF238" s="4">
        <v>0</v>
      </c>
      <c r="AG238" s="4">
        <v>0</v>
      </c>
      <c r="AH238" s="4">
        <v>25</v>
      </c>
      <c r="AI238" s="4">
        <v>25</v>
      </c>
      <c r="AJ238" s="4">
        <v>2</v>
      </c>
      <c r="AK238" s="4">
        <v>2</v>
      </c>
      <c r="AL238" s="4">
        <v>20</v>
      </c>
      <c r="AM238" s="4">
        <v>20</v>
      </c>
      <c r="AN238" s="4">
        <v>0</v>
      </c>
      <c r="AO238" s="4">
        <v>0</v>
      </c>
      <c r="AP238" s="4">
        <v>2</v>
      </c>
      <c r="AQ238" s="4">
        <v>2</v>
      </c>
      <c r="AR238" s="3" t="s">
        <v>64</v>
      </c>
      <c r="AS238" s="3" t="s">
        <v>64</v>
      </c>
      <c r="AT238" s="3" t="s">
        <v>64</v>
      </c>
      <c r="AV238" s="6" t="str">
        <f>HYPERLINK("http://mcgill.on.worldcat.org/oclc/502268529","Catalog Record")</f>
        <v>Catalog Record</v>
      </c>
      <c r="AW238" s="6" t="str">
        <f>HYPERLINK("http://www.worldcat.org/oclc/502268529","WorldCat Record")</f>
        <v>WorldCat Record</v>
      </c>
      <c r="AX238" s="3" t="s">
        <v>2598</v>
      </c>
      <c r="AY238" s="3" t="s">
        <v>2599</v>
      </c>
      <c r="AZ238" s="3" t="s">
        <v>2600</v>
      </c>
      <c r="BA238" s="3" t="s">
        <v>2600</v>
      </c>
      <c r="BB238" s="3" t="s">
        <v>2601</v>
      </c>
      <c r="BC238" s="3" t="s">
        <v>78</v>
      </c>
      <c r="BD238" s="3" t="s">
        <v>79</v>
      </c>
      <c r="BE238" s="3" t="s">
        <v>2602</v>
      </c>
      <c r="BF238" s="3" t="s">
        <v>2601</v>
      </c>
      <c r="BG238" s="3" t="s">
        <v>2603</v>
      </c>
    </row>
    <row r="239" spans="1:59" ht="58" x14ac:dyDescent="0.35">
      <c r="A239" s="2" t="s">
        <v>59</v>
      </c>
      <c r="B239" s="2" t="s">
        <v>94</v>
      </c>
      <c r="C239" s="2" t="s">
        <v>2604</v>
      </c>
      <c r="D239" s="2" t="s">
        <v>2605</v>
      </c>
      <c r="E239" s="2" t="s">
        <v>2606</v>
      </c>
      <c r="G239" s="3" t="s">
        <v>64</v>
      </c>
      <c r="I239" s="3" t="s">
        <v>64</v>
      </c>
      <c r="J239" s="3" t="s">
        <v>64</v>
      </c>
      <c r="K239" s="3" t="s">
        <v>65</v>
      </c>
      <c r="L239" s="2" t="s">
        <v>2607</v>
      </c>
      <c r="M239" s="2" t="s">
        <v>2608</v>
      </c>
      <c r="N239" s="3" t="s">
        <v>2609</v>
      </c>
      <c r="P239" s="3" t="s">
        <v>69</v>
      </c>
      <c r="Q239" s="2" t="s">
        <v>2610</v>
      </c>
      <c r="R239" s="3" t="s">
        <v>70</v>
      </c>
      <c r="S239" s="4">
        <v>30</v>
      </c>
      <c r="T239" s="4">
        <v>30</v>
      </c>
      <c r="U239" s="5" t="s">
        <v>2611</v>
      </c>
      <c r="V239" s="5" t="s">
        <v>2611</v>
      </c>
      <c r="W239" s="5" t="s">
        <v>72</v>
      </c>
      <c r="X239" s="5" t="s">
        <v>72</v>
      </c>
      <c r="Y239" s="4">
        <v>875</v>
      </c>
      <c r="Z239" s="4">
        <v>52</v>
      </c>
      <c r="AA239" s="4">
        <v>58</v>
      </c>
      <c r="AB239" s="4">
        <v>5</v>
      </c>
      <c r="AC239" s="4">
        <v>8</v>
      </c>
      <c r="AD239" s="4">
        <v>127</v>
      </c>
      <c r="AE239" s="4">
        <v>134</v>
      </c>
      <c r="AF239" s="4">
        <v>2</v>
      </c>
      <c r="AG239" s="4">
        <v>4</v>
      </c>
      <c r="AH239" s="4">
        <v>100</v>
      </c>
      <c r="AI239" s="4">
        <v>104</v>
      </c>
      <c r="AJ239" s="4">
        <v>20</v>
      </c>
      <c r="AK239" s="4">
        <v>25</v>
      </c>
      <c r="AL239" s="4">
        <v>56</v>
      </c>
      <c r="AM239" s="4">
        <v>57</v>
      </c>
      <c r="AN239" s="4">
        <v>0</v>
      </c>
      <c r="AO239" s="4">
        <v>0</v>
      </c>
      <c r="AP239" s="4">
        <v>34</v>
      </c>
      <c r="AQ239" s="4">
        <v>38</v>
      </c>
      <c r="AR239" s="3" t="s">
        <v>64</v>
      </c>
      <c r="AS239" s="3" t="s">
        <v>64</v>
      </c>
      <c r="AT239" s="3" t="s">
        <v>64</v>
      </c>
      <c r="AV239" s="6" t="str">
        <f>HYPERLINK("http://mcgill.on.worldcat.org/oclc/570345","Catalog Record")</f>
        <v>Catalog Record</v>
      </c>
      <c r="AW239" s="6" t="str">
        <f>HYPERLINK("http://www.worldcat.org/oclc/570345","WorldCat Record")</f>
        <v>WorldCat Record</v>
      </c>
      <c r="AX239" s="3" t="s">
        <v>2612</v>
      </c>
      <c r="AY239" s="3" t="s">
        <v>2613</v>
      </c>
      <c r="AZ239" s="3" t="s">
        <v>2614</v>
      </c>
      <c r="BA239" s="3" t="s">
        <v>2614</v>
      </c>
      <c r="BB239" s="3" t="s">
        <v>2615</v>
      </c>
      <c r="BC239" s="3" t="s">
        <v>78</v>
      </c>
      <c r="BD239" s="3" t="s">
        <v>79</v>
      </c>
      <c r="BE239" s="3" t="s">
        <v>2616</v>
      </c>
      <c r="BF239" s="3" t="s">
        <v>2615</v>
      </c>
      <c r="BG239" s="3" t="s">
        <v>2617</v>
      </c>
    </row>
    <row r="240" spans="1:59" ht="58" x14ac:dyDescent="0.35">
      <c r="A240" s="2" t="s">
        <v>59</v>
      </c>
      <c r="B240" s="2" t="s">
        <v>94</v>
      </c>
      <c r="C240" s="2" t="s">
        <v>2618</v>
      </c>
      <c r="D240" s="2" t="s">
        <v>2619</v>
      </c>
      <c r="E240" s="2" t="s">
        <v>2620</v>
      </c>
      <c r="G240" s="3" t="s">
        <v>64</v>
      </c>
      <c r="I240" s="3" t="s">
        <v>73</v>
      </c>
      <c r="J240" s="3" t="s">
        <v>64</v>
      </c>
      <c r="K240" s="3" t="s">
        <v>65</v>
      </c>
      <c r="L240" s="2" t="s">
        <v>2621</v>
      </c>
      <c r="M240" s="2" t="s">
        <v>2622</v>
      </c>
      <c r="N240" s="3" t="s">
        <v>201</v>
      </c>
      <c r="P240" s="3" t="s">
        <v>69</v>
      </c>
      <c r="R240" s="3" t="s">
        <v>70</v>
      </c>
      <c r="S240" s="4">
        <v>12</v>
      </c>
      <c r="T240" s="4">
        <v>22</v>
      </c>
      <c r="U240" s="5" t="s">
        <v>1103</v>
      </c>
      <c r="V240" s="5" t="s">
        <v>1103</v>
      </c>
      <c r="W240" s="5" t="s">
        <v>72</v>
      </c>
      <c r="X240" s="5" t="s">
        <v>72</v>
      </c>
      <c r="Y240" s="4">
        <v>648</v>
      </c>
      <c r="Z240" s="4">
        <v>42</v>
      </c>
      <c r="AA240" s="4">
        <v>46</v>
      </c>
      <c r="AB240" s="4">
        <v>3</v>
      </c>
      <c r="AC240" s="4">
        <v>6</v>
      </c>
      <c r="AD240" s="4">
        <v>118</v>
      </c>
      <c r="AE240" s="4">
        <v>122</v>
      </c>
      <c r="AF240" s="4">
        <v>2</v>
      </c>
      <c r="AG240" s="4">
        <v>5</v>
      </c>
      <c r="AH240" s="4">
        <v>93</v>
      </c>
      <c r="AI240" s="4">
        <v>95</v>
      </c>
      <c r="AJ240" s="4">
        <v>20</v>
      </c>
      <c r="AK240" s="4">
        <v>24</v>
      </c>
      <c r="AL240" s="4">
        <v>53</v>
      </c>
      <c r="AM240" s="4">
        <v>53</v>
      </c>
      <c r="AN240" s="4">
        <v>0</v>
      </c>
      <c r="AO240" s="4">
        <v>0</v>
      </c>
      <c r="AP240" s="4">
        <v>31</v>
      </c>
      <c r="AQ240" s="4">
        <v>34</v>
      </c>
      <c r="AR240" s="3" t="s">
        <v>64</v>
      </c>
      <c r="AS240" s="3" t="s">
        <v>64</v>
      </c>
      <c r="AT240" s="3" t="s">
        <v>64</v>
      </c>
      <c r="AV240" s="6" t="str">
        <f>HYPERLINK("http://mcgill.on.worldcat.org/oclc/63909","Catalog Record")</f>
        <v>Catalog Record</v>
      </c>
      <c r="AW240" s="6" t="str">
        <f>HYPERLINK("http://www.worldcat.org/oclc/63909","WorldCat Record")</f>
        <v>WorldCat Record</v>
      </c>
      <c r="AX240" s="3" t="s">
        <v>2623</v>
      </c>
      <c r="AY240" s="3" t="s">
        <v>2624</v>
      </c>
      <c r="AZ240" s="3" t="s">
        <v>2625</v>
      </c>
      <c r="BA240" s="3" t="s">
        <v>2625</v>
      </c>
      <c r="BB240" s="3" t="s">
        <v>2626</v>
      </c>
      <c r="BC240" s="3" t="s">
        <v>78</v>
      </c>
      <c r="BD240" s="3" t="s">
        <v>79</v>
      </c>
      <c r="BE240" s="3" t="s">
        <v>2627</v>
      </c>
      <c r="BF240" s="3" t="s">
        <v>2626</v>
      </c>
      <c r="BG240" s="3" t="s">
        <v>2628</v>
      </c>
    </row>
    <row r="241" spans="1:59" ht="58" x14ac:dyDescent="0.35">
      <c r="A241" s="2" t="s">
        <v>59</v>
      </c>
      <c r="B241" s="2" t="s">
        <v>94</v>
      </c>
      <c r="C241" s="2" t="s">
        <v>2618</v>
      </c>
      <c r="D241" s="2" t="s">
        <v>2619</v>
      </c>
      <c r="E241" s="2" t="s">
        <v>2620</v>
      </c>
      <c r="G241" s="3" t="s">
        <v>64</v>
      </c>
      <c r="I241" s="3" t="s">
        <v>73</v>
      </c>
      <c r="J241" s="3" t="s">
        <v>64</v>
      </c>
      <c r="K241" s="3" t="s">
        <v>65</v>
      </c>
      <c r="L241" s="2" t="s">
        <v>2621</v>
      </c>
      <c r="M241" s="2" t="s">
        <v>2622</v>
      </c>
      <c r="N241" s="3" t="s">
        <v>201</v>
      </c>
      <c r="P241" s="3" t="s">
        <v>69</v>
      </c>
      <c r="R241" s="3" t="s">
        <v>70</v>
      </c>
      <c r="S241" s="4">
        <v>10</v>
      </c>
      <c r="T241" s="4">
        <v>22</v>
      </c>
      <c r="U241" s="5" t="s">
        <v>2629</v>
      </c>
      <c r="V241" s="5" t="s">
        <v>1103</v>
      </c>
      <c r="W241" s="5" t="s">
        <v>72</v>
      </c>
      <c r="X241" s="5" t="s">
        <v>72</v>
      </c>
      <c r="Y241" s="4">
        <v>648</v>
      </c>
      <c r="Z241" s="4">
        <v>42</v>
      </c>
      <c r="AA241" s="4">
        <v>46</v>
      </c>
      <c r="AB241" s="4">
        <v>3</v>
      </c>
      <c r="AC241" s="4">
        <v>6</v>
      </c>
      <c r="AD241" s="4">
        <v>118</v>
      </c>
      <c r="AE241" s="4">
        <v>122</v>
      </c>
      <c r="AF241" s="4">
        <v>2</v>
      </c>
      <c r="AG241" s="4">
        <v>5</v>
      </c>
      <c r="AH241" s="4">
        <v>93</v>
      </c>
      <c r="AI241" s="4">
        <v>95</v>
      </c>
      <c r="AJ241" s="4">
        <v>20</v>
      </c>
      <c r="AK241" s="4">
        <v>24</v>
      </c>
      <c r="AL241" s="4">
        <v>53</v>
      </c>
      <c r="AM241" s="4">
        <v>53</v>
      </c>
      <c r="AN241" s="4">
        <v>0</v>
      </c>
      <c r="AO241" s="4">
        <v>0</v>
      </c>
      <c r="AP241" s="4">
        <v>31</v>
      </c>
      <c r="AQ241" s="4">
        <v>34</v>
      </c>
      <c r="AR241" s="3" t="s">
        <v>64</v>
      </c>
      <c r="AS241" s="3" t="s">
        <v>64</v>
      </c>
      <c r="AT241" s="3" t="s">
        <v>64</v>
      </c>
      <c r="AV241" s="6" t="str">
        <f>HYPERLINK("http://mcgill.on.worldcat.org/oclc/63909","Catalog Record")</f>
        <v>Catalog Record</v>
      </c>
      <c r="AW241" s="6" t="str">
        <f>HYPERLINK("http://www.worldcat.org/oclc/63909","WorldCat Record")</f>
        <v>WorldCat Record</v>
      </c>
      <c r="AX241" s="3" t="s">
        <v>2623</v>
      </c>
      <c r="AY241" s="3" t="s">
        <v>2624</v>
      </c>
      <c r="AZ241" s="3" t="s">
        <v>2625</v>
      </c>
      <c r="BA241" s="3" t="s">
        <v>2625</v>
      </c>
      <c r="BB241" s="3" t="s">
        <v>2630</v>
      </c>
      <c r="BC241" s="3" t="s">
        <v>78</v>
      </c>
      <c r="BD241" s="3" t="s">
        <v>79</v>
      </c>
      <c r="BE241" s="3" t="s">
        <v>2627</v>
      </c>
      <c r="BF241" s="3" t="s">
        <v>2630</v>
      </c>
      <c r="BG241" s="3" t="s">
        <v>2631</v>
      </c>
    </row>
    <row r="242" spans="1:59" ht="58" x14ac:dyDescent="0.35">
      <c r="A242" s="2" t="s">
        <v>59</v>
      </c>
      <c r="B242" s="2" t="s">
        <v>94</v>
      </c>
      <c r="C242" s="2" t="s">
        <v>2632</v>
      </c>
      <c r="D242" s="2" t="s">
        <v>2633</v>
      </c>
      <c r="E242" s="2" t="s">
        <v>2634</v>
      </c>
      <c r="G242" s="3" t="s">
        <v>64</v>
      </c>
      <c r="I242" s="3" t="s">
        <v>64</v>
      </c>
      <c r="J242" s="3" t="s">
        <v>64</v>
      </c>
      <c r="K242" s="3" t="s">
        <v>65</v>
      </c>
      <c r="L242" s="2" t="s">
        <v>2635</v>
      </c>
      <c r="M242" s="2" t="s">
        <v>2636</v>
      </c>
      <c r="N242" s="3" t="s">
        <v>377</v>
      </c>
      <c r="P242" s="3" t="s">
        <v>69</v>
      </c>
      <c r="R242" s="3" t="s">
        <v>70</v>
      </c>
      <c r="S242" s="4">
        <v>4</v>
      </c>
      <c r="T242" s="4">
        <v>4</v>
      </c>
      <c r="U242" s="5" t="s">
        <v>2637</v>
      </c>
      <c r="V242" s="5" t="s">
        <v>2637</v>
      </c>
      <c r="W242" s="5" t="s">
        <v>72</v>
      </c>
      <c r="X242" s="5" t="s">
        <v>72</v>
      </c>
      <c r="Y242" s="4">
        <v>140</v>
      </c>
      <c r="Z242" s="4">
        <v>19</v>
      </c>
      <c r="AA242" s="4">
        <v>28</v>
      </c>
      <c r="AB242" s="4">
        <v>1</v>
      </c>
      <c r="AC242" s="4">
        <v>5</v>
      </c>
      <c r="AD242" s="4">
        <v>60</v>
      </c>
      <c r="AE242" s="4">
        <v>81</v>
      </c>
      <c r="AF242" s="4">
        <v>0</v>
      </c>
      <c r="AG242" s="4">
        <v>2</v>
      </c>
      <c r="AH242" s="4">
        <v>51</v>
      </c>
      <c r="AI242" s="4">
        <v>69</v>
      </c>
      <c r="AJ242" s="4">
        <v>12</v>
      </c>
      <c r="AK242" s="4">
        <v>18</v>
      </c>
      <c r="AL242" s="4">
        <v>31</v>
      </c>
      <c r="AM242" s="4">
        <v>40</v>
      </c>
      <c r="AN242" s="4">
        <v>0</v>
      </c>
      <c r="AO242" s="4">
        <v>0</v>
      </c>
      <c r="AP242" s="4">
        <v>16</v>
      </c>
      <c r="AQ242" s="4">
        <v>22</v>
      </c>
      <c r="AR242" s="3" t="s">
        <v>64</v>
      </c>
      <c r="AS242" s="3" t="s">
        <v>64</v>
      </c>
      <c r="AT242" s="3" t="s">
        <v>64</v>
      </c>
      <c r="AV242" s="6" t="str">
        <f>HYPERLINK("http://mcgill.on.worldcat.org/oclc/785872079","Catalog Record")</f>
        <v>Catalog Record</v>
      </c>
      <c r="AW242" s="6" t="str">
        <f>HYPERLINK("http://www.worldcat.org/oclc/785872079","WorldCat Record")</f>
        <v>WorldCat Record</v>
      </c>
      <c r="AX242" s="3" t="s">
        <v>2638</v>
      </c>
      <c r="AY242" s="3" t="s">
        <v>2639</v>
      </c>
      <c r="AZ242" s="3" t="s">
        <v>2640</v>
      </c>
      <c r="BA242" s="3" t="s">
        <v>2640</v>
      </c>
      <c r="BB242" s="3" t="s">
        <v>2641</v>
      </c>
      <c r="BC242" s="3" t="s">
        <v>78</v>
      </c>
      <c r="BD242" s="3" t="s">
        <v>79</v>
      </c>
      <c r="BE242" s="3" t="s">
        <v>2642</v>
      </c>
      <c r="BF242" s="3" t="s">
        <v>2641</v>
      </c>
      <c r="BG242" s="3" t="s">
        <v>2643</v>
      </c>
    </row>
    <row r="243" spans="1:59" ht="58" x14ac:dyDescent="0.35">
      <c r="A243" s="2" t="s">
        <v>59</v>
      </c>
      <c r="B243" s="2" t="s">
        <v>94</v>
      </c>
      <c r="C243" s="2" t="s">
        <v>2644</v>
      </c>
      <c r="D243" s="2" t="s">
        <v>2645</v>
      </c>
      <c r="E243" s="2" t="s">
        <v>2646</v>
      </c>
      <c r="G243" s="3" t="s">
        <v>64</v>
      </c>
      <c r="I243" s="3" t="s">
        <v>73</v>
      </c>
      <c r="J243" s="3" t="s">
        <v>64</v>
      </c>
      <c r="K243" s="3" t="s">
        <v>65</v>
      </c>
      <c r="L243" s="2" t="s">
        <v>2647</v>
      </c>
      <c r="M243" s="2" t="s">
        <v>2648</v>
      </c>
      <c r="N243" s="3" t="s">
        <v>2214</v>
      </c>
      <c r="P243" s="3" t="s">
        <v>69</v>
      </c>
      <c r="Q243" s="2" t="s">
        <v>2649</v>
      </c>
      <c r="R243" s="3" t="s">
        <v>70</v>
      </c>
      <c r="S243" s="4">
        <v>25</v>
      </c>
      <c r="T243" s="4">
        <v>40</v>
      </c>
      <c r="U243" s="5" t="s">
        <v>2650</v>
      </c>
      <c r="V243" s="5" t="s">
        <v>2650</v>
      </c>
      <c r="W243" s="5" t="s">
        <v>72</v>
      </c>
      <c r="X243" s="5" t="s">
        <v>72</v>
      </c>
      <c r="Y243" s="4">
        <v>289</v>
      </c>
      <c r="Z243" s="4">
        <v>46</v>
      </c>
      <c r="AA243" s="4">
        <v>57</v>
      </c>
      <c r="AB243" s="4">
        <v>4</v>
      </c>
      <c r="AC243" s="4">
        <v>4</v>
      </c>
      <c r="AD243" s="4">
        <v>84</v>
      </c>
      <c r="AE243" s="4">
        <v>127</v>
      </c>
      <c r="AF243" s="4">
        <v>2</v>
      </c>
      <c r="AG243" s="4">
        <v>2</v>
      </c>
      <c r="AH243" s="4">
        <v>65</v>
      </c>
      <c r="AI243" s="4">
        <v>100</v>
      </c>
      <c r="AJ243" s="4">
        <v>19</v>
      </c>
      <c r="AK243" s="4">
        <v>22</v>
      </c>
      <c r="AL243" s="4">
        <v>34</v>
      </c>
      <c r="AM243" s="4">
        <v>54</v>
      </c>
      <c r="AN243" s="4">
        <v>0</v>
      </c>
      <c r="AO243" s="4">
        <v>0</v>
      </c>
      <c r="AP243" s="4">
        <v>30</v>
      </c>
      <c r="AQ243" s="4">
        <v>37</v>
      </c>
      <c r="AR243" s="3" t="s">
        <v>64</v>
      </c>
      <c r="AS243" s="3" t="s">
        <v>64</v>
      </c>
      <c r="AT243" s="3" t="s">
        <v>64</v>
      </c>
      <c r="AV243" s="6" t="str">
        <f>HYPERLINK("http://mcgill.on.worldcat.org/oclc/1592962","Catalog Record")</f>
        <v>Catalog Record</v>
      </c>
      <c r="AW243" s="6" t="str">
        <f>HYPERLINK("http://www.worldcat.org/oclc/1592962","WorldCat Record")</f>
        <v>WorldCat Record</v>
      </c>
      <c r="AX243" s="3" t="s">
        <v>2651</v>
      </c>
      <c r="AY243" s="3" t="s">
        <v>2652</v>
      </c>
      <c r="AZ243" s="3" t="s">
        <v>2653</v>
      </c>
      <c r="BA243" s="3" t="s">
        <v>2653</v>
      </c>
      <c r="BB243" s="3" t="s">
        <v>2654</v>
      </c>
      <c r="BC243" s="3" t="s">
        <v>78</v>
      </c>
      <c r="BD243" s="3" t="s">
        <v>79</v>
      </c>
      <c r="BE243" s="3" t="s">
        <v>2655</v>
      </c>
      <c r="BF243" s="3" t="s">
        <v>2654</v>
      </c>
      <c r="BG243" s="3" t="s">
        <v>2656</v>
      </c>
    </row>
    <row r="244" spans="1:59" ht="58" x14ac:dyDescent="0.35">
      <c r="A244" s="2" t="s">
        <v>59</v>
      </c>
      <c r="B244" s="2" t="s">
        <v>94</v>
      </c>
      <c r="C244" s="2" t="s">
        <v>2644</v>
      </c>
      <c r="D244" s="2" t="s">
        <v>2645</v>
      </c>
      <c r="E244" s="2" t="s">
        <v>2646</v>
      </c>
      <c r="G244" s="3" t="s">
        <v>64</v>
      </c>
      <c r="I244" s="3" t="s">
        <v>73</v>
      </c>
      <c r="J244" s="3" t="s">
        <v>64</v>
      </c>
      <c r="K244" s="3" t="s">
        <v>65</v>
      </c>
      <c r="L244" s="2" t="s">
        <v>2647</v>
      </c>
      <c r="M244" s="2" t="s">
        <v>2648</v>
      </c>
      <c r="N244" s="3" t="s">
        <v>2214</v>
      </c>
      <c r="P244" s="3" t="s">
        <v>69</v>
      </c>
      <c r="Q244" s="2" t="s">
        <v>2649</v>
      </c>
      <c r="R244" s="3" t="s">
        <v>70</v>
      </c>
      <c r="S244" s="4">
        <v>15</v>
      </c>
      <c r="T244" s="4">
        <v>40</v>
      </c>
      <c r="U244" s="5" t="s">
        <v>2657</v>
      </c>
      <c r="V244" s="5" t="s">
        <v>2650</v>
      </c>
      <c r="W244" s="5" t="s">
        <v>72</v>
      </c>
      <c r="X244" s="5" t="s">
        <v>72</v>
      </c>
      <c r="Y244" s="4">
        <v>289</v>
      </c>
      <c r="Z244" s="4">
        <v>46</v>
      </c>
      <c r="AA244" s="4">
        <v>57</v>
      </c>
      <c r="AB244" s="4">
        <v>4</v>
      </c>
      <c r="AC244" s="4">
        <v>4</v>
      </c>
      <c r="AD244" s="4">
        <v>84</v>
      </c>
      <c r="AE244" s="4">
        <v>127</v>
      </c>
      <c r="AF244" s="4">
        <v>2</v>
      </c>
      <c r="AG244" s="4">
        <v>2</v>
      </c>
      <c r="AH244" s="4">
        <v>65</v>
      </c>
      <c r="AI244" s="4">
        <v>100</v>
      </c>
      <c r="AJ244" s="4">
        <v>19</v>
      </c>
      <c r="AK244" s="4">
        <v>22</v>
      </c>
      <c r="AL244" s="4">
        <v>34</v>
      </c>
      <c r="AM244" s="4">
        <v>54</v>
      </c>
      <c r="AN244" s="4">
        <v>0</v>
      </c>
      <c r="AO244" s="4">
        <v>0</v>
      </c>
      <c r="AP244" s="4">
        <v>30</v>
      </c>
      <c r="AQ244" s="4">
        <v>37</v>
      </c>
      <c r="AR244" s="3" t="s">
        <v>64</v>
      </c>
      <c r="AS244" s="3" t="s">
        <v>64</v>
      </c>
      <c r="AT244" s="3" t="s">
        <v>64</v>
      </c>
      <c r="AV244" s="6" t="str">
        <f>HYPERLINK("http://mcgill.on.worldcat.org/oclc/1592962","Catalog Record")</f>
        <v>Catalog Record</v>
      </c>
      <c r="AW244" s="6" t="str">
        <f>HYPERLINK("http://www.worldcat.org/oclc/1592962","WorldCat Record")</f>
        <v>WorldCat Record</v>
      </c>
      <c r="AX244" s="3" t="s">
        <v>2651</v>
      </c>
      <c r="AY244" s="3" t="s">
        <v>2652</v>
      </c>
      <c r="AZ244" s="3" t="s">
        <v>2653</v>
      </c>
      <c r="BA244" s="3" t="s">
        <v>2653</v>
      </c>
      <c r="BB244" s="3" t="s">
        <v>2658</v>
      </c>
      <c r="BC244" s="3" t="s">
        <v>78</v>
      </c>
      <c r="BD244" s="3" t="s">
        <v>79</v>
      </c>
      <c r="BE244" s="3" t="s">
        <v>2655</v>
      </c>
      <c r="BF244" s="3" t="s">
        <v>2658</v>
      </c>
      <c r="BG244" s="3" t="s">
        <v>2659</v>
      </c>
    </row>
    <row r="245" spans="1:59" ht="58" x14ac:dyDescent="0.35">
      <c r="A245" s="2" t="s">
        <v>59</v>
      </c>
      <c r="B245" s="2" t="s">
        <v>94</v>
      </c>
      <c r="C245" s="2" t="s">
        <v>2660</v>
      </c>
      <c r="D245" s="2" t="s">
        <v>2661</v>
      </c>
      <c r="E245" s="2" t="s">
        <v>2662</v>
      </c>
      <c r="G245" s="3" t="s">
        <v>64</v>
      </c>
      <c r="I245" s="3" t="s">
        <v>64</v>
      </c>
      <c r="J245" s="3" t="s">
        <v>64</v>
      </c>
      <c r="K245" s="3" t="s">
        <v>65</v>
      </c>
      <c r="M245" s="2" t="s">
        <v>2663</v>
      </c>
      <c r="N245" s="3" t="s">
        <v>861</v>
      </c>
      <c r="P245" s="3" t="s">
        <v>69</v>
      </c>
      <c r="Q245" s="2" t="s">
        <v>2664</v>
      </c>
      <c r="R245" s="3" t="s">
        <v>70</v>
      </c>
      <c r="S245" s="4">
        <v>32</v>
      </c>
      <c r="T245" s="4">
        <v>32</v>
      </c>
      <c r="U245" s="5" t="s">
        <v>1229</v>
      </c>
      <c r="V245" s="5" t="s">
        <v>1229</v>
      </c>
      <c r="W245" s="5" t="s">
        <v>72</v>
      </c>
      <c r="X245" s="5" t="s">
        <v>72</v>
      </c>
      <c r="Y245" s="4">
        <v>219</v>
      </c>
      <c r="Z245" s="4">
        <v>16</v>
      </c>
      <c r="AA245" s="4">
        <v>78</v>
      </c>
      <c r="AB245" s="4">
        <v>1</v>
      </c>
      <c r="AC245" s="4">
        <v>15</v>
      </c>
      <c r="AD245" s="4">
        <v>64</v>
      </c>
      <c r="AE245" s="4">
        <v>117</v>
      </c>
      <c r="AF245" s="4">
        <v>0</v>
      </c>
      <c r="AG245" s="4">
        <v>8</v>
      </c>
      <c r="AH245" s="4">
        <v>58</v>
      </c>
      <c r="AI245" s="4">
        <v>86</v>
      </c>
      <c r="AJ245" s="4">
        <v>12</v>
      </c>
      <c r="AK245" s="4">
        <v>24</v>
      </c>
      <c r="AL245" s="4">
        <v>35</v>
      </c>
      <c r="AM245" s="4">
        <v>42</v>
      </c>
      <c r="AN245" s="4">
        <v>0</v>
      </c>
      <c r="AO245" s="4">
        <v>0</v>
      </c>
      <c r="AP245" s="4">
        <v>13</v>
      </c>
      <c r="AQ245" s="4">
        <v>41</v>
      </c>
      <c r="AR245" s="3" t="s">
        <v>64</v>
      </c>
      <c r="AS245" s="3" t="s">
        <v>64</v>
      </c>
      <c r="AT245" s="3" t="s">
        <v>64</v>
      </c>
      <c r="AV245" s="6" t="str">
        <f>HYPERLINK("http://mcgill.on.worldcat.org/oclc/54356411","Catalog Record")</f>
        <v>Catalog Record</v>
      </c>
      <c r="AW245" s="6" t="str">
        <f>HYPERLINK("http://www.worldcat.org/oclc/54356411","WorldCat Record")</f>
        <v>WorldCat Record</v>
      </c>
      <c r="AX245" s="3" t="s">
        <v>2665</v>
      </c>
      <c r="AY245" s="3" t="s">
        <v>2666</v>
      </c>
      <c r="AZ245" s="3" t="s">
        <v>2667</v>
      </c>
      <c r="BA245" s="3" t="s">
        <v>2667</v>
      </c>
      <c r="BB245" s="3" t="s">
        <v>2668</v>
      </c>
      <c r="BC245" s="3" t="s">
        <v>78</v>
      </c>
      <c r="BD245" s="3" t="s">
        <v>79</v>
      </c>
      <c r="BE245" s="3" t="s">
        <v>2669</v>
      </c>
      <c r="BF245" s="3" t="s">
        <v>2668</v>
      </c>
      <c r="BG245" s="3" t="s">
        <v>2670</v>
      </c>
    </row>
    <row r="246" spans="1:59" ht="58" x14ac:dyDescent="0.35">
      <c r="A246" s="2" t="s">
        <v>59</v>
      </c>
      <c r="B246" s="2" t="s">
        <v>94</v>
      </c>
      <c r="C246" s="2" t="s">
        <v>2671</v>
      </c>
      <c r="D246" s="2" t="s">
        <v>2672</v>
      </c>
      <c r="E246" s="2" t="s">
        <v>2673</v>
      </c>
      <c r="G246" s="3" t="s">
        <v>64</v>
      </c>
      <c r="I246" s="3" t="s">
        <v>64</v>
      </c>
      <c r="J246" s="3" t="s">
        <v>64</v>
      </c>
      <c r="K246" s="3" t="s">
        <v>65</v>
      </c>
      <c r="L246" s="2" t="s">
        <v>2674</v>
      </c>
      <c r="M246" s="2" t="s">
        <v>2675</v>
      </c>
      <c r="N246" s="3" t="s">
        <v>872</v>
      </c>
      <c r="O246" s="2" t="s">
        <v>525</v>
      </c>
      <c r="P246" s="3" t="s">
        <v>69</v>
      </c>
      <c r="R246" s="3" t="s">
        <v>70</v>
      </c>
      <c r="S246" s="4">
        <v>43</v>
      </c>
      <c r="T246" s="4">
        <v>43</v>
      </c>
      <c r="U246" s="5" t="s">
        <v>2676</v>
      </c>
      <c r="V246" s="5" t="s">
        <v>2676</v>
      </c>
      <c r="W246" s="5" t="s">
        <v>72</v>
      </c>
      <c r="X246" s="5" t="s">
        <v>72</v>
      </c>
      <c r="Y246" s="4">
        <v>687</v>
      </c>
      <c r="Z246" s="4">
        <v>34</v>
      </c>
      <c r="AA246" s="4">
        <v>58</v>
      </c>
      <c r="AB246" s="4">
        <v>3</v>
      </c>
      <c r="AC246" s="4">
        <v>6</v>
      </c>
      <c r="AD246" s="4">
        <v>104</v>
      </c>
      <c r="AE246" s="4">
        <v>135</v>
      </c>
      <c r="AF246" s="4">
        <v>1</v>
      </c>
      <c r="AG246" s="4">
        <v>2</v>
      </c>
      <c r="AH246" s="4">
        <v>89</v>
      </c>
      <c r="AI246" s="4">
        <v>110</v>
      </c>
      <c r="AJ246" s="4">
        <v>14</v>
      </c>
      <c r="AK246" s="4">
        <v>20</v>
      </c>
      <c r="AL246" s="4">
        <v>53</v>
      </c>
      <c r="AM246" s="4">
        <v>59</v>
      </c>
      <c r="AN246" s="4">
        <v>0</v>
      </c>
      <c r="AO246" s="4">
        <v>0</v>
      </c>
      <c r="AP246" s="4">
        <v>22</v>
      </c>
      <c r="AQ246" s="4">
        <v>36</v>
      </c>
      <c r="AR246" s="3" t="s">
        <v>64</v>
      </c>
      <c r="AS246" s="3" t="s">
        <v>64</v>
      </c>
      <c r="AT246" s="3" t="s">
        <v>73</v>
      </c>
      <c r="AU246" s="6" t="str">
        <f>HYPERLINK("http://catalog.hathitrust.org/Record/001100403","HathiTrust Record")</f>
        <v>HathiTrust Record</v>
      </c>
      <c r="AV246" s="6" t="str">
        <f>HYPERLINK("http://mcgill.on.worldcat.org/oclc/18961316","Catalog Record")</f>
        <v>Catalog Record</v>
      </c>
      <c r="AW246" s="6" t="str">
        <f>HYPERLINK("http://www.worldcat.org/oclc/18961316","WorldCat Record")</f>
        <v>WorldCat Record</v>
      </c>
      <c r="AX246" s="3" t="s">
        <v>2677</v>
      </c>
      <c r="AY246" s="3" t="s">
        <v>2678</v>
      </c>
      <c r="AZ246" s="3" t="s">
        <v>2679</v>
      </c>
      <c r="BA246" s="3" t="s">
        <v>2679</v>
      </c>
      <c r="BB246" s="3" t="s">
        <v>2680</v>
      </c>
      <c r="BC246" s="3" t="s">
        <v>78</v>
      </c>
      <c r="BD246" s="3" t="s">
        <v>79</v>
      </c>
      <c r="BE246" s="3" t="s">
        <v>2681</v>
      </c>
      <c r="BF246" s="3" t="s">
        <v>2680</v>
      </c>
      <c r="BG246" s="3" t="s">
        <v>2682</v>
      </c>
    </row>
    <row r="247" spans="1:59" ht="58" x14ac:dyDescent="0.35">
      <c r="A247" s="2" t="s">
        <v>59</v>
      </c>
      <c r="B247" s="2" t="s">
        <v>94</v>
      </c>
      <c r="C247" s="2" t="s">
        <v>2683</v>
      </c>
      <c r="D247" s="2" t="s">
        <v>2684</v>
      </c>
      <c r="E247" s="2" t="s">
        <v>2685</v>
      </c>
      <c r="G247" s="3" t="s">
        <v>64</v>
      </c>
      <c r="I247" s="3" t="s">
        <v>64</v>
      </c>
      <c r="J247" s="3" t="s">
        <v>64</v>
      </c>
      <c r="K247" s="3" t="s">
        <v>65</v>
      </c>
      <c r="M247" s="2" t="s">
        <v>2686</v>
      </c>
      <c r="N247" s="3" t="s">
        <v>689</v>
      </c>
      <c r="P247" s="3" t="s">
        <v>69</v>
      </c>
      <c r="R247" s="3" t="s">
        <v>70</v>
      </c>
      <c r="S247" s="4">
        <v>41</v>
      </c>
      <c r="T247" s="4">
        <v>41</v>
      </c>
      <c r="U247" s="5" t="s">
        <v>2687</v>
      </c>
      <c r="V247" s="5" t="s">
        <v>2687</v>
      </c>
      <c r="W247" s="5" t="s">
        <v>72</v>
      </c>
      <c r="X247" s="5" t="s">
        <v>72</v>
      </c>
      <c r="Y247" s="4">
        <v>383</v>
      </c>
      <c r="Z247" s="4">
        <v>27</v>
      </c>
      <c r="AA247" s="4">
        <v>111</v>
      </c>
      <c r="AB247" s="4">
        <v>1</v>
      </c>
      <c r="AC247" s="4">
        <v>18</v>
      </c>
      <c r="AD247" s="4">
        <v>99</v>
      </c>
      <c r="AE247" s="4">
        <v>147</v>
      </c>
      <c r="AF247" s="4">
        <v>0</v>
      </c>
      <c r="AG247" s="4">
        <v>8</v>
      </c>
      <c r="AH247" s="4">
        <v>86</v>
      </c>
      <c r="AI247" s="4">
        <v>107</v>
      </c>
      <c r="AJ247" s="4">
        <v>16</v>
      </c>
      <c r="AK247" s="4">
        <v>25</v>
      </c>
      <c r="AL247" s="4">
        <v>47</v>
      </c>
      <c r="AM247" s="4">
        <v>56</v>
      </c>
      <c r="AN247" s="4">
        <v>0</v>
      </c>
      <c r="AO247" s="4">
        <v>0</v>
      </c>
      <c r="AP247" s="4">
        <v>21</v>
      </c>
      <c r="AQ247" s="4">
        <v>49</v>
      </c>
      <c r="AR247" s="3" t="s">
        <v>64</v>
      </c>
      <c r="AS247" s="3" t="s">
        <v>64</v>
      </c>
      <c r="AT247" s="3" t="s">
        <v>64</v>
      </c>
      <c r="AV247" s="6" t="str">
        <f>HYPERLINK("http://mcgill.on.worldcat.org/oclc/24318069","Catalog Record")</f>
        <v>Catalog Record</v>
      </c>
      <c r="AW247" s="6" t="str">
        <f>HYPERLINK("http://www.worldcat.org/oclc/24318069","WorldCat Record")</f>
        <v>WorldCat Record</v>
      </c>
      <c r="AX247" s="3" t="s">
        <v>2688</v>
      </c>
      <c r="AY247" s="3" t="s">
        <v>2689</v>
      </c>
      <c r="AZ247" s="3" t="s">
        <v>2690</v>
      </c>
      <c r="BA247" s="3" t="s">
        <v>2690</v>
      </c>
      <c r="BB247" s="3" t="s">
        <v>2691</v>
      </c>
      <c r="BC247" s="3" t="s">
        <v>78</v>
      </c>
      <c r="BD247" s="3" t="s">
        <v>79</v>
      </c>
      <c r="BE247" s="3" t="s">
        <v>2692</v>
      </c>
      <c r="BF247" s="3" t="s">
        <v>2691</v>
      </c>
      <c r="BG247" s="3" t="s">
        <v>2693</v>
      </c>
    </row>
    <row r="248" spans="1:59" ht="58" x14ac:dyDescent="0.35">
      <c r="A248" s="2" t="s">
        <v>59</v>
      </c>
      <c r="B248" s="2" t="s">
        <v>94</v>
      </c>
      <c r="C248" s="2" t="s">
        <v>2694</v>
      </c>
      <c r="D248" s="2" t="s">
        <v>2695</v>
      </c>
      <c r="E248" s="2" t="s">
        <v>2696</v>
      </c>
      <c r="G248" s="3" t="s">
        <v>64</v>
      </c>
      <c r="I248" s="3" t="s">
        <v>64</v>
      </c>
      <c r="J248" s="3" t="s">
        <v>64</v>
      </c>
      <c r="K248" s="3" t="s">
        <v>65</v>
      </c>
      <c r="L248" s="2" t="s">
        <v>2697</v>
      </c>
      <c r="M248" s="2" t="s">
        <v>2698</v>
      </c>
      <c r="N248" s="3" t="s">
        <v>365</v>
      </c>
      <c r="P248" s="3" t="s">
        <v>69</v>
      </c>
      <c r="R248" s="3" t="s">
        <v>70</v>
      </c>
      <c r="S248" s="4">
        <v>34</v>
      </c>
      <c r="T248" s="4">
        <v>34</v>
      </c>
      <c r="U248" s="5" t="s">
        <v>2699</v>
      </c>
      <c r="V248" s="5" t="s">
        <v>2699</v>
      </c>
      <c r="W248" s="5" t="s">
        <v>72</v>
      </c>
      <c r="X248" s="5" t="s">
        <v>72</v>
      </c>
      <c r="Y248" s="4">
        <v>220</v>
      </c>
      <c r="Z248" s="4">
        <v>26</v>
      </c>
      <c r="AA248" s="4">
        <v>36</v>
      </c>
      <c r="AB248" s="4">
        <v>2</v>
      </c>
      <c r="AC248" s="4">
        <v>5</v>
      </c>
      <c r="AD248" s="4">
        <v>91</v>
      </c>
      <c r="AE248" s="4">
        <v>107</v>
      </c>
      <c r="AF248" s="4">
        <v>1</v>
      </c>
      <c r="AG248" s="4">
        <v>2</v>
      </c>
      <c r="AH248" s="4">
        <v>79</v>
      </c>
      <c r="AI248" s="4">
        <v>92</v>
      </c>
      <c r="AJ248" s="4">
        <v>14</v>
      </c>
      <c r="AK248" s="4">
        <v>17</v>
      </c>
      <c r="AL248" s="4">
        <v>47</v>
      </c>
      <c r="AM248" s="4">
        <v>52</v>
      </c>
      <c r="AN248" s="4">
        <v>0</v>
      </c>
      <c r="AO248" s="4">
        <v>0</v>
      </c>
      <c r="AP248" s="4">
        <v>21</v>
      </c>
      <c r="AQ248" s="4">
        <v>26</v>
      </c>
      <c r="AR248" s="3" t="s">
        <v>64</v>
      </c>
      <c r="AS248" s="3" t="s">
        <v>64</v>
      </c>
      <c r="AT248" s="3" t="s">
        <v>64</v>
      </c>
      <c r="AV248" s="6" t="str">
        <f>HYPERLINK("http://mcgill.on.worldcat.org/oclc/13007415","Catalog Record")</f>
        <v>Catalog Record</v>
      </c>
      <c r="AW248" s="6" t="str">
        <f>HYPERLINK("http://www.worldcat.org/oclc/13007415","WorldCat Record")</f>
        <v>WorldCat Record</v>
      </c>
      <c r="AX248" s="3" t="s">
        <v>2700</v>
      </c>
      <c r="AY248" s="3" t="s">
        <v>2701</v>
      </c>
      <c r="AZ248" s="3" t="s">
        <v>2702</v>
      </c>
      <c r="BA248" s="3" t="s">
        <v>2702</v>
      </c>
      <c r="BB248" s="3" t="s">
        <v>2703</v>
      </c>
      <c r="BC248" s="3" t="s">
        <v>78</v>
      </c>
      <c r="BD248" s="3" t="s">
        <v>79</v>
      </c>
      <c r="BE248" s="3" t="s">
        <v>2704</v>
      </c>
      <c r="BF248" s="3" t="s">
        <v>2703</v>
      </c>
      <c r="BG248" s="3" t="s">
        <v>2705</v>
      </c>
    </row>
    <row r="249" spans="1:59" ht="58" x14ac:dyDescent="0.35">
      <c r="A249" s="2" t="s">
        <v>59</v>
      </c>
      <c r="B249" s="2" t="s">
        <v>94</v>
      </c>
      <c r="C249" s="2" t="s">
        <v>2706</v>
      </c>
      <c r="D249" s="2" t="s">
        <v>2707</v>
      </c>
      <c r="E249" s="2" t="s">
        <v>2708</v>
      </c>
      <c r="F249" s="3" t="s">
        <v>2709</v>
      </c>
      <c r="G249" s="3" t="s">
        <v>73</v>
      </c>
      <c r="I249" s="3" t="s">
        <v>73</v>
      </c>
      <c r="J249" s="3" t="s">
        <v>64</v>
      </c>
      <c r="K249" s="3" t="s">
        <v>65</v>
      </c>
      <c r="L249" s="2" t="s">
        <v>2710</v>
      </c>
      <c r="M249" s="2" t="s">
        <v>2711</v>
      </c>
      <c r="N249" s="3" t="s">
        <v>1247</v>
      </c>
      <c r="P249" s="3" t="s">
        <v>69</v>
      </c>
      <c r="R249" s="3" t="s">
        <v>70</v>
      </c>
      <c r="S249" s="4">
        <v>6</v>
      </c>
      <c r="T249" s="4">
        <v>37</v>
      </c>
      <c r="U249" s="5" t="s">
        <v>2712</v>
      </c>
      <c r="V249" s="5" t="s">
        <v>2713</v>
      </c>
      <c r="W249" s="5" t="s">
        <v>72</v>
      </c>
      <c r="X249" s="5" t="s">
        <v>72</v>
      </c>
      <c r="Y249" s="4">
        <v>519</v>
      </c>
      <c r="Z249" s="4">
        <v>17</v>
      </c>
      <c r="AA249" s="4">
        <v>17</v>
      </c>
      <c r="AB249" s="4">
        <v>2</v>
      </c>
      <c r="AC249" s="4">
        <v>2</v>
      </c>
      <c r="AD249" s="4">
        <v>110</v>
      </c>
      <c r="AE249" s="4">
        <v>110</v>
      </c>
      <c r="AF249" s="4">
        <v>1</v>
      </c>
      <c r="AG249" s="4">
        <v>1</v>
      </c>
      <c r="AH249" s="4">
        <v>98</v>
      </c>
      <c r="AI249" s="4">
        <v>98</v>
      </c>
      <c r="AJ249" s="4">
        <v>9</v>
      </c>
      <c r="AK249" s="4">
        <v>9</v>
      </c>
      <c r="AL249" s="4">
        <v>53</v>
      </c>
      <c r="AM249" s="4">
        <v>53</v>
      </c>
      <c r="AN249" s="4">
        <v>0</v>
      </c>
      <c r="AO249" s="4">
        <v>0</v>
      </c>
      <c r="AP249" s="4">
        <v>12</v>
      </c>
      <c r="AQ249" s="4">
        <v>12</v>
      </c>
      <c r="AR249" s="3" t="s">
        <v>64</v>
      </c>
      <c r="AS249" s="3" t="s">
        <v>64</v>
      </c>
      <c r="AT249" s="3" t="s">
        <v>73</v>
      </c>
      <c r="AU249" s="6" t="str">
        <f>HYPERLINK("http://catalog.hathitrust.org/Record/001047009","HathiTrust Record")</f>
        <v>HathiTrust Record</v>
      </c>
      <c r="AV249" s="6" t="str">
        <f>HYPERLINK("http://mcgill.on.worldcat.org/oclc/1327593","Catalog Record")</f>
        <v>Catalog Record</v>
      </c>
      <c r="AW249" s="6" t="str">
        <f>HYPERLINK("http://www.worldcat.org/oclc/1327593","WorldCat Record")</f>
        <v>WorldCat Record</v>
      </c>
      <c r="AX249" s="3" t="s">
        <v>2714</v>
      </c>
      <c r="AY249" s="3" t="s">
        <v>2715</v>
      </c>
      <c r="AZ249" s="3" t="s">
        <v>2716</v>
      </c>
      <c r="BA249" s="3" t="s">
        <v>2716</v>
      </c>
      <c r="BB249" s="3" t="s">
        <v>2717</v>
      </c>
      <c r="BC249" s="3" t="s">
        <v>78</v>
      </c>
      <c r="BD249" s="3" t="s">
        <v>79</v>
      </c>
      <c r="BE249" s="3" t="s">
        <v>2718</v>
      </c>
      <c r="BF249" s="3" t="s">
        <v>2717</v>
      </c>
      <c r="BG249" s="3" t="s">
        <v>2719</v>
      </c>
    </row>
    <row r="250" spans="1:59" ht="58" x14ac:dyDescent="0.35">
      <c r="A250" s="2" t="s">
        <v>59</v>
      </c>
      <c r="B250" s="2" t="s">
        <v>94</v>
      </c>
      <c r="C250" s="2" t="s">
        <v>2706</v>
      </c>
      <c r="D250" s="2" t="s">
        <v>2707</v>
      </c>
      <c r="E250" s="2" t="s">
        <v>2708</v>
      </c>
      <c r="F250" s="3" t="s">
        <v>2720</v>
      </c>
      <c r="G250" s="3" t="s">
        <v>73</v>
      </c>
      <c r="I250" s="3" t="s">
        <v>73</v>
      </c>
      <c r="J250" s="3" t="s">
        <v>64</v>
      </c>
      <c r="K250" s="3" t="s">
        <v>65</v>
      </c>
      <c r="L250" s="2" t="s">
        <v>2710</v>
      </c>
      <c r="M250" s="2" t="s">
        <v>2711</v>
      </c>
      <c r="N250" s="3" t="s">
        <v>1247</v>
      </c>
      <c r="P250" s="3" t="s">
        <v>69</v>
      </c>
      <c r="R250" s="3" t="s">
        <v>70</v>
      </c>
      <c r="S250" s="4">
        <v>17</v>
      </c>
      <c r="T250" s="4">
        <v>37</v>
      </c>
      <c r="U250" s="5" t="s">
        <v>2713</v>
      </c>
      <c r="V250" s="5" t="s">
        <v>2713</v>
      </c>
      <c r="W250" s="5" t="s">
        <v>72</v>
      </c>
      <c r="X250" s="5" t="s">
        <v>72</v>
      </c>
      <c r="Y250" s="4">
        <v>519</v>
      </c>
      <c r="Z250" s="4">
        <v>17</v>
      </c>
      <c r="AA250" s="4">
        <v>17</v>
      </c>
      <c r="AB250" s="4">
        <v>2</v>
      </c>
      <c r="AC250" s="4">
        <v>2</v>
      </c>
      <c r="AD250" s="4">
        <v>110</v>
      </c>
      <c r="AE250" s="4">
        <v>110</v>
      </c>
      <c r="AF250" s="4">
        <v>1</v>
      </c>
      <c r="AG250" s="4">
        <v>1</v>
      </c>
      <c r="AH250" s="4">
        <v>98</v>
      </c>
      <c r="AI250" s="4">
        <v>98</v>
      </c>
      <c r="AJ250" s="4">
        <v>9</v>
      </c>
      <c r="AK250" s="4">
        <v>9</v>
      </c>
      <c r="AL250" s="4">
        <v>53</v>
      </c>
      <c r="AM250" s="4">
        <v>53</v>
      </c>
      <c r="AN250" s="4">
        <v>0</v>
      </c>
      <c r="AO250" s="4">
        <v>0</v>
      </c>
      <c r="AP250" s="4">
        <v>12</v>
      </c>
      <c r="AQ250" s="4">
        <v>12</v>
      </c>
      <c r="AR250" s="3" t="s">
        <v>64</v>
      </c>
      <c r="AS250" s="3" t="s">
        <v>64</v>
      </c>
      <c r="AT250" s="3" t="s">
        <v>73</v>
      </c>
      <c r="AU250" s="6" t="str">
        <f>HYPERLINK("http://catalog.hathitrust.org/Record/001047009","HathiTrust Record")</f>
        <v>HathiTrust Record</v>
      </c>
      <c r="AV250" s="6" t="str">
        <f>HYPERLINK("http://mcgill.on.worldcat.org/oclc/1327593","Catalog Record")</f>
        <v>Catalog Record</v>
      </c>
      <c r="AW250" s="6" t="str">
        <f>HYPERLINK("http://www.worldcat.org/oclc/1327593","WorldCat Record")</f>
        <v>WorldCat Record</v>
      </c>
      <c r="AX250" s="3" t="s">
        <v>2714</v>
      </c>
      <c r="AY250" s="3" t="s">
        <v>2715</v>
      </c>
      <c r="AZ250" s="3" t="s">
        <v>2716</v>
      </c>
      <c r="BA250" s="3" t="s">
        <v>2716</v>
      </c>
      <c r="BB250" s="3" t="s">
        <v>2721</v>
      </c>
      <c r="BC250" s="3" t="s">
        <v>78</v>
      </c>
      <c r="BD250" s="3" t="s">
        <v>79</v>
      </c>
      <c r="BE250" s="3" t="s">
        <v>2718</v>
      </c>
      <c r="BF250" s="3" t="s">
        <v>2721</v>
      </c>
      <c r="BG250" s="3" t="s">
        <v>2722</v>
      </c>
    </row>
    <row r="251" spans="1:59" ht="58" x14ac:dyDescent="0.35">
      <c r="A251" s="2" t="s">
        <v>59</v>
      </c>
      <c r="B251" s="2" t="s">
        <v>94</v>
      </c>
      <c r="C251" s="2" t="s">
        <v>2706</v>
      </c>
      <c r="D251" s="2" t="s">
        <v>2707</v>
      </c>
      <c r="E251" s="2" t="s">
        <v>2708</v>
      </c>
      <c r="F251" s="3" t="s">
        <v>2709</v>
      </c>
      <c r="G251" s="3" t="s">
        <v>73</v>
      </c>
      <c r="I251" s="3" t="s">
        <v>73</v>
      </c>
      <c r="J251" s="3" t="s">
        <v>64</v>
      </c>
      <c r="K251" s="3" t="s">
        <v>65</v>
      </c>
      <c r="L251" s="2" t="s">
        <v>2710</v>
      </c>
      <c r="M251" s="2" t="s">
        <v>2711</v>
      </c>
      <c r="N251" s="3" t="s">
        <v>1247</v>
      </c>
      <c r="P251" s="3" t="s">
        <v>69</v>
      </c>
      <c r="R251" s="3" t="s">
        <v>70</v>
      </c>
      <c r="S251" s="4">
        <v>5</v>
      </c>
      <c r="T251" s="4">
        <v>37</v>
      </c>
      <c r="U251" s="5" t="s">
        <v>2723</v>
      </c>
      <c r="V251" s="5" t="s">
        <v>2713</v>
      </c>
      <c r="W251" s="5" t="s">
        <v>72</v>
      </c>
      <c r="X251" s="5" t="s">
        <v>72</v>
      </c>
      <c r="Y251" s="4">
        <v>519</v>
      </c>
      <c r="Z251" s="4">
        <v>17</v>
      </c>
      <c r="AA251" s="4">
        <v>17</v>
      </c>
      <c r="AB251" s="4">
        <v>2</v>
      </c>
      <c r="AC251" s="4">
        <v>2</v>
      </c>
      <c r="AD251" s="4">
        <v>110</v>
      </c>
      <c r="AE251" s="4">
        <v>110</v>
      </c>
      <c r="AF251" s="4">
        <v>1</v>
      </c>
      <c r="AG251" s="4">
        <v>1</v>
      </c>
      <c r="AH251" s="4">
        <v>98</v>
      </c>
      <c r="AI251" s="4">
        <v>98</v>
      </c>
      <c r="AJ251" s="4">
        <v>9</v>
      </c>
      <c r="AK251" s="4">
        <v>9</v>
      </c>
      <c r="AL251" s="4">
        <v>53</v>
      </c>
      <c r="AM251" s="4">
        <v>53</v>
      </c>
      <c r="AN251" s="4">
        <v>0</v>
      </c>
      <c r="AO251" s="4">
        <v>0</v>
      </c>
      <c r="AP251" s="4">
        <v>12</v>
      </c>
      <c r="AQ251" s="4">
        <v>12</v>
      </c>
      <c r="AR251" s="3" t="s">
        <v>64</v>
      </c>
      <c r="AS251" s="3" t="s">
        <v>64</v>
      </c>
      <c r="AT251" s="3" t="s">
        <v>73</v>
      </c>
      <c r="AU251" s="6" t="str">
        <f>HYPERLINK("http://catalog.hathitrust.org/Record/001047009","HathiTrust Record")</f>
        <v>HathiTrust Record</v>
      </c>
      <c r="AV251" s="6" t="str">
        <f>HYPERLINK("http://mcgill.on.worldcat.org/oclc/1327593","Catalog Record")</f>
        <v>Catalog Record</v>
      </c>
      <c r="AW251" s="6" t="str">
        <f>HYPERLINK("http://www.worldcat.org/oclc/1327593","WorldCat Record")</f>
        <v>WorldCat Record</v>
      </c>
      <c r="AX251" s="3" t="s">
        <v>2714</v>
      </c>
      <c r="AY251" s="3" t="s">
        <v>2715</v>
      </c>
      <c r="AZ251" s="3" t="s">
        <v>2716</v>
      </c>
      <c r="BA251" s="3" t="s">
        <v>2716</v>
      </c>
      <c r="BB251" s="3" t="s">
        <v>2724</v>
      </c>
      <c r="BC251" s="3" t="s">
        <v>78</v>
      </c>
      <c r="BD251" s="3" t="s">
        <v>79</v>
      </c>
      <c r="BE251" s="3" t="s">
        <v>2718</v>
      </c>
      <c r="BF251" s="3" t="s">
        <v>2724</v>
      </c>
      <c r="BG251" s="3" t="s">
        <v>2725</v>
      </c>
    </row>
    <row r="252" spans="1:59" ht="58" x14ac:dyDescent="0.35">
      <c r="A252" s="2" t="s">
        <v>59</v>
      </c>
      <c r="B252" s="2" t="s">
        <v>94</v>
      </c>
      <c r="C252" s="2" t="s">
        <v>2706</v>
      </c>
      <c r="D252" s="2" t="s">
        <v>2707</v>
      </c>
      <c r="E252" s="2" t="s">
        <v>2708</v>
      </c>
      <c r="F252" s="3" t="s">
        <v>2726</v>
      </c>
      <c r="G252" s="3" t="s">
        <v>73</v>
      </c>
      <c r="I252" s="3" t="s">
        <v>73</v>
      </c>
      <c r="J252" s="3" t="s">
        <v>64</v>
      </c>
      <c r="K252" s="3" t="s">
        <v>65</v>
      </c>
      <c r="L252" s="2" t="s">
        <v>2710</v>
      </c>
      <c r="M252" s="2" t="s">
        <v>2711</v>
      </c>
      <c r="N252" s="3" t="s">
        <v>1247</v>
      </c>
      <c r="P252" s="3" t="s">
        <v>69</v>
      </c>
      <c r="R252" s="3" t="s">
        <v>70</v>
      </c>
      <c r="S252" s="4">
        <v>9</v>
      </c>
      <c r="T252" s="4">
        <v>37</v>
      </c>
      <c r="U252" s="5" t="s">
        <v>2727</v>
      </c>
      <c r="V252" s="5" t="s">
        <v>2713</v>
      </c>
      <c r="W252" s="5" t="s">
        <v>72</v>
      </c>
      <c r="X252" s="5" t="s">
        <v>72</v>
      </c>
      <c r="Y252" s="4">
        <v>519</v>
      </c>
      <c r="Z252" s="4">
        <v>17</v>
      </c>
      <c r="AA252" s="4">
        <v>17</v>
      </c>
      <c r="AB252" s="4">
        <v>2</v>
      </c>
      <c r="AC252" s="4">
        <v>2</v>
      </c>
      <c r="AD252" s="4">
        <v>110</v>
      </c>
      <c r="AE252" s="4">
        <v>110</v>
      </c>
      <c r="AF252" s="4">
        <v>1</v>
      </c>
      <c r="AG252" s="4">
        <v>1</v>
      </c>
      <c r="AH252" s="4">
        <v>98</v>
      </c>
      <c r="AI252" s="4">
        <v>98</v>
      </c>
      <c r="AJ252" s="4">
        <v>9</v>
      </c>
      <c r="AK252" s="4">
        <v>9</v>
      </c>
      <c r="AL252" s="4">
        <v>53</v>
      </c>
      <c r="AM252" s="4">
        <v>53</v>
      </c>
      <c r="AN252" s="4">
        <v>0</v>
      </c>
      <c r="AO252" s="4">
        <v>0</v>
      </c>
      <c r="AP252" s="4">
        <v>12</v>
      </c>
      <c r="AQ252" s="4">
        <v>12</v>
      </c>
      <c r="AR252" s="3" t="s">
        <v>64</v>
      </c>
      <c r="AS252" s="3" t="s">
        <v>64</v>
      </c>
      <c r="AT252" s="3" t="s">
        <v>73</v>
      </c>
      <c r="AU252" s="6" t="str">
        <f>HYPERLINK("http://catalog.hathitrust.org/Record/001047009","HathiTrust Record")</f>
        <v>HathiTrust Record</v>
      </c>
      <c r="AV252" s="6" t="str">
        <f>HYPERLINK("http://mcgill.on.worldcat.org/oclc/1327593","Catalog Record")</f>
        <v>Catalog Record</v>
      </c>
      <c r="AW252" s="6" t="str">
        <f>HYPERLINK("http://www.worldcat.org/oclc/1327593","WorldCat Record")</f>
        <v>WorldCat Record</v>
      </c>
      <c r="AX252" s="3" t="s">
        <v>2714</v>
      </c>
      <c r="AY252" s="3" t="s">
        <v>2715</v>
      </c>
      <c r="AZ252" s="3" t="s">
        <v>2716</v>
      </c>
      <c r="BA252" s="3" t="s">
        <v>2716</v>
      </c>
      <c r="BB252" s="3" t="s">
        <v>2728</v>
      </c>
      <c r="BC252" s="3" t="s">
        <v>78</v>
      </c>
      <c r="BD252" s="3" t="s">
        <v>79</v>
      </c>
      <c r="BE252" s="3" t="s">
        <v>2718</v>
      </c>
      <c r="BF252" s="3" t="s">
        <v>2728</v>
      </c>
      <c r="BG252" s="3" t="s">
        <v>2729</v>
      </c>
    </row>
    <row r="253" spans="1:59" ht="58" x14ac:dyDescent="0.35">
      <c r="A253" s="2" t="s">
        <v>59</v>
      </c>
      <c r="B253" s="2" t="s">
        <v>94</v>
      </c>
      <c r="C253" s="2" t="s">
        <v>2730</v>
      </c>
      <c r="D253" s="2" t="s">
        <v>2731</v>
      </c>
      <c r="E253" s="2" t="s">
        <v>2732</v>
      </c>
      <c r="G253" s="3" t="s">
        <v>64</v>
      </c>
      <c r="I253" s="3" t="s">
        <v>64</v>
      </c>
      <c r="J253" s="3" t="s">
        <v>64</v>
      </c>
      <c r="K253" s="3" t="s">
        <v>65</v>
      </c>
      <c r="L253" s="2" t="s">
        <v>2733</v>
      </c>
      <c r="M253" s="2" t="s">
        <v>2734</v>
      </c>
      <c r="N253" s="3" t="s">
        <v>705</v>
      </c>
      <c r="P253" s="3" t="s">
        <v>69</v>
      </c>
      <c r="R253" s="3" t="s">
        <v>70</v>
      </c>
      <c r="S253" s="4">
        <v>38</v>
      </c>
      <c r="T253" s="4">
        <v>38</v>
      </c>
      <c r="U253" s="5" t="s">
        <v>2629</v>
      </c>
      <c r="V253" s="5" t="s">
        <v>2629</v>
      </c>
      <c r="W253" s="5" t="s">
        <v>72</v>
      </c>
      <c r="X253" s="5" t="s">
        <v>72</v>
      </c>
      <c r="Y253" s="4">
        <v>386</v>
      </c>
      <c r="Z253" s="4">
        <v>23</v>
      </c>
      <c r="AA253" s="4">
        <v>100</v>
      </c>
      <c r="AB253" s="4">
        <v>1</v>
      </c>
      <c r="AC253" s="4">
        <v>18</v>
      </c>
      <c r="AD253" s="4">
        <v>99</v>
      </c>
      <c r="AE253" s="4">
        <v>142</v>
      </c>
      <c r="AF253" s="4">
        <v>0</v>
      </c>
      <c r="AG253" s="4">
        <v>8</v>
      </c>
      <c r="AH253" s="4">
        <v>89</v>
      </c>
      <c r="AI253" s="4">
        <v>104</v>
      </c>
      <c r="AJ253" s="4">
        <v>16</v>
      </c>
      <c r="AK253" s="4">
        <v>26</v>
      </c>
      <c r="AL253" s="4">
        <v>49</v>
      </c>
      <c r="AM253" s="4">
        <v>53</v>
      </c>
      <c r="AN253" s="4">
        <v>0</v>
      </c>
      <c r="AO253" s="4">
        <v>0</v>
      </c>
      <c r="AP253" s="4">
        <v>19</v>
      </c>
      <c r="AQ253" s="4">
        <v>49</v>
      </c>
      <c r="AR253" s="3" t="s">
        <v>64</v>
      </c>
      <c r="AS253" s="3" t="s">
        <v>64</v>
      </c>
      <c r="AT253" s="3" t="s">
        <v>64</v>
      </c>
      <c r="AV253" s="6" t="str">
        <f>HYPERLINK("http://mcgill.on.worldcat.org/oclc/33207549","Catalog Record")</f>
        <v>Catalog Record</v>
      </c>
      <c r="AW253" s="6" t="str">
        <f>HYPERLINK("http://www.worldcat.org/oclc/33207549","WorldCat Record")</f>
        <v>WorldCat Record</v>
      </c>
      <c r="AX253" s="3" t="s">
        <v>2735</v>
      </c>
      <c r="AY253" s="3" t="s">
        <v>2736</v>
      </c>
      <c r="AZ253" s="3" t="s">
        <v>2737</v>
      </c>
      <c r="BA253" s="3" t="s">
        <v>2737</v>
      </c>
      <c r="BB253" s="3" t="s">
        <v>2738</v>
      </c>
      <c r="BC253" s="3" t="s">
        <v>78</v>
      </c>
      <c r="BD253" s="3" t="s">
        <v>79</v>
      </c>
      <c r="BE253" s="3" t="s">
        <v>2739</v>
      </c>
      <c r="BF253" s="3" t="s">
        <v>2738</v>
      </c>
      <c r="BG253" s="3" t="s">
        <v>2740</v>
      </c>
    </row>
    <row r="254" spans="1:59" ht="58" x14ac:dyDescent="0.35">
      <c r="A254" s="2" t="s">
        <v>59</v>
      </c>
      <c r="B254" s="2" t="s">
        <v>94</v>
      </c>
      <c r="C254" s="2" t="s">
        <v>2741</v>
      </c>
      <c r="D254" s="2" t="s">
        <v>2742</v>
      </c>
      <c r="E254" s="2" t="s">
        <v>2743</v>
      </c>
      <c r="G254" s="3" t="s">
        <v>64</v>
      </c>
      <c r="I254" s="3" t="s">
        <v>64</v>
      </c>
      <c r="J254" s="3" t="s">
        <v>64</v>
      </c>
      <c r="K254" s="3" t="s">
        <v>65</v>
      </c>
      <c r="L254" s="2" t="s">
        <v>2744</v>
      </c>
      <c r="M254" s="2" t="s">
        <v>2745</v>
      </c>
      <c r="N254" s="3" t="s">
        <v>1029</v>
      </c>
      <c r="P254" s="3" t="s">
        <v>69</v>
      </c>
      <c r="Q254" s="2" t="s">
        <v>2746</v>
      </c>
      <c r="R254" s="3" t="s">
        <v>70</v>
      </c>
      <c r="S254" s="4">
        <v>10</v>
      </c>
      <c r="T254" s="4">
        <v>10</v>
      </c>
      <c r="U254" s="5" t="s">
        <v>2747</v>
      </c>
      <c r="V254" s="5" t="s">
        <v>2747</v>
      </c>
      <c r="W254" s="5" t="s">
        <v>72</v>
      </c>
      <c r="X254" s="5" t="s">
        <v>72</v>
      </c>
      <c r="Y254" s="4">
        <v>132</v>
      </c>
      <c r="Z254" s="4">
        <v>15</v>
      </c>
      <c r="AA254" s="4">
        <v>18</v>
      </c>
      <c r="AB254" s="4">
        <v>1</v>
      </c>
      <c r="AC254" s="4">
        <v>4</v>
      </c>
      <c r="AD254" s="4">
        <v>62</v>
      </c>
      <c r="AE254" s="4">
        <v>70</v>
      </c>
      <c r="AF254" s="4">
        <v>0</v>
      </c>
      <c r="AG254" s="4">
        <v>1</v>
      </c>
      <c r="AH254" s="4">
        <v>56</v>
      </c>
      <c r="AI254" s="4">
        <v>64</v>
      </c>
      <c r="AJ254" s="4">
        <v>12</v>
      </c>
      <c r="AK254" s="4">
        <v>13</v>
      </c>
      <c r="AL254" s="4">
        <v>36</v>
      </c>
      <c r="AM254" s="4">
        <v>40</v>
      </c>
      <c r="AN254" s="4">
        <v>0</v>
      </c>
      <c r="AO254" s="4">
        <v>0</v>
      </c>
      <c r="AP254" s="4">
        <v>13</v>
      </c>
      <c r="AQ254" s="4">
        <v>14</v>
      </c>
      <c r="AR254" s="3" t="s">
        <v>64</v>
      </c>
      <c r="AS254" s="3" t="s">
        <v>64</v>
      </c>
      <c r="AT254" s="3" t="s">
        <v>64</v>
      </c>
      <c r="AV254" s="6" t="str">
        <f>HYPERLINK("http://mcgill.on.worldcat.org/oclc/464588835","Catalog Record")</f>
        <v>Catalog Record</v>
      </c>
      <c r="AW254" s="6" t="str">
        <f>HYPERLINK("http://www.worldcat.org/oclc/464588835","WorldCat Record")</f>
        <v>WorldCat Record</v>
      </c>
      <c r="AX254" s="3" t="s">
        <v>2748</v>
      </c>
      <c r="AY254" s="3" t="s">
        <v>2749</v>
      </c>
      <c r="AZ254" s="3" t="s">
        <v>2750</v>
      </c>
      <c r="BA254" s="3" t="s">
        <v>2750</v>
      </c>
      <c r="BB254" s="3" t="s">
        <v>2751</v>
      </c>
      <c r="BC254" s="3" t="s">
        <v>78</v>
      </c>
      <c r="BD254" s="3" t="s">
        <v>79</v>
      </c>
      <c r="BE254" s="3" t="s">
        <v>2752</v>
      </c>
      <c r="BF254" s="3" t="s">
        <v>2751</v>
      </c>
      <c r="BG254" s="3" t="s">
        <v>2753</v>
      </c>
    </row>
    <row r="255" spans="1:59" ht="58" x14ac:dyDescent="0.35">
      <c r="A255" s="2" t="s">
        <v>59</v>
      </c>
      <c r="B255" s="2" t="s">
        <v>94</v>
      </c>
      <c r="C255" s="2" t="s">
        <v>2754</v>
      </c>
      <c r="D255" s="2" t="s">
        <v>2755</v>
      </c>
      <c r="E255" s="2" t="s">
        <v>2756</v>
      </c>
      <c r="G255" s="3" t="s">
        <v>64</v>
      </c>
      <c r="I255" s="3" t="s">
        <v>64</v>
      </c>
      <c r="J255" s="3" t="s">
        <v>64</v>
      </c>
      <c r="K255" s="3" t="s">
        <v>65</v>
      </c>
      <c r="L255" s="2" t="s">
        <v>2757</v>
      </c>
      <c r="M255" s="2" t="s">
        <v>2758</v>
      </c>
      <c r="N255" s="3" t="s">
        <v>68</v>
      </c>
      <c r="P255" s="3" t="s">
        <v>69</v>
      </c>
      <c r="Q255" s="2" t="s">
        <v>2759</v>
      </c>
      <c r="R255" s="3" t="s">
        <v>70</v>
      </c>
      <c r="S255" s="4">
        <v>10</v>
      </c>
      <c r="T255" s="4">
        <v>10</v>
      </c>
      <c r="U255" s="5" t="s">
        <v>2760</v>
      </c>
      <c r="V255" s="5" t="s">
        <v>2760</v>
      </c>
      <c r="W255" s="5" t="s">
        <v>72</v>
      </c>
      <c r="X255" s="5" t="s">
        <v>72</v>
      </c>
      <c r="Y255" s="4">
        <v>28</v>
      </c>
      <c r="Z255" s="4">
        <v>3</v>
      </c>
      <c r="AA255" s="4">
        <v>10</v>
      </c>
      <c r="AB255" s="4">
        <v>1</v>
      </c>
      <c r="AC255" s="4">
        <v>1</v>
      </c>
      <c r="AD255" s="4">
        <v>9</v>
      </c>
      <c r="AE255" s="4">
        <v>51</v>
      </c>
      <c r="AF255" s="4">
        <v>0</v>
      </c>
      <c r="AG255" s="4">
        <v>0</v>
      </c>
      <c r="AH255" s="4">
        <v>9</v>
      </c>
      <c r="AI255" s="4">
        <v>49</v>
      </c>
      <c r="AJ255" s="4">
        <v>2</v>
      </c>
      <c r="AK255" s="4">
        <v>7</v>
      </c>
      <c r="AL255" s="4">
        <v>5</v>
      </c>
      <c r="AM255" s="4">
        <v>30</v>
      </c>
      <c r="AN255" s="4">
        <v>0</v>
      </c>
      <c r="AO255" s="4">
        <v>0</v>
      </c>
      <c r="AP255" s="4">
        <v>2</v>
      </c>
      <c r="AQ255" s="4">
        <v>8</v>
      </c>
      <c r="AR255" s="3" t="s">
        <v>64</v>
      </c>
      <c r="AS255" s="3" t="s">
        <v>64</v>
      </c>
      <c r="AT255" s="3" t="s">
        <v>64</v>
      </c>
      <c r="AV255" s="6" t="str">
        <f>HYPERLINK("http://mcgill.on.worldcat.org/oclc/166322314","Catalog Record")</f>
        <v>Catalog Record</v>
      </c>
      <c r="AW255" s="6" t="str">
        <f>HYPERLINK("http://www.worldcat.org/oclc/166322314","WorldCat Record")</f>
        <v>WorldCat Record</v>
      </c>
      <c r="AX255" s="3" t="s">
        <v>2761</v>
      </c>
      <c r="AY255" s="3" t="s">
        <v>2762</v>
      </c>
      <c r="AZ255" s="3" t="s">
        <v>2763</v>
      </c>
      <c r="BA255" s="3" t="s">
        <v>2763</v>
      </c>
      <c r="BB255" s="3" t="s">
        <v>2764</v>
      </c>
      <c r="BC255" s="3" t="s">
        <v>78</v>
      </c>
      <c r="BD255" s="3" t="s">
        <v>79</v>
      </c>
      <c r="BE255" s="3" t="s">
        <v>2765</v>
      </c>
      <c r="BF255" s="3" t="s">
        <v>2764</v>
      </c>
      <c r="BG255" s="3" t="s">
        <v>2766</v>
      </c>
    </row>
    <row r="256" spans="1:59" ht="58" x14ac:dyDescent="0.35">
      <c r="A256" s="2" t="s">
        <v>59</v>
      </c>
      <c r="B256" s="2" t="s">
        <v>94</v>
      </c>
      <c r="C256" s="2" t="s">
        <v>2767</v>
      </c>
      <c r="D256" s="2" t="s">
        <v>2768</v>
      </c>
      <c r="E256" s="2" t="s">
        <v>2769</v>
      </c>
      <c r="G256" s="3" t="s">
        <v>64</v>
      </c>
      <c r="I256" s="3" t="s">
        <v>64</v>
      </c>
      <c r="J256" s="3" t="s">
        <v>64</v>
      </c>
      <c r="K256" s="3" t="s">
        <v>65</v>
      </c>
      <c r="M256" s="2" t="s">
        <v>2770</v>
      </c>
      <c r="N256" s="3" t="s">
        <v>1029</v>
      </c>
      <c r="O256" s="2" t="s">
        <v>2771</v>
      </c>
      <c r="P256" s="3" t="s">
        <v>69</v>
      </c>
      <c r="R256" s="3" t="s">
        <v>70</v>
      </c>
      <c r="S256" s="4">
        <v>23</v>
      </c>
      <c r="T256" s="4">
        <v>23</v>
      </c>
      <c r="U256" s="5" t="s">
        <v>2772</v>
      </c>
      <c r="V256" s="5" t="s">
        <v>2772</v>
      </c>
      <c r="W256" s="5" t="s">
        <v>72</v>
      </c>
      <c r="X256" s="5" t="s">
        <v>72</v>
      </c>
      <c r="Y256" s="4">
        <v>23</v>
      </c>
      <c r="Z256" s="4">
        <v>3</v>
      </c>
      <c r="AA256" s="4">
        <v>23</v>
      </c>
      <c r="AB256" s="4">
        <v>1</v>
      </c>
      <c r="AC256" s="4">
        <v>6</v>
      </c>
      <c r="AD256" s="4">
        <v>5</v>
      </c>
      <c r="AE256" s="4">
        <v>82</v>
      </c>
      <c r="AF256" s="4">
        <v>0</v>
      </c>
      <c r="AG256" s="4">
        <v>1</v>
      </c>
      <c r="AH256" s="4">
        <v>4</v>
      </c>
      <c r="AI256" s="4">
        <v>73</v>
      </c>
      <c r="AJ256" s="4">
        <v>2</v>
      </c>
      <c r="AK256" s="4">
        <v>14</v>
      </c>
      <c r="AL256" s="4">
        <v>1</v>
      </c>
      <c r="AM256" s="4">
        <v>44</v>
      </c>
      <c r="AN256" s="4">
        <v>0</v>
      </c>
      <c r="AO256" s="4">
        <v>0</v>
      </c>
      <c r="AP256" s="4">
        <v>2</v>
      </c>
      <c r="AQ256" s="4">
        <v>17</v>
      </c>
      <c r="AR256" s="3" t="s">
        <v>64</v>
      </c>
      <c r="AS256" s="3" t="s">
        <v>64</v>
      </c>
      <c r="AT256" s="3" t="s">
        <v>64</v>
      </c>
      <c r="AV256" s="6" t="str">
        <f>HYPERLINK("http://mcgill.on.worldcat.org/oclc/276334676","Catalog Record")</f>
        <v>Catalog Record</v>
      </c>
      <c r="AW256" s="6" t="str">
        <f>HYPERLINK("http://www.worldcat.org/oclc/276334676","WorldCat Record")</f>
        <v>WorldCat Record</v>
      </c>
      <c r="AX256" s="3" t="s">
        <v>2773</v>
      </c>
      <c r="AY256" s="3" t="s">
        <v>2774</v>
      </c>
      <c r="AZ256" s="3" t="s">
        <v>2775</v>
      </c>
      <c r="BA256" s="3" t="s">
        <v>2775</v>
      </c>
      <c r="BB256" s="3" t="s">
        <v>2776</v>
      </c>
      <c r="BC256" s="3" t="s">
        <v>78</v>
      </c>
      <c r="BD256" s="3" t="s">
        <v>79</v>
      </c>
      <c r="BE256" s="3" t="s">
        <v>2777</v>
      </c>
      <c r="BF256" s="3" t="s">
        <v>2776</v>
      </c>
      <c r="BG256" s="3" t="s">
        <v>2778</v>
      </c>
    </row>
    <row r="257" spans="1:59" ht="58" x14ac:dyDescent="0.35">
      <c r="A257" s="2" t="s">
        <v>59</v>
      </c>
      <c r="B257" s="2" t="s">
        <v>94</v>
      </c>
      <c r="C257" s="2" t="s">
        <v>2779</v>
      </c>
      <c r="D257" s="2" t="s">
        <v>2780</v>
      </c>
      <c r="E257" s="2" t="s">
        <v>2781</v>
      </c>
      <c r="G257" s="3" t="s">
        <v>64</v>
      </c>
      <c r="I257" s="3" t="s">
        <v>64</v>
      </c>
      <c r="J257" s="3" t="s">
        <v>64</v>
      </c>
      <c r="K257" s="3" t="s">
        <v>65</v>
      </c>
      <c r="L257" s="2" t="s">
        <v>2782</v>
      </c>
      <c r="M257" s="2" t="s">
        <v>2783</v>
      </c>
      <c r="N257" s="3" t="s">
        <v>861</v>
      </c>
      <c r="P257" s="3" t="s">
        <v>69</v>
      </c>
      <c r="R257" s="3" t="s">
        <v>70</v>
      </c>
      <c r="S257" s="4">
        <v>29</v>
      </c>
      <c r="T257" s="4">
        <v>29</v>
      </c>
      <c r="U257" s="5" t="s">
        <v>2687</v>
      </c>
      <c r="V257" s="5" t="s">
        <v>2687</v>
      </c>
      <c r="W257" s="5" t="s">
        <v>72</v>
      </c>
      <c r="X257" s="5" t="s">
        <v>72</v>
      </c>
      <c r="Y257" s="4">
        <v>266</v>
      </c>
      <c r="Z257" s="4">
        <v>16</v>
      </c>
      <c r="AA257" s="4">
        <v>19</v>
      </c>
      <c r="AB257" s="4">
        <v>1</v>
      </c>
      <c r="AC257" s="4">
        <v>1</v>
      </c>
      <c r="AD257" s="4">
        <v>81</v>
      </c>
      <c r="AE257" s="4">
        <v>85</v>
      </c>
      <c r="AF257" s="4">
        <v>0</v>
      </c>
      <c r="AG257" s="4">
        <v>0</v>
      </c>
      <c r="AH257" s="4">
        <v>75</v>
      </c>
      <c r="AI257" s="4">
        <v>77</v>
      </c>
      <c r="AJ257" s="4">
        <v>12</v>
      </c>
      <c r="AK257" s="4">
        <v>12</v>
      </c>
      <c r="AL257" s="4">
        <v>41</v>
      </c>
      <c r="AM257" s="4">
        <v>43</v>
      </c>
      <c r="AN257" s="4">
        <v>0</v>
      </c>
      <c r="AO257" s="4">
        <v>0</v>
      </c>
      <c r="AP257" s="4">
        <v>12</v>
      </c>
      <c r="AQ257" s="4">
        <v>14</v>
      </c>
      <c r="AR257" s="3" t="s">
        <v>64</v>
      </c>
      <c r="AS257" s="3" t="s">
        <v>64</v>
      </c>
      <c r="AT257" s="3" t="s">
        <v>64</v>
      </c>
      <c r="AV257" s="6" t="str">
        <f>HYPERLINK("http://mcgill.on.worldcat.org/oclc/44532689","Catalog Record")</f>
        <v>Catalog Record</v>
      </c>
      <c r="AW257" s="6" t="str">
        <f>HYPERLINK("http://www.worldcat.org/oclc/44532689","WorldCat Record")</f>
        <v>WorldCat Record</v>
      </c>
      <c r="AX257" s="3" t="s">
        <v>2784</v>
      </c>
      <c r="AY257" s="3" t="s">
        <v>2785</v>
      </c>
      <c r="AZ257" s="3" t="s">
        <v>2786</v>
      </c>
      <c r="BA257" s="3" t="s">
        <v>2786</v>
      </c>
      <c r="BB257" s="3" t="s">
        <v>2787</v>
      </c>
      <c r="BC257" s="3" t="s">
        <v>78</v>
      </c>
      <c r="BD257" s="3" t="s">
        <v>79</v>
      </c>
      <c r="BE257" s="3" t="s">
        <v>2788</v>
      </c>
      <c r="BF257" s="3" t="s">
        <v>2787</v>
      </c>
      <c r="BG257" s="3" t="s">
        <v>2789</v>
      </c>
    </row>
    <row r="258" spans="1:59" ht="58" x14ac:dyDescent="0.35">
      <c r="A258" s="2" t="s">
        <v>59</v>
      </c>
      <c r="B258" s="2" t="s">
        <v>94</v>
      </c>
      <c r="C258" s="2" t="s">
        <v>2790</v>
      </c>
      <c r="D258" s="2" t="s">
        <v>2791</v>
      </c>
      <c r="E258" s="2" t="s">
        <v>2792</v>
      </c>
      <c r="G258" s="3" t="s">
        <v>64</v>
      </c>
      <c r="I258" s="3" t="s">
        <v>64</v>
      </c>
      <c r="J258" s="3" t="s">
        <v>64</v>
      </c>
      <c r="K258" s="3" t="s">
        <v>65</v>
      </c>
      <c r="L258" s="2" t="s">
        <v>2793</v>
      </c>
      <c r="M258" s="2" t="s">
        <v>2794</v>
      </c>
      <c r="N258" s="3" t="s">
        <v>340</v>
      </c>
      <c r="P258" s="3" t="s">
        <v>69</v>
      </c>
      <c r="R258" s="3" t="s">
        <v>70</v>
      </c>
      <c r="S258" s="4">
        <v>10</v>
      </c>
      <c r="T258" s="4">
        <v>10</v>
      </c>
      <c r="U258" s="5" t="s">
        <v>2795</v>
      </c>
      <c r="V258" s="5" t="s">
        <v>2795</v>
      </c>
      <c r="W258" s="5" t="s">
        <v>72</v>
      </c>
      <c r="X258" s="5" t="s">
        <v>72</v>
      </c>
      <c r="Y258" s="4">
        <v>44</v>
      </c>
      <c r="Z258" s="4">
        <v>2</v>
      </c>
      <c r="AA258" s="4">
        <v>107</v>
      </c>
      <c r="AB258" s="4">
        <v>1</v>
      </c>
      <c r="AC258" s="4">
        <v>18</v>
      </c>
      <c r="AD258" s="4">
        <v>6</v>
      </c>
      <c r="AE258" s="4">
        <v>140</v>
      </c>
      <c r="AF258" s="4">
        <v>0</v>
      </c>
      <c r="AG258" s="4">
        <v>8</v>
      </c>
      <c r="AH258" s="4">
        <v>4</v>
      </c>
      <c r="AI258" s="4">
        <v>102</v>
      </c>
      <c r="AJ258" s="4">
        <v>1</v>
      </c>
      <c r="AK258" s="4">
        <v>23</v>
      </c>
      <c r="AL258" s="4">
        <v>3</v>
      </c>
      <c r="AM258" s="4">
        <v>55</v>
      </c>
      <c r="AN258" s="4">
        <v>0</v>
      </c>
      <c r="AO258" s="4">
        <v>0</v>
      </c>
      <c r="AP258" s="4">
        <v>1</v>
      </c>
      <c r="AQ258" s="4">
        <v>46</v>
      </c>
      <c r="AR258" s="3" t="s">
        <v>64</v>
      </c>
      <c r="AS258" s="3" t="s">
        <v>64</v>
      </c>
      <c r="AT258" s="3" t="s">
        <v>64</v>
      </c>
      <c r="AV258" s="6" t="str">
        <f>HYPERLINK("http://mcgill.on.worldcat.org/oclc/39699066","Catalog Record")</f>
        <v>Catalog Record</v>
      </c>
      <c r="AW258" s="6" t="str">
        <f>HYPERLINK("http://www.worldcat.org/oclc/39699066","WorldCat Record")</f>
        <v>WorldCat Record</v>
      </c>
      <c r="AX258" s="3" t="s">
        <v>2796</v>
      </c>
      <c r="AY258" s="3" t="s">
        <v>2797</v>
      </c>
      <c r="AZ258" s="3" t="s">
        <v>2798</v>
      </c>
      <c r="BA258" s="3" t="s">
        <v>2798</v>
      </c>
      <c r="BB258" s="3" t="s">
        <v>2799</v>
      </c>
      <c r="BC258" s="3" t="s">
        <v>78</v>
      </c>
      <c r="BD258" s="3" t="s">
        <v>79</v>
      </c>
      <c r="BE258" s="3" t="s">
        <v>2800</v>
      </c>
      <c r="BF258" s="3" t="s">
        <v>2799</v>
      </c>
      <c r="BG258" s="3" t="s">
        <v>2801</v>
      </c>
    </row>
    <row r="259" spans="1:59" ht="58" x14ac:dyDescent="0.35">
      <c r="A259" s="2" t="s">
        <v>59</v>
      </c>
      <c r="B259" s="2" t="s">
        <v>94</v>
      </c>
      <c r="C259" s="2" t="s">
        <v>2802</v>
      </c>
      <c r="D259" s="2" t="s">
        <v>2803</v>
      </c>
      <c r="E259" s="2" t="s">
        <v>2804</v>
      </c>
      <c r="G259" s="3" t="s">
        <v>64</v>
      </c>
      <c r="I259" s="3" t="s">
        <v>64</v>
      </c>
      <c r="J259" s="3" t="s">
        <v>64</v>
      </c>
      <c r="K259" s="3" t="s">
        <v>65</v>
      </c>
      <c r="L259" s="2" t="s">
        <v>2805</v>
      </c>
      <c r="M259" s="2" t="s">
        <v>2806</v>
      </c>
      <c r="N259" s="3" t="s">
        <v>524</v>
      </c>
      <c r="P259" s="3" t="s">
        <v>69</v>
      </c>
      <c r="R259" s="3" t="s">
        <v>70</v>
      </c>
      <c r="S259" s="4">
        <v>5</v>
      </c>
      <c r="T259" s="4">
        <v>5</v>
      </c>
      <c r="U259" s="5" t="s">
        <v>2807</v>
      </c>
      <c r="V259" s="5" t="s">
        <v>2807</v>
      </c>
      <c r="W259" s="5" t="s">
        <v>72</v>
      </c>
      <c r="X259" s="5" t="s">
        <v>72</v>
      </c>
      <c r="Y259" s="4">
        <v>212</v>
      </c>
      <c r="Z259" s="4">
        <v>17</v>
      </c>
      <c r="AA259" s="4">
        <v>56</v>
      </c>
      <c r="AB259" s="4">
        <v>1</v>
      </c>
      <c r="AC259" s="4">
        <v>3</v>
      </c>
      <c r="AD259" s="4">
        <v>70</v>
      </c>
      <c r="AE259" s="4">
        <v>106</v>
      </c>
      <c r="AF259" s="4">
        <v>0</v>
      </c>
      <c r="AG259" s="4">
        <v>0</v>
      </c>
      <c r="AH259" s="4">
        <v>65</v>
      </c>
      <c r="AI259" s="4">
        <v>87</v>
      </c>
      <c r="AJ259" s="4">
        <v>9</v>
      </c>
      <c r="AK259" s="4">
        <v>14</v>
      </c>
      <c r="AL259" s="4">
        <v>38</v>
      </c>
      <c r="AM259" s="4">
        <v>48</v>
      </c>
      <c r="AN259" s="4">
        <v>0</v>
      </c>
      <c r="AO259" s="4">
        <v>0</v>
      </c>
      <c r="AP259" s="4">
        <v>12</v>
      </c>
      <c r="AQ259" s="4">
        <v>26</v>
      </c>
      <c r="AR259" s="3" t="s">
        <v>64</v>
      </c>
      <c r="AS259" s="3" t="s">
        <v>64</v>
      </c>
      <c r="AT259" s="3" t="s">
        <v>64</v>
      </c>
      <c r="AV259" s="6" t="str">
        <f>HYPERLINK("http://mcgill.on.worldcat.org/oclc/804049499","Catalog Record")</f>
        <v>Catalog Record</v>
      </c>
      <c r="AW259" s="6" t="str">
        <f>HYPERLINK("http://www.worldcat.org/oclc/804049499","WorldCat Record")</f>
        <v>WorldCat Record</v>
      </c>
      <c r="AX259" s="3" t="s">
        <v>2808</v>
      </c>
      <c r="AY259" s="3" t="s">
        <v>2809</v>
      </c>
      <c r="AZ259" s="3" t="s">
        <v>2810</v>
      </c>
      <c r="BA259" s="3" t="s">
        <v>2810</v>
      </c>
      <c r="BB259" s="3" t="s">
        <v>2811</v>
      </c>
      <c r="BC259" s="3" t="s">
        <v>78</v>
      </c>
      <c r="BD259" s="3" t="s">
        <v>79</v>
      </c>
      <c r="BE259" s="3" t="s">
        <v>2812</v>
      </c>
      <c r="BF259" s="3" t="s">
        <v>2811</v>
      </c>
      <c r="BG259" s="3" t="s">
        <v>2813</v>
      </c>
    </row>
    <row r="260" spans="1:59" ht="58" x14ac:dyDescent="0.35">
      <c r="A260" s="2" t="s">
        <v>59</v>
      </c>
      <c r="B260" s="2" t="s">
        <v>94</v>
      </c>
      <c r="C260" s="2" t="s">
        <v>2814</v>
      </c>
      <c r="D260" s="2" t="s">
        <v>2815</v>
      </c>
      <c r="E260" s="2" t="s">
        <v>2816</v>
      </c>
      <c r="G260" s="3" t="s">
        <v>64</v>
      </c>
      <c r="I260" s="3" t="s">
        <v>64</v>
      </c>
      <c r="J260" s="3" t="s">
        <v>64</v>
      </c>
      <c r="K260" s="3" t="s">
        <v>65</v>
      </c>
      <c r="L260" s="2" t="s">
        <v>2817</v>
      </c>
      <c r="M260" s="2" t="s">
        <v>2818</v>
      </c>
      <c r="N260" s="3" t="s">
        <v>1154</v>
      </c>
      <c r="P260" s="3" t="s">
        <v>69</v>
      </c>
      <c r="R260" s="3" t="s">
        <v>70</v>
      </c>
      <c r="S260" s="4">
        <v>31</v>
      </c>
      <c r="T260" s="4">
        <v>31</v>
      </c>
      <c r="U260" s="5" t="s">
        <v>2819</v>
      </c>
      <c r="V260" s="5" t="s">
        <v>2819</v>
      </c>
      <c r="W260" s="5" t="s">
        <v>72</v>
      </c>
      <c r="X260" s="5" t="s">
        <v>72</v>
      </c>
      <c r="Y260" s="4">
        <v>505</v>
      </c>
      <c r="Z260" s="4">
        <v>27</v>
      </c>
      <c r="AA260" s="4">
        <v>27</v>
      </c>
      <c r="AB260" s="4">
        <v>2</v>
      </c>
      <c r="AC260" s="4">
        <v>2</v>
      </c>
      <c r="AD260" s="4">
        <v>111</v>
      </c>
      <c r="AE260" s="4">
        <v>111</v>
      </c>
      <c r="AF260" s="4">
        <v>1</v>
      </c>
      <c r="AG260" s="4">
        <v>1</v>
      </c>
      <c r="AH260" s="4">
        <v>97</v>
      </c>
      <c r="AI260" s="4">
        <v>97</v>
      </c>
      <c r="AJ260" s="4">
        <v>15</v>
      </c>
      <c r="AK260" s="4">
        <v>15</v>
      </c>
      <c r="AL260" s="4">
        <v>53</v>
      </c>
      <c r="AM260" s="4">
        <v>53</v>
      </c>
      <c r="AN260" s="4">
        <v>0</v>
      </c>
      <c r="AO260" s="4">
        <v>0</v>
      </c>
      <c r="AP260" s="4">
        <v>22</v>
      </c>
      <c r="AQ260" s="4">
        <v>22</v>
      </c>
      <c r="AR260" s="3" t="s">
        <v>64</v>
      </c>
      <c r="AS260" s="3" t="s">
        <v>64</v>
      </c>
      <c r="AT260" s="3" t="s">
        <v>64</v>
      </c>
      <c r="AV260" s="6" t="str">
        <f>HYPERLINK("http://mcgill.on.worldcat.org/oclc/30624590","Catalog Record")</f>
        <v>Catalog Record</v>
      </c>
      <c r="AW260" s="6" t="str">
        <f>HYPERLINK("http://www.worldcat.org/oclc/30624590","WorldCat Record")</f>
        <v>WorldCat Record</v>
      </c>
      <c r="AX260" s="3" t="s">
        <v>2820</v>
      </c>
      <c r="AY260" s="3" t="s">
        <v>2821</v>
      </c>
      <c r="AZ260" s="3" t="s">
        <v>2822</v>
      </c>
      <c r="BA260" s="3" t="s">
        <v>2822</v>
      </c>
      <c r="BB260" s="3" t="s">
        <v>2823</v>
      </c>
      <c r="BC260" s="3" t="s">
        <v>78</v>
      </c>
      <c r="BD260" s="3" t="s">
        <v>79</v>
      </c>
      <c r="BE260" s="3" t="s">
        <v>2824</v>
      </c>
      <c r="BF260" s="3" t="s">
        <v>2823</v>
      </c>
      <c r="BG260" s="3" t="s">
        <v>2825</v>
      </c>
    </row>
    <row r="261" spans="1:59" ht="58" x14ac:dyDescent="0.35">
      <c r="A261" s="2" t="s">
        <v>59</v>
      </c>
      <c r="B261" s="2" t="s">
        <v>94</v>
      </c>
      <c r="C261" s="2" t="s">
        <v>2826</v>
      </c>
      <c r="D261" s="2" t="s">
        <v>2827</v>
      </c>
      <c r="E261" s="2" t="s">
        <v>2828</v>
      </c>
      <c r="F261" s="3" t="s">
        <v>399</v>
      </c>
      <c r="G261" s="3" t="s">
        <v>73</v>
      </c>
      <c r="I261" s="3" t="s">
        <v>64</v>
      </c>
      <c r="J261" s="3" t="s">
        <v>64</v>
      </c>
      <c r="K261" s="3" t="s">
        <v>65</v>
      </c>
      <c r="M261" s="2" t="s">
        <v>1870</v>
      </c>
      <c r="N261" s="3" t="s">
        <v>538</v>
      </c>
      <c r="P261" s="3" t="s">
        <v>69</v>
      </c>
      <c r="R261" s="3" t="s">
        <v>70</v>
      </c>
      <c r="S261" s="4">
        <v>26</v>
      </c>
      <c r="T261" s="4">
        <v>58</v>
      </c>
      <c r="U261" s="5" t="s">
        <v>2829</v>
      </c>
      <c r="V261" s="5" t="s">
        <v>2395</v>
      </c>
      <c r="W261" s="5" t="s">
        <v>72</v>
      </c>
      <c r="X261" s="5" t="s">
        <v>72</v>
      </c>
      <c r="Y261" s="4">
        <v>303</v>
      </c>
      <c r="Z261" s="4">
        <v>26</v>
      </c>
      <c r="AA261" s="4">
        <v>31</v>
      </c>
      <c r="AB261" s="4">
        <v>2</v>
      </c>
      <c r="AC261" s="4">
        <v>3</v>
      </c>
      <c r="AD261" s="4">
        <v>80</v>
      </c>
      <c r="AE261" s="4">
        <v>88</v>
      </c>
      <c r="AF261" s="4">
        <v>1</v>
      </c>
      <c r="AG261" s="4">
        <v>2</v>
      </c>
      <c r="AH261" s="4">
        <v>67</v>
      </c>
      <c r="AI261" s="4">
        <v>73</v>
      </c>
      <c r="AJ261" s="4">
        <v>16</v>
      </c>
      <c r="AK261" s="4">
        <v>20</v>
      </c>
      <c r="AL261" s="4">
        <v>39</v>
      </c>
      <c r="AM261" s="4">
        <v>41</v>
      </c>
      <c r="AN261" s="4">
        <v>0</v>
      </c>
      <c r="AO261" s="4">
        <v>0</v>
      </c>
      <c r="AP261" s="4">
        <v>22</v>
      </c>
      <c r="AQ261" s="4">
        <v>25</v>
      </c>
      <c r="AR261" s="3" t="s">
        <v>64</v>
      </c>
      <c r="AS261" s="3" t="s">
        <v>64</v>
      </c>
      <c r="AT261" s="3" t="s">
        <v>64</v>
      </c>
      <c r="AV261" s="6" t="str">
        <f>HYPERLINK("http://mcgill.on.worldcat.org/oclc/190966775","Catalog Record")</f>
        <v>Catalog Record</v>
      </c>
      <c r="AW261" s="6" t="str">
        <f>HYPERLINK("http://www.worldcat.org/oclc/190966775","WorldCat Record")</f>
        <v>WorldCat Record</v>
      </c>
      <c r="AX261" s="3" t="s">
        <v>2830</v>
      </c>
      <c r="AY261" s="3" t="s">
        <v>2831</v>
      </c>
      <c r="AZ261" s="3" t="s">
        <v>2832</v>
      </c>
      <c r="BA261" s="3" t="s">
        <v>2832</v>
      </c>
      <c r="BB261" s="3" t="s">
        <v>2833</v>
      </c>
      <c r="BC261" s="3" t="s">
        <v>78</v>
      </c>
      <c r="BD261" s="3" t="s">
        <v>79</v>
      </c>
      <c r="BE261" s="3" t="s">
        <v>2834</v>
      </c>
      <c r="BF261" s="3" t="s">
        <v>2833</v>
      </c>
      <c r="BG261" s="3" t="s">
        <v>2835</v>
      </c>
    </row>
    <row r="262" spans="1:59" ht="58" x14ac:dyDescent="0.35">
      <c r="A262" s="2" t="s">
        <v>59</v>
      </c>
      <c r="B262" s="2" t="s">
        <v>94</v>
      </c>
      <c r="C262" s="2" t="s">
        <v>2826</v>
      </c>
      <c r="D262" s="2" t="s">
        <v>2827</v>
      </c>
      <c r="E262" s="2" t="s">
        <v>2828</v>
      </c>
      <c r="F262" s="3" t="s">
        <v>388</v>
      </c>
      <c r="G262" s="3" t="s">
        <v>73</v>
      </c>
      <c r="I262" s="3" t="s">
        <v>64</v>
      </c>
      <c r="J262" s="3" t="s">
        <v>64</v>
      </c>
      <c r="K262" s="3" t="s">
        <v>65</v>
      </c>
      <c r="M262" s="2" t="s">
        <v>1870</v>
      </c>
      <c r="N262" s="3" t="s">
        <v>538</v>
      </c>
      <c r="P262" s="3" t="s">
        <v>69</v>
      </c>
      <c r="R262" s="3" t="s">
        <v>70</v>
      </c>
      <c r="S262" s="4">
        <v>32</v>
      </c>
      <c r="T262" s="4">
        <v>58</v>
      </c>
      <c r="U262" s="5" t="s">
        <v>2395</v>
      </c>
      <c r="V262" s="5" t="s">
        <v>2395</v>
      </c>
      <c r="W262" s="5" t="s">
        <v>72</v>
      </c>
      <c r="X262" s="5" t="s">
        <v>72</v>
      </c>
      <c r="Y262" s="4">
        <v>303</v>
      </c>
      <c r="Z262" s="4">
        <v>26</v>
      </c>
      <c r="AA262" s="4">
        <v>31</v>
      </c>
      <c r="AB262" s="4">
        <v>2</v>
      </c>
      <c r="AC262" s="4">
        <v>3</v>
      </c>
      <c r="AD262" s="4">
        <v>80</v>
      </c>
      <c r="AE262" s="4">
        <v>88</v>
      </c>
      <c r="AF262" s="4">
        <v>1</v>
      </c>
      <c r="AG262" s="4">
        <v>2</v>
      </c>
      <c r="AH262" s="4">
        <v>67</v>
      </c>
      <c r="AI262" s="4">
        <v>73</v>
      </c>
      <c r="AJ262" s="4">
        <v>16</v>
      </c>
      <c r="AK262" s="4">
        <v>20</v>
      </c>
      <c r="AL262" s="4">
        <v>39</v>
      </c>
      <c r="AM262" s="4">
        <v>41</v>
      </c>
      <c r="AN262" s="4">
        <v>0</v>
      </c>
      <c r="AO262" s="4">
        <v>0</v>
      </c>
      <c r="AP262" s="4">
        <v>22</v>
      </c>
      <c r="AQ262" s="4">
        <v>25</v>
      </c>
      <c r="AR262" s="3" t="s">
        <v>64</v>
      </c>
      <c r="AS262" s="3" t="s">
        <v>64</v>
      </c>
      <c r="AT262" s="3" t="s">
        <v>64</v>
      </c>
      <c r="AV262" s="6" t="str">
        <f>HYPERLINK("http://mcgill.on.worldcat.org/oclc/190966775","Catalog Record")</f>
        <v>Catalog Record</v>
      </c>
      <c r="AW262" s="6" t="str">
        <f>HYPERLINK("http://www.worldcat.org/oclc/190966775","WorldCat Record")</f>
        <v>WorldCat Record</v>
      </c>
      <c r="AX262" s="3" t="s">
        <v>2830</v>
      </c>
      <c r="AY262" s="3" t="s">
        <v>2831</v>
      </c>
      <c r="AZ262" s="3" t="s">
        <v>2832</v>
      </c>
      <c r="BA262" s="3" t="s">
        <v>2832</v>
      </c>
      <c r="BB262" s="3" t="s">
        <v>2836</v>
      </c>
      <c r="BC262" s="3" t="s">
        <v>78</v>
      </c>
      <c r="BD262" s="3" t="s">
        <v>79</v>
      </c>
      <c r="BE262" s="3" t="s">
        <v>2834</v>
      </c>
      <c r="BF262" s="3" t="s">
        <v>2836</v>
      </c>
      <c r="BG262" s="3" t="s">
        <v>2837</v>
      </c>
    </row>
    <row r="263" spans="1:59" ht="58" x14ac:dyDescent="0.35">
      <c r="A263" s="2" t="s">
        <v>59</v>
      </c>
      <c r="B263" s="2" t="s">
        <v>94</v>
      </c>
      <c r="C263" s="2" t="s">
        <v>2838</v>
      </c>
      <c r="D263" s="2" t="s">
        <v>2839</v>
      </c>
      <c r="E263" s="2" t="s">
        <v>2840</v>
      </c>
      <c r="G263" s="3" t="s">
        <v>64</v>
      </c>
      <c r="I263" s="3" t="s">
        <v>64</v>
      </c>
      <c r="J263" s="3" t="s">
        <v>64</v>
      </c>
      <c r="K263" s="3" t="s">
        <v>65</v>
      </c>
      <c r="L263" s="2" t="s">
        <v>2841</v>
      </c>
      <c r="M263" s="2" t="s">
        <v>2842</v>
      </c>
      <c r="N263" s="3" t="s">
        <v>1154</v>
      </c>
      <c r="P263" s="3" t="s">
        <v>69</v>
      </c>
      <c r="R263" s="3" t="s">
        <v>70</v>
      </c>
      <c r="S263" s="4">
        <v>106</v>
      </c>
      <c r="T263" s="4">
        <v>106</v>
      </c>
      <c r="U263" s="5" t="s">
        <v>2843</v>
      </c>
      <c r="V263" s="5" t="s">
        <v>2843</v>
      </c>
      <c r="W263" s="5" t="s">
        <v>72</v>
      </c>
      <c r="X263" s="5" t="s">
        <v>72</v>
      </c>
      <c r="Y263" s="4">
        <v>406</v>
      </c>
      <c r="Z263" s="4">
        <v>24</v>
      </c>
      <c r="AA263" s="4">
        <v>34</v>
      </c>
      <c r="AB263" s="4">
        <v>2</v>
      </c>
      <c r="AC263" s="4">
        <v>6</v>
      </c>
      <c r="AD263" s="4">
        <v>100</v>
      </c>
      <c r="AE263" s="4">
        <v>107</v>
      </c>
      <c r="AF263" s="4">
        <v>1</v>
      </c>
      <c r="AG263" s="4">
        <v>2</v>
      </c>
      <c r="AH263" s="4">
        <v>86</v>
      </c>
      <c r="AI263" s="4">
        <v>90</v>
      </c>
      <c r="AJ263" s="4">
        <v>15</v>
      </c>
      <c r="AK263" s="4">
        <v>18</v>
      </c>
      <c r="AL263" s="4">
        <v>47</v>
      </c>
      <c r="AM263" s="4">
        <v>49</v>
      </c>
      <c r="AN263" s="4">
        <v>0</v>
      </c>
      <c r="AO263" s="4">
        <v>0</v>
      </c>
      <c r="AP263" s="4">
        <v>22</v>
      </c>
      <c r="AQ263" s="4">
        <v>26</v>
      </c>
      <c r="AR263" s="3" t="s">
        <v>64</v>
      </c>
      <c r="AS263" s="3" t="s">
        <v>64</v>
      </c>
      <c r="AT263" s="3" t="s">
        <v>64</v>
      </c>
      <c r="AV263" s="6" t="str">
        <f>HYPERLINK("http://mcgill.on.worldcat.org/oclc/28376827","Catalog Record")</f>
        <v>Catalog Record</v>
      </c>
      <c r="AW263" s="6" t="str">
        <f>HYPERLINK("http://www.worldcat.org/oclc/28376827","WorldCat Record")</f>
        <v>WorldCat Record</v>
      </c>
      <c r="AX263" s="3" t="s">
        <v>2844</v>
      </c>
      <c r="AY263" s="3" t="s">
        <v>2845</v>
      </c>
      <c r="AZ263" s="3" t="s">
        <v>2846</v>
      </c>
      <c r="BA263" s="3" t="s">
        <v>2846</v>
      </c>
      <c r="BB263" s="3" t="s">
        <v>2847</v>
      </c>
      <c r="BC263" s="3" t="s">
        <v>78</v>
      </c>
      <c r="BD263" s="3" t="s">
        <v>79</v>
      </c>
      <c r="BE263" s="3" t="s">
        <v>2848</v>
      </c>
      <c r="BF263" s="3" t="s">
        <v>2847</v>
      </c>
      <c r="BG263" s="3" t="s">
        <v>2849</v>
      </c>
    </row>
    <row r="264" spans="1:59" ht="58" x14ac:dyDescent="0.35">
      <c r="A264" s="2" t="s">
        <v>59</v>
      </c>
      <c r="B264" s="2" t="s">
        <v>94</v>
      </c>
      <c r="C264" s="2" t="s">
        <v>2850</v>
      </c>
      <c r="D264" s="2" t="s">
        <v>2851</v>
      </c>
      <c r="E264" s="2" t="s">
        <v>2852</v>
      </c>
      <c r="G264" s="3" t="s">
        <v>64</v>
      </c>
      <c r="I264" s="3" t="s">
        <v>64</v>
      </c>
      <c r="J264" s="3" t="s">
        <v>64</v>
      </c>
      <c r="K264" s="3" t="s">
        <v>65</v>
      </c>
      <c r="L264" s="2" t="s">
        <v>2853</v>
      </c>
      <c r="M264" s="2" t="s">
        <v>2854</v>
      </c>
      <c r="N264" s="3" t="s">
        <v>1645</v>
      </c>
      <c r="P264" s="3" t="s">
        <v>69</v>
      </c>
      <c r="R264" s="3" t="s">
        <v>70</v>
      </c>
      <c r="S264" s="4">
        <v>0</v>
      </c>
      <c r="T264" s="4">
        <v>0</v>
      </c>
      <c r="W264" s="5" t="s">
        <v>72</v>
      </c>
      <c r="X264" s="5" t="s">
        <v>72</v>
      </c>
      <c r="Y264" s="4">
        <v>15</v>
      </c>
      <c r="Z264" s="4">
        <v>2</v>
      </c>
      <c r="AA264" s="4">
        <v>71</v>
      </c>
      <c r="AB264" s="4">
        <v>1</v>
      </c>
      <c r="AC264" s="4">
        <v>14</v>
      </c>
      <c r="AD264" s="4">
        <v>2</v>
      </c>
      <c r="AE264" s="4">
        <v>117</v>
      </c>
      <c r="AF264" s="4">
        <v>0</v>
      </c>
      <c r="AG264" s="4">
        <v>8</v>
      </c>
      <c r="AH264" s="4">
        <v>2</v>
      </c>
      <c r="AI264" s="4">
        <v>88</v>
      </c>
      <c r="AJ264" s="4">
        <v>0</v>
      </c>
      <c r="AK264" s="4">
        <v>19</v>
      </c>
      <c r="AL264" s="4">
        <v>0</v>
      </c>
      <c r="AM264" s="4">
        <v>52</v>
      </c>
      <c r="AN264" s="4">
        <v>0</v>
      </c>
      <c r="AO264" s="4">
        <v>0</v>
      </c>
      <c r="AP264" s="4">
        <v>0</v>
      </c>
      <c r="AQ264" s="4">
        <v>36</v>
      </c>
      <c r="AR264" s="3" t="s">
        <v>64</v>
      </c>
      <c r="AS264" s="3" t="s">
        <v>64</v>
      </c>
      <c r="AT264" s="3" t="s">
        <v>64</v>
      </c>
      <c r="AV264" s="6" t="str">
        <f>HYPERLINK("http://mcgill.on.worldcat.org/oclc/988900570","Catalog Record")</f>
        <v>Catalog Record</v>
      </c>
      <c r="AW264" s="6" t="str">
        <f>HYPERLINK("http://www.worldcat.org/oclc/988900570","WorldCat Record")</f>
        <v>WorldCat Record</v>
      </c>
      <c r="AX264" s="3" t="s">
        <v>2855</v>
      </c>
      <c r="AY264" s="3" t="s">
        <v>2856</v>
      </c>
      <c r="AZ264" s="3" t="s">
        <v>2857</v>
      </c>
      <c r="BA264" s="3" t="s">
        <v>2857</v>
      </c>
      <c r="BB264" s="3" t="s">
        <v>2858</v>
      </c>
      <c r="BC264" s="3" t="s">
        <v>78</v>
      </c>
      <c r="BD264" s="3" t="s">
        <v>79</v>
      </c>
      <c r="BE264" s="3" t="s">
        <v>2859</v>
      </c>
      <c r="BF264" s="3" t="s">
        <v>2858</v>
      </c>
      <c r="BG264" s="3" t="s">
        <v>2860</v>
      </c>
    </row>
    <row r="265" spans="1:59" ht="58" x14ac:dyDescent="0.35">
      <c r="A265" s="2" t="s">
        <v>59</v>
      </c>
      <c r="B265" s="2" t="s">
        <v>94</v>
      </c>
      <c r="C265" s="2" t="s">
        <v>2861</v>
      </c>
      <c r="D265" s="2" t="s">
        <v>2862</v>
      </c>
      <c r="E265" s="2" t="s">
        <v>2863</v>
      </c>
      <c r="G265" s="3" t="s">
        <v>64</v>
      </c>
      <c r="I265" s="3" t="s">
        <v>64</v>
      </c>
      <c r="J265" s="3" t="s">
        <v>64</v>
      </c>
      <c r="K265" s="3" t="s">
        <v>65</v>
      </c>
      <c r="M265" s="2" t="s">
        <v>2864</v>
      </c>
      <c r="N265" s="3" t="s">
        <v>651</v>
      </c>
      <c r="P265" s="3" t="s">
        <v>69</v>
      </c>
      <c r="Q265" s="2" t="s">
        <v>2865</v>
      </c>
      <c r="R265" s="3" t="s">
        <v>70</v>
      </c>
      <c r="S265" s="4">
        <v>11</v>
      </c>
      <c r="T265" s="4">
        <v>11</v>
      </c>
      <c r="U265" s="5" t="s">
        <v>2843</v>
      </c>
      <c r="V265" s="5" t="s">
        <v>2843</v>
      </c>
      <c r="W265" s="5" t="s">
        <v>72</v>
      </c>
      <c r="X265" s="5" t="s">
        <v>72</v>
      </c>
      <c r="Y265" s="4">
        <v>134</v>
      </c>
      <c r="Z265" s="4">
        <v>11</v>
      </c>
      <c r="AA265" s="4">
        <v>11</v>
      </c>
      <c r="AB265" s="4">
        <v>1</v>
      </c>
      <c r="AC265" s="4">
        <v>1</v>
      </c>
      <c r="AD265" s="4">
        <v>63</v>
      </c>
      <c r="AE265" s="4">
        <v>63</v>
      </c>
      <c r="AF265" s="4">
        <v>0</v>
      </c>
      <c r="AG265" s="4">
        <v>0</v>
      </c>
      <c r="AH265" s="4">
        <v>59</v>
      </c>
      <c r="AI265" s="4">
        <v>59</v>
      </c>
      <c r="AJ265" s="4">
        <v>8</v>
      </c>
      <c r="AK265" s="4">
        <v>8</v>
      </c>
      <c r="AL265" s="4">
        <v>40</v>
      </c>
      <c r="AM265" s="4">
        <v>40</v>
      </c>
      <c r="AN265" s="4">
        <v>0</v>
      </c>
      <c r="AO265" s="4">
        <v>0</v>
      </c>
      <c r="AP265" s="4">
        <v>9</v>
      </c>
      <c r="AQ265" s="4">
        <v>9</v>
      </c>
      <c r="AR265" s="3" t="s">
        <v>64</v>
      </c>
      <c r="AS265" s="3" t="s">
        <v>64</v>
      </c>
      <c r="AT265" s="3" t="s">
        <v>73</v>
      </c>
      <c r="AU265" s="6" t="str">
        <f>HYPERLINK("http://catalog.hathitrust.org/Record/003898359","HathiTrust Record")</f>
        <v>HathiTrust Record</v>
      </c>
      <c r="AV265" s="6" t="str">
        <f>HYPERLINK("http://mcgill.on.worldcat.org/oclc/54519160","Catalog Record")</f>
        <v>Catalog Record</v>
      </c>
      <c r="AW265" s="6" t="str">
        <f>HYPERLINK("http://www.worldcat.org/oclc/54519160","WorldCat Record")</f>
        <v>WorldCat Record</v>
      </c>
      <c r="AX265" s="3" t="s">
        <v>2866</v>
      </c>
      <c r="AY265" s="3" t="s">
        <v>2867</v>
      </c>
      <c r="AZ265" s="3" t="s">
        <v>2868</v>
      </c>
      <c r="BA265" s="3" t="s">
        <v>2868</v>
      </c>
      <c r="BB265" s="3" t="s">
        <v>2869</v>
      </c>
      <c r="BC265" s="3" t="s">
        <v>78</v>
      </c>
      <c r="BD265" s="3" t="s">
        <v>79</v>
      </c>
      <c r="BE265" s="3" t="s">
        <v>2870</v>
      </c>
      <c r="BF265" s="3" t="s">
        <v>2869</v>
      </c>
      <c r="BG265" s="3" t="s">
        <v>2871</v>
      </c>
    </row>
    <row r="266" spans="1:59" ht="58" x14ac:dyDescent="0.35">
      <c r="A266" s="2" t="s">
        <v>59</v>
      </c>
      <c r="B266" s="2" t="s">
        <v>94</v>
      </c>
      <c r="C266" s="2" t="s">
        <v>2872</v>
      </c>
      <c r="D266" s="2" t="s">
        <v>2873</v>
      </c>
      <c r="E266" s="2" t="s">
        <v>2874</v>
      </c>
      <c r="G266" s="3" t="s">
        <v>64</v>
      </c>
      <c r="I266" s="3" t="s">
        <v>64</v>
      </c>
      <c r="J266" s="3" t="s">
        <v>64</v>
      </c>
      <c r="K266" s="3" t="s">
        <v>65</v>
      </c>
      <c r="L266" s="2" t="s">
        <v>2875</v>
      </c>
      <c r="M266" s="2" t="s">
        <v>2876</v>
      </c>
      <c r="N266" s="3" t="s">
        <v>422</v>
      </c>
      <c r="P266" s="3" t="s">
        <v>69</v>
      </c>
      <c r="R266" s="3" t="s">
        <v>70</v>
      </c>
      <c r="S266" s="4">
        <v>20</v>
      </c>
      <c r="T266" s="4">
        <v>20</v>
      </c>
      <c r="U266" s="5" t="s">
        <v>1447</v>
      </c>
      <c r="V266" s="5" t="s">
        <v>1447</v>
      </c>
      <c r="W266" s="5" t="s">
        <v>72</v>
      </c>
      <c r="X266" s="5" t="s">
        <v>72</v>
      </c>
      <c r="Y266" s="4">
        <v>55</v>
      </c>
      <c r="Z266" s="4">
        <v>4</v>
      </c>
      <c r="AA266" s="4">
        <v>11</v>
      </c>
      <c r="AB266" s="4">
        <v>1</v>
      </c>
      <c r="AC266" s="4">
        <v>1</v>
      </c>
      <c r="AD266" s="4">
        <v>16</v>
      </c>
      <c r="AE266" s="4">
        <v>39</v>
      </c>
      <c r="AF266" s="4">
        <v>0</v>
      </c>
      <c r="AG266" s="4">
        <v>0</v>
      </c>
      <c r="AH266" s="4">
        <v>14</v>
      </c>
      <c r="AI266" s="4">
        <v>35</v>
      </c>
      <c r="AJ266" s="4">
        <v>2</v>
      </c>
      <c r="AK266" s="4">
        <v>7</v>
      </c>
      <c r="AL266" s="4">
        <v>11</v>
      </c>
      <c r="AM266" s="4">
        <v>22</v>
      </c>
      <c r="AN266" s="4">
        <v>0</v>
      </c>
      <c r="AO266" s="4">
        <v>0</v>
      </c>
      <c r="AP266" s="4">
        <v>3</v>
      </c>
      <c r="AQ266" s="4">
        <v>8</v>
      </c>
      <c r="AR266" s="3" t="s">
        <v>64</v>
      </c>
      <c r="AS266" s="3" t="s">
        <v>64</v>
      </c>
      <c r="AT266" s="3" t="s">
        <v>64</v>
      </c>
      <c r="AV266" s="6" t="str">
        <f>HYPERLINK("http://mcgill.on.worldcat.org/oclc/59544796","Catalog Record")</f>
        <v>Catalog Record</v>
      </c>
      <c r="AW266" s="6" t="str">
        <f>HYPERLINK("http://www.worldcat.org/oclc/59544796","WorldCat Record")</f>
        <v>WorldCat Record</v>
      </c>
      <c r="AX266" s="3" t="s">
        <v>2877</v>
      </c>
      <c r="AY266" s="3" t="s">
        <v>2878</v>
      </c>
      <c r="AZ266" s="3" t="s">
        <v>2879</v>
      </c>
      <c r="BA266" s="3" t="s">
        <v>2879</v>
      </c>
      <c r="BB266" s="3" t="s">
        <v>2880</v>
      </c>
      <c r="BC266" s="3" t="s">
        <v>78</v>
      </c>
      <c r="BD266" s="3" t="s">
        <v>79</v>
      </c>
      <c r="BE266" s="3" t="s">
        <v>2881</v>
      </c>
      <c r="BF266" s="3" t="s">
        <v>2880</v>
      </c>
      <c r="BG266" s="3" t="s">
        <v>2882</v>
      </c>
    </row>
    <row r="267" spans="1:59" ht="58" x14ac:dyDescent="0.35">
      <c r="A267" s="2" t="s">
        <v>59</v>
      </c>
      <c r="B267" s="2" t="s">
        <v>94</v>
      </c>
      <c r="C267" s="2" t="s">
        <v>2883</v>
      </c>
      <c r="D267" s="2" t="s">
        <v>2884</v>
      </c>
      <c r="E267" s="2" t="s">
        <v>2885</v>
      </c>
      <c r="G267" s="3" t="s">
        <v>64</v>
      </c>
      <c r="I267" s="3" t="s">
        <v>64</v>
      </c>
      <c r="J267" s="3" t="s">
        <v>64</v>
      </c>
      <c r="K267" s="3" t="s">
        <v>65</v>
      </c>
      <c r="L267" s="2" t="s">
        <v>2886</v>
      </c>
      <c r="M267" s="2" t="s">
        <v>2887</v>
      </c>
      <c r="N267" s="3" t="s">
        <v>1530</v>
      </c>
      <c r="P267" s="3" t="s">
        <v>69</v>
      </c>
      <c r="Q267" s="2" t="s">
        <v>2888</v>
      </c>
      <c r="R267" s="3" t="s">
        <v>70</v>
      </c>
      <c r="S267" s="4">
        <v>37</v>
      </c>
      <c r="T267" s="4">
        <v>37</v>
      </c>
      <c r="U267" s="5" t="s">
        <v>2889</v>
      </c>
      <c r="V267" s="5" t="s">
        <v>2889</v>
      </c>
      <c r="W267" s="5" t="s">
        <v>72</v>
      </c>
      <c r="X267" s="5" t="s">
        <v>72</v>
      </c>
      <c r="Y267" s="4">
        <v>110</v>
      </c>
      <c r="Z267" s="4">
        <v>6</v>
      </c>
      <c r="AA267" s="4">
        <v>35</v>
      </c>
      <c r="AB267" s="4">
        <v>1</v>
      </c>
      <c r="AC267" s="4">
        <v>4</v>
      </c>
      <c r="AD267" s="4">
        <v>5</v>
      </c>
      <c r="AE267" s="4">
        <v>77</v>
      </c>
      <c r="AF267" s="4">
        <v>0</v>
      </c>
      <c r="AG267" s="4">
        <v>1</v>
      </c>
      <c r="AH267" s="4">
        <v>4</v>
      </c>
      <c r="AI267" s="4">
        <v>68</v>
      </c>
      <c r="AJ267" s="4">
        <v>1</v>
      </c>
      <c r="AK267" s="4">
        <v>10</v>
      </c>
      <c r="AL267" s="4">
        <v>1</v>
      </c>
      <c r="AM267" s="4">
        <v>36</v>
      </c>
      <c r="AN267" s="4">
        <v>0</v>
      </c>
      <c r="AO267" s="4">
        <v>0</v>
      </c>
      <c r="AP267" s="4">
        <v>1</v>
      </c>
      <c r="AQ267" s="4">
        <v>15</v>
      </c>
      <c r="AR267" s="3" t="s">
        <v>64</v>
      </c>
      <c r="AS267" s="3" t="s">
        <v>64</v>
      </c>
      <c r="AT267" s="3" t="s">
        <v>64</v>
      </c>
      <c r="AV267" s="6" t="str">
        <f>HYPERLINK("http://mcgill.on.worldcat.org/oclc/48486305","Catalog Record")</f>
        <v>Catalog Record</v>
      </c>
      <c r="AW267" s="6" t="str">
        <f>HYPERLINK("http://www.worldcat.org/oclc/48486305","WorldCat Record")</f>
        <v>WorldCat Record</v>
      </c>
      <c r="AX267" s="3" t="s">
        <v>2890</v>
      </c>
      <c r="AY267" s="3" t="s">
        <v>2891</v>
      </c>
      <c r="AZ267" s="3" t="s">
        <v>2892</v>
      </c>
      <c r="BA267" s="3" t="s">
        <v>2892</v>
      </c>
      <c r="BB267" s="3" t="s">
        <v>2893</v>
      </c>
      <c r="BC267" s="3" t="s">
        <v>78</v>
      </c>
      <c r="BD267" s="3" t="s">
        <v>79</v>
      </c>
      <c r="BE267" s="3" t="s">
        <v>2894</v>
      </c>
      <c r="BF267" s="3" t="s">
        <v>2893</v>
      </c>
      <c r="BG267" s="3" t="s">
        <v>2895</v>
      </c>
    </row>
    <row r="268" spans="1:59" ht="58" x14ac:dyDescent="0.35">
      <c r="A268" s="2" t="s">
        <v>59</v>
      </c>
      <c r="B268" s="2" t="s">
        <v>94</v>
      </c>
      <c r="C268" s="2" t="s">
        <v>2896</v>
      </c>
      <c r="D268" s="2" t="s">
        <v>2897</v>
      </c>
      <c r="E268" s="2" t="s">
        <v>2898</v>
      </c>
      <c r="G268" s="3" t="s">
        <v>64</v>
      </c>
      <c r="I268" s="3" t="s">
        <v>64</v>
      </c>
      <c r="J268" s="3" t="s">
        <v>64</v>
      </c>
      <c r="K268" s="3" t="s">
        <v>65</v>
      </c>
      <c r="L268" s="2" t="s">
        <v>2899</v>
      </c>
      <c r="M268" s="2" t="s">
        <v>2900</v>
      </c>
      <c r="N268" s="3" t="s">
        <v>2362</v>
      </c>
      <c r="P268" s="3" t="s">
        <v>162</v>
      </c>
      <c r="R268" s="3" t="s">
        <v>70</v>
      </c>
      <c r="S268" s="4">
        <v>12</v>
      </c>
      <c r="T268" s="4">
        <v>12</v>
      </c>
      <c r="U268" s="5" t="s">
        <v>1984</v>
      </c>
      <c r="V268" s="5" t="s">
        <v>1984</v>
      </c>
      <c r="W268" s="5" t="s">
        <v>72</v>
      </c>
      <c r="X268" s="5" t="s">
        <v>72</v>
      </c>
      <c r="Y268" s="4">
        <v>187</v>
      </c>
      <c r="Z268" s="4">
        <v>17</v>
      </c>
      <c r="AA268" s="4">
        <v>26</v>
      </c>
      <c r="AB268" s="4">
        <v>2</v>
      </c>
      <c r="AC268" s="4">
        <v>9</v>
      </c>
      <c r="AD268" s="4">
        <v>75</v>
      </c>
      <c r="AE268" s="4">
        <v>81</v>
      </c>
      <c r="AF268" s="4">
        <v>0</v>
      </c>
      <c r="AG268" s="4">
        <v>4</v>
      </c>
      <c r="AH268" s="4">
        <v>67</v>
      </c>
      <c r="AI268" s="4">
        <v>70</v>
      </c>
      <c r="AJ268" s="4">
        <v>13</v>
      </c>
      <c r="AK268" s="4">
        <v>18</v>
      </c>
      <c r="AL268" s="4">
        <v>41</v>
      </c>
      <c r="AM268" s="4">
        <v>41</v>
      </c>
      <c r="AN268" s="4">
        <v>0</v>
      </c>
      <c r="AO268" s="4">
        <v>0</v>
      </c>
      <c r="AP268" s="4">
        <v>13</v>
      </c>
      <c r="AQ268" s="4">
        <v>17</v>
      </c>
      <c r="AR268" s="3" t="s">
        <v>64</v>
      </c>
      <c r="AS268" s="3" t="s">
        <v>64</v>
      </c>
      <c r="AT268" s="3" t="s">
        <v>64</v>
      </c>
      <c r="AU268" s="6" t="str">
        <f>HYPERLINK("http://catalog.hathitrust.org/Record/001047012","HathiTrust Record")</f>
        <v>HathiTrust Record</v>
      </c>
      <c r="AV268" s="6" t="str">
        <f>HYPERLINK("http://mcgill.on.worldcat.org/oclc/1315271","Catalog Record")</f>
        <v>Catalog Record</v>
      </c>
      <c r="AW268" s="6" t="str">
        <f>HYPERLINK("http://www.worldcat.org/oclc/1315271","WorldCat Record")</f>
        <v>WorldCat Record</v>
      </c>
      <c r="AX268" s="3" t="s">
        <v>2901</v>
      </c>
      <c r="AY268" s="3" t="s">
        <v>2902</v>
      </c>
      <c r="AZ268" s="3" t="s">
        <v>2903</v>
      </c>
      <c r="BA268" s="3" t="s">
        <v>2903</v>
      </c>
      <c r="BB268" s="3" t="s">
        <v>2904</v>
      </c>
      <c r="BC268" s="3" t="s">
        <v>78</v>
      </c>
      <c r="BD268" s="3" t="s">
        <v>79</v>
      </c>
      <c r="BF268" s="3" t="s">
        <v>2904</v>
      </c>
      <c r="BG268" s="3" t="s">
        <v>2905</v>
      </c>
    </row>
    <row r="269" spans="1:59" ht="58" x14ac:dyDescent="0.35">
      <c r="A269" s="2" t="s">
        <v>59</v>
      </c>
      <c r="B269" s="2" t="s">
        <v>94</v>
      </c>
      <c r="C269" s="2" t="s">
        <v>2906</v>
      </c>
      <c r="D269" s="2" t="s">
        <v>2907</v>
      </c>
      <c r="E269" s="2" t="s">
        <v>2908</v>
      </c>
      <c r="G269" s="3" t="s">
        <v>64</v>
      </c>
      <c r="I269" s="3" t="s">
        <v>64</v>
      </c>
      <c r="J269" s="3" t="s">
        <v>64</v>
      </c>
      <c r="K269" s="3" t="s">
        <v>65</v>
      </c>
      <c r="L269" s="2" t="s">
        <v>2909</v>
      </c>
      <c r="M269" s="2" t="s">
        <v>2910</v>
      </c>
      <c r="N269" s="3" t="s">
        <v>1764</v>
      </c>
      <c r="P269" s="3" t="s">
        <v>69</v>
      </c>
      <c r="R269" s="3" t="s">
        <v>70</v>
      </c>
      <c r="S269" s="4">
        <v>29</v>
      </c>
      <c r="T269" s="4">
        <v>29</v>
      </c>
      <c r="U269" s="5" t="s">
        <v>1447</v>
      </c>
      <c r="V269" s="5" t="s">
        <v>1447</v>
      </c>
      <c r="W269" s="5" t="s">
        <v>72</v>
      </c>
      <c r="X269" s="5" t="s">
        <v>72</v>
      </c>
      <c r="Y269" s="4">
        <v>275</v>
      </c>
      <c r="Z269" s="4">
        <v>12</v>
      </c>
      <c r="AA269" s="4">
        <v>25</v>
      </c>
      <c r="AB269" s="4">
        <v>1</v>
      </c>
      <c r="AC269" s="4">
        <v>1</v>
      </c>
      <c r="AD269" s="4">
        <v>70</v>
      </c>
      <c r="AE269" s="4">
        <v>106</v>
      </c>
      <c r="AF269" s="4">
        <v>0</v>
      </c>
      <c r="AG269" s="4">
        <v>0</v>
      </c>
      <c r="AH269" s="4">
        <v>65</v>
      </c>
      <c r="AI269" s="4">
        <v>95</v>
      </c>
      <c r="AJ269" s="4">
        <v>9</v>
      </c>
      <c r="AK269" s="4">
        <v>17</v>
      </c>
      <c r="AL269" s="4">
        <v>29</v>
      </c>
      <c r="AM269" s="4">
        <v>51</v>
      </c>
      <c r="AN269" s="4">
        <v>0</v>
      </c>
      <c r="AO269" s="4">
        <v>0</v>
      </c>
      <c r="AP269" s="4">
        <v>11</v>
      </c>
      <c r="AQ269" s="4">
        <v>21</v>
      </c>
      <c r="AR269" s="3" t="s">
        <v>64</v>
      </c>
      <c r="AS269" s="3" t="s">
        <v>64</v>
      </c>
      <c r="AT269" s="3" t="s">
        <v>64</v>
      </c>
      <c r="AV269" s="6" t="str">
        <f>HYPERLINK("http://mcgill.on.worldcat.org/oclc/8345739","Catalog Record")</f>
        <v>Catalog Record</v>
      </c>
      <c r="AW269" s="6" t="str">
        <f>HYPERLINK("http://www.worldcat.org/oclc/8345739","WorldCat Record")</f>
        <v>WorldCat Record</v>
      </c>
      <c r="AX269" s="3" t="s">
        <v>2911</v>
      </c>
      <c r="AY269" s="3" t="s">
        <v>2912</v>
      </c>
      <c r="AZ269" s="3" t="s">
        <v>2913</v>
      </c>
      <c r="BA269" s="3" t="s">
        <v>2913</v>
      </c>
      <c r="BB269" s="3" t="s">
        <v>2914</v>
      </c>
      <c r="BC269" s="3" t="s">
        <v>78</v>
      </c>
      <c r="BD269" s="3" t="s">
        <v>79</v>
      </c>
      <c r="BE269" s="3" t="s">
        <v>2915</v>
      </c>
      <c r="BF269" s="3" t="s">
        <v>2914</v>
      </c>
      <c r="BG269" s="3" t="s">
        <v>2916</v>
      </c>
    </row>
    <row r="270" spans="1:59" ht="58" x14ac:dyDescent="0.35">
      <c r="A270" s="2" t="s">
        <v>59</v>
      </c>
      <c r="B270" s="2" t="s">
        <v>94</v>
      </c>
      <c r="C270" s="2" t="s">
        <v>2917</v>
      </c>
      <c r="D270" s="2" t="s">
        <v>2918</v>
      </c>
      <c r="E270" s="2" t="s">
        <v>2919</v>
      </c>
      <c r="G270" s="3" t="s">
        <v>64</v>
      </c>
      <c r="I270" s="3" t="s">
        <v>64</v>
      </c>
      <c r="J270" s="3" t="s">
        <v>64</v>
      </c>
      <c r="K270" s="3" t="s">
        <v>65</v>
      </c>
      <c r="L270" s="2" t="s">
        <v>2909</v>
      </c>
      <c r="M270" s="2" t="s">
        <v>2920</v>
      </c>
      <c r="N270" s="3" t="s">
        <v>486</v>
      </c>
      <c r="P270" s="3" t="s">
        <v>69</v>
      </c>
      <c r="Q270" s="2" t="s">
        <v>2921</v>
      </c>
      <c r="R270" s="3" t="s">
        <v>70</v>
      </c>
      <c r="S270" s="4">
        <v>12</v>
      </c>
      <c r="T270" s="4">
        <v>12</v>
      </c>
      <c r="U270" s="5" t="s">
        <v>2922</v>
      </c>
      <c r="V270" s="5" t="s">
        <v>2922</v>
      </c>
      <c r="W270" s="5" t="s">
        <v>72</v>
      </c>
      <c r="X270" s="5" t="s">
        <v>72</v>
      </c>
      <c r="Y270" s="4">
        <v>138</v>
      </c>
      <c r="Z270" s="4">
        <v>12</v>
      </c>
      <c r="AA270" s="4">
        <v>12</v>
      </c>
      <c r="AB270" s="4">
        <v>1</v>
      </c>
      <c r="AC270" s="4">
        <v>1</v>
      </c>
      <c r="AD270" s="4">
        <v>54</v>
      </c>
      <c r="AE270" s="4">
        <v>54</v>
      </c>
      <c r="AF270" s="4">
        <v>0</v>
      </c>
      <c r="AG270" s="4">
        <v>0</v>
      </c>
      <c r="AH270" s="4">
        <v>49</v>
      </c>
      <c r="AI270" s="4">
        <v>49</v>
      </c>
      <c r="AJ270" s="4">
        <v>9</v>
      </c>
      <c r="AK270" s="4">
        <v>9</v>
      </c>
      <c r="AL270" s="4">
        <v>34</v>
      </c>
      <c r="AM270" s="4">
        <v>34</v>
      </c>
      <c r="AN270" s="4">
        <v>0</v>
      </c>
      <c r="AO270" s="4">
        <v>0</v>
      </c>
      <c r="AP270" s="4">
        <v>10</v>
      </c>
      <c r="AQ270" s="4">
        <v>10</v>
      </c>
      <c r="AR270" s="3" t="s">
        <v>64</v>
      </c>
      <c r="AS270" s="3" t="s">
        <v>64</v>
      </c>
      <c r="AT270" s="3" t="s">
        <v>64</v>
      </c>
      <c r="AV270" s="6" t="str">
        <f>HYPERLINK("http://mcgill.on.worldcat.org/oclc/6506935","Catalog Record")</f>
        <v>Catalog Record</v>
      </c>
      <c r="AW270" s="6" t="str">
        <f>HYPERLINK("http://www.worldcat.org/oclc/6506935","WorldCat Record")</f>
        <v>WorldCat Record</v>
      </c>
      <c r="AX270" s="3" t="s">
        <v>2923</v>
      </c>
      <c r="AY270" s="3" t="s">
        <v>2924</v>
      </c>
      <c r="AZ270" s="3" t="s">
        <v>2925</v>
      </c>
      <c r="BA270" s="3" t="s">
        <v>2925</v>
      </c>
      <c r="BB270" s="3" t="s">
        <v>2926</v>
      </c>
      <c r="BC270" s="3" t="s">
        <v>78</v>
      </c>
      <c r="BD270" s="3" t="s">
        <v>79</v>
      </c>
      <c r="BE270" s="3" t="s">
        <v>2927</v>
      </c>
      <c r="BF270" s="3" t="s">
        <v>2926</v>
      </c>
      <c r="BG270" s="3" t="s">
        <v>2928</v>
      </c>
    </row>
    <row r="271" spans="1:59" ht="58" x14ac:dyDescent="0.35">
      <c r="A271" s="2" t="s">
        <v>59</v>
      </c>
      <c r="B271" s="2" t="s">
        <v>94</v>
      </c>
      <c r="C271" s="2" t="s">
        <v>2929</v>
      </c>
      <c r="D271" s="2" t="s">
        <v>2930</v>
      </c>
      <c r="E271" s="2" t="s">
        <v>2931</v>
      </c>
      <c r="G271" s="3" t="s">
        <v>64</v>
      </c>
      <c r="I271" s="3" t="s">
        <v>64</v>
      </c>
      <c r="J271" s="3" t="s">
        <v>64</v>
      </c>
      <c r="K271" s="3" t="s">
        <v>65</v>
      </c>
      <c r="L271" s="2" t="s">
        <v>2932</v>
      </c>
      <c r="M271" s="2" t="s">
        <v>2933</v>
      </c>
      <c r="N271" s="3" t="s">
        <v>719</v>
      </c>
      <c r="P271" s="3" t="s">
        <v>69</v>
      </c>
      <c r="R271" s="3" t="s">
        <v>70</v>
      </c>
      <c r="S271" s="4">
        <v>75</v>
      </c>
      <c r="T271" s="4">
        <v>75</v>
      </c>
      <c r="U271" s="5" t="s">
        <v>2934</v>
      </c>
      <c r="V271" s="5" t="s">
        <v>2934</v>
      </c>
      <c r="W271" s="5" t="s">
        <v>72</v>
      </c>
      <c r="X271" s="5" t="s">
        <v>72</v>
      </c>
      <c r="Y271" s="4">
        <v>135</v>
      </c>
      <c r="Z271" s="4">
        <v>20</v>
      </c>
      <c r="AA271" s="4">
        <v>51</v>
      </c>
      <c r="AB271" s="4">
        <v>3</v>
      </c>
      <c r="AC271" s="4">
        <v>10</v>
      </c>
      <c r="AD271" s="4">
        <v>29</v>
      </c>
      <c r="AE271" s="4">
        <v>128</v>
      </c>
      <c r="AF271" s="4">
        <v>1</v>
      </c>
      <c r="AG271" s="4">
        <v>4</v>
      </c>
      <c r="AH271" s="4">
        <v>19</v>
      </c>
      <c r="AI271" s="4">
        <v>106</v>
      </c>
      <c r="AJ271" s="4">
        <v>14</v>
      </c>
      <c r="AK271" s="4">
        <v>23</v>
      </c>
      <c r="AL271" s="4">
        <v>11</v>
      </c>
      <c r="AM271" s="4">
        <v>53</v>
      </c>
      <c r="AN271" s="4">
        <v>0</v>
      </c>
      <c r="AO271" s="4">
        <v>0</v>
      </c>
      <c r="AP271" s="4">
        <v>16</v>
      </c>
      <c r="AQ271" s="4">
        <v>34</v>
      </c>
      <c r="AR271" s="3" t="s">
        <v>64</v>
      </c>
      <c r="AS271" s="3" t="s">
        <v>64</v>
      </c>
      <c r="AT271" s="3" t="s">
        <v>73</v>
      </c>
      <c r="AU271" s="6" t="str">
        <f>HYPERLINK("http://catalog.hathitrust.org/Record/000326011","HathiTrust Record")</f>
        <v>HathiTrust Record</v>
      </c>
      <c r="AV271" s="6" t="str">
        <f>HYPERLINK("http://mcgill.on.worldcat.org/oclc/12457239","Catalog Record")</f>
        <v>Catalog Record</v>
      </c>
      <c r="AW271" s="6" t="str">
        <f>HYPERLINK("http://www.worldcat.org/oclc/12457239","WorldCat Record")</f>
        <v>WorldCat Record</v>
      </c>
      <c r="AX271" s="3" t="s">
        <v>2935</v>
      </c>
      <c r="AY271" s="3" t="s">
        <v>2936</v>
      </c>
      <c r="AZ271" s="3" t="s">
        <v>2937</v>
      </c>
      <c r="BA271" s="3" t="s">
        <v>2937</v>
      </c>
      <c r="BB271" s="3" t="s">
        <v>2938</v>
      </c>
      <c r="BC271" s="3" t="s">
        <v>78</v>
      </c>
      <c r="BD271" s="3" t="s">
        <v>79</v>
      </c>
      <c r="BE271" s="3" t="s">
        <v>2939</v>
      </c>
      <c r="BF271" s="3" t="s">
        <v>2938</v>
      </c>
      <c r="BG271" s="3" t="s">
        <v>2940</v>
      </c>
    </row>
    <row r="272" spans="1:59" ht="58" x14ac:dyDescent="0.35">
      <c r="A272" s="2" t="s">
        <v>59</v>
      </c>
      <c r="B272" s="2" t="s">
        <v>94</v>
      </c>
      <c r="C272" s="2" t="s">
        <v>2941</v>
      </c>
      <c r="D272" s="2" t="s">
        <v>2942</v>
      </c>
      <c r="E272" s="2" t="s">
        <v>2943</v>
      </c>
      <c r="G272" s="3" t="s">
        <v>64</v>
      </c>
      <c r="I272" s="3" t="s">
        <v>64</v>
      </c>
      <c r="J272" s="3" t="s">
        <v>64</v>
      </c>
      <c r="K272" s="3" t="s">
        <v>65</v>
      </c>
      <c r="L272" s="2" t="s">
        <v>2944</v>
      </c>
      <c r="M272" s="2" t="s">
        <v>2945</v>
      </c>
      <c r="N272" s="3" t="s">
        <v>2946</v>
      </c>
      <c r="P272" s="3" t="s">
        <v>2192</v>
      </c>
      <c r="Q272" s="2" t="s">
        <v>2947</v>
      </c>
      <c r="R272" s="3" t="s">
        <v>70</v>
      </c>
      <c r="S272" s="4">
        <v>1</v>
      </c>
      <c r="T272" s="4">
        <v>1</v>
      </c>
      <c r="U272" s="5" t="s">
        <v>2922</v>
      </c>
      <c r="V272" s="5" t="s">
        <v>2922</v>
      </c>
      <c r="W272" s="5" t="s">
        <v>72</v>
      </c>
      <c r="X272" s="5" t="s">
        <v>72</v>
      </c>
      <c r="Y272" s="4">
        <v>93</v>
      </c>
      <c r="Z272" s="4">
        <v>8</v>
      </c>
      <c r="AA272" s="4">
        <v>8</v>
      </c>
      <c r="AB272" s="4">
        <v>1</v>
      </c>
      <c r="AC272" s="4">
        <v>1</v>
      </c>
      <c r="AD272" s="4">
        <v>34</v>
      </c>
      <c r="AE272" s="4">
        <v>36</v>
      </c>
      <c r="AF272" s="4">
        <v>0</v>
      </c>
      <c r="AG272" s="4">
        <v>0</v>
      </c>
      <c r="AH272" s="4">
        <v>32</v>
      </c>
      <c r="AI272" s="4">
        <v>34</v>
      </c>
      <c r="AJ272" s="4">
        <v>5</v>
      </c>
      <c r="AK272" s="4">
        <v>5</v>
      </c>
      <c r="AL272" s="4">
        <v>24</v>
      </c>
      <c r="AM272" s="4">
        <v>25</v>
      </c>
      <c r="AN272" s="4">
        <v>0</v>
      </c>
      <c r="AO272" s="4">
        <v>0</v>
      </c>
      <c r="AP272" s="4">
        <v>6</v>
      </c>
      <c r="AQ272" s="4">
        <v>6</v>
      </c>
      <c r="AR272" s="3" t="s">
        <v>64</v>
      </c>
      <c r="AS272" s="3" t="s">
        <v>64</v>
      </c>
      <c r="AT272" s="3" t="s">
        <v>73</v>
      </c>
      <c r="AU272" s="6" t="str">
        <f>HYPERLINK("http://catalog.hathitrust.org/Record/000655499","HathiTrust Record")</f>
        <v>HathiTrust Record</v>
      </c>
      <c r="AV272" s="6" t="str">
        <f>HYPERLINK("http://mcgill.on.worldcat.org/oclc/7489464","Catalog Record")</f>
        <v>Catalog Record</v>
      </c>
      <c r="AW272" s="6" t="str">
        <f>HYPERLINK("http://www.worldcat.org/oclc/7489464","WorldCat Record")</f>
        <v>WorldCat Record</v>
      </c>
      <c r="AX272" s="3" t="s">
        <v>2948</v>
      </c>
      <c r="AY272" s="3" t="s">
        <v>2949</v>
      </c>
      <c r="AZ272" s="3" t="s">
        <v>2950</v>
      </c>
      <c r="BA272" s="3" t="s">
        <v>2950</v>
      </c>
      <c r="BB272" s="3" t="s">
        <v>2951</v>
      </c>
      <c r="BC272" s="3" t="s">
        <v>78</v>
      </c>
      <c r="BD272" s="3" t="s">
        <v>79</v>
      </c>
      <c r="BF272" s="3" t="s">
        <v>2951</v>
      </c>
      <c r="BG272" s="3" t="s">
        <v>2952</v>
      </c>
    </row>
    <row r="273" spans="1:59" ht="58" x14ac:dyDescent="0.35">
      <c r="A273" s="2" t="s">
        <v>59</v>
      </c>
      <c r="B273" s="2" t="s">
        <v>94</v>
      </c>
      <c r="C273" s="2" t="s">
        <v>2953</v>
      </c>
      <c r="D273" s="2" t="s">
        <v>2954</v>
      </c>
      <c r="E273" s="2" t="s">
        <v>2955</v>
      </c>
      <c r="G273" s="3" t="s">
        <v>64</v>
      </c>
      <c r="I273" s="3" t="s">
        <v>64</v>
      </c>
      <c r="J273" s="3" t="s">
        <v>64</v>
      </c>
      <c r="K273" s="3" t="s">
        <v>65</v>
      </c>
      <c r="L273" s="2" t="s">
        <v>2956</v>
      </c>
      <c r="M273" s="2" t="s">
        <v>2957</v>
      </c>
      <c r="N273" s="3" t="s">
        <v>1530</v>
      </c>
      <c r="O273" s="2" t="s">
        <v>2958</v>
      </c>
      <c r="P273" s="3" t="s">
        <v>162</v>
      </c>
      <c r="Q273" s="2" t="s">
        <v>2959</v>
      </c>
      <c r="R273" s="3" t="s">
        <v>70</v>
      </c>
      <c r="S273" s="4">
        <v>11</v>
      </c>
      <c r="T273" s="4">
        <v>11</v>
      </c>
      <c r="U273" s="5" t="s">
        <v>2960</v>
      </c>
      <c r="V273" s="5" t="s">
        <v>2960</v>
      </c>
      <c r="W273" s="5" t="s">
        <v>72</v>
      </c>
      <c r="X273" s="5" t="s">
        <v>72</v>
      </c>
      <c r="Y273" s="4">
        <v>9</v>
      </c>
      <c r="Z273" s="4">
        <v>3</v>
      </c>
      <c r="AA273" s="4">
        <v>15</v>
      </c>
      <c r="AB273" s="4">
        <v>1</v>
      </c>
      <c r="AC273" s="4">
        <v>5</v>
      </c>
      <c r="AD273" s="4">
        <v>4</v>
      </c>
      <c r="AE273" s="4">
        <v>37</v>
      </c>
      <c r="AF273" s="4">
        <v>0</v>
      </c>
      <c r="AG273" s="4">
        <v>3</v>
      </c>
      <c r="AH273" s="4">
        <v>4</v>
      </c>
      <c r="AI273" s="4">
        <v>32</v>
      </c>
      <c r="AJ273" s="4">
        <v>1</v>
      </c>
      <c r="AK273" s="4">
        <v>8</v>
      </c>
      <c r="AL273" s="4">
        <v>4</v>
      </c>
      <c r="AM273" s="4">
        <v>25</v>
      </c>
      <c r="AN273" s="4">
        <v>0</v>
      </c>
      <c r="AO273" s="4">
        <v>5</v>
      </c>
      <c r="AP273" s="4">
        <v>1</v>
      </c>
      <c r="AQ273" s="4">
        <v>10</v>
      </c>
      <c r="AR273" s="3" t="s">
        <v>64</v>
      </c>
      <c r="AS273" s="3" t="s">
        <v>64</v>
      </c>
      <c r="AT273" s="3" t="s">
        <v>73</v>
      </c>
      <c r="AU273" s="6" t="str">
        <f>HYPERLINK("http://catalog.hathitrust.org/Record/004254919","HathiTrust Record")</f>
        <v>HathiTrust Record</v>
      </c>
      <c r="AV273" s="6" t="str">
        <f>HYPERLINK("http://mcgill.on.worldcat.org/oclc/57680828","Catalog Record")</f>
        <v>Catalog Record</v>
      </c>
      <c r="AW273" s="6" t="str">
        <f>HYPERLINK("http://www.worldcat.org/oclc/57680828","WorldCat Record")</f>
        <v>WorldCat Record</v>
      </c>
      <c r="AX273" s="3" t="s">
        <v>2961</v>
      </c>
      <c r="AY273" s="3" t="s">
        <v>2962</v>
      </c>
      <c r="AZ273" s="3" t="s">
        <v>2963</v>
      </c>
      <c r="BA273" s="3" t="s">
        <v>2963</v>
      </c>
      <c r="BB273" s="3" t="s">
        <v>2964</v>
      </c>
      <c r="BC273" s="3" t="s">
        <v>78</v>
      </c>
      <c r="BD273" s="3" t="s">
        <v>79</v>
      </c>
      <c r="BE273" s="3" t="s">
        <v>2965</v>
      </c>
      <c r="BF273" s="3" t="s">
        <v>2964</v>
      </c>
      <c r="BG273" s="3" t="s">
        <v>2966</v>
      </c>
    </row>
    <row r="274" spans="1:59" ht="58" x14ac:dyDescent="0.35">
      <c r="A274" s="2" t="s">
        <v>59</v>
      </c>
      <c r="B274" s="2" t="s">
        <v>94</v>
      </c>
      <c r="C274" s="2" t="s">
        <v>2967</v>
      </c>
      <c r="D274" s="2" t="s">
        <v>2968</v>
      </c>
      <c r="E274" s="2" t="s">
        <v>2969</v>
      </c>
      <c r="G274" s="3" t="s">
        <v>64</v>
      </c>
      <c r="I274" s="3" t="s">
        <v>64</v>
      </c>
      <c r="J274" s="3" t="s">
        <v>64</v>
      </c>
      <c r="K274" s="3" t="s">
        <v>65</v>
      </c>
      <c r="L274" s="2" t="s">
        <v>2956</v>
      </c>
      <c r="M274" s="2" t="s">
        <v>2970</v>
      </c>
      <c r="N274" s="3" t="s">
        <v>136</v>
      </c>
      <c r="P274" s="3" t="s">
        <v>69</v>
      </c>
      <c r="R274" s="3" t="s">
        <v>70</v>
      </c>
      <c r="S274" s="4">
        <v>23</v>
      </c>
      <c r="T274" s="4">
        <v>23</v>
      </c>
      <c r="U274" s="5" t="s">
        <v>500</v>
      </c>
      <c r="V274" s="5" t="s">
        <v>500</v>
      </c>
      <c r="W274" s="5" t="s">
        <v>72</v>
      </c>
      <c r="X274" s="5" t="s">
        <v>72</v>
      </c>
      <c r="Y274" s="4">
        <v>170</v>
      </c>
      <c r="Z274" s="4">
        <v>10</v>
      </c>
      <c r="AA274" s="4">
        <v>33</v>
      </c>
      <c r="AB274" s="4">
        <v>2</v>
      </c>
      <c r="AC274" s="4">
        <v>5</v>
      </c>
      <c r="AD274" s="4">
        <v>26</v>
      </c>
      <c r="AE274" s="4">
        <v>106</v>
      </c>
      <c r="AF274" s="4">
        <v>1</v>
      </c>
      <c r="AG274" s="4">
        <v>1</v>
      </c>
      <c r="AH274" s="4">
        <v>21</v>
      </c>
      <c r="AI274" s="4">
        <v>91</v>
      </c>
      <c r="AJ274" s="4">
        <v>4</v>
      </c>
      <c r="AK274" s="4">
        <v>17</v>
      </c>
      <c r="AL274" s="4">
        <v>11</v>
      </c>
      <c r="AM274" s="4">
        <v>50</v>
      </c>
      <c r="AN274" s="4">
        <v>0</v>
      </c>
      <c r="AO274" s="4">
        <v>0</v>
      </c>
      <c r="AP274" s="4">
        <v>7</v>
      </c>
      <c r="AQ274" s="4">
        <v>24</v>
      </c>
      <c r="AR274" s="3" t="s">
        <v>64</v>
      </c>
      <c r="AS274" s="3" t="s">
        <v>64</v>
      </c>
      <c r="AT274" s="3" t="s">
        <v>64</v>
      </c>
      <c r="AV274" s="6" t="str">
        <f>HYPERLINK("http://mcgill.on.worldcat.org/oclc/43851873","Catalog Record")</f>
        <v>Catalog Record</v>
      </c>
      <c r="AW274" s="6" t="str">
        <f>HYPERLINK("http://www.worldcat.org/oclc/43851873","WorldCat Record")</f>
        <v>WorldCat Record</v>
      </c>
      <c r="AX274" s="3" t="s">
        <v>2971</v>
      </c>
      <c r="AY274" s="3" t="s">
        <v>2972</v>
      </c>
      <c r="AZ274" s="3" t="s">
        <v>2973</v>
      </c>
      <c r="BA274" s="3" t="s">
        <v>2973</v>
      </c>
      <c r="BB274" s="3" t="s">
        <v>2974</v>
      </c>
      <c r="BC274" s="3" t="s">
        <v>78</v>
      </c>
      <c r="BD274" s="3" t="s">
        <v>79</v>
      </c>
      <c r="BE274" s="3" t="s">
        <v>2975</v>
      </c>
      <c r="BF274" s="3" t="s">
        <v>2974</v>
      </c>
      <c r="BG274" s="3" t="s">
        <v>2976</v>
      </c>
    </row>
    <row r="275" spans="1:59" ht="58" x14ac:dyDescent="0.35">
      <c r="A275" s="2" t="s">
        <v>59</v>
      </c>
      <c r="B275" s="2" t="s">
        <v>94</v>
      </c>
      <c r="C275" s="2" t="s">
        <v>2977</v>
      </c>
      <c r="D275" s="2" t="s">
        <v>2978</v>
      </c>
      <c r="E275" s="2" t="s">
        <v>2979</v>
      </c>
      <c r="G275" s="3" t="s">
        <v>64</v>
      </c>
      <c r="I275" s="3" t="s">
        <v>64</v>
      </c>
      <c r="J275" s="3" t="s">
        <v>64</v>
      </c>
      <c r="K275" s="3" t="s">
        <v>65</v>
      </c>
      <c r="L275" s="2" t="s">
        <v>2980</v>
      </c>
      <c r="M275" s="2" t="s">
        <v>2981</v>
      </c>
      <c r="N275" s="3" t="s">
        <v>538</v>
      </c>
      <c r="P275" s="3" t="s">
        <v>69</v>
      </c>
      <c r="Q275" s="2" t="s">
        <v>2535</v>
      </c>
      <c r="R275" s="3" t="s">
        <v>70</v>
      </c>
      <c r="S275" s="4">
        <v>14</v>
      </c>
      <c r="T275" s="4">
        <v>14</v>
      </c>
      <c r="U275" s="5" t="s">
        <v>2982</v>
      </c>
      <c r="V275" s="5" t="s">
        <v>2982</v>
      </c>
      <c r="W275" s="5" t="s">
        <v>72</v>
      </c>
      <c r="X275" s="5" t="s">
        <v>72</v>
      </c>
      <c r="Y275" s="4">
        <v>293</v>
      </c>
      <c r="Z275" s="4">
        <v>19</v>
      </c>
      <c r="AA275" s="4">
        <v>21</v>
      </c>
      <c r="AB275" s="4">
        <v>1</v>
      </c>
      <c r="AC275" s="4">
        <v>3</v>
      </c>
      <c r="AD275" s="4">
        <v>84</v>
      </c>
      <c r="AE275" s="4">
        <v>86</v>
      </c>
      <c r="AF275" s="4">
        <v>0</v>
      </c>
      <c r="AG275" s="4">
        <v>1</v>
      </c>
      <c r="AH275" s="4">
        <v>77</v>
      </c>
      <c r="AI275" s="4">
        <v>79</v>
      </c>
      <c r="AJ275" s="4">
        <v>12</v>
      </c>
      <c r="AK275" s="4">
        <v>13</v>
      </c>
      <c r="AL275" s="4">
        <v>45</v>
      </c>
      <c r="AM275" s="4">
        <v>45</v>
      </c>
      <c r="AN275" s="4">
        <v>0</v>
      </c>
      <c r="AO275" s="4">
        <v>0</v>
      </c>
      <c r="AP275" s="4">
        <v>16</v>
      </c>
      <c r="AQ275" s="4">
        <v>17</v>
      </c>
      <c r="AR275" s="3" t="s">
        <v>64</v>
      </c>
      <c r="AS275" s="3" t="s">
        <v>64</v>
      </c>
      <c r="AT275" s="3" t="s">
        <v>73</v>
      </c>
      <c r="AU275" s="6" t="str">
        <f>HYPERLINK("http://catalog.hathitrust.org/Record/005618036","HathiTrust Record")</f>
        <v>HathiTrust Record</v>
      </c>
      <c r="AV275" s="6" t="str">
        <f>HYPERLINK("http://mcgill.on.worldcat.org/oclc/74964970","Catalog Record")</f>
        <v>Catalog Record</v>
      </c>
      <c r="AW275" s="6" t="str">
        <f>HYPERLINK("http://www.worldcat.org/oclc/74964970","WorldCat Record")</f>
        <v>WorldCat Record</v>
      </c>
      <c r="AX275" s="3" t="s">
        <v>2983</v>
      </c>
      <c r="AY275" s="3" t="s">
        <v>2984</v>
      </c>
      <c r="AZ275" s="3" t="s">
        <v>2985</v>
      </c>
      <c r="BA275" s="3" t="s">
        <v>2985</v>
      </c>
      <c r="BB275" s="3" t="s">
        <v>2986</v>
      </c>
      <c r="BC275" s="3" t="s">
        <v>78</v>
      </c>
      <c r="BD275" s="3" t="s">
        <v>79</v>
      </c>
      <c r="BE275" s="3" t="s">
        <v>2987</v>
      </c>
      <c r="BF275" s="3" t="s">
        <v>2986</v>
      </c>
      <c r="BG275" s="3" t="s">
        <v>2988</v>
      </c>
    </row>
    <row r="276" spans="1:59" ht="58" x14ac:dyDescent="0.35">
      <c r="A276" s="2" t="s">
        <v>59</v>
      </c>
      <c r="B276" s="2" t="s">
        <v>94</v>
      </c>
      <c r="C276" s="2" t="s">
        <v>2989</v>
      </c>
      <c r="D276" s="2" t="s">
        <v>2990</v>
      </c>
      <c r="E276" s="2" t="s">
        <v>2991</v>
      </c>
      <c r="G276" s="3" t="s">
        <v>64</v>
      </c>
      <c r="I276" s="3" t="s">
        <v>73</v>
      </c>
      <c r="J276" s="3" t="s">
        <v>64</v>
      </c>
      <c r="K276" s="3" t="s">
        <v>65</v>
      </c>
      <c r="L276" s="2" t="s">
        <v>2992</v>
      </c>
      <c r="M276" s="2" t="s">
        <v>2993</v>
      </c>
      <c r="N276" s="3" t="s">
        <v>2116</v>
      </c>
      <c r="P276" s="3" t="s">
        <v>69</v>
      </c>
      <c r="R276" s="3" t="s">
        <v>70</v>
      </c>
      <c r="S276" s="4">
        <v>14</v>
      </c>
      <c r="T276" s="4">
        <v>123</v>
      </c>
      <c r="U276" s="5" t="s">
        <v>2994</v>
      </c>
      <c r="V276" s="5" t="s">
        <v>2995</v>
      </c>
      <c r="W276" s="5" t="s">
        <v>72</v>
      </c>
      <c r="X276" s="5" t="s">
        <v>72</v>
      </c>
      <c r="Y276" s="4">
        <v>1096</v>
      </c>
      <c r="Z276" s="4">
        <v>51</v>
      </c>
      <c r="AA276" s="4">
        <v>59</v>
      </c>
      <c r="AB276" s="4">
        <v>3</v>
      </c>
      <c r="AC276" s="4">
        <v>7</v>
      </c>
      <c r="AD276" s="4">
        <v>127</v>
      </c>
      <c r="AE276" s="4">
        <v>138</v>
      </c>
      <c r="AF276" s="4">
        <v>1</v>
      </c>
      <c r="AG276" s="4">
        <v>4</v>
      </c>
      <c r="AH276" s="4">
        <v>102</v>
      </c>
      <c r="AI276" s="4">
        <v>111</v>
      </c>
      <c r="AJ276" s="4">
        <v>19</v>
      </c>
      <c r="AK276" s="4">
        <v>22</v>
      </c>
      <c r="AL276" s="4">
        <v>51</v>
      </c>
      <c r="AM276" s="4">
        <v>56</v>
      </c>
      <c r="AN276" s="4">
        <v>0</v>
      </c>
      <c r="AO276" s="4">
        <v>0</v>
      </c>
      <c r="AP276" s="4">
        <v>34</v>
      </c>
      <c r="AQ276" s="4">
        <v>36</v>
      </c>
      <c r="AR276" s="3" t="s">
        <v>64</v>
      </c>
      <c r="AS276" s="3" t="s">
        <v>64</v>
      </c>
      <c r="AT276" s="3" t="s">
        <v>73</v>
      </c>
      <c r="AU276" s="6" t="str">
        <f>HYPERLINK("http://catalog.hathitrust.org/Record/000730787","HathiTrust Record")</f>
        <v>HathiTrust Record</v>
      </c>
      <c r="AV276" s="6" t="str">
        <f>HYPERLINK("http://mcgill.on.worldcat.org/oclc/2542308","Catalog Record")</f>
        <v>Catalog Record</v>
      </c>
      <c r="AW276" s="6" t="str">
        <f>HYPERLINK("http://www.worldcat.org/oclc/2542308","WorldCat Record")</f>
        <v>WorldCat Record</v>
      </c>
      <c r="AX276" s="3" t="s">
        <v>2996</v>
      </c>
      <c r="AY276" s="3" t="s">
        <v>2997</v>
      </c>
      <c r="AZ276" s="3" t="s">
        <v>2998</v>
      </c>
      <c r="BA276" s="3" t="s">
        <v>2998</v>
      </c>
      <c r="BB276" s="3" t="s">
        <v>2999</v>
      </c>
      <c r="BC276" s="3" t="s">
        <v>78</v>
      </c>
      <c r="BD276" s="3" t="s">
        <v>79</v>
      </c>
      <c r="BE276" s="3" t="s">
        <v>3000</v>
      </c>
      <c r="BF276" s="3" t="s">
        <v>2999</v>
      </c>
      <c r="BG276" s="3" t="s">
        <v>3001</v>
      </c>
    </row>
    <row r="277" spans="1:59" ht="58" x14ac:dyDescent="0.35">
      <c r="A277" s="2" t="s">
        <v>59</v>
      </c>
      <c r="B277" s="2" t="s">
        <v>94</v>
      </c>
      <c r="C277" s="2" t="s">
        <v>2989</v>
      </c>
      <c r="D277" s="2" t="s">
        <v>2990</v>
      </c>
      <c r="E277" s="2" t="s">
        <v>2991</v>
      </c>
      <c r="G277" s="3" t="s">
        <v>64</v>
      </c>
      <c r="I277" s="3" t="s">
        <v>73</v>
      </c>
      <c r="J277" s="3" t="s">
        <v>64</v>
      </c>
      <c r="K277" s="3" t="s">
        <v>65</v>
      </c>
      <c r="L277" s="2" t="s">
        <v>2992</v>
      </c>
      <c r="M277" s="2" t="s">
        <v>2993</v>
      </c>
      <c r="N277" s="3" t="s">
        <v>2116</v>
      </c>
      <c r="P277" s="3" t="s">
        <v>69</v>
      </c>
      <c r="R277" s="3" t="s">
        <v>70</v>
      </c>
      <c r="S277" s="4">
        <v>65</v>
      </c>
      <c r="T277" s="4">
        <v>123</v>
      </c>
      <c r="U277" s="5" t="s">
        <v>3002</v>
      </c>
      <c r="V277" s="5" t="s">
        <v>2995</v>
      </c>
      <c r="W277" s="5" t="s">
        <v>72</v>
      </c>
      <c r="X277" s="5" t="s">
        <v>72</v>
      </c>
      <c r="Y277" s="4">
        <v>1096</v>
      </c>
      <c r="Z277" s="4">
        <v>51</v>
      </c>
      <c r="AA277" s="4">
        <v>59</v>
      </c>
      <c r="AB277" s="4">
        <v>3</v>
      </c>
      <c r="AC277" s="4">
        <v>7</v>
      </c>
      <c r="AD277" s="4">
        <v>127</v>
      </c>
      <c r="AE277" s="4">
        <v>138</v>
      </c>
      <c r="AF277" s="4">
        <v>1</v>
      </c>
      <c r="AG277" s="4">
        <v>4</v>
      </c>
      <c r="AH277" s="4">
        <v>102</v>
      </c>
      <c r="AI277" s="4">
        <v>111</v>
      </c>
      <c r="AJ277" s="4">
        <v>19</v>
      </c>
      <c r="AK277" s="4">
        <v>22</v>
      </c>
      <c r="AL277" s="4">
        <v>51</v>
      </c>
      <c r="AM277" s="4">
        <v>56</v>
      </c>
      <c r="AN277" s="4">
        <v>0</v>
      </c>
      <c r="AO277" s="4">
        <v>0</v>
      </c>
      <c r="AP277" s="4">
        <v>34</v>
      </c>
      <c r="AQ277" s="4">
        <v>36</v>
      </c>
      <c r="AR277" s="3" t="s">
        <v>64</v>
      </c>
      <c r="AS277" s="3" t="s">
        <v>64</v>
      </c>
      <c r="AT277" s="3" t="s">
        <v>73</v>
      </c>
      <c r="AU277" s="6" t="str">
        <f>HYPERLINK("http://catalog.hathitrust.org/Record/000730787","HathiTrust Record")</f>
        <v>HathiTrust Record</v>
      </c>
      <c r="AV277" s="6" t="str">
        <f>HYPERLINK("http://mcgill.on.worldcat.org/oclc/2542308","Catalog Record")</f>
        <v>Catalog Record</v>
      </c>
      <c r="AW277" s="6" t="str">
        <f>HYPERLINK("http://www.worldcat.org/oclc/2542308","WorldCat Record")</f>
        <v>WorldCat Record</v>
      </c>
      <c r="AX277" s="3" t="s">
        <v>2996</v>
      </c>
      <c r="AY277" s="3" t="s">
        <v>2997</v>
      </c>
      <c r="AZ277" s="3" t="s">
        <v>2998</v>
      </c>
      <c r="BA277" s="3" t="s">
        <v>2998</v>
      </c>
      <c r="BB277" s="3" t="s">
        <v>3003</v>
      </c>
      <c r="BC277" s="3" t="s">
        <v>78</v>
      </c>
      <c r="BD277" s="3" t="s">
        <v>79</v>
      </c>
      <c r="BE277" s="3" t="s">
        <v>3000</v>
      </c>
      <c r="BF277" s="3" t="s">
        <v>3003</v>
      </c>
      <c r="BG277" s="3" t="s">
        <v>3004</v>
      </c>
    </row>
    <row r="278" spans="1:59" ht="58" x14ac:dyDescent="0.35">
      <c r="A278" s="2" t="s">
        <v>59</v>
      </c>
      <c r="B278" s="2" t="s">
        <v>94</v>
      </c>
      <c r="C278" s="2" t="s">
        <v>2989</v>
      </c>
      <c r="D278" s="2" t="s">
        <v>2990</v>
      </c>
      <c r="E278" s="2" t="s">
        <v>2991</v>
      </c>
      <c r="G278" s="3" t="s">
        <v>64</v>
      </c>
      <c r="I278" s="3" t="s">
        <v>73</v>
      </c>
      <c r="J278" s="3" t="s">
        <v>64</v>
      </c>
      <c r="K278" s="3" t="s">
        <v>65</v>
      </c>
      <c r="L278" s="2" t="s">
        <v>2992</v>
      </c>
      <c r="M278" s="2" t="s">
        <v>2993</v>
      </c>
      <c r="N278" s="3" t="s">
        <v>2116</v>
      </c>
      <c r="P278" s="3" t="s">
        <v>69</v>
      </c>
      <c r="R278" s="3" t="s">
        <v>70</v>
      </c>
      <c r="S278" s="4">
        <v>44</v>
      </c>
      <c r="T278" s="4">
        <v>123</v>
      </c>
      <c r="U278" s="5" t="s">
        <v>2995</v>
      </c>
      <c r="V278" s="5" t="s">
        <v>2995</v>
      </c>
      <c r="W278" s="5" t="s">
        <v>72</v>
      </c>
      <c r="X278" s="5" t="s">
        <v>72</v>
      </c>
      <c r="Y278" s="4">
        <v>1096</v>
      </c>
      <c r="Z278" s="4">
        <v>51</v>
      </c>
      <c r="AA278" s="4">
        <v>59</v>
      </c>
      <c r="AB278" s="4">
        <v>3</v>
      </c>
      <c r="AC278" s="4">
        <v>7</v>
      </c>
      <c r="AD278" s="4">
        <v>127</v>
      </c>
      <c r="AE278" s="4">
        <v>138</v>
      </c>
      <c r="AF278" s="4">
        <v>1</v>
      </c>
      <c r="AG278" s="4">
        <v>4</v>
      </c>
      <c r="AH278" s="4">
        <v>102</v>
      </c>
      <c r="AI278" s="4">
        <v>111</v>
      </c>
      <c r="AJ278" s="4">
        <v>19</v>
      </c>
      <c r="AK278" s="4">
        <v>22</v>
      </c>
      <c r="AL278" s="4">
        <v>51</v>
      </c>
      <c r="AM278" s="4">
        <v>56</v>
      </c>
      <c r="AN278" s="4">
        <v>0</v>
      </c>
      <c r="AO278" s="4">
        <v>0</v>
      </c>
      <c r="AP278" s="4">
        <v>34</v>
      </c>
      <c r="AQ278" s="4">
        <v>36</v>
      </c>
      <c r="AR278" s="3" t="s">
        <v>64</v>
      </c>
      <c r="AS278" s="3" t="s">
        <v>64</v>
      </c>
      <c r="AT278" s="3" t="s">
        <v>73</v>
      </c>
      <c r="AU278" s="6" t="str">
        <f>HYPERLINK("http://catalog.hathitrust.org/Record/000730787","HathiTrust Record")</f>
        <v>HathiTrust Record</v>
      </c>
      <c r="AV278" s="6" t="str">
        <f>HYPERLINK("http://mcgill.on.worldcat.org/oclc/2542308","Catalog Record")</f>
        <v>Catalog Record</v>
      </c>
      <c r="AW278" s="6" t="str">
        <f>HYPERLINK("http://www.worldcat.org/oclc/2542308","WorldCat Record")</f>
        <v>WorldCat Record</v>
      </c>
      <c r="AX278" s="3" t="s">
        <v>2996</v>
      </c>
      <c r="AY278" s="3" t="s">
        <v>2997</v>
      </c>
      <c r="AZ278" s="3" t="s">
        <v>2998</v>
      </c>
      <c r="BA278" s="3" t="s">
        <v>2998</v>
      </c>
      <c r="BB278" s="3" t="s">
        <v>3005</v>
      </c>
      <c r="BC278" s="3" t="s">
        <v>78</v>
      </c>
      <c r="BD278" s="3" t="s">
        <v>79</v>
      </c>
      <c r="BE278" s="3" t="s">
        <v>3000</v>
      </c>
      <c r="BF278" s="3" t="s">
        <v>3005</v>
      </c>
      <c r="BG278" s="3" t="s">
        <v>3006</v>
      </c>
    </row>
    <row r="279" spans="1:59" ht="58" x14ac:dyDescent="0.35">
      <c r="A279" s="2" t="s">
        <v>59</v>
      </c>
      <c r="B279" s="2" t="s">
        <v>94</v>
      </c>
      <c r="C279" s="2" t="s">
        <v>3007</v>
      </c>
      <c r="D279" s="2" t="s">
        <v>3008</v>
      </c>
      <c r="E279" s="2" t="s">
        <v>3009</v>
      </c>
      <c r="G279" s="3" t="s">
        <v>64</v>
      </c>
      <c r="I279" s="3" t="s">
        <v>64</v>
      </c>
      <c r="J279" s="3" t="s">
        <v>64</v>
      </c>
      <c r="K279" s="3" t="s">
        <v>65</v>
      </c>
      <c r="L279" s="2" t="s">
        <v>3010</v>
      </c>
      <c r="M279" s="2" t="s">
        <v>3011</v>
      </c>
      <c r="N279" s="3" t="s">
        <v>733</v>
      </c>
      <c r="P279" s="3" t="s">
        <v>69</v>
      </c>
      <c r="Q279" s="2" t="s">
        <v>3012</v>
      </c>
      <c r="R279" s="3" t="s">
        <v>70</v>
      </c>
      <c r="S279" s="4">
        <v>15</v>
      </c>
      <c r="T279" s="4">
        <v>15</v>
      </c>
      <c r="U279" s="5" t="s">
        <v>3013</v>
      </c>
      <c r="V279" s="5" t="s">
        <v>3013</v>
      </c>
      <c r="W279" s="5" t="s">
        <v>72</v>
      </c>
      <c r="X279" s="5" t="s">
        <v>72</v>
      </c>
      <c r="Y279" s="4">
        <v>137</v>
      </c>
      <c r="Z279" s="4">
        <v>11</v>
      </c>
      <c r="AA279" s="4">
        <v>14</v>
      </c>
      <c r="AB279" s="4">
        <v>1</v>
      </c>
      <c r="AC279" s="4">
        <v>3</v>
      </c>
      <c r="AD279" s="4">
        <v>50</v>
      </c>
      <c r="AE279" s="4">
        <v>51</v>
      </c>
      <c r="AF279" s="4">
        <v>0</v>
      </c>
      <c r="AG279" s="4">
        <v>0</v>
      </c>
      <c r="AH279" s="4">
        <v>44</v>
      </c>
      <c r="AI279" s="4">
        <v>45</v>
      </c>
      <c r="AJ279" s="4">
        <v>5</v>
      </c>
      <c r="AK279" s="4">
        <v>6</v>
      </c>
      <c r="AL279" s="4">
        <v>33</v>
      </c>
      <c r="AM279" s="4">
        <v>33</v>
      </c>
      <c r="AN279" s="4">
        <v>5</v>
      </c>
      <c r="AO279" s="4">
        <v>5</v>
      </c>
      <c r="AP279" s="4">
        <v>9</v>
      </c>
      <c r="AQ279" s="4">
        <v>10</v>
      </c>
      <c r="AR279" s="3" t="s">
        <v>64</v>
      </c>
      <c r="AS279" s="3" t="s">
        <v>64</v>
      </c>
      <c r="AT279" s="3" t="s">
        <v>73</v>
      </c>
      <c r="AU279" s="6" t="str">
        <f>HYPERLINK("http://catalog.hathitrust.org/Record/000825973","HathiTrust Record")</f>
        <v>HathiTrust Record</v>
      </c>
      <c r="AV279" s="6" t="str">
        <f>HYPERLINK("http://mcgill.on.worldcat.org/oclc/20416716","Catalog Record")</f>
        <v>Catalog Record</v>
      </c>
      <c r="AW279" s="6" t="str">
        <f>HYPERLINK("http://www.worldcat.org/oclc/20416716","WorldCat Record")</f>
        <v>WorldCat Record</v>
      </c>
      <c r="AX279" s="3" t="s">
        <v>3014</v>
      </c>
      <c r="AY279" s="3" t="s">
        <v>3015</v>
      </c>
      <c r="AZ279" s="3" t="s">
        <v>3016</v>
      </c>
      <c r="BA279" s="3" t="s">
        <v>3016</v>
      </c>
      <c r="BB279" s="3" t="s">
        <v>3017</v>
      </c>
      <c r="BC279" s="3" t="s">
        <v>78</v>
      </c>
      <c r="BD279" s="3" t="s">
        <v>79</v>
      </c>
      <c r="BE279" s="3" t="s">
        <v>3018</v>
      </c>
      <c r="BF279" s="3" t="s">
        <v>3017</v>
      </c>
      <c r="BG279" s="3" t="s">
        <v>3019</v>
      </c>
    </row>
    <row r="280" spans="1:59" ht="58" x14ac:dyDescent="0.35">
      <c r="A280" s="2" t="s">
        <v>59</v>
      </c>
      <c r="B280" s="2" t="s">
        <v>94</v>
      </c>
      <c r="C280" s="2" t="s">
        <v>3020</v>
      </c>
      <c r="D280" s="2" t="s">
        <v>3021</v>
      </c>
      <c r="E280" s="2" t="s">
        <v>3022</v>
      </c>
      <c r="G280" s="3" t="s">
        <v>64</v>
      </c>
      <c r="I280" s="3" t="s">
        <v>64</v>
      </c>
      <c r="J280" s="3" t="s">
        <v>64</v>
      </c>
      <c r="K280" s="3" t="s">
        <v>65</v>
      </c>
      <c r="L280" s="2" t="s">
        <v>3023</v>
      </c>
      <c r="M280" s="2" t="s">
        <v>3024</v>
      </c>
      <c r="N280" s="3" t="s">
        <v>340</v>
      </c>
      <c r="P280" s="3" t="s">
        <v>69</v>
      </c>
      <c r="Q280" s="2" t="s">
        <v>3025</v>
      </c>
      <c r="R280" s="3" t="s">
        <v>70</v>
      </c>
      <c r="S280" s="4">
        <v>23</v>
      </c>
      <c r="T280" s="4">
        <v>23</v>
      </c>
      <c r="U280" s="5" t="s">
        <v>3026</v>
      </c>
      <c r="V280" s="5" t="s">
        <v>3026</v>
      </c>
      <c r="W280" s="5" t="s">
        <v>72</v>
      </c>
      <c r="X280" s="5" t="s">
        <v>72</v>
      </c>
      <c r="Y280" s="4">
        <v>112</v>
      </c>
      <c r="Z280" s="4">
        <v>11</v>
      </c>
      <c r="AA280" s="4">
        <v>14</v>
      </c>
      <c r="AB280" s="4">
        <v>1</v>
      </c>
      <c r="AC280" s="4">
        <v>2</v>
      </c>
      <c r="AD280" s="4">
        <v>57</v>
      </c>
      <c r="AE280" s="4">
        <v>61</v>
      </c>
      <c r="AF280" s="4">
        <v>0</v>
      </c>
      <c r="AG280" s="4">
        <v>1</v>
      </c>
      <c r="AH280" s="4">
        <v>54</v>
      </c>
      <c r="AI280" s="4">
        <v>56</v>
      </c>
      <c r="AJ280" s="4">
        <v>6</v>
      </c>
      <c r="AK280" s="4">
        <v>9</v>
      </c>
      <c r="AL280" s="4">
        <v>35</v>
      </c>
      <c r="AM280" s="4">
        <v>36</v>
      </c>
      <c r="AN280" s="4">
        <v>0</v>
      </c>
      <c r="AO280" s="4">
        <v>0</v>
      </c>
      <c r="AP280" s="4">
        <v>8</v>
      </c>
      <c r="AQ280" s="4">
        <v>10</v>
      </c>
      <c r="AR280" s="3" t="s">
        <v>64</v>
      </c>
      <c r="AS280" s="3" t="s">
        <v>64</v>
      </c>
      <c r="AT280" s="3" t="s">
        <v>73</v>
      </c>
      <c r="AU280" s="6" t="str">
        <f>HYPERLINK("http://catalog.hathitrust.org/Record/003968129","HathiTrust Record")</f>
        <v>HathiTrust Record</v>
      </c>
      <c r="AV280" s="6" t="str">
        <f>HYPERLINK("http://mcgill.on.worldcat.org/oclc/39858151","Catalog Record")</f>
        <v>Catalog Record</v>
      </c>
      <c r="AW280" s="6" t="str">
        <f>HYPERLINK("http://www.worldcat.org/oclc/39858151","WorldCat Record")</f>
        <v>WorldCat Record</v>
      </c>
      <c r="AX280" s="3" t="s">
        <v>3027</v>
      </c>
      <c r="AY280" s="3" t="s">
        <v>3028</v>
      </c>
      <c r="AZ280" s="3" t="s">
        <v>3029</v>
      </c>
      <c r="BA280" s="3" t="s">
        <v>3029</v>
      </c>
      <c r="BB280" s="3" t="s">
        <v>3030</v>
      </c>
      <c r="BC280" s="3" t="s">
        <v>78</v>
      </c>
      <c r="BD280" s="3" t="s">
        <v>79</v>
      </c>
      <c r="BE280" s="3" t="s">
        <v>3031</v>
      </c>
      <c r="BF280" s="3" t="s">
        <v>3030</v>
      </c>
      <c r="BG280" s="3" t="s">
        <v>3032</v>
      </c>
    </row>
    <row r="281" spans="1:59" ht="58" x14ac:dyDescent="0.35">
      <c r="A281" s="2" t="s">
        <v>59</v>
      </c>
      <c r="B281" s="2" t="s">
        <v>94</v>
      </c>
      <c r="C281" s="2" t="s">
        <v>3033</v>
      </c>
      <c r="D281" s="2" t="s">
        <v>3034</v>
      </c>
      <c r="E281" s="2" t="s">
        <v>3035</v>
      </c>
      <c r="G281" s="3" t="s">
        <v>64</v>
      </c>
      <c r="I281" s="3" t="s">
        <v>64</v>
      </c>
      <c r="J281" s="3" t="s">
        <v>64</v>
      </c>
      <c r="K281" s="3" t="s">
        <v>65</v>
      </c>
      <c r="L281" s="2" t="s">
        <v>3036</v>
      </c>
      <c r="M281" s="2" t="s">
        <v>1566</v>
      </c>
      <c r="N281" s="3" t="s">
        <v>449</v>
      </c>
      <c r="P281" s="3" t="s">
        <v>69</v>
      </c>
      <c r="R281" s="3" t="s">
        <v>70</v>
      </c>
      <c r="S281" s="4">
        <v>16</v>
      </c>
      <c r="T281" s="4">
        <v>16</v>
      </c>
      <c r="U281" s="5" t="s">
        <v>3037</v>
      </c>
      <c r="V281" s="5" t="s">
        <v>3037</v>
      </c>
      <c r="W281" s="5" t="s">
        <v>72</v>
      </c>
      <c r="X281" s="5" t="s">
        <v>72</v>
      </c>
      <c r="Y281" s="4">
        <v>220</v>
      </c>
      <c r="Z281" s="4">
        <v>19</v>
      </c>
      <c r="AA281" s="4">
        <v>25</v>
      </c>
      <c r="AB281" s="4">
        <v>2</v>
      </c>
      <c r="AC281" s="4">
        <v>6</v>
      </c>
      <c r="AD281" s="4">
        <v>83</v>
      </c>
      <c r="AE281" s="4">
        <v>90</v>
      </c>
      <c r="AF281" s="4">
        <v>1</v>
      </c>
      <c r="AG281" s="4">
        <v>3</v>
      </c>
      <c r="AH281" s="4">
        <v>73</v>
      </c>
      <c r="AI281" s="4">
        <v>78</v>
      </c>
      <c r="AJ281" s="4">
        <v>14</v>
      </c>
      <c r="AK281" s="4">
        <v>17</v>
      </c>
      <c r="AL281" s="4">
        <v>43</v>
      </c>
      <c r="AM281" s="4">
        <v>45</v>
      </c>
      <c r="AN281" s="4">
        <v>0</v>
      </c>
      <c r="AO281" s="4">
        <v>0</v>
      </c>
      <c r="AP281" s="4">
        <v>17</v>
      </c>
      <c r="AQ281" s="4">
        <v>20</v>
      </c>
      <c r="AR281" s="3" t="s">
        <v>64</v>
      </c>
      <c r="AS281" s="3" t="s">
        <v>64</v>
      </c>
      <c r="AT281" s="3" t="s">
        <v>64</v>
      </c>
      <c r="AV281" s="6" t="str">
        <f>HYPERLINK("http://mcgill.on.worldcat.org/oclc/147987121","Catalog Record")</f>
        <v>Catalog Record</v>
      </c>
      <c r="AW281" s="6" t="str">
        <f>HYPERLINK("http://www.worldcat.org/oclc/147987121","WorldCat Record")</f>
        <v>WorldCat Record</v>
      </c>
      <c r="AX281" s="3" t="s">
        <v>3038</v>
      </c>
      <c r="AY281" s="3" t="s">
        <v>3039</v>
      </c>
      <c r="AZ281" s="3" t="s">
        <v>3040</v>
      </c>
      <c r="BA281" s="3" t="s">
        <v>3040</v>
      </c>
      <c r="BB281" s="3" t="s">
        <v>3041</v>
      </c>
      <c r="BC281" s="3" t="s">
        <v>78</v>
      </c>
      <c r="BD281" s="3" t="s">
        <v>79</v>
      </c>
      <c r="BE281" s="3" t="s">
        <v>3042</v>
      </c>
      <c r="BF281" s="3" t="s">
        <v>3041</v>
      </c>
      <c r="BG281" s="3" t="s">
        <v>3043</v>
      </c>
    </row>
    <row r="282" spans="1:59" ht="58" x14ac:dyDescent="0.35">
      <c r="A282" s="2" t="s">
        <v>59</v>
      </c>
      <c r="B282" s="2" t="s">
        <v>94</v>
      </c>
      <c r="C282" s="2" t="s">
        <v>3044</v>
      </c>
      <c r="D282" s="2" t="s">
        <v>3045</v>
      </c>
      <c r="E282" s="2" t="s">
        <v>3046</v>
      </c>
      <c r="G282" s="3" t="s">
        <v>64</v>
      </c>
      <c r="I282" s="3" t="s">
        <v>64</v>
      </c>
      <c r="J282" s="3" t="s">
        <v>64</v>
      </c>
      <c r="K282" s="3" t="s">
        <v>65</v>
      </c>
      <c r="L282" s="2" t="s">
        <v>3047</v>
      </c>
      <c r="M282" s="2" t="s">
        <v>1076</v>
      </c>
      <c r="N282" s="3" t="s">
        <v>1029</v>
      </c>
      <c r="P282" s="3" t="s">
        <v>69</v>
      </c>
      <c r="Q282" s="2" t="s">
        <v>3048</v>
      </c>
      <c r="R282" s="3" t="s">
        <v>70</v>
      </c>
      <c r="S282" s="4">
        <v>19</v>
      </c>
      <c r="T282" s="4">
        <v>19</v>
      </c>
      <c r="U282" s="5" t="s">
        <v>3049</v>
      </c>
      <c r="V282" s="5" t="s">
        <v>3049</v>
      </c>
      <c r="W282" s="5" t="s">
        <v>72</v>
      </c>
      <c r="X282" s="5" t="s">
        <v>72</v>
      </c>
      <c r="Y282" s="4">
        <v>332</v>
      </c>
      <c r="Z282" s="4">
        <v>23</v>
      </c>
      <c r="AA282" s="4">
        <v>24</v>
      </c>
      <c r="AB282" s="4">
        <v>2</v>
      </c>
      <c r="AC282" s="4">
        <v>3</v>
      </c>
      <c r="AD282" s="4">
        <v>85</v>
      </c>
      <c r="AE282" s="4">
        <v>86</v>
      </c>
      <c r="AF282" s="4">
        <v>1</v>
      </c>
      <c r="AG282" s="4">
        <v>2</v>
      </c>
      <c r="AH282" s="4">
        <v>72</v>
      </c>
      <c r="AI282" s="4">
        <v>73</v>
      </c>
      <c r="AJ282" s="4">
        <v>16</v>
      </c>
      <c r="AK282" s="4">
        <v>17</v>
      </c>
      <c r="AL282" s="4">
        <v>42</v>
      </c>
      <c r="AM282" s="4">
        <v>42</v>
      </c>
      <c r="AN282" s="4">
        <v>0</v>
      </c>
      <c r="AO282" s="4">
        <v>0</v>
      </c>
      <c r="AP282" s="4">
        <v>19</v>
      </c>
      <c r="AQ282" s="4">
        <v>20</v>
      </c>
      <c r="AR282" s="3" t="s">
        <v>64</v>
      </c>
      <c r="AS282" s="3" t="s">
        <v>64</v>
      </c>
      <c r="AT282" s="3" t="s">
        <v>64</v>
      </c>
      <c r="AV282" s="6" t="str">
        <f>HYPERLINK("http://mcgill.on.worldcat.org/oclc/231745643","Catalog Record")</f>
        <v>Catalog Record</v>
      </c>
      <c r="AW282" s="6" t="str">
        <f>HYPERLINK("http://www.worldcat.org/oclc/231745643","WorldCat Record")</f>
        <v>WorldCat Record</v>
      </c>
      <c r="AX282" s="3" t="s">
        <v>3050</v>
      </c>
      <c r="AY282" s="3" t="s">
        <v>3051</v>
      </c>
      <c r="AZ282" s="3" t="s">
        <v>3052</v>
      </c>
      <c r="BA282" s="3" t="s">
        <v>3052</v>
      </c>
      <c r="BB282" s="3" t="s">
        <v>3053</v>
      </c>
      <c r="BC282" s="3" t="s">
        <v>78</v>
      </c>
      <c r="BD282" s="3" t="s">
        <v>79</v>
      </c>
      <c r="BE282" s="3" t="s">
        <v>3054</v>
      </c>
      <c r="BF282" s="3" t="s">
        <v>3053</v>
      </c>
      <c r="BG282" s="3" t="s">
        <v>3055</v>
      </c>
    </row>
    <row r="283" spans="1:59" ht="58" x14ac:dyDescent="0.35">
      <c r="A283" s="2" t="s">
        <v>59</v>
      </c>
      <c r="B283" s="2" t="s">
        <v>94</v>
      </c>
      <c r="C283" s="2" t="s">
        <v>3056</v>
      </c>
      <c r="D283" s="2" t="s">
        <v>3057</v>
      </c>
      <c r="E283" s="2" t="s">
        <v>3058</v>
      </c>
      <c r="G283" s="3" t="s">
        <v>64</v>
      </c>
      <c r="I283" s="3" t="s">
        <v>64</v>
      </c>
      <c r="J283" s="3" t="s">
        <v>64</v>
      </c>
      <c r="K283" s="3" t="s">
        <v>65</v>
      </c>
      <c r="L283" s="2" t="s">
        <v>3059</v>
      </c>
      <c r="M283" s="2" t="s">
        <v>3060</v>
      </c>
      <c r="N283" s="3" t="s">
        <v>1764</v>
      </c>
      <c r="P283" s="3" t="s">
        <v>69</v>
      </c>
      <c r="R283" s="3" t="s">
        <v>70</v>
      </c>
      <c r="S283" s="4">
        <v>26</v>
      </c>
      <c r="T283" s="4">
        <v>26</v>
      </c>
      <c r="U283" s="5" t="s">
        <v>3061</v>
      </c>
      <c r="V283" s="5" t="s">
        <v>3061</v>
      </c>
      <c r="W283" s="5" t="s">
        <v>72</v>
      </c>
      <c r="X283" s="5" t="s">
        <v>72</v>
      </c>
      <c r="Y283" s="4">
        <v>85</v>
      </c>
      <c r="Z283" s="4">
        <v>12</v>
      </c>
      <c r="AA283" s="4">
        <v>12</v>
      </c>
      <c r="AB283" s="4">
        <v>1</v>
      </c>
      <c r="AC283" s="4">
        <v>1</v>
      </c>
      <c r="AD283" s="4">
        <v>36</v>
      </c>
      <c r="AE283" s="4">
        <v>36</v>
      </c>
      <c r="AF283" s="4">
        <v>0</v>
      </c>
      <c r="AG283" s="4">
        <v>0</v>
      </c>
      <c r="AH283" s="4">
        <v>29</v>
      </c>
      <c r="AI283" s="4">
        <v>29</v>
      </c>
      <c r="AJ283" s="4">
        <v>7</v>
      </c>
      <c r="AK283" s="4">
        <v>7</v>
      </c>
      <c r="AL283" s="4">
        <v>21</v>
      </c>
      <c r="AM283" s="4">
        <v>21</v>
      </c>
      <c r="AN283" s="4">
        <v>0</v>
      </c>
      <c r="AO283" s="4">
        <v>0</v>
      </c>
      <c r="AP283" s="4">
        <v>10</v>
      </c>
      <c r="AQ283" s="4">
        <v>10</v>
      </c>
      <c r="AR283" s="3" t="s">
        <v>64</v>
      </c>
      <c r="AS283" s="3" t="s">
        <v>64</v>
      </c>
      <c r="AT283" s="3" t="s">
        <v>73</v>
      </c>
      <c r="AU283" s="6" t="str">
        <f>HYPERLINK("http://catalog.hathitrust.org/Record/006056565","HathiTrust Record")</f>
        <v>HathiTrust Record</v>
      </c>
      <c r="AV283" s="6" t="str">
        <f>HYPERLINK("http://mcgill.on.worldcat.org/oclc/11312170","Catalog Record")</f>
        <v>Catalog Record</v>
      </c>
      <c r="AW283" s="6" t="str">
        <f>HYPERLINK("http://www.worldcat.org/oclc/11312170","WorldCat Record")</f>
        <v>WorldCat Record</v>
      </c>
      <c r="AX283" s="3" t="s">
        <v>3062</v>
      </c>
      <c r="AY283" s="3" t="s">
        <v>3063</v>
      </c>
      <c r="AZ283" s="3" t="s">
        <v>3064</v>
      </c>
      <c r="BA283" s="3" t="s">
        <v>3064</v>
      </c>
      <c r="BB283" s="3" t="s">
        <v>3065</v>
      </c>
      <c r="BC283" s="3" t="s">
        <v>78</v>
      </c>
      <c r="BD283" s="3" t="s">
        <v>79</v>
      </c>
      <c r="BE283" s="3" t="s">
        <v>3066</v>
      </c>
      <c r="BF283" s="3" t="s">
        <v>3065</v>
      </c>
      <c r="BG283" s="3" t="s">
        <v>3067</v>
      </c>
    </row>
    <row r="284" spans="1:59" ht="58" x14ac:dyDescent="0.35">
      <c r="A284" s="2" t="s">
        <v>59</v>
      </c>
      <c r="B284" s="2" t="s">
        <v>94</v>
      </c>
      <c r="C284" s="2" t="s">
        <v>3068</v>
      </c>
      <c r="D284" s="2" t="s">
        <v>3069</v>
      </c>
      <c r="E284" s="2" t="s">
        <v>3070</v>
      </c>
      <c r="G284" s="3" t="s">
        <v>64</v>
      </c>
      <c r="I284" s="3" t="s">
        <v>64</v>
      </c>
      <c r="J284" s="3" t="s">
        <v>64</v>
      </c>
      <c r="K284" s="3" t="s">
        <v>65</v>
      </c>
      <c r="L284" s="2" t="s">
        <v>2733</v>
      </c>
      <c r="M284" s="2" t="s">
        <v>3071</v>
      </c>
      <c r="N284" s="3" t="s">
        <v>449</v>
      </c>
      <c r="P284" s="3" t="s">
        <v>69</v>
      </c>
      <c r="Q284" s="2" t="s">
        <v>3072</v>
      </c>
      <c r="R284" s="3" t="s">
        <v>70</v>
      </c>
      <c r="S284" s="4">
        <v>36</v>
      </c>
      <c r="T284" s="4">
        <v>36</v>
      </c>
      <c r="U284" s="5" t="s">
        <v>3073</v>
      </c>
      <c r="V284" s="5" t="s">
        <v>3073</v>
      </c>
      <c r="W284" s="5" t="s">
        <v>72</v>
      </c>
      <c r="X284" s="5" t="s">
        <v>72</v>
      </c>
      <c r="Y284" s="4">
        <v>277</v>
      </c>
      <c r="Z284" s="4">
        <v>25</v>
      </c>
      <c r="AA284" s="4">
        <v>29</v>
      </c>
      <c r="AB284" s="4">
        <v>2</v>
      </c>
      <c r="AC284" s="4">
        <v>6</v>
      </c>
      <c r="AD284" s="4">
        <v>77</v>
      </c>
      <c r="AE284" s="4">
        <v>79</v>
      </c>
      <c r="AF284" s="4">
        <v>1</v>
      </c>
      <c r="AG284" s="4">
        <v>2</v>
      </c>
      <c r="AH284" s="4">
        <v>61</v>
      </c>
      <c r="AI284" s="4">
        <v>63</v>
      </c>
      <c r="AJ284" s="4">
        <v>13</v>
      </c>
      <c r="AK284" s="4">
        <v>14</v>
      </c>
      <c r="AL284" s="4">
        <v>44</v>
      </c>
      <c r="AM284" s="4">
        <v>44</v>
      </c>
      <c r="AN284" s="4">
        <v>0</v>
      </c>
      <c r="AO284" s="4">
        <v>0</v>
      </c>
      <c r="AP284" s="4">
        <v>21</v>
      </c>
      <c r="AQ284" s="4">
        <v>22</v>
      </c>
      <c r="AR284" s="3" t="s">
        <v>64</v>
      </c>
      <c r="AS284" s="3" t="s">
        <v>64</v>
      </c>
      <c r="AT284" s="3" t="s">
        <v>73</v>
      </c>
      <c r="AU284" s="6" t="str">
        <f>HYPERLINK("http://catalog.hathitrust.org/Record/005837022","HathiTrust Record")</f>
        <v>HathiTrust Record</v>
      </c>
      <c r="AV284" s="6" t="str">
        <f>HYPERLINK("http://mcgill.on.worldcat.org/oclc/182621502","Catalog Record")</f>
        <v>Catalog Record</v>
      </c>
      <c r="AW284" s="6" t="str">
        <f>HYPERLINK("http://www.worldcat.org/oclc/182621502","WorldCat Record")</f>
        <v>WorldCat Record</v>
      </c>
      <c r="AX284" s="3" t="s">
        <v>3074</v>
      </c>
      <c r="AY284" s="3" t="s">
        <v>3075</v>
      </c>
      <c r="AZ284" s="3" t="s">
        <v>3076</v>
      </c>
      <c r="BA284" s="3" t="s">
        <v>3076</v>
      </c>
      <c r="BB284" s="3" t="s">
        <v>3077</v>
      </c>
      <c r="BC284" s="3" t="s">
        <v>78</v>
      </c>
      <c r="BD284" s="3" t="s">
        <v>79</v>
      </c>
      <c r="BE284" s="3" t="s">
        <v>3078</v>
      </c>
      <c r="BF284" s="3" t="s">
        <v>3077</v>
      </c>
      <c r="BG284" s="3" t="s">
        <v>3079</v>
      </c>
    </row>
    <row r="285" spans="1:59" ht="58" x14ac:dyDescent="0.35">
      <c r="A285" s="2" t="s">
        <v>59</v>
      </c>
      <c r="B285" s="2" t="s">
        <v>94</v>
      </c>
      <c r="C285" s="2" t="s">
        <v>3080</v>
      </c>
      <c r="D285" s="2" t="s">
        <v>3081</v>
      </c>
      <c r="E285" s="2" t="s">
        <v>3082</v>
      </c>
      <c r="G285" s="3" t="s">
        <v>64</v>
      </c>
      <c r="I285" s="3" t="s">
        <v>64</v>
      </c>
      <c r="J285" s="3" t="s">
        <v>64</v>
      </c>
      <c r="K285" s="3" t="s">
        <v>65</v>
      </c>
      <c r="L285" s="2" t="s">
        <v>3083</v>
      </c>
      <c r="M285" s="2" t="s">
        <v>3084</v>
      </c>
      <c r="N285" s="3" t="s">
        <v>3085</v>
      </c>
      <c r="P285" s="3" t="s">
        <v>69</v>
      </c>
      <c r="Q285" s="2" t="s">
        <v>3086</v>
      </c>
      <c r="R285" s="3" t="s">
        <v>70</v>
      </c>
      <c r="S285" s="4">
        <v>23</v>
      </c>
      <c r="T285" s="4">
        <v>23</v>
      </c>
      <c r="U285" s="5" t="s">
        <v>579</v>
      </c>
      <c r="V285" s="5" t="s">
        <v>579</v>
      </c>
      <c r="W285" s="5" t="s">
        <v>72</v>
      </c>
      <c r="X285" s="5" t="s">
        <v>72</v>
      </c>
      <c r="Y285" s="4">
        <v>316</v>
      </c>
      <c r="Z285" s="4">
        <v>24</v>
      </c>
      <c r="AA285" s="4">
        <v>34</v>
      </c>
      <c r="AB285" s="4">
        <v>2</v>
      </c>
      <c r="AC285" s="4">
        <v>3</v>
      </c>
      <c r="AD285" s="4">
        <v>90</v>
      </c>
      <c r="AE285" s="4">
        <v>107</v>
      </c>
      <c r="AF285" s="4">
        <v>1</v>
      </c>
      <c r="AG285" s="4">
        <v>2</v>
      </c>
      <c r="AH285" s="4">
        <v>76</v>
      </c>
      <c r="AI285" s="4">
        <v>88</v>
      </c>
      <c r="AJ285" s="4">
        <v>13</v>
      </c>
      <c r="AK285" s="4">
        <v>19</v>
      </c>
      <c r="AL285" s="4">
        <v>42</v>
      </c>
      <c r="AM285" s="4">
        <v>49</v>
      </c>
      <c r="AN285" s="4">
        <v>0</v>
      </c>
      <c r="AO285" s="4">
        <v>0</v>
      </c>
      <c r="AP285" s="4">
        <v>20</v>
      </c>
      <c r="AQ285" s="4">
        <v>28</v>
      </c>
      <c r="AR285" s="3" t="s">
        <v>64</v>
      </c>
      <c r="AS285" s="3" t="s">
        <v>64</v>
      </c>
      <c r="AT285" s="3" t="s">
        <v>73</v>
      </c>
      <c r="AU285" s="6" t="str">
        <f>HYPERLINK("http://catalog.hathitrust.org/Record/000611528","HathiTrust Record")</f>
        <v>HathiTrust Record</v>
      </c>
      <c r="AV285" s="6" t="str">
        <f>HYPERLINK("http://mcgill.on.worldcat.org/oclc/1825038","Catalog Record")</f>
        <v>Catalog Record</v>
      </c>
      <c r="AW285" s="6" t="str">
        <f>HYPERLINK("http://www.worldcat.org/oclc/1825038","WorldCat Record")</f>
        <v>WorldCat Record</v>
      </c>
      <c r="AX285" s="3" t="s">
        <v>3087</v>
      </c>
      <c r="AY285" s="3" t="s">
        <v>3088</v>
      </c>
      <c r="AZ285" s="3" t="s">
        <v>3089</v>
      </c>
      <c r="BA285" s="3" t="s">
        <v>3089</v>
      </c>
      <c r="BB285" s="3" t="s">
        <v>3090</v>
      </c>
      <c r="BC285" s="3" t="s">
        <v>78</v>
      </c>
      <c r="BD285" s="3" t="s">
        <v>79</v>
      </c>
      <c r="BF285" s="3" t="s">
        <v>3090</v>
      </c>
      <c r="BG285" s="3" t="s">
        <v>3091</v>
      </c>
    </row>
    <row r="286" spans="1:59" ht="58" x14ac:dyDescent="0.35">
      <c r="A286" s="2" t="s">
        <v>59</v>
      </c>
      <c r="B286" s="2" t="s">
        <v>94</v>
      </c>
      <c r="C286" s="2" t="s">
        <v>3092</v>
      </c>
      <c r="D286" s="2" t="s">
        <v>3093</v>
      </c>
      <c r="E286" s="2" t="s">
        <v>3094</v>
      </c>
      <c r="G286" s="3" t="s">
        <v>64</v>
      </c>
      <c r="I286" s="3" t="s">
        <v>64</v>
      </c>
      <c r="J286" s="3" t="s">
        <v>64</v>
      </c>
      <c r="K286" s="3" t="s">
        <v>65</v>
      </c>
      <c r="L286" s="2" t="s">
        <v>3095</v>
      </c>
      <c r="M286" s="2" t="s">
        <v>3096</v>
      </c>
      <c r="N286" s="3" t="s">
        <v>68</v>
      </c>
      <c r="P286" s="3" t="s">
        <v>69</v>
      </c>
      <c r="R286" s="3" t="s">
        <v>70</v>
      </c>
      <c r="S286" s="4">
        <v>102</v>
      </c>
      <c r="T286" s="4">
        <v>102</v>
      </c>
      <c r="U286" s="5" t="s">
        <v>2843</v>
      </c>
      <c r="V286" s="5" t="s">
        <v>2843</v>
      </c>
      <c r="W286" s="5" t="s">
        <v>72</v>
      </c>
      <c r="X286" s="5" t="s">
        <v>72</v>
      </c>
      <c r="Y286" s="4">
        <v>494</v>
      </c>
      <c r="Z286" s="4">
        <v>24</v>
      </c>
      <c r="AA286" s="4">
        <v>114</v>
      </c>
      <c r="AB286" s="4">
        <v>2</v>
      </c>
      <c r="AC286" s="4">
        <v>20</v>
      </c>
      <c r="AD286" s="4">
        <v>91</v>
      </c>
      <c r="AE286" s="4">
        <v>139</v>
      </c>
      <c r="AF286" s="4">
        <v>0</v>
      </c>
      <c r="AG286" s="4">
        <v>8</v>
      </c>
      <c r="AH286" s="4">
        <v>81</v>
      </c>
      <c r="AI286" s="4">
        <v>100</v>
      </c>
      <c r="AJ286" s="4">
        <v>12</v>
      </c>
      <c r="AK286" s="4">
        <v>26</v>
      </c>
      <c r="AL286" s="4">
        <v>46</v>
      </c>
      <c r="AM286" s="4">
        <v>52</v>
      </c>
      <c r="AN286" s="4">
        <v>0</v>
      </c>
      <c r="AO286" s="4">
        <v>0</v>
      </c>
      <c r="AP286" s="4">
        <v>17</v>
      </c>
      <c r="AQ286" s="4">
        <v>48</v>
      </c>
      <c r="AR286" s="3" t="s">
        <v>64</v>
      </c>
      <c r="AS286" s="3" t="s">
        <v>64</v>
      </c>
      <c r="AT286" s="3" t="s">
        <v>64</v>
      </c>
      <c r="AV286" s="6" t="str">
        <f>HYPERLINK("http://mcgill.on.worldcat.org/oclc/62133734","Catalog Record")</f>
        <v>Catalog Record</v>
      </c>
      <c r="AW286" s="6" t="str">
        <f>HYPERLINK("http://www.worldcat.org/oclc/62133734","WorldCat Record")</f>
        <v>WorldCat Record</v>
      </c>
      <c r="AX286" s="3" t="s">
        <v>3097</v>
      </c>
      <c r="AY286" s="3" t="s">
        <v>3098</v>
      </c>
      <c r="AZ286" s="3" t="s">
        <v>3099</v>
      </c>
      <c r="BA286" s="3" t="s">
        <v>3099</v>
      </c>
      <c r="BB286" s="3" t="s">
        <v>3100</v>
      </c>
      <c r="BC286" s="3" t="s">
        <v>78</v>
      </c>
      <c r="BD286" s="3" t="s">
        <v>79</v>
      </c>
      <c r="BE286" s="3" t="s">
        <v>3101</v>
      </c>
      <c r="BF286" s="3" t="s">
        <v>3100</v>
      </c>
      <c r="BG286" s="3" t="s">
        <v>3102</v>
      </c>
    </row>
    <row r="287" spans="1:59" ht="58" x14ac:dyDescent="0.35">
      <c r="A287" s="2" t="s">
        <v>59</v>
      </c>
      <c r="B287" s="2" t="s">
        <v>94</v>
      </c>
      <c r="C287" s="2" t="s">
        <v>3103</v>
      </c>
      <c r="D287" s="2" t="s">
        <v>3104</v>
      </c>
      <c r="E287" s="2" t="s">
        <v>3105</v>
      </c>
      <c r="G287" s="3" t="s">
        <v>64</v>
      </c>
      <c r="I287" s="3" t="s">
        <v>73</v>
      </c>
      <c r="J287" s="3" t="s">
        <v>64</v>
      </c>
      <c r="K287" s="3" t="s">
        <v>65</v>
      </c>
      <c r="L287" s="2" t="s">
        <v>3095</v>
      </c>
      <c r="M287" s="2" t="s">
        <v>3106</v>
      </c>
      <c r="N287" s="3" t="s">
        <v>705</v>
      </c>
      <c r="P287" s="3" t="s">
        <v>69</v>
      </c>
      <c r="R287" s="3" t="s">
        <v>70</v>
      </c>
      <c r="S287" s="4">
        <v>40</v>
      </c>
      <c r="T287" s="4">
        <v>54</v>
      </c>
      <c r="U287" s="5" t="s">
        <v>3002</v>
      </c>
      <c r="V287" s="5" t="s">
        <v>3002</v>
      </c>
      <c r="W287" s="5" t="s">
        <v>72</v>
      </c>
      <c r="X287" s="5" t="s">
        <v>72</v>
      </c>
      <c r="Y287" s="4">
        <v>347</v>
      </c>
      <c r="Z287" s="4">
        <v>23</v>
      </c>
      <c r="AA287" s="4">
        <v>33</v>
      </c>
      <c r="AB287" s="4">
        <v>2</v>
      </c>
      <c r="AC287" s="4">
        <v>6</v>
      </c>
      <c r="AD287" s="4">
        <v>83</v>
      </c>
      <c r="AE287" s="4">
        <v>114</v>
      </c>
      <c r="AF287" s="4">
        <v>1</v>
      </c>
      <c r="AG287" s="4">
        <v>2</v>
      </c>
      <c r="AH287" s="4">
        <v>71</v>
      </c>
      <c r="AI287" s="4">
        <v>99</v>
      </c>
      <c r="AJ287" s="4">
        <v>15</v>
      </c>
      <c r="AK287" s="4">
        <v>19</v>
      </c>
      <c r="AL287" s="4">
        <v>37</v>
      </c>
      <c r="AM287" s="4">
        <v>54</v>
      </c>
      <c r="AN287" s="4">
        <v>0</v>
      </c>
      <c r="AO287" s="4">
        <v>0</v>
      </c>
      <c r="AP287" s="4">
        <v>19</v>
      </c>
      <c r="AQ287" s="4">
        <v>24</v>
      </c>
      <c r="AR287" s="3" t="s">
        <v>64</v>
      </c>
      <c r="AS287" s="3" t="s">
        <v>64</v>
      </c>
      <c r="AT287" s="3" t="s">
        <v>64</v>
      </c>
      <c r="AV287" s="6" t="str">
        <f>HYPERLINK("http://mcgill.on.worldcat.org/oclc/35247589","Catalog Record")</f>
        <v>Catalog Record</v>
      </c>
      <c r="AW287" s="6" t="str">
        <f>HYPERLINK("http://www.worldcat.org/oclc/35247589","WorldCat Record")</f>
        <v>WorldCat Record</v>
      </c>
      <c r="AX287" s="3" t="s">
        <v>3107</v>
      </c>
      <c r="AY287" s="3" t="s">
        <v>3108</v>
      </c>
      <c r="AZ287" s="3" t="s">
        <v>3109</v>
      </c>
      <c r="BA287" s="3" t="s">
        <v>3109</v>
      </c>
      <c r="BB287" s="3" t="s">
        <v>3110</v>
      </c>
      <c r="BC287" s="3" t="s">
        <v>78</v>
      </c>
      <c r="BD287" s="3" t="s">
        <v>79</v>
      </c>
      <c r="BE287" s="3" t="s">
        <v>3111</v>
      </c>
      <c r="BF287" s="3" t="s">
        <v>3110</v>
      </c>
      <c r="BG287" s="3" t="s">
        <v>3112</v>
      </c>
    </row>
    <row r="288" spans="1:59" ht="58" x14ac:dyDescent="0.35">
      <c r="A288" s="2" t="s">
        <v>59</v>
      </c>
      <c r="B288" s="2" t="s">
        <v>94</v>
      </c>
      <c r="C288" s="2" t="s">
        <v>3103</v>
      </c>
      <c r="D288" s="2" t="s">
        <v>3104</v>
      </c>
      <c r="E288" s="2" t="s">
        <v>3105</v>
      </c>
      <c r="G288" s="3" t="s">
        <v>64</v>
      </c>
      <c r="I288" s="3" t="s">
        <v>73</v>
      </c>
      <c r="J288" s="3" t="s">
        <v>64</v>
      </c>
      <c r="K288" s="3" t="s">
        <v>65</v>
      </c>
      <c r="L288" s="2" t="s">
        <v>3095</v>
      </c>
      <c r="M288" s="2" t="s">
        <v>3106</v>
      </c>
      <c r="N288" s="3" t="s">
        <v>705</v>
      </c>
      <c r="P288" s="3" t="s">
        <v>69</v>
      </c>
      <c r="R288" s="3" t="s">
        <v>70</v>
      </c>
      <c r="S288" s="4">
        <v>14</v>
      </c>
      <c r="T288" s="4">
        <v>54</v>
      </c>
      <c r="U288" s="5" t="s">
        <v>2982</v>
      </c>
      <c r="V288" s="5" t="s">
        <v>3002</v>
      </c>
      <c r="W288" s="5" t="s">
        <v>72</v>
      </c>
      <c r="X288" s="5" t="s">
        <v>72</v>
      </c>
      <c r="Y288" s="4">
        <v>347</v>
      </c>
      <c r="Z288" s="4">
        <v>23</v>
      </c>
      <c r="AA288" s="4">
        <v>33</v>
      </c>
      <c r="AB288" s="4">
        <v>2</v>
      </c>
      <c r="AC288" s="4">
        <v>6</v>
      </c>
      <c r="AD288" s="4">
        <v>83</v>
      </c>
      <c r="AE288" s="4">
        <v>114</v>
      </c>
      <c r="AF288" s="4">
        <v>1</v>
      </c>
      <c r="AG288" s="4">
        <v>2</v>
      </c>
      <c r="AH288" s="4">
        <v>71</v>
      </c>
      <c r="AI288" s="4">
        <v>99</v>
      </c>
      <c r="AJ288" s="4">
        <v>15</v>
      </c>
      <c r="AK288" s="4">
        <v>19</v>
      </c>
      <c r="AL288" s="4">
        <v>37</v>
      </c>
      <c r="AM288" s="4">
        <v>54</v>
      </c>
      <c r="AN288" s="4">
        <v>0</v>
      </c>
      <c r="AO288" s="4">
        <v>0</v>
      </c>
      <c r="AP288" s="4">
        <v>19</v>
      </c>
      <c r="AQ288" s="4">
        <v>24</v>
      </c>
      <c r="AR288" s="3" t="s">
        <v>64</v>
      </c>
      <c r="AS288" s="3" t="s">
        <v>64</v>
      </c>
      <c r="AT288" s="3" t="s">
        <v>64</v>
      </c>
      <c r="AV288" s="6" t="str">
        <f>HYPERLINK("http://mcgill.on.worldcat.org/oclc/35247589","Catalog Record")</f>
        <v>Catalog Record</v>
      </c>
      <c r="AW288" s="6" t="str">
        <f>HYPERLINK("http://www.worldcat.org/oclc/35247589","WorldCat Record")</f>
        <v>WorldCat Record</v>
      </c>
      <c r="AX288" s="3" t="s">
        <v>3107</v>
      </c>
      <c r="AY288" s="3" t="s">
        <v>3108</v>
      </c>
      <c r="AZ288" s="3" t="s">
        <v>3109</v>
      </c>
      <c r="BA288" s="3" t="s">
        <v>3109</v>
      </c>
      <c r="BB288" s="3" t="s">
        <v>3113</v>
      </c>
      <c r="BC288" s="3" t="s">
        <v>78</v>
      </c>
      <c r="BD288" s="3" t="s">
        <v>79</v>
      </c>
      <c r="BE288" s="3" t="s">
        <v>3111</v>
      </c>
      <c r="BF288" s="3" t="s">
        <v>3113</v>
      </c>
      <c r="BG288" s="3" t="s">
        <v>3114</v>
      </c>
    </row>
    <row r="289" spans="1:59" ht="58" x14ac:dyDescent="0.35">
      <c r="A289" s="2" t="s">
        <v>59</v>
      </c>
      <c r="B289" s="2" t="s">
        <v>94</v>
      </c>
      <c r="C289" s="2" t="s">
        <v>3115</v>
      </c>
      <c r="D289" s="2" t="s">
        <v>3116</v>
      </c>
      <c r="E289" s="2" t="s">
        <v>3117</v>
      </c>
      <c r="G289" s="3" t="s">
        <v>64</v>
      </c>
      <c r="I289" s="3" t="s">
        <v>64</v>
      </c>
      <c r="J289" s="3" t="s">
        <v>64</v>
      </c>
      <c r="K289" s="3" t="s">
        <v>65</v>
      </c>
      <c r="L289" s="2" t="s">
        <v>3118</v>
      </c>
      <c r="M289" s="2" t="s">
        <v>3119</v>
      </c>
      <c r="N289" s="3" t="s">
        <v>1154</v>
      </c>
      <c r="P289" s="3" t="s">
        <v>69</v>
      </c>
      <c r="R289" s="3" t="s">
        <v>70</v>
      </c>
      <c r="S289" s="4">
        <v>24</v>
      </c>
      <c r="T289" s="4">
        <v>24</v>
      </c>
      <c r="U289" s="5" t="s">
        <v>2843</v>
      </c>
      <c r="V289" s="5" t="s">
        <v>2843</v>
      </c>
      <c r="W289" s="5" t="s">
        <v>72</v>
      </c>
      <c r="X289" s="5" t="s">
        <v>72</v>
      </c>
      <c r="Y289" s="4">
        <v>389</v>
      </c>
      <c r="Z289" s="4">
        <v>25</v>
      </c>
      <c r="AA289" s="4">
        <v>33</v>
      </c>
      <c r="AB289" s="4">
        <v>2</v>
      </c>
      <c r="AC289" s="4">
        <v>6</v>
      </c>
      <c r="AD289" s="4">
        <v>95</v>
      </c>
      <c r="AE289" s="4">
        <v>115</v>
      </c>
      <c r="AF289" s="4">
        <v>1</v>
      </c>
      <c r="AG289" s="4">
        <v>2</v>
      </c>
      <c r="AH289" s="4">
        <v>82</v>
      </c>
      <c r="AI289" s="4">
        <v>101</v>
      </c>
      <c r="AJ289" s="4">
        <v>14</v>
      </c>
      <c r="AK289" s="4">
        <v>17</v>
      </c>
      <c r="AL289" s="4">
        <v>43</v>
      </c>
      <c r="AM289" s="4">
        <v>56</v>
      </c>
      <c r="AN289" s="4">
        <v>0</v>
      </c>
      <c r="AO289" s="4">
        <v>0</v>
      </c>
      <c r="AP289" s="4">
        <v>20</v>
      </c>
      <c r="AQ289" s="4">
        <v>22</v>
      </c>
      <c r="AR289" s="3" t="s">
        <v>64</v>
      </c>
      <c r="AS289" s="3" t="s">
        <v>64</v>
      </c>
      <c r="AT289" s="3" t="s">
        <v>73</v>
      </c>
      <c r="AU289" s="6" t="str">
        <f>HYPERLINK("http://catalog.hathitrust.org/Record/002884466","HathiTrust Record")</f>
        <v>HathiTrust Record</v>
      </c>
      <c r="AV289" s="6" t="str">
        <f>HYPERLINK("http://mcgill.on.worldcat.org/oclc/28852169","Catalog Record")</f>
        <v>Catalog Record</v>
      </c>
      <c r="AW289" s="6" t="str">
        <f>HYPERLINK("http://www.worldcat.org/oclc/28852169","WorldCat Record")</f>
        <v>WorldCat Record</v>
      </c>
      <c r="AX289" s="3" t="s">
        <v>3120</v>
      </c>
      <c r="AY289" s="3" t="s">
        <v>3121</v>
      </c>
      <c r="AZ289" s="3" t="s">
        <v>3122</v>
      </c>
      <c r="BA289" s="3" t="s">
        <v>3122</v>
      </c>
      <c r="BB289" s="3" t="s">
        <v>3123</v>
      </c>
      <c r="BC289" s="3" t="s">
        <v>78</v>
      </c>
      <c r="BD289" s="3" t="s">
        <v>79</v>
      </c>
      <c r="BE289" s="3" t="s">
        <v>3124</v>
      </c>
      <c r="BF289" s="3" t="s">
        <v>3123</v>
      </c>
      <c r="BG289" s="3" t="s">
        <v>3125</v>
      </c>
    </row>
    <row r="290" spans="1:59" ht="58" x14ac:dyDescent="0.35">
      <c r="A290" s="2" t="s">
        <v>59</v>
      </c>
      <c r="B290" s="2" t="s">
        <v>94</v>
      </c>
      <c r="C290" s="2" t="s">
        <v>3126</v>
      </c>
      <c r="D290" s="2" t="s">
        <v>3127</v>
      </c>
      <c r="E290" s="2" t="s">
        <v>3128</v>
      </c>
      <c r="G290" s="3" t="s">
        <v>64</v>
      </c>
      <c r="I290" s="3" t="s">
        <v>64</v>
      </c>
      <c r="J290" s="3" t="s">
        <v>64</v>
      </c>
      <c r="K290" s="3" t="s">
        <v>65</v>
      </c>
      <c r="M290" s="2" t="s">
        <v>3129</v>
      </c>
      <c r="N290" s="3" t="s">
        <v>214</v>
      </c>
      <c r="P290" s="3" t="s">
        <v>2192</v>
      </c>
      <c r="Q290" s="2" t="s">
        <v>3130</v>
      </c>
      <c r="R290" s="3" t="s">
        <v>70</v>
      </c>
      <c r="S290" s="4">
        <v>4</v>
      </c>
      <c r="T290" s="4">
        <v>4</v>
      </c>
      <c r="U290" s="5" t="s">
        <v>1249</v>
      </c>
      <c r="V290" s="5" t="s">
        <v>1249</v>
      </c>
      <c r="W290" s="5" t="s">
        <v>72</v>
      </c>
      <c r="X290" s="5" t="s">
        <v>72</v>
      </c>
      <c r="Y290" s="4">
        <v>102</v>
      </c>
      <c r="Z290" s="4">
        <v>11</v>
      </c>
      <c r="AA290" s="4">
        <v>12</v>
      </c>
      <c r="AB290" s="4">
        <v>1</v>
      </c>
      <c r="AC290" s="4">
        <v>2</v>
      </c>
      <c r="AD290" s="4">
        <v>52</v>
      </c>
      <c r="AE290" s="4">
        <v>52</v>
      </c>
      <c r="AF290" s="4">
        <v>0</v>
      </c>
      <c r="AG290" s="4">
        <v>0</v>
      </c>
      <c r="AH290" s="4">
        <v>50</v>
      </c>
      <c r="AI290" s="4">
        <v>50</v>
      </c>
      <c r="AJ290" s="4">
        <v>8</v>
      </c>
      <c r="AK290" s="4">
        <v>8</v>
      </c>
      <c r="AL290" s="4">
        <v>38</v>
      </c>
      <c r="AM290" s="4">
        <v>38</v>
      </c>
      <c r="AN290" s="4">
        <v>0</v>
      </c>
      <c r="AO290" s="4">
        <v>0</v>
      </c>
      <c r="AP290" s="4">
        <v>9</v>
      </c>
      <c r="AQ290" s="4">
        <v>9</v>
      </c>
      <c r="AR290" s="3" t="s">
        <v>64</v>
      </c>
      <c r="AS290" s="3" t="s">
        <v>64</v>
      </c>
      <c r="AT290" s="3" t="s">
        <v>64</v>
      </c>
      <c r="AV290" s="6" t="str">
        <f>HYPERLINK("http://mcgill.on.worldcat.org/oclc/505428384","Catalog Record")</f>
        <v>Catalog Record</v>
      </c>
      <c r="AW290" s="6" t="str">
        <f>HYPERLINK("http://www.worldcat.org/oclc/505428384","WorldCat Record")</f>
        <v>WorldCat Record</v>
      </c>
      <c r="AX290" s="3" t="s">
        <v>3131</v>
      </c>
      <c r="AY290" s="3" t="s">
        <v>3132</v>
      </c>
      <c r="AZ290" s="3" t="s">
        <v>3133</v>
      </c>
      <c r="BA290" s="3" t="s">
        <v>3133</v>
      </c>
      <c r="BB290" s="3" t="s">
        <v>3134</v>
      </c>
      <c r="BC290" s="3" t="s">
        <v>78</v>
      </c>
      <c r="BD290" s="3" t="s">
        <v>79</v>
      </c>
      <c r="BE290" s="3" t="s">
        <v>3135</v>
      </c>
      <c r="BF290" s="3" t="s">
        <v>3134</v>
      </c>
      <c r="BG290" s="3" t="s">
        <v>3136</v>
      </c>
    </row>
    <row r="291" spans="1:59" ht="58" x14ac:dyDescent="0.35">
      <c r="A291" s="2" t="s">
        <v>59</v>
      </c>
      <c r="B291" s="2" t="s">
        <v>94</v>
      </c>
      <c r="C291" s="2" t="s">
        <v>3137</v>
      </c>
      <c r="D291" s="2" t="s">
        <v>3138</v>
      </c>
      <c r="E291" s="2" t="s">
        <v>3139</v>
      </c>
      <c r="G291" s="3" t="s">
        <v>64</v>
      </c>
      <c r="I291" s="3" t="s">
        <v>73</v>
      </c>
      <c r="J291" s="3" t="s">
        <v>64</v>
      </c>
      <c r="K291" s="3" t="s">
        <v>65</v>
      </c>
      <c r="M291" s="2" t="s">
        <v>3140</v>
      </c>
      <c r="N291" s="3" t="s">
        <v>303</v>
      </c>
      <c r="P291" s="3" t="s">
        <v>69</v>
      </c>
      <c r="Q291" s="2" t="s">
        <v>3141</v>
      </c>
      <c r="R291" s="3" t="s">
        <v>70</v>
      </c>
      <c r="S291" s="4">
        <v>10</v>
      </c>
      <c r="T291" s="4">
        <v>69</v>
      </c>
      <c r="U291" s="5" t="s">
        <v>2843</v>
      </c>
      <c r="V291" s="5" t="s">
        <v>2843</v>
      </c>
      <c r="W291" s="5" t="s">
        <v>72</v>
      </c>
      <c r="X291" s="5" t="s">
        <v>72</v>
      </c>
      <c r="Y291" s="4">
        <v>382</v>
      </c>
      <c r="Z291" s="4">
        <v>31</v>
      </c>
      <c r="AA291" s="4">
        <v>114</v>
      </c>
      <c r="AB291" s="4">
        <v>3</v>
      </c>
      <c r="AC291" s="4">
        <v>18</v>
      </c>
      <c r="AD291" s="4">
        <v>109</v>
      </c>
      <c r="AE291" s="4">
        <v>149</v>
      </c>
      <c r="AF291" s="4">
        <v>2</v>
      </c>
      <c r="AG291" s="4">
        <v>8</v>
      </c>
      <c r="AH291" s="4">
        <v>96</v>
      </c>
      <c r="AI291" s="4">
        <v>110</v>
      </c>
      <c r="AJ291" s="4">
        <v>18</v>
      </c>
      <c r="AK291" s="4">
        <v>25</v>
      </c>
      <c r="AL291" s="4">
        <v>53</v>
      </c>
      <c r="AM291" s="4">
        <v>58</v>
      </c>
      <c r="AN291" s="4">
        <v>0</v>
      </c>
      <c r="AO291" s="4">
        <v>0</v>
      </c>
      <c r="AP291" s="4">
        <v>25</v>
      </c>
      <c r="AQ291" s="4">
        <v>50</v>
      </c>
      <c r="AR291" s="3" t="s">
        <v>64</v>
      </c>
      <c r="AS291" s="3" t="s">
        <v>64</v>
      </c>
      <c r="AT291" s="3" t="s">
        <v>64</v>
      </c>
      <c r="AV291" s="6" t="str">
        <f>HYPERLINK("http://mcgill.on.worldcat.org/oclc/26764453","Catalog Record")</f>
        <v>Catalog Record</v>
      </c>
      <c r="AW291" s="6" t="str">
        <f>HYPERLINK("http://www.worldcat.org/oclc/26764453","WorldCat Record")</f>
        <v>WorldCat Record</v>
      </c>
      <c r="AX291" s="3" t="s">
        <v>3142</v>
      </c>
      <c r="AY291" s="3" t="s">
        <v>3143</v>
      </c>
      <c r="AZ291" s="3" t="s">
        <v>3144</v>
      </c>
      <c r="BA291" s="3" t="s">
        <v>3144</v>
      </c>
      <c r="BB291" s="3" t="s">
        <v>3145</v>
      </c>
      <c r="BC291" s="3" t="s">
        <v>78</v>
      </c>
      <c r="BD291" s="3" t="s">
        <v>79</v>
      </c>
      <c r="BE291" s="3" t="s">
        <v>3146</v>
      </c>
      <c r="BF291" s="3" t="s">
        <v>3145</v>
      </c>
      <c r="BG291" s="3" t="s">
        <v>3147</v>
      </c>
    </row>
    <row r="292" spans="1:59" ht="58" x14ac:dyDescent="0.35">
      <c r="A292" s="2" t="s">
        <v>59</v>
      </c>
      <c r="B292" s="2" t="s">
        <v>94</v>
      </c>
      <c r="C292" s="2" t="s">
        <v>3137</v>
      </c>
      <c r="D292" s="2" t="s">
        <v>3138</v>
      </c>
      <c r="E292" s="2" t="s">
        <v>3139</v>
      </c>
      <c r="G292" s="3" t="s">
        <v>64</v>
      </c>
      <c r="I292" s="3" t="s">
        <v>73</v>
      </c>
      <c r="J292" s="3" t="s">
        <v>64</v>
      </c>
      <c r="K292" s="3" t="s">
        <v>65</v>
      </c>
      <c r="M292" s="2" t="s">
        <v>3140</v>
      </c>
      <c r="N292" s="3" t="s">
        <v>303</v>
      </c>
      <c r="P292" s="3" t="s">
        <v>69</v>
      </c>
      <c r="Q292" s="2" t="s">
        <v>3141</v>
      </c>
      <c r="R292" s="3" t="s">
        <v>70</v>
      </c>
      <c r="S292" s="4">
        <v>59</v>
      </c>
      <c r="T292" s="4">
        <v>69</v>
      </c>
      <c r="U292" s="5" t="s">
        <v>3148</v>
      </c>
      <c r="V292" s="5" t="s">
        <v>2843</v>
      </c>
      <c r="W292" s="5" t="s">
        <v>72</v>
      </c>
      <c r="X292" s="5" t="s">
        <v>72</v>
      </c>
      <c r="Y292" s="4">
        <v>382</v>
      </c>
      <c r="Z292" s="4">
        <v>31</v>
      </c>
      <c r="AA292" s="4">
        <v>114</v>
      </c>
      <c r="AB292" s="4">
        <v>3</v>
      </c>
      <c r="AC292" s="4">
        <v>18</v>
      </c>
      <c r="AD292" s="4">
        <v>109</v>
      </c>
      <c r="AE292" s="4">
        <v>149</v>
      </c>
      <c r="AF292" s="4">
        <v>2</v>
      </c>
      <c r="AG292" s="4">
        <v>8</v>
      </c>
      <c r="AH292" s="4">
        <v>96</v>
      </c>
      <c r="AI292" s="4">
        <v>110</v>
      </c>
      <c r="AJ292" s="4">
        <v>18</v>
      </c>
      <c r="AK292" s="4">
        <v>25</v>
      </c>
      <c r="AL292" s="4">
        <v>53</v>
      </c>
      <c r="AM292" s="4">
        <v>58</v>
      </c>
      <c r="AN292" s="4">
        <v>0</v>
      </c>
      <c r="AO292" s="4">
        <v>0</v>
      </c>
      <c r="AP292" s="4">
        <v>25</v>
      </c>
      <c r="AQ292" s="4">
        <v>50</v>
      </c>
      <c r="AR292" s="3" t="s">
        <v>64</v>
      </c>
      <c r="AS292" s="3" t="s">
        <v>64</v>
      </c>
      <c r="AT292" s="3" t="s">
        <v>64</v>
      </c>
      <c r="AV292" s="6" t="str">
        <f>HYPERLINK("http://mcgill.on.worldcat.org/oclc/26764453","Catalog Record")</f>
        <v>Catalog Record</v>
      </c>
      <c r="AW292" s="6" t="str">
        <f>HYPERLINK("http://www.worldcat.org/oclc/26764453","WorldCat Record")</f>
        <v>WorldCat Record</v>
      </c>
      <c r="AX292" s="3" t="s">
        <v>3142</v>
      </c>
      <c r="AY292" s="3" t="s">
        <v>3143</v>
      </c>
      <c r="AZ292" s="3" t="s">
        <v>3144</v>
      </c>
      <c r="BA292" s="3" t="s">
        <v>3144</v>
      </c>
      <c r="BB292" s="3" t="s">
        <v>3149</v>
      </c>
      <c r="BC292" s="3" t="s">
        <v>78</v>
      </c>
      <c r="BD292" s="3" t="s">
        <v>79</v>
      </c>
      <c r="BE292" s="3" t="s">
        <v>3146</v>
      </c>
      <c r="BF292" s="3" t="s">
        <v>3149</v>
      </c>
      <c r="BG292" s="3" t="s">
        <v>3150</v>
      </c>
    </row>
    <row r="293" spans="1:59" ht="58" x14ac:dyDescent="0.35">
      <c r="A293" s="2" t="s">
        <v>59</v>
      </c>
      <c r="B293" s="2" t="s">
        <v>94</v>
      </c>
      <c r="C293" s="2" t="s">
        <v>3151</v>
      </c>
      <c r="D293" s="2" t="s">
        <v>3152</v>
      </c>
      <c r="E293" s="2" t="s">
        <v>3153</v>
      </c>
      <c r="G293" s="3" t="s">
        <v>64</v>
      </c>
      <c r="I293" s="3" t="s">
        <v>64</v>
      </c>
      <c r="J293" s="3" t="s">
        <v>64</v>
      </c>
      <c r="K293" s="3" t="s">
        <v>65</v>
      </c>
      <c r="L293" s="2" t="s">
        <v>3154</v>
      </c>
      <c r="M293" s="2" t="s">
        <v>3155</v>
      </c>
      <c r="N293" s="3" t="s">
        <v>2265</v>
      </c>
      <c r="P293" s="3" t="s">
        <v>69</v>
      </c>
      <c r="Q293" s="2" t="s">
        <v>3156</v>
      </c>
      <c r="R293" s="3" t="s">
        <v>70</v>
      </c>
      <c r="S293" s="4">
        <v>27</v>
      </c>
      <c r="T293" s="4">
        <v>27</v>
      </c>
      <c r="U293" s="5" t="s">
        <v>3157</v>
      </c>
      <c r="V293" s="5" t="s">
        <v>3157</v>
      </c>
      <c r="W293" s="5" t="s">
        <v>72</v>
      </c>
      <c r="X293" s="5" t="s">
        <v>72</v>
      </c>
      <c r="Y293" s="4">
        <v>257</v>
      </c>
      <c r="Z293" s="4">
        <v>30</v>
      </c>
      <c r="AA293" s="4">
        <v>67</v>
      </c>
      <c r="AB293" s="4">
        <v>2</v>
      </c>
      <c r="AC293" s="4">
        <v>9</v>
      </c>
      <c r="AD293" s="4">
        <v>43</v>
      </c>
      <c r="AE293" s="4">
        <v>136</v>
      </c>
      <c r="AF293" s="4">
        <v>1</v>
      </c>
      <c r="AG293" s="4">
        <v>5</v>
      </c>
      <c r="AH293" s="4">
        <v>32</v>
      </c>
      <c r="AI293" s="4">
        <v>105</v>
      </c>
      <c r="AJ293" s="4">
        <v>9</v>
      </c>
      <c r="AK293" s="4">
        <v>24</v>
      </c>
      <c r="AL293" s="4">
        <v>18</v>
      </c>
      <c r="AM293" s="4">
        <v>57</v>
      </c>
      <c r="AN293" s="4">
        <v>0</v>
      </c>
      <c r="AO293" s="4">
        <v>0</v>
      </c>
      <c r="AP293" s="4">
        <v>16</v>
      </c>
      <c r="AQ293" s="4">
        <v>41</v>
      </c>
      <c r="AR293" s="3" t="s">
        <v>64</v>
      </c>
      <c r="AS293" s="3" t="s">
        <v>64</v>
      </c>
      <c r="AT293" s="3" t="s">
        <v>64</v>
      </c>
      <c r="AV293" s="6" t="str">
        <f>HYPERLINK("http://mcgill.on.worldcat.org/oclc/29864","Catalog Record")</f>
        <v>Catalog Record</v>
      </c>
      <c r="AW293" s="6" t="str">
        <f>HYPERLINK("http://www.worldcat.org/oclc/29864","WorldCat Record")</f>
        <v>WorldCat Record</v>
      </c>
      <c r="AX293" s="3" t="s">
        <v>3158</v>
      </c>
      <c r="AY293" s="3" t="s">
        <v>3159</v>
      </c>
      <c r="AZ293" s="3" t="s">
        <v>3160</v>
      </c>
      <c r="BA293" s="3" t="s">
        <v>3160</v>
      </c>
      <c r="BB293" s="3" t="s">
        <v>3161</v>
      </c>
      <c r="BC293" s="3" t="s">
        <v>78</v>
      </c>
      <c r="BD293" s="3" t="s">
        <v>79</v>
      </c>
      <c r="BE293" s="3" t="s">
        <v>3162</v>
      </c>
      <c r="BF293" s="3" t="s">
        <v>3161</v>
      </c>
      <c r="BG293" s="3" t="s">
        <v>3163</v>
      </c>
    </row>
    <row r="294" spans="1:59" ht="58" x14ac:dyDescent="0.35">
      <c r="A294" s="2" t="s">
        <v>59</v>
      </c>
      <c r="B294" s="2" t="s">
        <v>94</v>
      </c>
      <c r="C294" s="2" t="s">
        <v>3164</v>
      </c>
      <c r="D294" s="2" t="s">
        <v>3165</v>
      </c>
      <c r="E294" s="2" t="s">
        <v>3166</v>
      </c>
      <c r="G294" s="3" t="s">
        <v>64</v>
      </c>
      <c r="I294" s="3" t="s">
        <v>64</v>
      </c>
      <c r="J294" s="3" t="s">
        <v>64</v>
      </c>
      <c r="K294" s="3" t="s">
        <v>65</v>
      </c>
      <c r="L294" s="2" t="s">
        <v>3167</v>
      </c>
      <c r="M294" s="2" t="s">
        <v>3168</v>
      </c>
      <c r="N294" s="3" t="s">
        <v>328</v>
      </c>
      <c r="P294" s="3" t="s">
        <v>69</v>
      </c>
      <c r="R294" s="3" t="s">
        <v>70</v>
      </c>
      <c r="S294" s="4">
        <v>1</v>
      </c>
      <c r="T294" s="4">
        <v>1</v>
      </c>
      <c r="U294" s="5" t="s">
        <v>3169</v>
      </c>
      <c r="V294" s="5" t="s">
        <v>3169</v>
      </c>
      <c r="W294" s="5" t="s">
        <v>72</v>
      </c>
      <c r="X294" s="5" t="s">
        <v>72</v>
      </c>
      <c r="Y294" s="4">
        <v>190</v>
      </c>
      <c r="Z294" s="4">
        <v>16</v>
      </c>
      <c r="AA294" s="4">
        <v>22</v>
      </c>
      <c r="AB294" s="4">
        <v>1</v>
      </c>
      <c r="AC294" s="4">
        <v>5</v>
      </c>
      <c r="AD294" s="4">
        <v>58</v>
      </c>
      <c r="AE294" s="4">
        <v>71</v>
      </c>
      <c r="AF294" s="4">
        <v>0</v>
      </c>
      <c r="AG294" s="4">
        <v>1</v>
      </c>
      <c r="AH294" s="4">
        <v>50</v>
      </c>
      <c r="AI294" s="4">
        <v>61</v>
      </c>
      <c r="AJ294" s="4">
        <v>10</v>
      </c>
      <c r="AK294" s="4">
        <v>13</v>
      </c>
      <c r="AL294" s="4">
        <v>30</v>
      </c>
      <c r="AM294" s="4">
        <v>35</v>
      </c>
      <c r="AN294" s="4">
        <v>0</v>
      </c>
      <c r="AO294" s="4">
        <v>0</v>
      </c>
      <c r="AP294" s="4">
        <v>14</v>
      </c>
      <c r="AQ294" s="4">
        <v>16</v>
      </c>
      <c r="AR294" s="3" t="s">
        <v>64</v>
      </c>
      <c r="AS294" s="3" t="s">
        <v>64</v>
      </c>
      <c r="AT294" s="3" t="s">
        <v>64</v>
      </c>
      <c r="AV294" s="6" t="str">
        <f>HYPERLINK("http://mcgill.on.worldcat.org/oclc/727702083","Catalog Record")</f>
        <v>Catalog Record</v>
      </c>
      <c r="AW294" s="6" t="str">
        <f>HYPERLINK("http://www.worldcat.org/oclc/727702083","WorldCat Record")</f>
        <v>WorldCat Record</v>
      </c>
      <c r="AX294" s="3" t="s">
        <v>3170</v>
      </c>
      <c r="AY294" s="3" t="s">
        <v>3171</v>
      </c>
      <c r="AZ294" s="3" t="s">
        <v>3172</v>
      </c>
      <c r="BA294" s="3" t="s">
        <v>3172</v>
      </c>
      <c r="BB294" s="3" t="s">
        <v>3173</v>
      </c>
      <c r="BC294" s="3" t="s">
        <v>78</v>
      </c>
      <c r="BD294" s="3" t="s">
        <v>79</v>
      </c>
      <c r="BE294" s="3" t="s">
        <v>3174</v>
      </c>
      <c r="BF294" s="3" t="s">
        <v>3173</v>
      </c>
      <c r="BG294" s="3" t="s">
        <v>3175</v>
      </c>
    </row>
    <row r="295" spans="1:59" ht="58" x14ac:dyDescent="0.35">
      <c r="A295" s="2" t="s">
        <v>59</v>
      </c>
      <c r="B295" s="2" t="s">
        <v>94</v>
      </c>
      <c r="C295" s="2" t="s">
        <v>3176</v>
      </c>
      <c r="D295" s="2" t="s">
        <v>3177</v>
      </c>
      <c r="E295" s="2" t="s">
        <v>3178</v>
      </c>
      <c r="G295" s="3" t="s">
        <v>64</v>
      </c>
      <c r="I295" s="3" t="s">
        <v>73</v>
      </c>
      <c r="J295" s="3" t="s">
        <v>64</v>
      </c>
      <c r="K295" s="3" t="s">
        <v>2292</v>
      </c>
      <c r="L295" s="2" t="s">
        <v>3179</v>
      </c>
      <c r="M295" s="2" t="s">
        <v>3180</v>
      </c>
      <c r="N295" s="3" t="s">
        <v>3181</v>
      </c>
      <c r="P295" s="3" t="s">
        <v>69</v>
      </c>
      <c r="R295" s="3" t="s">
        <v>70</v>
      </c>
      <c r="S295" s="4">
        <v>13</v>
      </c>
      <c r="T295" s="4">
        <v>52</v>
      </c>
      <c r="U295" s="5" t="s">
        <v>3182</v>
      </c>
      <c r="V295" s="5" t="s">
        <v>3183</v>
      </c>
      <c r="W295" s="5" t="s">
        <v>72</v>
      </c>
      <c r="X295" s="5" t="s">
        <v>72</v>
      </c>
      <c r="Y295" s="4">
        <v>950</v>
      </c>
      <c r="Z295" s="4">
        <v>58</v>
      </c>
      <c r="AA295" s="4">
        <v>68</v>
      </c>
      <c r="AB295" s="4">
        <v>5</v>
      </c>
      <c r="AC295" s="4">
        <v>10</v>
      </c>
      <c r="AD295" s="4">
        <v>131</v>
      </c>
      <c r="AE295" s="4">
        <v>139</v>
      </c>
      <c r="AF295" s="4">
        <v>2</v>
      </c>
      <c r="AG295" s="4">
        <v>5</v>
      </c>
      <c r="AH295" s="4">
        <v>101</v>
      </c>
      <c r="AI295" s="4">
        <v>106</v>
      </c>
      <c r="AJ295" s="4">
        <v>21</v>
      </c>
      <c r="AK295" s="4">
        <v>25</v>
      </c>
      <c r="AL295" s="4">
        <v>59</v>
      </c>
      <c r="AM295" s="4">
        <v>59</v>
      </c>
      <c r="AN295" s="4">
        <v>0</v>
      </c>
      <c r="AO295" s="4">
        <v>0</v>
      </c>
      <c r="AP295" s="4">
        <v>36</v>
      </c>
      <c r="AQ295" s="4">
        <v>40</v>
      </c>
      <c r="AR295" s="3" t="s">
        <v>64</v>
      </c>
      <c r="AS295" s="3" t="s">
        <v>64</v>
      </c>
      <c r="AT295" s="3" t="s">
        <v>73</v>
      </c>
      <c r="AU295" s="6" t="str">
        <f>HYPERLINK("http://catalog.hathitrust.org/Record/001047015","HathiTrust Record")</f>
        <v>HathiTrust Record</v>
      </c>
      <c r="AV295" s="6" t="str">
        <f>HYPERLINK("http://mcgill.on.worldcat.org/oclc/162198","Catalog Record")</f>
        <v>Catalog Record</v>
      </c>
      <c r="AW295" s="6" t="str">
        <f>HYPERLINK("http://www.worldcat.org/oclc/162198","WorldCat Record")</f>
        <v>WorldCat Record</v>
      </c>
      <c r="AX295" s="3" t="s">
        <v>3184</v>
      </c>
      <c r="AY295" s="3" t="s">
        <v>3185</v>
      </c>
      <c r="AZ295" s="3" t="s">
        <v>3186</v>
      </c>
      <c r="BA295" s="3" t="s">
        <v>3186</v>
      </c>
      <c r="BB295" s="3" t="s">
        <v>3187</v>
      </c>
      <c r="BC295" s="3" t="s">
        <v>78</v>
      </c>
      <c r="BD295" s="3" t="s">
        <v>79</v>
      </c>
      <c r="BE295" s="3" t="s">
        <v>3188</v>
      </c>
      <c r="BF295" s="3" t="s">
        <v>3187</v>
      </c>
      <c r="BG295" s="3" t="s">
        <v>3189</v>
      </c>
    </row>
    <row r="296" spans="1:59" ht="58" x14ac:dyDescent="0.35">
      <c r="A296" s="2" t="s">
        <v>59</v>
      </c>
      <c r="B296" s="2" t="s">
        <v>94</v>
      </c>
      <c r="C296" s="2" t="s">
        <v>3176</v>
      </c>
      <c r="D296" s="2" t="s">
        <v>3177</v>
      </c>
      <c r="E296" s="2" t="s">
        <v>3178</v>
      </c>
      <c r="G296" s="3" t="s">
        <v>64</v>
      </c>
      <c r="I296" s="3" t="s">
        <v>73</v>
      </c>
      <c r="J296" s="3" t="s">
        <v>64</v>
      </c>
      <c r="K296" s="3" t="s">
        <v>2292</v>
      </c>
      <c r="L296" s="2" t="s">
        <v>3179</v>
      </c>
      <c r="M296" s="2" t="s">
        <v>3180</v>
      </c>
      <c r="N296" s="3" t="s">
        <v>3181</v>
      </c>
      <c r="P296" s="3" t="s">
        <v>69</v>
      </c>
      <c r="R296" s="3" t="s">
        <v>70</v>
      </c>
      <c r="S296" s="4">
        <v>21</v>
      </c>
      <c r="T296" s="4">
        <v>52</v>
      </c>
      <c r="U296" s="5" t="s">
        <v>3183</v>
      </c>
      <c r="V296" s="5" t="s">
        <v>3183</v>
      </c>
      <c r="W296" s="5" t="s">
        <v>72</v>
      </c>
      <c r="X296" s="5" t="s">
        <v>72</v>
      </c>
      <c r="Y296" s="4">
        <v>950</v>
      </c>
      <c r="Z296" s="4">
        <v>58</v>
      </c>
      <c r="AA296" s="4">
        <v>68</v>
      </c>
      <c r="AB296" s="4">
        <v>5</v>
      </c>
      <c r="AC296" s="4">
        <v>10</v>
      </c>
      <c r="AD296" s="4">
        <v>131</v>
      </c>
      <c r="AE296" s="4">
        <v>139</v>
      </c>
      <c r="AF296" s="4">
        <v>2</v>
      </c>
      <c r="AG296" s="4">
        <v>5</v>
      </c>
      <c r="AH296" s="4">
        <v>101</v>
      </c>
      <c r="AI296" s="4">
        <v>106</v>
      </c>
      <c r="AJ296" s="4">
        <v>21</v>
      </c>
      <c r="AK296" s="4">
        <v>25</v>
      </c>
      <c r="AL296" s="4">
        <v>59</v>
      </c>
      <c r="AM296" s="4">
        <v>59</v>
      </c>
      <c r="AN296" s="4">
        <v>0</v>
      </c>
      <c r="AO296" s="4">
        <v>0</v>
      </c>
      <c r="AP296" s="4">
        <v>36</v>
      </c>
      <c r="AQ296" s="4">
        <v>40</v>
      </c>
      <c r="AR296" s="3" t="s">
        <v>64</v>
      </c>
      <c r="AS296" s="3" t="s">
        <v>64</v>
      </c>
      <c r="AT296" s="3" t="s">
        <v>73</v>
      </c>
      <c r="AU296" s="6" t="str">
        <f>HYPERLINK("http://catalog.hathitrust.org/Record/001047015","HathiTrust Record")</f>
        <v>HathiTrust Record</v>
      </c>
      <c r="AV296" s="6" t="str">
        <f>HYPERLINK("http://mcgill.on.worldcat.org/oclc/162198","Catalog Record")</f>
        <v>Catalog Record</v>
      </c>
      <c r="AW296" s="6" t="str">
        <f>HYPERLINK("http://www.worldcat.org/oclc/162198","WorldCat Record")</f>
        <v>WorldCat Record</v>
      </c>
      <c r="AX296" s="3" t="s">
        <v>3184</v>
      </c>
      <c r="AY296" s="3" t="s">
        <v>3185</v>
      </c>
      <c r="AZ296" s="3" t="s">
        <v>3186</v>
      </c>
      <c r="BA296" s="3" t="s">
        <v>3186</v>
      </c>
      <c r="BB296" s="3" t="s">
        <v>3190</v>
      </c>
      <c r="BC296" s="3" t="s">
        <v>78</v>
      </c>
      <c r="BD296" s="3" t="s">
        <v>79</v>
      </c>
      <c r="BE296" s="3" t="s">
        <v>3188</v>
      </c>
      <c r="BF296" s="3" t="s">
        <v>3190</v>
      </c>
      <c r="BG296" s="3" t="s">
        <v>3191</v>
      </c>
    </row>
    <row r="297" spans="1:59" ht="58" x14ac:dyDescent="0.35">
      <c r="A297" s="2" t="s">
        <v>59</v>
      </c>
      <c r="B297" s="2" t="s">
        <v>94</v>
      </c>
      <c r="C297" s="2" t="s">
        <v>3176</v>
      </c>
      <c r="D297" s="2" t="s">
        <v>3177</v>
      </c>
      <c r="E297" s="2" t="s">
        <v>3178</v>
      </c>
      <c r="G297" s="3" t="s">
        <v>64</v>
      </c>
      <c r="I297" s="3" t="s">
        <v>73</v>
      </c>
      <c r="J297" s="3" t="s">
        <v>64</v>
      </c>
      <c r="K297" s="3" t="s">
        <v>2292</v>
      </c>
      <c r="L297" s="2" t="s">
        <v>3179</v>
      </c>
      <c r="M297" s="2" t="s">
        <v>3180</v>
      </c>
      <c r="N297" s="3" t="s">
        <v>3181</v>
      </c>
      <c r="P297" s="3" t="s">
        <v>69</v>
      </c>
      <c r="R297" s="3" t="s">
        <v>70</v>
      </c>
      <c r="S297" s="4">
        <v>7</v>
      </c>
      <c r="T297" s="4">
        <v>52</v>
      </c>
      <c r="U297" s="5" t="s">
        <v>3192</v>
      </c>
      <c r="V297" s="5" t="s">
        <v>3183</v>
      </c>
      <c r="W297" s="5" t="s">
        <v>72</v>
      </c>
      <c r="X297" s="5" t="s">
        <v>72</v>
      </c>
      <c r="Y297" s="4">
        <v>950</v>
      </c>
      <c r="Z297" s="4">
        <v>58</v>
      </c>
      <c r="AA297" s="4">
        <v>68</v>
      </c>
      <c r="AB297" s="4">
        <v>5</v>
      </c>
      <c r="AC297" s="4">
        <v>10</v>
      </c>
      <c r="AD297" s="4">
        <v>131</v>
      </c>
      <c r="AE297" s="4">
        <v>139</v>
      </c>
      <c r="AF297" s="4">
        <v>2</v>
      </c>
      <c r="AG297" s="4">
        <v>5</v>
      </c>
      <c r="AH297" s="4">
        <v>101</v>
      </c>
      <c r="AI297" s="4">
        <v>106</v>
      </c>
      <c r="AJ297" s="4">
        <v>21</v>
      </c>
      <c r="AK297" s="4">
        <v>25</v>
      </c>
      <c r="AL297" s="4">
        <v>59</v>
      </c>
      <c r="AM297" s="4">
        <v>59</v>
      </c>
      <c r="AN297" s="4">
        <v>0</v>
      </c>
      <c r="AO297" s="4">
        <v>0</v>
      </c>
      <c r="AP297" s="4">
        <v>36</v>
      </c>
      <c r="AQ297" s="4">
        <v>40</v>
      </c>
      <c r="AR297" s="3" t="s">
        <v>64</v>
      </c>
      <c r="AS297" s="3" t="s">
        <v>64</v>
      </c>
      <c r="AT297" s="3" t="s">
        <v>73</v>
      </c>
      <c r="AU297" s="6" t="str">
        <f>HYPERLINK("http://catalog.hathitrust.org/Record/001047015","HathiTrust Record")</f>
        <v>HathiTrust Record</v>
      </c>
      <c r="AV297" s="6" t="str">
        <f>HYPERLINK("http://mcgill.on.worldcat.org/oclc/162198","Catalog Record")</f>
        <v>Catalog Record</v>
      </c>
      <c r="AW297" s="6" t="str">
        <f>HYPERLINK("http://www.worldcat.org/oclc/162198","WorldCat Record")</f>
        <v>WorldCat Record</v>
      </c>
      <c r="AX297" s="3" t="s">
        <v>3184</v>
      </c>
      <c r="AY297" s="3" t="s">
        <v>3185</v>
      </c>
      <c r="AZ297" s="3" t="s">
        <v>3186</v>
      </c>
      <c r="BA297" s="3" t="s">
        <v>3186</v>
      </c>
      <c r="BB297" s="3" t="s">
        <v>3193</v>
      </c>
      <c r="BC297" s="3" t="s">
        <v>78</v>
      </c>
      <c r="BD297" s="3" t="s">
        <v>79</v>
      </c>
      <c r="BE297" s="3" t="s">
        <v>3188</v>
      </c>
      <c r="BF297" s="3" t="s">
        <v>3193</v>
      </c>
      <c r="BG297" s="3" t="s">
        <v>3194</v>
      </c>
    </row>
    <row r="298" spans="1:59" ht="58" x14ac:dyDescent="0.35">
      <c r="A298" s="2" t="s">
        <v>59</v>
      </c>
      <c r="B298" s="2" t="s">
        <v>94</v>
      </c>
      <c r="C298" s="2" t="s">
        <v>3176</v>
      </c>
      <c r="D298" s="2" t="s">
        <v>3177</v>
      </c>
      <c r="E298" s="2" t="s">
        <v>3178</v>
      </c>
      <c r="G298" s="3" t="s">
        <v>64</v>
      </c>
      <c r="I298" s="3" t="s">
        <v>73</v>
      </c>
      <c r="J298" s="3" t="s">
        <v>64</v>
      </c>
      <c r="K298" s="3" t="s">
        <v>2292</v>
      </c>
      <c r="L298" s="2" t="s">
        <v>3179</v>
      </c>
      <c r="M298" s="2" t="s">
        <v>3180</v>
      </c>
      <c r="N298" s="3" t="s">
        <v>3181</v>
      </c>
      <c r="P298" s="3" t="s">
        <v>69</v>
      </c>
      <c r="R298" s="3" t="s">
        <v>70</v>
      </c>
      <c r="S298" s="4">
        <v>11</v>
      </c>
      <c r="T298" s="4">
        <v>52</v>
      </c>
      <c r="U298" s="5" t="s">
        <v>3195</v>
      </c>
      <c r="V298" s="5" t="s">
        <v>3183</v>
      </c>
      <c r="W298" s="5" t="s">
        <v>72</v>
      </c>
      <c r="X298" s="5" t="s">
        <v>72</v>
      </c>
      <c r="Y298" s="4">
        <v>950</v>
      </c>
      <c r="Z298" s="4">
        <v>58</v>
      </c>
      <c r="AA298" s="4">
        <v>68</v>
      </c>
      <c r="AB298" s="4">
        <v>5</v>
      </c>
      <c r="AC298" s="4">
        <v>10</v>
      </c>
      <c r="AD298" s="4">
        <v>131</v>
      </c>
      <c r="AE298" s="4">
        <v>139</v>
      </c>
      <c r="AF298" s="4">
        <v>2</v>
      </c>
      <c r="AG298" s="4">
        <v>5</v>
      </c>
      <c r="AH298" s="4">
        <v>101</v>
      </c>
      <c r="AI298" s="4">
        <v>106</v>
      </c>
      <c r="AJ298" s="4">
        <v>21</v>
      </c>
      <c r="AK298" s="4">
        <v>25</v>
      </c>
      <c r="AL298" s="4">
        <v>59</v>
      </c>
      <c r="AM298" s="4">
        <v>59</v>
      </c>
      <c r="AN298" s="4">
        <v>0</v>
      </c>
      <c r="AO298" s="4">
        <v>0</v>
      </c>
      <c r="AP298" s="4">
        <v>36</v>
      </c>
      <c r="AQ298" s="4">
        <v>40</v>
      </c>
      <c r="AR298" s="3" t="s">
        <v>64</v>
      </c>
      <c r="AS298" s="3" t="s">
        <v>64</v>
      </c>
      <c r="AT298" s="3" t="s">
        <v>73</v>
      </c>
      <c r="AU298" s="6" t="str">
        <f>HYPERLINK("http://catalog.hathitrust.org/Record/001047015","HathiTrust Record")</f>
        <v>HathiTrust Record</v>
      </c>
      <c r="AV298" s="6" t="str">
        <f>HYPERLINK("http://mcgill.on.worldcat.org/oclc/162198","Catalog Record")</f>
        <v>Catalog Record</v>
      </c>
      <c r="AW298" s="6" t="str">
        <f>HYPERLINK("http://www.worldcat.org/oclc/162198","WorldCat Record")</f>
        <v>WorldCat Record</v>
      </c>
      <c r="AX298" s="3" t="s">
        <v>3184</v>
      </c>
      <c r="AY298" s="3" t="s">
        <v>3185</v>
      </c>
      <c r="AZ298" s="3" t="s">
        <v>3186</v>
      </c>
      <c r="BA298" s="3" t="s">
        <v>3186</v>
      </c>
      <c r="BB298" s="3" t="s">
        <v>3196</v>
      </c>
      <c r="BC298" s="3" t="s">
        <v>78</v>
      </c>
      <c r="BD298" s="3" t="s">
        <v>79</v>
      </c>
      <c r="BE298" s="3" t="s">
        <v>3188</v>
      </c>
      <c r="BF298" s="3" t="s">
        <v>3196</v>
      </c>
      <c r="BG298" s="3" t="s">
        <v>3197</v>
      </c>
    </row>
    <row r="299" spans="1:59" ht="58" x14ac:dyDescent="0.35">
      <c r="A299" s="2" t="s">
        <v>59</v>
      </c>
      <c r="B299" s="2" t="s">
        <v>94</v>
      </c>
      <c r="C299" s="2" t="s">
        <v>3198</v>
      </c>
      <c r="D299" s="2" t="s">
        <v>3199</v>
      </c>
      <c r="E299" s="2" t="s">
        <v>3200</v>
      </c>
      <c r="G299" s="3" t="s">
        <v>64</v>
      </c>
      <c r="I299" s="3" t="s">
        <v>64</v>
      </c>
      <c r="J299" s="3" t="s">
        <v>64</v>
      </c>
      <c r="K299" s="3" t="s">
        <v>65</v>
      </c>
      <c r="M299" s="2" t="s">
        <v>1723</v>
      </c>
      <c r="N299" s="3" t="s">
        <v>214</v>
      </c>
      <c r="P299" s="3" t="s">
        <v>69</v>
      </c>
      <c r="R299" s="3" t="s">
        <v>70</v>
      </c>
      <c r="S299" s="4">
        <v>7</v>
      </c>
      <c r="T299" s="4">
        <v>7</v>
      </c>
      <c r="U299" s="5" t="s">
        <v>3201</v>
      </c>
      <c r="V299" s="5" t="s">
        <v>3201</v>
      </c>
      <c r="W299" s="5" t="s">
        <v>72</v>
      </c>
      <c r="X299" s="5" t="s">
        <v>72</v>
      </c>
      <c r="Y299" s="4">
        <v>316</v>
      </c>
      <c r="Z299" s="4">
        <v>26</v>
      </c>
      <c r="AA299" s="4">
        <v>32</v>
      </c>
      <c r="AB299" s="4">
        <v>2</v>
      </c>
      <c r="AC299" s="4">
        <v>6</v>
      </c>
      <c r="AD299" s="4">
        <v>84</v>
      </c>
      <c r="AE299" s="4">
        <v>92</v>
      </c>
      <c r="AF299" s="4">
        <v>1</v>
      </c>
      <c r="AG299" s="4">
        <v>3</v>
      </c>
      <c r="AH299" s="4">
        <v>69</v>
      </c>
      <c r="AI299" s="4">
        <v>75</v>
      </c>
      <c r="AJ299" s="4">
        <v>15</v>
      </c>
      <c r="AK299" s="4">
        <v>19</v>
      </c>
      <c r="AL299" s="4">
        <v>46</v>
      </c>
      <c r="AM299" s="4">
        <v>47</v>
      </c>
      <c r="AN299" s="4">
        <v>0</v>
      </c>
      <c r="AO299" s="4">
        <v>0</v>
      </c>
      <c r="AP299" s="4">
        <v>19</v>
      </c>
      <c r="AQ299" s="4">
        <v>22</v>
      </c>
      <c r="AR299" s="3" t="s">
        <v>64</v>
      </c>
      <c r="AS299" s="3" t="s">
        <v>64</v>
      </c>
      <c r="AT299" s="3" t="s">
        <v>64</v>
      </c>
      <c r="AV299" s="6" t="str">
        <f>HYPERLINK("http://mcgill.on.worldcat.org/oclc/435418136","Catalog Record")</f>
        <v>Catalog Record</v>
      </c>
      <c r="AW299" s="6" t="str">
        <f>HYPERLINK("http://www.worldcat.org/oclc/435418136","WorldCat Record")</f>
        <v>WorldCat Record</v>
      </c>
      <c r="AX299" s="3" t="s">
        <v>3202</v>
      </c>
      <c r="AY299" s="3" t="s">
        <v>3203</v>
      </c>
      <c r="AZ299" s="3" t="s">
        <v>3204</v>
      </c>
      <c r="BA299" s="3" t="s">
        <v>3204</v>
      </c>
      <c r="BB299" s="3" t="s">
        <v>3205</v>
      </c>
      <c r="BC299" s="3" t="s">
        <v>78</v>
      </c>
      <c r="BD299" s="3" t="s">
        <v>79</v>
      </c>
      <c r="BE299" s="3" t="s">
        <v>3206</v>
      </c>
      <c r="BF299" s="3" t="s">
        <v>3205</v>
      </c>
      <c r="BG299" s="3" t="s">
        <v>3207</v>
      </c>
    </row>
    <row r="300" spans="1:59" ht="58" x14ac:dyDescent="0.35">
      <c r="A300" s="2" t="s">
        <v>59</v>
      </c>
      <c r="B300" s="2" t="s">
        <v>94</v>
      </c>
      <c r="C300" s="2" t="s">
        <v>3208</v>
      </c>
      <c r="D300" s="2" t="s">
        <v>3209</v>
      </c>
      <c r="E300" s="2" t="s">
        <v>3210</v>
      </c>
      <c r="G300" s="3" t="s">
        <v>64</v>
      </c>
      <c r="I300" s="3" t="s">
        <v>64</v>
      </c>
      <c r="J300" s="3" t="s">
        <v>64</v>
      </c>
      <c r="K300" s="3" t="s">
        <v>65</v>
      </c>
      <c r="L300" s="2" t="s">
        <v>3211</v>
      </c>
      <c r="M300" s="2" t="s">
        <v>3212</v>
      </c>
      <c r="N300" s="3" t="s">
        <v>861</v>
      </c>
      <c r="P300" s="3" t="s">
        <v>162</v>
      </c>
      <c r="Q300" s="2" t="s">
        <v>3213</v>
      </c>
      <c r="R300" s="3" t="s">
        <v>70</v>
      </c>
      <c r="S300" s="4">
        <v>2</v>
      </c>
      <c r="T300" s="4">
        <v>2</v>
      </c>
      <c r="U300" s="5" t="s">
        <v>3214</v>
      </c>
      <c r="V300" s="5" t="s">
        <v>3214</v>
      </c>
      <c r="W300" s="5" t="s">
        <v>72</v>
      </c>
      <c r="X300" s="5" t="s">
        <v>72</v>
      </c>
      <c r="Y300" s="4">
        <v>16</v>
      </c>
      <c r="Z300" s="4">
        <v>3</v>
      </c>
      <c r="AA300" s="4">
        <v>3</v>
      </c>
      <c r="AB300" s="4">
        <v>1</v>
      </c>
      <c r="AC300" s="4">
        <v>1</v>
      </c>
      <c r="AD300" s="4">
        <v>8</v>
      </c>
      <c r="AE300" s="4">
        <v>8</v>
      </c>
      <c r="AF300" s="4">
        <v>0</v>
      </c>
      <c r="AG300" s="4">
        <v>0</v>
      </c>
      <c r="AH300" s="4">
        <v>8</v>
      </c>
      <c r="AI300" s="4">
        <v>8</v>
      </c>
      <c r="AJ300" s="4">
        <v>1</v>
      </c>
      <c r="AK300" s="4">
        <v>1</v>
      </c>
      <c r="AL300" s="4">
        <v>6</v>
      </c>
      <c r="AM300" s="4">
        <v>6</v>
      </c>
      <c r="AN300" s="4">
        <v>0</v>
      </c>
      <c r="AO300" s="4">
        <v>0</v>
      </c>
      <c r="AP300" s="4">
        <v>1</v>
      </c>
      <c r="AQ300" s="4">
        <v>1</v>
      </c>
      <c r="AR300" s="3" t="s">
        <v>64</v>
      </c>
      <c r="AS300" s="3" t="s">
        <v>64</v>
      </c>
      <c r="AT300" s="3" t="s">
        <v>64</v>
      </c>
      <c r="AV300" s="6" t="str">
        <f>HYPERLINK("http://mcgill.on.worldcat.org/oclc/55144150","Catalog Record")</f>
        <v>Catalog Record</v>
      </c>
      <c r="AW300" s="6" t="str">
        <f>HYPERLINK("http://www.worldcat.org/oclc/55144150","WorldCat Record")</f>
        <v>WorldCat Record</v>
      </c>
      <c r="AX300" s="3" t="s">
        <v>3215</v>
      </c>
      <c r="AY300" s="3" t="s">
        <v>3216</v>
      </c>
      <c r="AZ300" s="3" t="s">
        <v>3217</v>
      </c>
      <c r="BA300" s="3" t="s">
        <v>3217</v>
      </c>
      <c r="BB300" s="3" t="s">
        <v>3218</v>
      </c>
      <c r="BC300" s="3" t="s">
        <v>78</v>
      </c>
      <c r="BD300" s="3" t="s">
        <v>79</v>
      </c>
      <c r="BE300" s="3" t="s">
        <v>3219</v>
      </c>
      <c r="BF300" s="3" t="s">
        <v>3218</v>
      </c>
      <c r="BG300" s="3" t="s">
        <v>3220</v>
      </c>
    </row>
    <row r="301" spans="1:59" ht="58" x14ac:dyDescent="0.35">
      <c r="A301" s="2" t="s">
        <v>59</v>
      </c>
      <c r="B301" s="2" t="s">
        <v>94</v>
      </c>
      <c r="C301" s="2" t="s">
        <v>3221</v>
      </c>
      <c r="D301" s="2" t="s">
        <v>3222</v>
      </c>
      <c r="E301" s="2" t="s">
        <v>3223</v>
      </c>
      <c r="G301" s="3" t="s">
        <v>64</v>
      </c>
      <c r="I301" s="3" t="s">
        <v>64</v>
      </c>
      <c r="J301" s="3" t="s">
        <v>64</v>
      </c>
      <c r="K301" s="3" t="s">
        <v>65</v>
      </c>
      <c r="L301" s="2" t="s">
        <v>3224</v>
      </c>
      <c r="M301" s="2" t="s">
        <v>3225</v>
      </c>
      <c r="N301" s="3" t="s">
        <v>651</v>
      </c>
      <c r="P301" s="3" t="s">
        <v>69</v>
      </c>
      <c r="Q301" s="2" t="s">
        <v>3226</v>
      </c>
      <c r="R301" s="3" t="s">
        <v>70</v>
      </c>
      <c r="S301" s="4">
        <v>20</v>
      </c>
      <c r="T301" s="4">
        <v>20</v>
      </c>
      <c r="U301" s="5" t="s">
        <v>2240</v>
      </c>
      <c r="V301" s="5" t="s">
        <v>2240</v>
      </c>
      <c r="W301" s="5" t="s">
        <v>72</v>
      </c>
      <c r="X301" s="5" t="s">
        <v>72</v>
      </c>
      <c r="Y301" s="4">
        <v>262</v>
      </c>
      <c r="Z301" s="4">
        <v>13</v>
      </c>
      <c r="AA301" s="4">
        <v>79</v>
      </c>
      <c r="AB301" s="4">
        <v>1</v>
      </c>
      <c r="AC301" s="4">
        <v>15</v>
      </c>
      <c r="AD301" s="4">
        <v>77</v>
      </c>
      <c r="AE301" s="4">
        <v>128</v>
      </c>
      <c r="AF301" s="4">
        <v>0</v>
      </c>
      <c r="AG301" s="4">
        <v>8</v>
      </c>
      <c r="AH301" s="4">
        <v>71</v>
      </c>
      <c r="AI301" s="4">
        <v>95</v>
      </c>
      <c r="AJ301" s="4">
        <v>8</v>
      </c>
      <c r="AK301" s="4">
        <v>23</v>
      </c>
      <c r="AL301" s="4">
        <v>43</v>
      </c>
      <c r="AM301" s="4">
        <v>50</v>
      </c>
      <c r="AN301" s="4">
        <v>0</v>
      </c>
      <c r="AO301" s="4">
        <v>0</v>
      </c>
      <c r="AP301" s="4">
        <v>9</v>
      </c>
      <c r="AQ301" s="4">
        <v>41</v>
      </c>
      <c r="AR301" s="3" t="s">
        <v>64</v>
      </c>
      <c r="AS301" s="3" t="s">
        <v>64</v>
      </c>
      <c r="AT301" s="3" t="s">
        <v>64</v>
      </c>
      <c r="AV301" s="6" t="str">
        <f>HYPERLINK("http://mcgill.on.worldcat.org/oclc/50520509","Catalog Record")</f>
        <v>Catalog Record</v>
      </c>
      <c r="AW301" s="6" t="str">
        <f>HYPERLINK("http://www.worldcat.org/oclc/50520509","WorldCat Record")</f>
        <v>WorldCat Record</v>
      </c>
      <c r="AX301" s="3" t="s">
        <v>3227</v>
      </c>
      <c r="AY301" s="3" t="s">
        <v>3228</v>
      </c>
      <c r="AZ301" s="3" t="s">
        <v>3229</v>
      </c>
      <c r="BA301" s="3" t="s">
        <v>3229</v>
      </c>
      <c r="BB301" s="3" t="s">
        <v>3230</v>
      </c>
      <c r="BC301" s="3" t="s">
        <v>78</v>
      </c>
      <c r="BD301" s="3" t="s">
        <v>79</v>
      </c>
      <c r="BE301" s="3" t="s">
        <v>3231</v>
      </c>
      <c r="BF301" s="3" t="s">
        <v>3230</v>
      </c>
      <c r="BG301" s="3" t="s">
        <v>3232</v>
      </c>
    </row>
    <row r="302" spans="1:59" ht="58" x14ac:dyDescent="0.35">
      <c r="A302" s="2" t="s">
        <v>59</v>
      </c>
      <c r="B302" s="2" t="s">
        <v>94</v>
      </c>
      <c r="C302" s="2" t="s">
        <v>3233</v>
      </c>
      <c r="D302" s="2" t="s">
        <v>3234</v>
      </c>
      <c r="E302" s="2" t="s">
        <v>3235</v>
      </c>
      <c r="G302" s="3" t="s">
        <v>64</v>
      </c>
      <c r="I302" s="3" t="s">
        <v>64</v>
      </c>
      <c r="J302" s="3" t="s">
        <v>64</v>
      </c>
      <c r="K302" s="3" t="s">
        <v>65</v>
      </c>
      <c r="L302" s="2" t="s">
        <v>3236</v>
      </c>
      <c r="M302" s="2" t="s">
        <v>3237</v>
      </c>
      <c r="N302" s="3" t="s">
        <v>524</v>
      </c>
      <c r="P302" s="3" t="s">
        <v>69</v>
      </c>
      <c r="Q302" s="2" t="s">
        <v>3238</v>
      </c>
      <c r="R302" s="3" t="s">
        <v>70</v>
      </c>
      <c r="S302" s="4">
        <v>0</v>
      </c>
      <c r="T302" s="4">
        <v>0</v>
      </c>
      <c r="W302" s="5" t="s">
        <v>72</v>
      </c>
      <c r="X302" s="5" t="s">
        <v>72</v>
      </c>
      <c r="Y302" s="4">
        <v>58</v>
      </c>
      <c r="Z302" s="4">
        <v>4</v>
      </c>
      <c r="AA302" s="4">
        <v>100</v>
      </c>
      <c r="AB302" s="4">
        <v>1</v>
      </c>
      <c r="AC302" s="4">
        <v>14</v>
      </c>
      <c r="AD302" s="4">
        <v>20</v>
      </c>
      <c r="AE302" s="4">
        <v>107</v>
      </c>
      <c r="AF302" s="4">
        <v>0</v>
      </c>
      <c r="AG302" s="4">
        <v>8</v>
      </c>
      <c r="AH302" s="4">
        <v>19</v>
      </c>
      <c r="AI302" s="4">
        <v>70</v>
      </c>
      <c r="AJ302" s="4">
        <v>1</v>
      </c>
      <c r="AK302" s="4">
        <v>20</v>
      </c>
      <c r="AL302" s="4">
        <v>16</v>
      </c>
      <c r="AM302" s="4">
        <v>38</v>
      </c>
      <c r="AN302" s="4">
        <v>0</v>
      </c>
      <c r="AO302" s="4">
        <v>0</v>
      </c>
      <c r="AP302" s="4">
        <v>1</v>
      </c>
      <c r="AQ302" s="4">
        <v>42</v>
      </c>
      <c r="AR302" s="3" t="s">
        <v>64</v>
      </c>
      <c r="AS302" s="3" t="s">
        <v>64</v>
      </c>
      <c r="AT302" s="3" t="s">
        <v>64</v>
      </c>
      <c r="AV302" s="6" t="str">
        <f>HYPERLINK("http://mcgill.on.worldcat.org/oclc/833403318","Catalog Record")</f>
        <v>Catalog Record</v>
      </c>
      <c r="AW302" s="6" t="str">
        <f>HYPERLINK("http://www.worldcat.org/oclc/833403318","WorldCat Record")</f>
        <v>WorldCat Record</v>
      </c>
      <c r="AX302" s="3" t="s">
        <v>3239</v>
      </c>
      <c r="AY302" s="3" t="s">
        <v>3240</v>
      </c>
      <c r="AZ302" s="3" t="s">
        <v>3241</v>
      </c>
      <c r="BA302" s="3" t="s">
        <v>3241</v>
      </c>
      <c r="BB302" s="3" t="s">
        <v>3242</v>
      </c>
      <c r="BC302" s="3" t="s">
        <v>78</v>
      </c>
      <c r="BD302" s="3" t="s">
        <v>79</v>
      </c>
      <c r="BE302" s="3" t="s">
        <v>3243</v>
      </c>
      <c r="BF302" s="3" t="s">
        <v>3242</v>
      </c>
      <c r="BG302" s="3" t="s">
        <v>3244</v>
      </c>
    </row>
    <row r="303" spans="1:59" ht="58" x14ac:dyDescent="0.35">
      <c r="A303" s="2" t="s">
        <v>59</v>
      </c>
      <c r="B303" s="2" t="s">
        <v>94</v>
      </c>
      <c r="C303" s="2" t="s">
        <v>3245</v>
      </c>
      <c r="D303" s="2" t="s">
        <v>3246</v>
      </c>
      <c r="E303" s="2" t="s">
        <v>3247</v>
      </c>
      <c r="G303" s="3" t="s">
        <v>64</v>
      </c>
      <c r="I303" s="3" t="s">
        <v>64</v>
      </c>
      <c r="J303" s="3" t="s">
        <v>64</v>
      </c>
      <c r="K303" s="3" t="s">
        <v>65</v>
      </c>
      <c r="L303" s="2" t="s">
        <v>3248</v>
      </c>
      <c r="M303" s="2" t="s">
        <v>3249</v>
      </c>
      <c r="N303" s="3" t="s">
        <v>499</v>
      </c>
      <c r="P303" s="3" t="s">
        <v>69</v>
      </c>
      <c r="R303" s="3" t="s">
        <v>70</v>
      </c>
      <c r="S303" s="4">
        <v>29</v>
      </c>
      <c r="T303" s="4">
        <v>29</v>
      </c>
      <c r="U303" s="5" t="s">
        <v>3250</v>
      </c>
      <c r="V303" s="5" t="s">
        <v>3250</v>
      </c>
      <c r="W303" s="5" t="s">
        <v>72</v>
      </c>
      <c r="X303" s="5" t="s">
        <v>72</v>
      </c>
      <c r="Y303" s="4">
        <v>201</v>
      </c>
      <c r="Z303" s="4">
        <v>13</v>
      </c>
      <c r="AA303" s="4">
        <v>18</v>
      </c>
      <c r="AB303" s="4">
        <v>1</v>
      </c>
      <c r="AC303" s="4">
        <v>4</v>
      </c>
      <c r="AD303" s="4">
        <v>61</v>
      </c>
      <c r="AE303" s="4">
        <v>62</v>
      </c>
      <c r="AF303" s="4">
        <v>0</v>
      </c>
      <c r="AG303" s="4">
        <v>1</v>
      </c>
      <c r="AH303" s="4">
        <v>54</v>
      </c>
      <c r="AI303" s="4">
        <v>55</v>
      </c>
      <c r="AJ303" s="4">
        <v>5</v>
      </c>
      <c r="AK303" s="4">
        <v>6</v>
      </c>
      <c r="AL303" s="4">
        <v>26</v>
      </c>
      <c r="AM303" s="4">
        <v>26</v>
      </c>
      <c r="AN303" s="4">
        <v>0</v>
      </c>
      <c r="AO303" s="4">
        <v>0</v>
      </c>
      <c r="AP303" s="4">
        <v>8</v>
      </c>
      <c r="AQ303" s="4">
        <v>9</v>
      </c>
      <c r="AR303" s="3" t="s">
        <v>64</v>
      </c>
      <c r="AS303" s="3" t="s">
        <v>64</v>
      </c>
      <c r="AT303" s="3" t="s">
        <v>64</v>
      </c>
      <c r="AV303" s="6" t="str">
        <f>HYPERLINK("http://mcgill.on.worldcat.org/oclc/55645079","Catalog Record")</f>
        <v>Catalog Record</v>
      </c>
      <c r="AW303" s="6" t="str">
        <f>HYPERLINK("http://www.worldcat.org/oclc/55645079","WorldCat Record")</f>
        <v>WorldCat Record</v>
      </c>
      <c r="AX303" s="3" t="s">
        <v>3251</v>
      </c>
      <c r="AY303" s="3" t="s">
        <v>3252</v>
      </c>
      <c r="AZ303" s="3" t="s">
        <v>3253</v>
      </c>
      <c r="BA303" s="3" t="s">
        <v>3253</v>
      </c>
      <c r="BB303" s="3" t="s">
        <v>3254</v>
      </c>
      <c r="BC303" s="3" t="s">
        <v>78</v>
      </c>
      <c r="BD303" s="3" t="s">
        <v>79</v>
      </c>
      <c r="BE303" s="3" t="s">
        <v>3255</v>
      </c>
      <c r="BF303" s="3" t="s">
        <v>3254</v>
      </c>
      <c r="BG303" s="3" t="s">
        <v>3256</v>
      </c>
    </row>
    <row r="304" spans="1:59" ht="58" x14ac:dyDescent="0.35">
      <c r="A304" s="2" t="s">
        <v>59</v>
      </c>
      <c r="B304" s="2" t="s">
        <v>94</v>
      </c>
      <c r="C304" s="2" t="s">
        <v>3257</v>
      </c>
      <c r="D304" s="2" t="s">
        <v>3258</v>
      </c>
      <c r="E304" s="2" t="s">
        <v>3259</v>
      </c>
      <c r="G304" s="3" t="s">
        <v>64</v>
      </c>
      <c r="I304" s="3" t="s">
        <v>73</v>
      </c>
      <c r="J304" s="3" t="s">
        <v>64</v>
      </c>
      <c r="K304" s="3" t="s">
        <v>65</v>
      </c>
      <c r="L304" s="2" t="s">
        <v>3260</v>
      </c>
      <c r="M304" s="2" t="s">
        <v>3261</v>
      </c>
      <c r="N304" s="3" t="s">
        <v>1764</v>
      </c>
      <c r="P304" s="3" t="s">
        <v>69</v>
      </c>
      <c r="R304" s="3" t="s">
        <v>70</v>
      </c>
      <c r="S304" s="4">
        <v>42</v>
      </c>
      <c r="T304" s="4">
        <v>117</v>
      </c>
      <c r="U304" s="5" t="s">
        <v>3262</v>
      </c>
      <c r="V304" s="5" t="s">
        <v>3262</v>
      </c>
      <c r="W304" s="5" t="s">
        <v>72</v>
      </c>
      <c r="X304" s="5" t="s">
        <v>72</v>
      </c>
      <c r="Y304" s="4">
        <v>1525</v>
      </c>
      <c r="Z304" s="4">
        <v>74</v>
      </c>
      <c r="AA304" s="4">
        <v>86</v>
      </c>
      <c r="AB304" s="4">
        <v>5</v>
      </c>
      <c r="AC304" s="4">
        <v>11</v>
      </c>
      <c r="AD304" s="4">
        <v>147</v>
      </c>
      <c r="AE304" s="4">
        <v>158</v>
      </c>
      <c r="AF304" s="4">
        <v>2</v>
      </c>
      <c r="AG304" s="4">
        <v>5</v>
      </c>
      <c r="AH304" s="4">
        <v>106</v>
      </c>
      <c r="AI304" s="4">
        <v>113</v>
      </c>
      <c r="AJ304" s="4">
        <v>23</v>
      </c>
      <c r="AK304" s="4">
        <v>28</v>
      </c>
      <c r="AL304" s="4">
        <v>57</v>
      </c>
      <c r="AM304" s="4">
        <v>61</v>
      </c>
      <c r="AN304" s="4">
        <v>0</v>
      </c>
      <c r="AO304" s="4">
        <v>0</v>
      </c>
      <c r="AP304" s="4">
        <v>47</v>
      </c>
      <c r="AQ304" s="4">
        <v>51</v>
      </c>
      <c r="AR304" s="3" t="s">
        <v>64</v>
      </c>
      <c r="AS304" s="3" t="s">
        <v>64</v>
      </c>
      <c r="AT304" s="3" t="s">
        <v>64</v>
      </c>
      <c r="AV304" s="6" t="str">
        <f>HYPERLINK("http://mcgill.on.worldcat.org/oclc/8132100","Catalog Record")</f>
        <v>Catalog Record</v>
      </c>
      <c r="AW304" s="6" t="str">
        <f>HYPERLINK("http://www.worldcat.org/oclc/8132100","WorldCat Record")</f>
        <v>WorldCat Record</v>
      </c>
      <c r="AX304" s="3" t="s">
        <v>3263</v>
      </c>
      <c r="AY304" s="3" t="s">
        <v>3264</v>
      </c>
      <c r="AZ304" s="3" t="s">
        <v>3265</v>
      </c>
      <c r="BA304" s="3" t="s">
        <v>3265</v>
      </c>
      <c r="BB304" s="3" t="s">
        <v>3266</v>
      </c>
      <c r="BC304" s="3" t="s">
        <v>78</v>
      </c>
      <c r="BD304" s="3" t="s">
        <v>79</v>
      </c>
      <c r="BE304" s="3" t="s">
        <v>3267</v>
      </c>
      <c r="BF304" s="3" t="s">
        <v>3266</v>
      </c>
      <c r="BG304" s="3" t="s">
        <v>3268</v>
      </c>
    </row>
    <row r="305" spans="1:59" ht="58" x14ac:dyDescent="0.35">
      <c r="A305" s="2" t="s">
        <v>59</v>
      </c>
      <c r="B305" s="2" t="s">
        <v>94</v>
      </c>
      <c r="C305" s="2" t="s">
        <v>3257</v>
      </c>
      <c r="D305" s="2" t="s">
        <v>3258</v>
      </c>
      <c r="E305" s="2" t="s">
        <v>3259</v>
      </c>
      <c r="G305" s="3" t="s">
        <v>64</v>
      </c>
      <c r="I305" s="3" t="s">
        <v>73</v>
      </c>
      <c r="J305" s="3" t="s">
        <v>64</v>
      </c>
      <c r="K305" s="3" t="s">
        <v>65</v>
      </c>
      <c r="L305" s="2" t="s">
        <v>3260</v>
      </c>
      <c r="M305" s="2" t="s">
        <v>3261</v>
      </c>
      <c r="N305" s="3" t="s">
        <v>1764</v>
      </c>
      <c r="P305" s="3" t="s">
        <v>69</v>
      </c>
      <c r="R305" s="3" t="s">
        <v>70</v>
      </c>
      <c r="S305" s="4">
        <v>75</v>
      </c>
      <c r="T305" s="4">
        <v>117</v>
      </c>
      <c r="U305" s="5" t="s">
        <v>3269</v>
      </c>
      <c r="V305" s="5" t="s">
        <v>3262</v>
      </c>
      <c r="W305" s="5" t="s">
        <v>72</v>
      </c>
      <c r="X305" s="5" t="s">
        <v>72</v>
      </c>
      <c r="Y305" s="4">
        <v>1525</v>
      </c>
      <c r="Z305" s="4">
        <v>74</v>
      </c>
      <c r="AA305" s="4">
        <v>86</v>
      </c>
      <c r="AB305" s="4">
        <v>5</v>
      </c>
      <c r="AC305" s="4">
        <v>11</v>
      </c>
      <c r="AD305" s="4">
        <v>147</v>
      </c>
      <c r="AE305" s="4">
        <v>158</v>
      </c>
      <c r="AF305" s="4">
        <v>2</v>
      </c>
      <c r="AG305" s="4">
        <v>5</v>
      </c>
      <c r="AH305" s="4">
        <v>106</v>
      </c>
      <c r="AI305" s="4">
        <v>113</v>
      </c>
      <c r="AJ305" s="4">
        <v>23</v>
      </c>
      <c r="AK305" s="4">
        <v>28</v>
      </c>
      <c r="AL305" s="4">
        <v>57</v>
      </c>
      <c r="AM305" s="4">
        <v>61</v>
      </c>
      <c r="AN305" s="4">
        <v>0</v>
      </c>
      <c r="AO305" s="4">
        <v>0</v>
      </c>
      <c r="AP305" s="4">
        <v>47</v>
      </c>
      <c r="AQ305" s="4">
        <v>51</v>
      </c>
      <c r="AR305" s="3" t="s">
        <v>64</v>
      </c>
      <c r="AS305" s="3" t="s">
        <v>64</v>
      </c>
      <c r="AT305" s="3" t="s">
        <v>64</v>
      </c>
      <c r="AV305" s="6" t="str">
        <f>HYPERLINK("http://mcgill.on.worldcat.org/oclc/8132100","Catalog Record")</f>
        <v>Catalog Record</v>
      </c>
      <c r="AW305" s="6" t="str">
        <f>HYPERLINK("http://www.worldcat.org/oclc/8132100","WorldCat Record")</f>
        <v>WorldCat Record</v>
      </c>
      <c r="AX305" s="3" t="s">
        <v>3263</v>
      </c>
      <c r="AY305" s="3" t="s">
        <v>3264</v>
      </c>
      <c r="AZ305" s="3" t="s">
        <v>3265</v>
      </c>
      <c r="BA305" s="3" t="s">
        <v>3265</v>
      </c>
      <c r="BB305" s="3" t="s">
        <v>3270</v>
      </c>
      <c r="BC305" s="3" t="s">
        <v>78</v>
      </c>
      <c r="BD305" s="3" t="s">
        <v>79</v>
      </c>
      <c r="BE305" s="3" t="s">
        <v>3267</v>
      </c>
      <c r="BF305" s="3" t="s">
        <v>3270</v>
      </c>
      <c r="BG305" s="3" t="s">
        <v>3271</v>
      </c>
    </row>
    <row r="306" spans="1:59" ht="58" x14ac:dyDescent="0.35">
      <c r="A306" s="2" t="s">
        <v>59</v>
      </c>
      <c r="B306" s="2" t="s">
        <v>94</v>
      </c>
      <c r="C306" s="2" t="s">
        <v>3272</v>
      </c>
      <c r="D306" s="2" t="s">
        <v>3273</v>
      </c>
      <c r="E306" s="2" t="s">
        <v>3274</v>
      </c>
      <c r="G306" s="3" t="s">
        <v>64</v>
      </c>
      <c r="I306" s="3" t="s">
        <v>64</v>
      </c>
      <c r="J306" s="3" t="s">
        <v>64</v>
      </c>
      <c r="K306" s="3" t="s">
        <v>65</v>
      </c>
      <c r="M306" s="2" t="s">
        <v>3275</v>
      </c>
      <c r="N306" s="3" t="s">
        <v>1064</v>
      </c>
      <c r="P306" s="3" t="s">
        <v>69</v>
      </c>
      <c r="R306" s="3" t="s">
        <v>70</v>
      </c>
      <c r="S306" s="4">
        <v>39</v>
      </c>
      <c r="T306" s="4">
        <v>39</v>
      </c>
      <c r="U306" s="5" t="s">
        <v>3276</v>
      </c>
      <c r="V306" s="5" t="s">
        <v>3276</v>
      </c>
      <c r="W306" s="5" t="s">
        <v>72</v>
      </c>
      <c r="X306" s="5" t="s">
        <v>72</v>
      </c>
      <c r="Y306" s="4">
        <v>1016</v>
      </c>
      <c r="Z306" s="4">
        <v>49</v>
      </c>
      <c r="AA306" s="4">
        <v>115</v>
      </c>
      <c r="AB306" s="4">
        <v>1</v>
      </c>
      <c r="AC306" s="4">
        <v>17</v>
      </c>
      <c r="AD306" s="4">
        <v>114</v>
      </c>
      <c r="AE306" s="4">
        <v>146</v>
      </c>
      <c r="AF306" s="4">
        <v>0</v>
      </c>
      <c r="AG306" s="4">
        <v>8</v>
      </c>
      <c r="AH306" s="4">
        <v>94</v>
      </c>
      <c r="AI306" s="4">
        <v>106</v>
      </c>
      <c r="AJ306" s="4">
        <v>15</v>
      </c>
      <c r="AK306" s="4">
        <v>25</v>
      </c>
      <c r="AL306" s="4">
        <v>51</v>
      </c>
      <c r="AM306" s="4">
        <v>54</v>
      </c>
      <c r="AN306" s="4">
        <v>0</v>
      </c>
      <c r="AO306" s="4">
        <v>0</v>
      </c>
      <c r="AP306" s="4">
        <v>28</v>
      </c>
      <c r="AQ306" s="4">
        <v>49</v>
      </c>
      <c r="AR306" s="3" t="s">
        <v>64</v>
      </c>
      <c r="AS306" s="3" t="s">
        <v>64</v>
      </c>
      <c r="AT306" s="3" t="s">
        <v>64</v>
      </c>
      <c r="AV306" s="6" t="str">
        <f>HYPERLINK("http://mcgill.on.worldcat.org/oclc/41581804","Catalog Record")</f>
        <v>Catalog Record</v>
      </c>
      <c r="AW306" s="6" t="str">
        <f>HYPERLINK("http://www.worldcat.org/oclc/41581804","WorldCat Record")</f>
        <v>WorldCat Record</v>
      </c>
      <c r="AX306" s="3" t="s">
        <v>3277</v>
      </c>
      <c r="AY306" s="3" t="s">
        <v>3278</v>
      </c>
      <c r="AZ306" s="3" t="s">
        <v>3279</v>
      </c>
      <c r="BA306" s="3" t="s">
        <v>3279</v>
      </c>
      <c r="BB306" s="3" t="s">
        <v>3280</v>
      </c>
      <c r="BC306" s="3" t="s">
        <v>78</v>
      </c>
      <c r="BD306" s="3" t="s">
        <v>414</v>
      </c>
      <c r="BE306" s="3" t="s">
        <v>3281</v>
      </c>
      <c r="BF306" s="3" t="s">
        <v>3280</v>
      </c>
      <c r="BG306" s="3" t="s">
        <v>3282</v>
      </c>
    </row>
    <row r="307" spans="1:59" ht="58" x14ac:dyDescent="0.35">
      <c r="A307" s="2" t="s">
        <v>59</v>
      </c>
      <c r="B307" s="2" t="s">
        <v>94</v>
      </c>
      <c r="C307" s="2" t="s">
        <v>3283</v>
      </c>
      <c r="D307" s="2" t="s">
        <v>3284</v>
      </c>
      <c r="E307" s="2" t="s">
        <v>3285</v>
      </c>
      <c r="G307" s="3" t="s">
        <v>64</v>
      </c>
      <c r="I307" s="3" t="s">
        <v>64</v>
      </c>
      <c r="J307" s="3" t="s">
        <v>64</v>
      </c>
      <c r="K307" s="3" t="s">
        <v>65</v>
      </c>
      <c r="L307" s="2" t="s">
        <v>3286</v>
      </c>
      <c r="M307" s="2" t="s">
        <v>3287</v>
      </c>
      <c r="N307" s="3" t="s">
        <v>861</v>
      </c>
      <c r="P307" s="3" t="s">
        <v>69</v>
      </c>
      <c r="R307" s="3" t="s">
        <v>70</v>
      </c>
      <c r="S307" s="4">
        <v>11</v>
      </c>
      <c r="T307" s="4">
        <v>11</v>
      </c>
      <c r="U307" s="5" t="s">
        <v>3288</v>
      </c>
      <c r="V307" s="5" t="s">
        <v>3288</v>
      </c>
      <c r="W307" s="5" t="s">
        <v>72</v>
      </c>
      <c r="X307" s="5" t="s">
        <v>72</v>
      </c>
      <c r="Y307" s="4">
        <v>486</v>
      </c>
      <c r="Z307" s="4">
        <v>26</v>
      </c>
      <c r="AA307" s="4">
        <v>38</v>
      </c>
      <c r="AB307" s="4">
        <v>1</v>
      </c>
      <c r="AC307" s="4">
        <v>4</v>
      </c>
      <c r="AD307" s="4">
        <v>97</v>
      </c>
      <c r="AE307" s="4">
        <v>102</v>
      </c>
      <c r="AF307" s="4">
        <v>0</v>
      </c>
      <c r="AG307" s="4">
        <v>1</v>
      </c>
      <c r="AH307" s="4">
        <v>84</v>
      </c>
      <c r="AI307" s="4">
        <v>86</v>
      </c>
      <c r="AJ307" s="4">
        <v>14</v>
      </c>
      <c r="AK307" s="4">
        <v>16</v>
      </c>
      <c r="AL307" s="4">
        <v>47</v>
      </c>
      <c r="AM307" s="4">
        <v>47</v>
      </c>
      <c r="AN307" s="4">
        <v>0</v>
      </c>
      <c r="AO307" s="4">
        <v>0</v>
      </c>
      <c r="AP307" s="4">
        <v>18</v>
      </c>
      <c r="AQ307" s="4">
        <v>21</v>
      </c>
      <c r="AR307" s="3" t="s">
        <v>64</v>
      </c>
      <c r="AS307" s="3" t="s">
        <v>64</v>
      </c>
      <c r="AT307" s="3" t="s">
        <v>64</v>
      </c>
      <c r="AV307" s="6" t="str">
        <f>HYPERLINK("http://mcgill.on.worldcat.org/oclc/52268736","Catalog Record")</f>
        <v>Catalog Record</v>
      </c>
      <c r="AW307" s="6" t="str">
        <f>HYPERLINK("http://www.worldcat.org/oclc/52268736","WorldCat Record")</f>
        <v>WorldCat Record</v>
      </c>
      <c r="AX307" s="3" t="s">
        <v>3289</v>
      </c>
      <c r="AY307" s="3" t="s">
        <v>3290</v>
      </c>
      <c r="AZ307" s="3" t="s">
        <v>3291</v>
      </c>
      <c r="BA307" s="3" t="s">
        <v>3291</v>
      </c>
      <c r="BB307" s="3" t="s">
        <v>3292</v>
      </c>
      <c r="BC307" s="3" t="s">
        <v>78</v>
      </c>
      <c r="BD307" s="3" t="s">
        <v>414</v>
      </c>
      <c r="BE307" s="3" t="s">
        <v>3293</v>
      </c>
      <c r="BF307" s="3" t="s">
        <v>3292</v>
      </c>
      <c r="BG307" s="3" t="s">
        <v>3294</v>
      </c>
    </row>
    <row r="308" spans="1:59" ht="58" x14ac:dyDescent="0.35">
      <c r="A308" s="2" t="s">
        <v>59</v>
      </c>
      <c r="B308" s="2" t="s">
        <v>94</v>
      </c>
      <c r="C308" s="2" t="s">
        <v>3295</v>
      </c>
      <c r="D308" s="2" t="s">
        <v>3296</v>
      </c>
      <c r="E308" s="2" t="s">
        <v>3297</v>
      </c>
      <c r="G308" s="3" t="s">
        <v>64</v>
      </c>
      <c r="I308" s="3" t="s">
        <v>64</v>
      </c>
      <c r="J308" s="3" t="s">
        <v>64</v>
      </c>
      <c r="K308" s="3" t="s">
        <v>65</v>
      </c>
      <c r="M308" s="2" t="s">
        <v>3298</v>
      </c>
      <c r="N308" s="3" t="s">
        <v>68</v>
      </c>
      <c r="P308" s="3" t="s">
        <v>69</v>
      </c>
      <c r="Q308" s="2" t="s">
        <v>3299</v>
      </c>
      <c r="R308" s="3" t="s">
        <v>70</v>
      </c>
      <c r="S308" s="4">
        <v>3</v>
      </c>
      <c r="T308" s="4">
        <v>3</v>
      </c>
      <c r="U308" s="5" t="s">
        <v>3300</v>
      </c>
      <c r="V308" s="5" t="s">
        <v>3300</v>
      </c>
      <c r="W308" s="5" t="s">
        <v>72</v>
      </c>
      <c r="X308" s="5" t="s">
        <v>72</v>
      </c>
      <c r="Y308" s="4">
        <v>161</v>
      </c>
      <c r="Z308" s="4">
        <v>15</v>
      </c>
      <c r="AA308" s="4">
        <v>99</v>
      </c>
      <c r="AB308" s="4">
        <v>1</v>
      </c>
      <c r="AC308" s="4">
        <v>17</v>
      </c>
      <c r="AD308" s="4">
        <v>62</v>
      </c>
      <c r="AE308" s="4">
        <v>127</v>
      </c>
      <c r="AF308" s="4">
        <v>0</v>
      </c>
      <c r="AG308" s="4">
        <v>8</v>
      </c>
      <c r="AH308" s="4">
        <v>56</v>
      </c>
      <c r="AI308" s="4">
        <v>90</v>
      </c>
      <c r="AJ308" s="4">
        <v>9</v>
      </c>
      <c r="AK308" s="4">
        <v>21</v>
      </c>
      <c r="AL308" s="4">
        <v>37</v>
      </c>
      <c r="AM308" s="4">
        <v>48</v>
      </c>
      <c r="AN308" s="4">
        <v>0</v>
      </c>
      <c r="AO308" s="4">
        <v>0</v>
      </c>
      <c r="AP308" s="4">
        <v>10</v>
      </c>
      <c r="AQ308" s="4">
        <v>43</v>
      </c>
      <c r="AR308" s="3" t="s">
        <v>64</v>
      </c>
      <c r="AS308" s="3" t="s">
        <v>64</v>
      </c>
      <c r="AT308" s="3" t="s">
        <v>73</v>
      </c>
      <c r="AU308" s="6" t="str">
        <f>HYPERLINK("http://catalog.hathitrust.org/Record/005639091","HathiTrust Record")</f>
        <v>HathiTrust Record</v>
      </c>
      <c r="AV308" s="6" t="str">
        <f>HYPERLINK("http://mcgill.on.worldcat.org/oclc/62897322","Catalog Record")</f>
        <v>Catalog Record</v>
      </c>
      <c r="AW308" s="6" t="str">
        <f>HYPERLINK("http://www.worldcat.org/oclc/62897322","WorldCat Record")</f>
        <v>WorldCat Record</v>
      </c>
      <c r="AX308" s="3" t="s">
        <v>3301</v>
      </c>
      <c r="AY308" s="3" t="s">
        <v>3302</v>
      </c>
      <c r="AZ308" s="3" t="s">
        <v>3303</v>
      </c>
      <c r="BA308" s="3" t="s">
        <v>3303</v>
      </c>
      <c r="BB308" s="3" t="s">
        <v>3304</v>
      </c>
      <c r="BC308" s="3" t="s">
        <v>78</v>
      </c>
      <c r="BD308" s="3" t="s">
        <v>79</v>
      </c>
      <c r="BE308" s="3" t="s">
        <v>3305</v>
      </c>
      <c r="BF308" s="3" t="s">
        <v>3304</v>
      </c>
      <c r="BG308" s="3" t="s">
        <v>3306</v>
      </c>
    </row>
    <row r="309" spans="1:59" ht="58" x14ac:dyDescent="0.35">
      <c r="A309" s="2" t="s">
        <v>59</v>
      </c>
      <c r="B309" s="2" t="s">
        <v>94</v>
      </c>
      <c r="C309" s="2" t="s">
        <v>3307</v>
      </c>
      <c r="D309" s="2" t="s">
        <v>3308</v>
      </c>
      <c r="E309" s="2" t="s">
        <v>3309</v>
      </c>
      <c r="G309" s="3" t="s">
        <v>64</v>
      </c>
      <c r="I309" s="3" t="s">
        <v>73</v>
      </c>
      <c r="J309" s="3" t="s">
        <v>64</v>
      </c>
      <c r="K309" s="3" t="s">
        <v>65</v>
      </c>
      <c r="L309" s="2" t="s">
        <v>3310</v>
      </c>
      <c r="M309" s="2" t="s">
        <v>3311</v>
      </c>
      <c r="N309" s="3" t="s">
        <v>3312</v>
      </c>
      <c r="P309" s="3" t="s">
        <v>69</v>
      </c>
      <c r="Q309" s="2" t="s">
        <v>3313</v>
      </c>
      <c r="R309" s="3" t="s">
        <v>70</v>
      </c>
      <c r="S309" s="4">
        <v>32</v>
      </c>
      <c r="T309" s="4">
        <v>42</v>
      </c>
      <c r="U309" s="5" t="s">
        <v>3183</v>
      </c>
      <c r="V309" s="5" t="s">
        <v>3183</v>
      </c>
      <c r="W309" s="5" t="s">
        <v>72</v>
      </c>
      <c r="X309" s="5" t="s">
        <v>72</v>
      </c>
      <c r="Y309" s="4">
        <v>654</v>
      </c>
      <c r="Z309" s="4">
        <v>20</v>
      </c>
      <c r="AA309" s="4">
        <v>22</v>
      </c>
      <c r="AB309" s="4">
        <v>1</v>
      </c>
      <c r="AC309" s="4">
        <v>1</v>
      </c>
      <c r="AD309" s="4">
        <v>91</v>
      </c>
      <c r="AE309" s="4">
        <v>92</v>
      </c>
      <c r="AF309" s="4">
        <v>0</v>
      </c>
      <c r="AG309" s="4">
        <v>0</v>
      </c>
      <c r="AH309" s="4">
        <v>76</v>
      </c>
      <c r="AI309" s="4">
        <v>77</v>
      </c>
      <c r="AJ309" s="4">
        <v>8</v>
      </c>
      <c r="AK309" s="4">
        <v>8</v>
      </c>
      <c r="AL309" s="4">
        <v>48</v>
      </c>
      <c r="AM309" s="4">
        <v>49</v>
      </c>
      <c r="AN309" s="4">
        <v>0</v>
      </c>
      <c r="AO309" s="4">
        <v>0</v>
      </c>
      <c r="AP309" s="4">
        <v>15</v>
      </c>
      <c r="AQ309" s="4">
        <v>15</v>
      </c>
      <c r="AR309" s="3" t="s">
        <v>64</v>
      </c>
      <c r="AS309" s="3" t="s">
        <v>64</v>
      </c>
      <c r="AT309" s="3" t="s">
        <v>73</v>
      </c>
      <c r="AU309" s="6" t="str">
        <f>HYPERLINK("http://catalog.hathitrust.org/Record/001116206","HathiTrust Record")</f>
        <v>HathiTrust Record</v>
      </c>
      <c r="AV309" s="6" t="str">
        <f>HYPERLINK("http://mcgill.on.worldcat.org/oclc/271704","Catalog Record")</f>
        <v>Catalog Record</v>
      </c>
      <c r="AW309" s="6" t="str">
        <f>HYPERLINK("http://www.worldcat.org/oclc/271704","WorldCat Record")</f>
        <v>WorldCat Record</v>
      </c>
      <c r="AX309" s="3" t="s">
        <v>3314</v>
      </c>
      <c r="AY309" s="3" t="s">
        <v>3315</v>
      </c>
      <c r="AZ309" s="3" t="s">
        <v>3316</v>
      </c>
      <c r="BA309" s="3" t="s">
        <v>3316</v>
      </c>
      <c r="BB309" s="3" t="s">
        <v>3317</v>
      </c>
      <c r="BC309" s="3" t="s">
        <v>78</v>
      </c>
      <c r="BD309" s="3" t="s">
        <v>79</v>
      </c>
      <c r="BF309" s="3" t="s">
        <v>3317</v>
      </c>
      <c r="BG309" s="3" t="s">
        <v>3318</v>
      </c>
    </row>
    <row r="310" spans="1:59" ht="58" x14ac:dyDescent="0.35">
      <c r="A310" s="2" t="s">
        <v>59</v>
      </c>
      <c r="B310" s="2" t="s">
        <v>94</v>
      </c>
      <c r="C310" s="2" t="s">
        <v>3307</v>
      </c>
      <c r="D310" s="2" t="s">
        <v>3308</v>
      </c>
      <c r="E310" s="2" t="s">
        <v>3309</v>
      </c>
      <c r="G310" s="3" t="s">
        <v>64</v>
      </c>
      <c r="I310" s="3" t="s">
        <v>73</v>
      </c>
      <c r="J310" s="3" t="s">
        <v>64</v>
      </c>
      <c r="K310" s="3" t="s">
        <v>65</v>
      </c>
      <c r="L310" s="2" t="s">
        <v>3310</v>
      </c>
      <c r="M310" s="2" t="s">
        <v>3311</v>
      </c>
      <c r="N310" s="3" t="s">
        <v>3312</v>
      </c>
      <c r="P310" s="3" t="s">
        <v>69</v>
      </c>
      <c r="Q310" s="2" t="s">
        <v>3313</v>
      </c>
      <c r="R310" s="3" t="s">
        <v>70</v>
      </c>
      <c r="S310" s="4">
        <v>10</v>
      </c>
      <c r="T310" s="4">
        <v>42</v>
      </c>
      <c r="U310" s="5" t="s">
        <v>3319</v>
      </c>
      <c r="V310" s="5" t="s">
        <v>3183</v>
      </c>
      <c r="W310" s="5" t="s">
        <v>72</v>
      </c>
      <c r="X310" s="5" t="s">
        <v>72</v>
      </c>
      <c r="Y310" s="4">
        <v>654</v>
      </c>
      <c r="Z310" s="4">
        <v>20</v>
      </c>
      <c r="AA310" s="4">
        <v>22</v>
      </c>
      <c r="AB310" s="4">
        <v>1</v>
      </c>
      <c r="AC310" s="4">
        <v>1</v>
      </c>
      <c r="AD310" s="4">
        <v>91</v>
      </c>
      <c r="AE310" s="4">
        <v>92</v>
      </c>
      <c r="AF310" s="4">
        <v>0</v>
      </c>
      <c r="AG310" s="4">
        <v>0</v>
      </c>
      <c r="AH310" s="4">
        <v>76</v>
      </c>
      <c r="AI310" s="4">
        <v>77</v>
      </c>
      <c r="AJ310" s="4">
        <v>8</v>
      </c>
      <c r="AK310" s="4">
        <v>8</v>
      </c>
      <c r="AL310" s="4">
        <v>48</v>
      </c>
      <c r="AM310" s="4">
        <v>49</v>
      </c>
      <c r="AN310" s="4">
        <v>0</v>
      </c>
      <c r="AO310" s="4">
        <v>0</v>
      </c>
      <c r="AP310" s="4">
        <v>15</v>
      </c>
      <c r="AQ310" s="4">
        <v>15</v>
      </c>
      <c r="AR310" s="3" t="s">
        <v>64</v>
      </c>
      <c r="AS310" s="3" t="s">
        <v>64</v>
      </c>
      <c r="AT310" s="3" t="s">
        <v>73</v>
      </c>
      <c r="AU310" s="6" t="str">
        <f>HYPERLINK("http://catalog.hathitrust.org/Record/001116206","HathiTrust Record")</f>
        <v>HathiTrust Record</v>
      </c>
      <c r="AV310" s="6" t="str">
        <f>HYPERLINK("http://mcgill.on.worldcat.org/oclc/271704","Catalog Record")</f>
        <v>Catalog Record</v>
      </c>
      <c r="AW310" s="6" t="str">
        <f>HYPERLINK("http://www.worldcat.org/oclc/271704","WorldCat Record")</f>
        <v>WorldCat Record</v>
      </c>
      <c r="AX310" s="3" t="s">
        <v>3314</v>
      </c>
      <c r="AY310" s="3" t="s">
        <v>3315</v>
      </c>
      <c r="AZ310" s="3" t="s">
        <v>3316</v>
      </c>
      <c r="BA310" s="3" t="s">
        <v>3316</v>
      </c>
      <c r="BB310" s="3" t="s">
        <v>3320</v>
      </c>
      <c r="BC310" s="3" t="s">
        <v>78</v>
      </c>
      <c r="BD310" s="3" t="s">
        <v>79</v>
      </c>
      <c r="BF310" s="3" t="s">
        <v>3320</v>
      </c>
      <c r="BG310" s="3" t="s">
        <v>3321</v>
      </c>
    </row>
    <row r="311" spans="1:59" ht="58" x14ac:dyDescent="0.35">
      <c r="A311" s="2" t="s">
        <v>59</v>
      </c>
      <c r="B311" s="2" t="s">
        <v>94</v>
      </c>
      <c r="C311" s="2" t="s">
        <v>3322</v>
      </c>
      <c r="D311" s="2" t="s">
        <v>3323</v>
      </c>
      <c r="E311" s="2" t="s">
        <v>3324</v>
      </c>
      <c r="F311" s="3" t="s">
        <v>559</v>
      </c>
      <c r="G311" s="3" t="s">
        <v>73</v>
      </c>
      <c r="I311" s="3" t="s">
        <v>64</v>
      </c>
      <c r="J311" s="3" t="s">
        <v>64</v>
      </c>
      <c r="K311" s="3" t="s">
        <v>65</v>
      </c>
      <c r="L311" s="2" t="s">
        <v>3310</v>
      </c>
      <c r="M311" s="2" t="s">
        <v>3325</v>
      </c>
      <c r="N311" s="3" t="s">
        <v>3326</v>
      </c>
      <c r="O311" s="2" t="s">
        <v>3327</v>
      </c>
      <c r="P311" s="3" t="s">
        <v>69</v>
      </c>
      <c r="R311" s="3" t="s">
        <v>70</v>
      </c>
      <c r="S311" s="4">
        <v>17</v>
      </c>
      <c r="T311" s="4">
        <v>40</v>
      </c>
      <c r="U311" s="5" t="s">
        <v>2044</v>
      </c>
      <c r="V311" s="5" t="s">
        <v>2044</v>
      </c>
      <c r="W311" s="5" t="s">
        <v>72</v>
      </c>
      <c r="X311" s="5" t="s">
        <v>72</v>
      </c>
      <c r="Y311" s="4">
        <v>132</v>
      </c>
      <c r="Z311" s="4">
        <v>14</v>
      </c>
      <c r="AA311" s="4">
        <v>15</v>
      </c>
      <c r="AB311" s="4">
        <v>1</v>
      </c>
      <c r="AC311" s="4">
        <v>1</v>
      </c>
      <c r="AD311" s="4">
        <v>40</v>
      </c>
      <c r="AE311" s="4">
        <v>40</v>
      </c>
      <c r="AF311" s="4">
        <v>0</v>
      </c>
      <c r="AG311" s="4">
        <v>0</v>
      </c>
      <c r="AH311" s="4">
        <v>34</v>
      </c>
      <c r="AI311" s="4">
        <v>34</v>
      </c>
      <c r="AJ311" s="4">
        <v>9</v>
      </c>
      <c r="AK311" s="4">
        <v>9</v>
      </c>
      <c r="AL311" s="4">
        <v>22</v>
      </c>
      <c r="AM311" s="4">
        <v>22</v>
      </c>
      <c r="AN311" s="4">
        <v>0</v>
      </c>
      <c r="AO311" s="4">
        <v>0</v>
      </c>
      <c r="AP311" s="4">
        <v>8</v>
      </c>
      <c r="AQ311" s="4">
        <v>8</v>
      </c>
      <c r="AR311" s="3" t="s">
        <v>64</v>
      </c>
      <c r="AS311" s="3" t="s">
        <v>64</v>
      </c>
      <c r="AT311" s="3" t="s">
        <v>73</v>
      </c>
      <c r="AU311" s="6" t="str">
        <f>HYPERLINK("http://catalog.hathitrust.org/Record/102022749","HathiTrust Record")</f>
        <v>HathiTrust Record</v>
      </c>
      <c r="AV311" s="6" t="str">
        <f>HYPERLINK("http://mcgill.on.worldcat.org/oclc/2273817","Catalog Record")</f>
        <v>Catalog Record</v>
      </c>
      <c r="AW311" s="6" t="str">
        <f>HYPERLINK("http://www.worldcat.org/oclc/2273817","WorldCat Record")</f>
        <v>WorldCat Record</v>
      </c>
      <c r="AX311" s="3" t="s">
        <v>3328</v>
      </c>
      <c r="AY311" s="3" t="s">
        <v>3329</v>
      </c>
      <c r="AZ311" s="3" t="s">
        <v>3330</v>
      </c>
      <c r="BA311" s="3" t="s">
        <v>3330</v>
      </c>
      <c r="BB311" s="3" t="s">
        <v>3331</v>
      </c>
      <c r="BC311" s="3" t="s">
        <v>78</v>
      </c>
      <c r="BD311" s="3" t="s">
        <v>79</v>
      </c>
      <c r="BF311" s="3" t="s">
        <v>3331</v>
      </c>
      <c r="BG311" s="3" t="s">
        <v>3332</v>
      </c>
    </row>
    <row r="312" spans="1:59" ht="58" x14ac:dyDescent="0.35">
      <c r="A312" s="2" t="s">
        <v>59</v>
      </c>
      <c r="B312" s="2" t="s">
        <v>94</v>
      </c>
      <c r="C312" s="2" t="s">
        <v>3322</v>
      </c>
      <c r="D312" s="2" t="s">
        <v>3323</v>
      </c>
      <c r="E312" s="2" t="s">
        <v>3324</v>
      </c>
      <c r="F312" s="3" t="s">
        <v>550</v>
      </c>
      <c r="G312" s="3" t="s">
        <v>73</v>
      </c>
      <c r="I312" s="3" t="s">
        <v>64</v>
      </c>
      <c r="J312" s="3" t="s">
        <v>64</v>
      </c>
      <c r="K312" s="3" t="s">
        <v>65</v>
      </c>
      <c r="L312" s="2" t="s">
        <v>3310</v>
      </c>
      <c r="M312" s="2" t="s">
        <v>3325</v>
      </c>
      <c r="N312" s="3" t="s">
        <v>3326</v>
      </c>
      <c r="O312" s="2" t="s">
        <v>3327</v>
      </c>
      <c r="P312" s="3" t="s">
        <v>69</v>
      </c>
      <c r="R312" s="3" t="s">
        <v>70</v>
      </c>
      <c r="S312" s="4">
        <v>23</v>
      </c>
      <c r="T312" s="4">
        <v>40</v>
      </c>
      <c r="U312" s="5" t="s">
        <v>3333</v>
      </c>
      <c r="V312" s="5" t="s">
        <v>2044</v>
      </c>
      <c r="W312" s="5" t="s">
        <v>72</v>
      </c>
      <c r="X312" s="5" t="s">
        <v>72</v>
      </c>
      <c r="Y312" s="4">
        <v>132</v>
      </c>
      <c r="Z312" s="4">
        <v>14</v>
      </c>
      <c r="AA312" s="4">
        <v>15</v>
      </c>
      <c r="AB312" s="4">
        <v>1</v>
      </c>
      <c r="AC312" s="4">
        <v>1</v>
      </c>
      <c r="AD312" s="4">
        <v>40</v>
      </c>
      <c r="AE312" s="4">
        <v>40</v>
      </c>
      <c r="AF312" s="4">
        <v>0</v>
      </c>
      <c r="AG312" s="4">
        <v>0</v>
      </c>
      <c r="AH312" s="4">
        <v>34</v>
      </c>
      <c r="AI312" s="4">
        <v>34</v>
      </c>
      <c r="AJ312" s="4">
        <v>9</v>
      </c>
      <c r="AK312" s="4">
        <v>9</v>
      </c>
      <c r="AL312" s="4">
        <v>22</v>
      </c>
      <c r="AM312" s="4">
        <v>22</v>
      </c>
      <c r="AN312" s="4">
        <v>0</v>
      </c>
      <c r="AO312" s="4">
        <v>0</v>
      </c>
      <c r="AP312" s="4">
        <v>8</v>
      </c>
      <c r="AQ312" s="4">
        <v>8</v>
      </c>
      <c r="AR312" s="3" t="s">
        <v>64</v>
      </c>
      <c r="AS312" s="3" t="s">
        <v>64</v>
      </c>
      <c r="AT312" s="3" t="s">
        <v>73</v>
      </c>
      <c r="AU312" s="6" t="str">
        <f>HYPERLINK("http://catalog.hathitrust.org/Record/102022749","HathiTrust Record")</f>
        <v>HathiTrust Record</v>
      </c>
      <c r="AV312" s="6" t="str">
        <f>HYPERLINK("http://mcgill.on.worldcat.org/oclc/2273817","Catalog Record")</f>
        <v>Catalog Record</v>
      </c>
      <c r="AW312" s="6" t="str">
        <f>HYPERLINK("http://www.worldcat.org/oclc/2273817","WorldCat Record")</f>
        <v>WorldCat Record</v>
      </c>
      <c r="AX312" s="3" t="s">
        <v>3328</v>
      </c>
      <c r="AY312" s="3" t="s">
        <v>3329</v>
      </c>
      <c r="AZ312" s="3" t="s">
        <v>3330</v>
      </c>
      <c r="BA312" s="3" t="s">
        <v>3330</v>
      </c>
      <c r="BB312" s="3" t="s">
        <v>3334</v>
      </c>
      <c r="BC312" s="3" t="s">
        <v>78</v>
      </c>
      <c r="BD312" s="3" t="s">
        <v>79</v>
      </c>
      <c r="BF312" s="3" t="s">
        <v>3334</v>
      </c>
      <c r="BG312" s="3" t="s">
        <v>3335</v>
      </c>
    </row>
    <row r="313" spans="1:59" ht="72.5" x14ac:dyDescent="0.35">
      <c r="A313" s="2" t="s">
        <v>59</v>
      </c>
      <c r="B313" s="2" t="s">
        <v>94</v>
      </c>
      <c r="C313" s="2" t="s">
        <v>3336</v>
      </c>
      <c r="D313" s="2" t="s">
        <v>3337</v>
      </c>
      <c r="E313" s="2" t="s">
        <v>3338</v>
      </c>
      <c r="G313" s="3" t="s">
        <v>64</v>
      </c>
      <c r="I313" s="3" t="s">
        <v>64</v>
      </c>
      <c r="J313" s="3" t="s">
        <v>64</v>
      </c>
      <c r="K313" s="3" t="s">
        <v>65</v>
      </c>
      <c r="M313" s="2" t="s">
        <v>3339</v>
      </c>
      <c r="N313" s="3" t="s">
        <v>68</v>
      </c>
      <c r="P313" s="3" t="s">
        <v>69</v>
      </c>
      <c r="R313" s="3" t="s">
        <v>70</v>
      </c>
      <c r="S313" s="4">
        <v>16</v>
      </c>
      <c r="T313" s="4">
        <v>16</v>
      </c>
      <c r="U313" s="5" t="s">
        <v>3340</v>
      </c>
      <c r="V313" s="5" t="s">
        <v>3340</v>
      </c>
      <c r="W313" s="5" t="s">
        <v>72</v>
      </c>
      <c r="X313" s="5" t="s">
        <v>72</v>
      </c>
      <c r="Y313" s="4">
        <v>200</v>
      </c>
      <c r="Z313" s="4">
        <v>15</v>
      </c>
      <c r="AA313" s="4">
        <v>18</v>
      </c>
      <c r="AB313" s="4">
        <v>1</v>
      </c>
      <c r="AC313" s="4">
        <v>4</v>
      </c>
      <c r="AD313" s="4">
        <v>64</v>
      </c>
      <c r="AE313" s="4">
        <v>65</v>
      </c>
      <c r="AF313" s="4">
        <v>0</v>
      </c>
      <c r="AG313" s="4">
        <v>0</v>
      </c>
      <c r="AH313" s="4">
        <v>57</v>
      </c>
      <c r="AI313" s="4">
        <v>58</v>
      </c>
      <c r="AJ313" s="4">
        <v>10</v>
      </c>
      <c r="AK313" s="4">
        <v>10</v>
      </c>
      <c r="AL313" s="4">
        <v>34</v>
      </c>
      <c r="AM313" s="4">
        <v>35</v>
      </c>
      <c r="AN313" s="4">
        <v>0</v>
      </c>
      <c r="AO313" s="4">
        <v>0</v>
      </c>
      <c r="AP313" s="4">
        <v>12</v>
      </c>
      <c r="AQ313" s="4">
        <v>12</v>
      </c>
      <c r="AR313" s="3" t="s">
        <v>64</v>
      </c>
      <c r="AS313" s="3" t="s">
        <v>64</v>
      </c>
      <c r="AT313" s="3" t="s">
        <v>64</v>
      </c>
      <c r="AV313" s="6" t="str">
        <f>HYPERLINK("http://mcgill.on.worldcat.org/oclc/62341461","Catalog Record")</f>
        <v>Catalog Record</v>
      </c>
      <c r="AW313" s="6" t="str">
        <f>HYPERLINK("http://www.worldcat.org/oclc/62341461","WorldCat Record")</f>
        <v>WorldCat Record</v>
      </c>
      <c r="AX313" s="3" t="s">
        <v>3341</v>
      </c>
      <c r="AY313" s="3" t="s">
        <v>3342</v>
      </c>
      <c r="AZ313" s="3" t="s">
        <v>3343</v>
      </c>
      <c r="BA313" s="3" t="s">
        <v>3343</v>
      </c>
      <c r="BB313" s="3" t="s">
        <v>3344</v>
      </c>
      <c r="BC313" s="3" t="s">
        <v>78</v>
      </c>
      <c r="BD313" s="3" t="s">
        <v>79</v>
      </c>
      <c r="BE313" s="3" t="s">
        <v>3345</v>
      </c>
      <c r="BF313" s="3" t="s">
        <v>3344</v>
      </c>
      <c r="BG313" s="3" t="s">
        <v>3346</v>
      </c>
    </row>
    <row r="314" spans="1:59" ht="58" x14ac:dyDescent="0.35">
      <c r="A314" s="2" t="s">
        <v>59</v>
      </c>
      <c r="B314" s="2" t="s">
        <v>94</v>
      </c>
      <c r="C314" s="2" t="s">
        <v>3347</v>
      </c>
      <c r="D314" s="2" t="s">
        <v>3348</v>
      </c>
      <c r="E314" s="2" t="s">
        <v>3349</v>
      </c>
      <c r="G314" s="3" t="s">
        <v>64</v>
      </c>
      <c r="I314" s="3" t="s">
        <v>64</v>
      </c>
      <c r="J314" s="3" t="s">
        <v>64</v>
      </c>
      <c r="K314" s="3" t="s">
        <v>65</v>
      </c>
      <c r="L314" s="2" t="s">
        <v>3350</v>
      </c>
      <c r="M314" s="2" t="s">
        <v>3351</v>
      </c>
      <c r="N314" s="3" t="s">
        <v>2116</v>
      </c>
      <c r="P314" s="3" t="s">
        <v>69</v>
      </c>
      <c r="R314" s="3" t="s">
        <v>70</v>
      </c>
      <c r="S314" s="4">
        <v>34</v>
      </c>
      <c r="T314" s="4">
        <v>34</v>
      </c>
      <c r="U314" s="5" t="s">
        <v>3214</v>
      </c>
      <c r="V314" s="5" t="s">
        <v>3214</v>
      </c>
      <c r="W314" s="5" t="s">
        <v>72</v>
      </c>
      <c r="X314" s="5" t="s">
        <v>72</v>
      </c>
      <c r="Y314" s="4">
        <v>470</v>
      </c>
      <c r="Z314" s="4">
        <v>22</v>
      </c>
      <c r="AA314" s="4">
        <v>30</v>
      </c>
      <c r="AB314" s="4">
        <v>1</v>
      </c>
      <c r="AC314" s="4">
        <v>1</v>
      </c>
      <c r="AD314" s="4">
        <v>60</v>
      </c>
      <c r="AE314" s="4">
        <v>70</v>
      </c>
      <c r="AF314" s="4">
        <v>0</v>
      </c>
      <c r="AG314" s="4">
        <v>0</v>
      </c>
      <c r="AH314" s="4">
        <v>50</v>
      </c>
      <c r="AI314" s="4">
        <v>58</v>
      </c>
      <c r="AJ314" s="4">
        <v>9</v>
      </c>
      <c r="AK314" s="4">
        <v>14</v>
      </c>
      <c r="AL314" s="4">
        <v>31</v>
      </c>
      <c r="AM314" s="4">
        <v>33</v>
      </c>
      <c r="AN314" s="4">
        <v>0</v>
      </c>
      <c r="AO314" s="4">
        <v>0</v>
      </c>
      <c r="AP314" s="4">
        <v>14</v>
      </c>
      <c r="AQ314" s="4">
        <v>20</v>
      </c>
      <c r="AR314" s="3" t="s">
        <v>64</v>
      </c>
      <c r="AS314" s="3" t="s">
        <v>64</v>
      </c>
      <c r="AT314" s="3" t="s">
        <v>64</v>
      </c>
      <c r="AV314" s="6" t="str">
        <f>HYPERLINK("http://mcgill.on.worldcat.org/oclc/1976071","Catalog Record")</f>
        <v>Catalog Record</v>
      </c>
      <c r="AW314" s="6" t="str">
        <f>HYPERLINK("http://www.worldcat.org/oclc/1976071","WorldCat Record")</f>
        <v>WorldCat Record</v>
      </c>
      <c r="AX314" s="3" t="s">
        <v>3352</v>
      </c>
      <c r="AY314" s="3" t="s">
        <v>3353</v>
      </c>
      <c r="AZ314" s="3" t="s">
        <v>3354</v>
      </c>
      <c r="BA314" s="3" t="s">
        <v>3354</v>
      </c>
      <c r="BB314" s="3" t="s">
        <v>3355</v>
      </c>
      <c r="BC314" s="3" t="s">
        <v>78</v>
      </c>
      <c r="BD314" s="3" t="s">
        <v>79</v>
      </c>
      <c r="BE314" s="3" t="s">
        <v>3356</v>
      </c>
      <c r="BF314" s="3" t="s">
        <v>3355</v>
      </c>
      <c r="BG314" s="3" t="s">
        <v>3357</v>
      </c>
    </row>
    <row r="315" spans="1:59" ht="58" x14ac:dyDescent="0.35">
      <c r="A315" s="2" t="s">
        <v>59</v>
      </c>
      <c r="B315" s="2" t="s">
        <v>94</v>
      </c>
      <c r="C315" s="2" t="s">
        <v>3358</v>
      </c>
      <c r="D315" s="2" t="s">
        <v>3359</v>
      </c>
      <c r="E315" s="2" t="s">
        <v>3360</v>
      </c>
      <c r="G315" s="3" t="s">
        <v>64</v>
      </c>
      <c r="I315" s="3" t="s">
        <v>64</v>
      </c>
      <c r="J315" s="3" t="s">
        <v>64</v>
      </c>
      <c r="K315" s="3" t="s">
        <v>65</v>
      </c>
      <c r="L315" s="2" t="s">
        <v>3361</v>
      </c>
      <c r="M315" s="2" t="s">
        <v>3362</v>
      </c>
      <c r="N315" s="3" t="s">
        <v>1064</v>
      </c>
      <c r="P315" s="3" t="s">
        <v>69</v>
      </c>
      <c r="Q315" s="2" t="s">
        <v>3363</v>
      </c>
      <c r="R315" s="3" t="s">
        <v>70</v>
      </c>
      <c r="S315" s="4">
        <v>9</v>
      </c>
      <c r="T315" s="4">
        <v>9</v>
      </c>
      <c r="U315" s="5" t="s">
        <v>3364</v>
      </c>
      <c r="V315" s="5" t="s">
        <v>3364</v>
      </c>
      <c r="W315" s="5" t="s">
        <v>72</v>
      </c>
      <c r="X315" s="5" t="s">
        <v>72</v>
      </c>
      <c r="Y315" s="4">
        <v>305</v>
      </c>
      <c r="Z315" s="4">
        <v>26</v>
      </c>
      <c r="AA315" s="4">
        <v>36</v>
      </c>
      <c r="AB315" s="4">
        <v>2</v>
      </c>
      <c r="AC315" s="4">
        <v>2</v>
      </c>
      <c r="AD315" s="4">
        <v>50</v>
      </c>
      <c r="AE315" s="4">
        <v>66</v>
      </c>
      <c r="AF315" s="4">
        <v>0</v>
      </c>
      <c r="AG315" s="4">
        <v>0</v>
      </c>
      <c r="AH315" s="4">
        <v>43</v>
      </c>
      <c r="AI315" s="4">
        <v>55</v>
      </c>
      <c r="AJ315" s="4">
        <v>9</v>
      </c>
      <c r="AK315" s="4">
        <v>13</v>
      </c>
      <c r="AL315" s="4">
        <v>28</v>
      </c>
      <c r="AM315" s="4">
        <v>34</v>
      </c>
      <c r="AN315" s="4">
        <v>0</v>
      </c>
      <c r="AO315" s="4">
        <v>0</v>
      </c>
      <c r="AP315" s="4">
        <v>9</v>
      </c>
      <c r="AQ315" s="4">
        <v>14</v>
      </c>
      <c r="AR315" s="3" t="s">
        <v>64</v>
      </c>
      <c r="AS315" s="3" t="s">
        <v>64</v>
      </c>
      <c r="AT315" s="3" t="s">
        <v>64</v>
      </c>
      <c r="AV315" s="6" t="str">
        <f>HYPERLINK("http://mcgill.on.worldcat.org/oclc/41504394","Catalog Record")</f>
        <v>Catalog Record</v>
      </c>
      <c r="AW315" s="6" t="str">
        <f>HYPERLINK("http://www.worldcat.org/oclc/41504394","WorldCat Record")</f>
        <v>WorldCat Record</v>
      </c>
      <c r="AX315" s="3" t="s">
        <v>3365</v>
      </c>
      <c r="AY315" s="3" t="s">
        <v>3366</v>
      </c>
      <c r="AZ315" s="3" t="s">
        <v>3367</v>
      </c>
      <c r="BA315" s="3" t="s">
        <v>3367</v>
      </c>
      <c r="BB315" s="3" t="s">
        <v>3368</v>
      </c>
      <c r="BC315" s="3" t="s">
        <v>78</v>
      </c>
      <c r="BD315" s="3" t="s">
        <v>79</v>
      </c>
      <c r="BE315" s="3" t="s">
        <v>3369</v>
      </c>
      <c r="BF315" s="3" t="s">
        <v>3368</v>
      </c>
      <c r="BG315" s="3" t="s">
        <v>3370</v>
      </c>
    </row>
    <row r="316" spans="1:59" ht="58" x14ac:dyDescent="0.35">
      <c r="A316" s="2" t="s">
        <v>59</v>
      </c>
      <c r="B316" s="2" t="s">
        <v>94</v>
      </c>
      <c r="C316" s="2" t="s">
        <v>3371</v>
      </c>
      <c r="D316" s="2" t="s">
        <v>3372</v>
      </c>
      <c r="E316" s="2" t="s">
        <v>3373</v>
      </c>
      <c r="G316" s="3" t="s">
        <v>64</v>
      </c>
      <c r="I316" s="3" t="s">
        <v>64</v>
      </c>
      <c r="J316" s="3" t="s">
        <v>64</v>
      </c>
      <c r="K316" s="3" t="s">
        <v>65</v>
      </c>
      <c r="L316" s="2" t="s">
        <v>3374</v>
      </c>
      <c r="M316" s="2" t="s">
        <v>3375</v>
      </c>
      <c r="N316" s="3" t="s">
        <v>1029</v>
      </c>
      <c r="P316" s="3" t="s">
        <v>69</v>
      </c>
      <c r="Q316" s="2" t="s">
        <v>3376</v>
      </c>
      <c r="R316" s="3" t="s">
        <v>70</v>
      </c>
      <c r="S316" s="4">
        <v>7</v>
      </c>
      <c r="T316" s="4">
        <v>7</v>
      </c>
      <c r="U316" s="5" t="s">
        <v>3377</v>
      </c>
      <c r="V316" s="5" t="s">
        <v>3377</v>
      </c>
      <c r="W316" s="5" t="s">
        <v>72</v>
      </c>
      <c r="X316" s="5" t="s">
        <v>72</v>
      </c>
      <c r="Y316" s="4">
        <v>199</v>
      </c>
      <c r="Z316" s="4">
        <v>11</v>
      </c>
      <c r="AA316" s="4">
        <v>19</v>
      </c>
      <c r="AB316" s="4">
        <v>3</v>
      </c>
      <c r="AC316" s="4">
        <v>5</v>
      </c>
      <c r="AD316" s="4">
        <v>62</v>
      </c>
      <c r="AE316" s="4">
        <v>73</v>
      </c>
      <c r="AF316" s="4">
        <v>1</v>
      </c>
      <c r="AG316" s="4">
        <v>2</v>
      </c>
      <c r="AH316" s="4">
        <v>57</v>
      </c>
      <c r="AI316" s="4">
        <v>66</v>
      </c>
      <c r="AJ316" s="4">
        <v>5</v>
      </c>
      <c r="AK316" s="4">
        <v>10</v>
      </c>
      <c r="AL316" s="4">
        <v>36</v>
      </c>
      <c r="AM316" s="4">
        <v>42</v>
      </c>
      <c r="AN316" s="4">
        <v>0</v>
      </c>
      <c r="AO316" s="4">
        <v>0</v>
      </c>
      <c r="AP316" s="4">
        <v>8</v>
      </c>
      <c r="AQ316" s="4">
        <v>13</v>
      </c>
      <c r="AR316" s="3" t="s">
        <v>64</v>
      </c>
      <c r="AS316" s="3" t="s">
        <v>64</v>
      </c>
      <c r="AT316" s="3" t="s">
        <v>64</v>
      </c>
      <c r="AV316" s="6" t="str">
        <f>HYPERLINK("http://mcgill.on.worldcat.org/oclc/232131407","Catalog Record")</f>
        <v>Catalog Record</v>
      </c>
      <c r="AW316" s="6" t="str">
        <f>HYPERLINK("http://www.worldcat.org/oclc/232131407","WorldCat Record")</f>
        <v>WorldCat Record</v>
      </c>
      <c r="AX316" s="3" t="s">
        <v>3378</v>
      </c>
      <c r="AY316" s="3" t="s">
        <v>3379</v>
      </c>
      <c r="AZ316" s="3" t="s">
        <v>3380</v>
      </c>
      <c r="BA316" s="3" t="s">
        <v>3380</v>
      </c>
      <c r="BB316" s="3" t="s">
        <v>3381</v>
      </c>
      <c r="BC316" s="3" t="s">
        <v>78</v>
      </c>
      <c r="BD316" s="3" t="s">
        <v>79</v>
      </c>
      <c r="BE316" s="3" t="s">
        <v>3382</v>
      </c>
      <c r="BF316" s="3" t="s">
        <v>3381</v>
      </c>
      <c r="BG316" s="3" t="s">
        <v>3383</v>
      </c>
    </row>
    <row r="317" spans="1:59" ht="58" x14ac:dyDescent="0.35">
      <c r="A317" s="2" t="s">
        <v>59</v>
      </c>
      <c r="B317" s="2" t="s">
        <v>94</v>
      </c>
      <c r="C317" s="2" t="s">
        <v>3384</v>
      </c>
      <c r="D317" s="2" t="s">
        <v>3385</v>
      </c>
      <c r="E317" s="2" t="s">
        <v>3386</v>
      </c>
      <c r="G317" s="3" t="s">
        <v>64</v>
      </c>
      <c r="I317" s="3" t="s">
        <v>64</v>
      </c>
      <c r="J317" s="3" t="s">
        <v>64</v>
      </c>
      <c r="K317" s="3" t="s">
        <v>65</v>
      </c>
      <c r="M317" s="2" t="s">
        <v>3387</v>
      </c>
      <c r="N317" s="3" t="s">
        <v>651</v>
      </c>
      <c r="P317" s="3" t="s">
        <v>69</v>
      </c>
      <c r="R317" s="3" t="s">
        <v>70</v>
      </c>
      <c r="S317" s="4">
        <v>9</v>
      </c>
      <c r="T317" s="4">
        <v>9</v>
      </c>
      <c r="U317" s="5" t="s">
        <v>2104</v>
      </c>
      <c r="V317" s="5" t="s">
        <v>2104</v>
      </c>
      <c r="W317" s="5" t="s">
        <v>72</v>
      </c>
      <c r="X317" s="5" t="s">
        <v>72</v>
      </c>
      <c r="Y317" s="4">
        <v>262</v>
      </c>
      <c r="Z317" s="4">
        <v>11</v>
      </c>
      <c r="AA317" s="4">
        <v>11</v>
      </c>
      <c r="AB317" s="4">
        <v>1</v>
      </c>
      <c r="AC317" s="4">
        <v>1</v>
      </c>
      <c r="AD317" s="4">
        <v>83</v>
      </c>
      <c r="AE317" s="4">
        <v>83</v>
      </c>
      <c r="AF317" s="4">
        <v>0</v>
      </c>
      <c r="AG317" s="4">
        <v>0</v>
      </c>
      <c r="AH317" s="4">
        <v>78</v>
      </c>
      <c r="AI317" s="4">
        <v>78</v>
      </c>
      <c r="AJ317" s="4">
        <v>6</v>
      </c>
      <c r="AK317" s="4">
        <v>6</v>
      </c>
      <c r="AL317" s="4">
        <v>45</v>
      </c>
      <c r="AM317" s="4">
        <v>45</v>
      </c>
      <c r="AN317" s="4">
        <v>0</v>
      </c>
      <c r="AO317" s="4">
        <v>0</v>
      </c>
      <c r="AP317" s="4">
        <v>8</v>
      </c>
      <c r="AQ317" s="4">
        <v>8</v>
      </c>
      <c r="AR317" s="3" t="s">
        <v>64</v>
      </c>
      <c r="AS317" s="3" t="s">
        <v>64</v>
      </c>
      <c r="AT317" s="3" t="s">
        <v>64</v>
      </c>
      <c r="AV317" s="6" t="str">
        <f>HYPERLINK("http://mcgill.on.worldcat.org/oclc/51810830","Catalog Record")</f>
        <v>Catalog Record</v>
      </c>
      <c r="AW317" s="6" t="str">
        <f>HYPERLINK("http://www.worldcat.org/oclc/51810830","WorldCat Record")</f>
        <v>WorldCat Record</v>
      </c>
      <c r="AX317" s="3" t="s">
        <v>3388</v>
      </c>
      <c r="AY317" s="3" t="s">
        <v>3389</v>
      </c>
      <c r="AZ317" s="3" t="s">
        <v>3390</v>
      </c>
      <c r="BA317" s="3" t="s">
        <v>3390</v>
      </c>
      <c r="BB317" s="3" t="s">
        <v>3391</v>
      </c>
      <c r="BC317" s="3" t="s">
        <v>78</v>
      </c>
      <c r="BD317" s="3" t="s">
        <v>79</v>
      </c>
      <c r="BE317" s="3" t="s">
        <v>3392</v>
      </c>
      <c r="BF317" s="3" t="s">
        <v>3391</v>
      </c>
      <c r="BG317" s="3" t="s">
        <v>3393</v>
      </c>
    </row>
    <row r="318" spans="1:59" ht="58" x14ac:dyDescent="0.35">
      <c r="A318" s="2" t="s">
        <v>59</v>
      </c>
      <c r="B318" s="2" t="s">
        <v>94</v>
      </c>
      <c r="C318" s="2" t="s">
        <v>3394</v>
      </c>
      <c r="D318" s="2" t="s">
        <v>3395</v>
      </c>
      <c r="E318" s="2" t="s">
        <v>3396</v>
      </c>
      <c r="G318" s="3" t="s">
        <v>64</v>
      </c>
      <c r="I318" s="3" t="s">
        <v>64</v>
      </c>
      <c r="J318" s="3" t="s">
        <v>64</v>
      </c>
      <c r="K318" s="3" t="s">
        <v>65</v>
      </c>
      <c r="L318" s="2" t="s">
        <v>3397</v>
      </c>
      <c r="M318" s="2" t="s">
        <v>3398</v>
      </c>
      <c r="N318" s="3" t="s">
        <v>315</v>
      </c>
      <c r="P318" s="3" t="s">
        <v>69</v>
      </c>
      <c r="R318" s="3" t="s">
        <v>70</v>
      </c>
      <c r="S318" s="4">
        <v>27</v>
      </c>
      <c r="T318" s="4">
        <v>27</v>
      </c>
      <c r="U318" s="5" t="s">
        <v>3399</v>
      </c>
      <c r="V318" s="5" t="s">
        <v>3399</v>
      </c>
      <c r="W318" s="5" t="s">
        <v>72</v>
      </c>
      <c r="X318" s="5" t="s">
        <v>72</v>
      </c>
      <c r="Y318" s="4">
        <v>160</v>
      </c>
      <c r="Z318" s="4">
        <v>10</v>
      </c>
      <c r="AA318" s="4">
        <v>44</v>
      </c>
      <c r="AB318" s="4">
        <v>2</v>
      </c>
      <c r="AC318" s="4">
        <v>9</v>
      </c>
      <c r="AD318" s="4">
        <v>48</v>
      </c>
      <c r="AE318" s="4">
        <v>108</v>
      </c>
      <c r="AF318" s="4">
        <v>0</v>
      </c>
      <c r="AG318" s="4">
        <v>2</v>
      </c>
      <c r="AH318" s="4">
        <v>43</v>
      </c>
      <c r="AI318" s="4">
        <v>90</v>
      </c>
      <c r="AJ318" s="4">
        <v>6</v>
      </c>
      <c r="AK318" s="4">
        <v>19</v>
      </c>
      <c r="AL318" s="4">
        <v>25</v>
      </c>
      <c r="AM318" s="4">
        <v>50</v>
      </c>
      <c r="AN318" s="4">
        <v>0</v>
      </c>
      <c r="AO318" s="4">
        <v>0</v>
      </c>
      <c r="AP318" s="4">
        <v>7</v>
      </c>
      <c r="AQ318" s="4">
        <v>26</v>
      </c>
      <c r="AR318" s="3" t="s">
        <v>64</v>
      </c>
      <c r="AS318" s="3" t="s">
        <v>64</v>
      </c>
      <c r="AT318" s="3" t="s">
        <v>64</v>
      </c>
      <c r="AV318" s="6" t="str">
        <f>HYPERLINK("http://mcgill.on.worldcat.org/oclc/16805615","Catalog Record")</f>
        <v>Catalog Record</v>
      </c>
      <c r="AW318" s="6" t="str">
        <f>HYPERLINK("http://www.worldcat.org/oclc/16805615","WorldCat Record")</f>
        <v>WorldCat Record</v>
      </c>
      <c r="AX318" s="3" t="s">
        <v>3400</v>
      </c>
      <c r="AY318" s="3" t="s">
        <v>3401</v>
      </c>
      <c r="AZ318" s="3" t="s">
        <v>3402</v>
      </c>
      <c r="BA318" s="3" t="s">
        <v>3402</v>
      </c>
      <c r="BB318" s="3" t="s">
        <v>3403</v>
      </c>
      <c r="BC318" s="3" t="s">
        <v>78</v>
      </c>
      <c r="BD318" s="3" t="s">
        <v>79</v>
      </c>
      <c r="BE318" s="3" t="s">
        <v>3404</v>
      </c>
      <c r="BF318" s="3" t="s">
        <v>3403</v>
      </c>
      <c r="BG318" s="3" t="s">
        <v>3405</v>
      </c>
    </row>
    <row r="319" spans="1:59" ht="72.5" x14ac:dyDescent="0.35">
      <c r="A319" s="2" t="s">
        <v>59</v>
      </c>
      <c r="B319" s="2" t="s">
        <v>94</v>
      </c>
      <c r="C319" s="2" t="s">
        <v>3406</v>
      </c>
      <c r="D319" s="2" t="s">
        <v>3407</v>
      </c>
      <c r="E319" s="2" t="s">
        <v>3408</v>
      </c>
      <c r="G319" s="3" t="s">
        <v>64</v>
      </c>
      <c r="I319" s="3" t="s">
        <v>64</v>
      </c>
      <c r="J319" s="3" t="s">
        <v>73</v>
      </c>
      <c r="K319" s="3" t="s">
        <v>65</v>
      </c>
      <c r="L319" s="2" t="s">
        <v>3409</v>
      </c>
      <c r="M319" s="2" t="s">
        <v>3410</v>
      </c>
      <c r="N319" s="3" t="s">
        <v>3411</v>
      </c>
      <c r="P319" s="3" t="s">
        <v>69</v>
      </c>
      <c r="Q319" s="2" t="s">
        <v>3412</v>
      </c>
      <c r="R319" s="3" t="s">
        <v>70</v>
      </c>
      <c r="S319" s="4">
        <v>9</v>
      </c>
      <c r="T319" s="4">
        <v>9</v>
      </c>
      <c r="U319" s="5" t="s">
        <v>3413</v>
      </c>
      <c r="V319" s="5" t="s">
        <v>3413</v>
      </c>
      <c r="W319" s="5" t="s">
        <v>72</v>
      </c>
      <c r="X319" s="5" t="s">
        <v>72</v>
      </c>
      <c r="Y319" s="4">
        <v>5</v>
      </c>
      <c r="Z319" s="4">
        <v>4</v>
      </c>
      <c r="AA319" s="4">
        <v>73</v>
      </c>
      <c r="AB319" s="4">
        <v>1</v>
      </c>
      <c r="AC319" s="4">
        <v>10</v>
      </c>
      <c r="AD319" s="4">
        <v>1</v>
      </c>
      <c r="AE319" s="4">
        <v>151</v>
      </c>
      <c r="AF319" s="4">
        <v>0</v>
      </c>
      <c r="AG319" s="4">
        <v>5</v>
      </c>
      <c r="AH319" s="4">
        <v>1</v>
      </c>
      <c r="AI319" s="4">
        <v>112</v>
      </c>
      <c r="AJ319" s="4">
        <v>0</v>
      </c>
      <c r="AK319" s="4">
        <v>27</v>
      </c>
      <c r="AL319" s="4">
        <v>1</v>
      </c>
      <c r="AM319" s="4">
        <v>62</v>
      </c>
      <c r="AN319" s="4">
        <v>0</v>
      </c>
      <c r="AO319" s="4">
        <v>9</v>
      </c>
      <c r="AP319" s="4">
        <v>0</v>
      </c>
      <c r="AQ319" s="4">
        <v>44</v>
      </c>
      <c r="AR319" s="3" t="s">
        <v>64</v>
      </c>
      <c r="AS319" s="3" t="s">
        <v>64</v>
      </c>
      <c r="AT319" s="3" t="s">
        <v>64</v>
      </c>
      <c r="AV319" s="6" t="str">
        <f>HYPERLINK("http://mcgill.on.worldcat.org/oclc/83660285","Catalog Record")</f>
        <v>Catalog Record</v>
      </c>
      <c r="AW319" s="6" t="str">
        <f>HYPERLINK("http://www.worldcat.org/oclc/83660285","WorldCat Record")</f>
        <v>WorldCat Record</v>
      </c>
      <c r="AX319" s="3" t="s">
        <v>3414</v>
      </c>
      <c r="AY319" s="3" t="s">
        <v>3415</v>
      </c>
      <c r="AZ319" s="3" t="s">
        <v>3416</v>
      </c>
      <c r="BA319" s="3" t="s">
        <v>3416</v>
      </c>
      <c r="BB319" s="3" t="s">
        <v>3417</v>
      </c>
      <c r="BC319" s="3" t="s">
        <v>78</v>
      </c>
      <c r="BD319" s="3" t="s">
        <v>79</v>
      </c>
      <c r="BF319" s="3" t="s">
        <v>3417</v>
      </c>
      <c r="BG319" s="3" t="s">
        <v>3418</v>
      </c>
    </row>
    <row r="320" spans="1:59" ht="58" x14ac:dyDescent="0.35">
      <c r="A320" s="2" t="s">
        <v>59</v>
      </c>
      <c r="B320" s="2" t="s">
        <v>94</v>
      </c>
      <c r="C320" s="2" t="s">
        <v>3419</v>
      </c>
      <c r="D320" s="2" t="s">
        <v>3420</v>
      </c>
      <c r="E320" s="2" t="s">
        <v>3421</v>
      </c>
      <c r="G320" s="3" t="s">
        <v>64</v>
      </c>
      <c r="I320" s="3" t="s">
        <v>64</v>
      </c>
      <c r="J320" s="3" t="s">
        <v>64</v>
      </c>
      <c r="K320" s="3" t="s">
        <v>65</v>
      </c>
      <c r="L320" s="2" t="s">
        <v>3422</v>
      </c>
      <c r="M320" s="2" t="s">
        <v>3423</v>
      </c>
      <c r="N320" s="3" t="s">
        <v>1320</v>
      </c>
      <c r="P320" s="3" t="s">
        <v>69</v>
      </c>
      <c r="Q320" s="2" t="s">
        <v>3424</v>
      </c>
      <c r="R320" s="3" t="s">
        <v>70</v>
      </c>
      <c r="S320" s="4">
        <v>26</v>
      </c>
      <c r="T320" s="4">
        <v>26</v>
      </c>
      <c r="U320" s="5" t="s">
        <v>3425</v>
      </c>
      <c r="V320" s="5" t="s">
        <v>3425</v>
      </c>
      <c r="W320" s="5" t="s">
        <v>72</v>
      </c>
      <c r="X320" s="5" t="s">
        <v>72</v>
      </c>
      <c r="Y320" s="4">
        <v>258</v>
      </c>
      <c r="Z320" s="4">
        <v>15</v>
      </c>
      <c r="AA320" s="4">
        <v>24</v>
      </c>
      <c r="AB320" s="4">
        <v>1</v>
      </c>
      <c r="AC320" s="4">
        <v>3</v>
      </c>
      <c r="AD320" s="4">
        <v>76</v>
      </c>
      <c r="AE320" s="4">
        <v>89</v>
      </c>
      <c r="AF320" s="4">
        <v>0</v>
      </c>
      <c r="AG320" s="4">
        <v>1</v>
      </c>
      <c r="AH320" s="4">
        <v>69</v>
      </c>
      <c r="AI320" s="4">
        <v>79</v>
      </c>
      <c r="AJ320" s="4">
        <v>9</v>
      </c>
      <c r="AK320" s="4">
        <v>15</v>
      </c>
      <c r="AL320" s="4">
        <v>42</v>
      </c>
      <c r="AM320" s="4">
        <v>46</v>
      </c>
      <c r="AN320" s="4">
        <v>0</v>
      </c>
      <c r="AO320" s="4">
        <v>0</v>
      </c>
      <c r="AP320" s="4">
        <v>13</v>
      </c>
      <c r="AQ320" s="4">
        <v>19</v>
      </c>
      <c r="AR320" s="3" t="s">
        <v>64</v>
      </c>
      <c r="AS320" s="3" t="s">
        <v>64</v>
      </c>
      <c r="AT320" s="3" t="s">
        <v>64</v>
      </c>
      <c r="AV320" s="6" t="str">
        <f>HYPERLINK("http://mcgill.on.worldcat.org/oclc/33387439","Catalog Record")</f>
        <v>Catalog Record</v>
      </c>
      <c r="AW320" s="6" t="str">
        <f>HYPERLINK("http://www.worldcat.org/oclc/33387439","WorldCat Record")</f>
        <v>WorldCat Record</v>
      </c>
      <c r="AX320" s="3" t="s">
        <v>3426</v>
      </c>
      <c r="AY320" s="3" t="s">
        <v>3427</v>
      </c>
      <c r="AZ320" s="3" t="s">
        <v>3428</v>
      </c>
      <c r="BA320" s="3" t="s">
        <v>3428</v>
      </c>
      <c r="BB320" s="3" t="s">
        <v>3429</v>
      </c>
      <c r="BC320" s="3" t="s">
        <v>78</v>
      </c>
      <c r="BD320" s="3" t="s">
        <v>414</v>
      </c>
      <c r="BE320" s="3" t="s">
        <v>3430</v>
      </c>
      <c r="BF320" s="3" t="s">
        <v>3429</v>
      </c>
      <c r="BG320" s="3" t="s">
        <v>3431</v>
      </c>
    </row>
    <row r="321" spans="1:59" ht="58" x14ac:dyDescent="0.35">
      <c r="A321" s="2" t="s">
        <v>59</v>
      </c>
      <c r="B321" s="2" t="s">
        <v>94</v>
      </c>
      <c r="C321" s="2" t="s">
        <v>3432</v>
      </c>
      <c r="D321" s="2" t="s">
        <v>3433</v>
      </c>
      <c r="E321" s="2" t="s">
        <v>3434</v>
      </c>
      <c r="G321" s="3" t="s">
        <v>64</v>
      </c>
      <c r="I321" s="3" t="s">
        <v>64</v>
      </c>
      <c r="J321" s="3" t="s">
        <v>73</v>
      </c>
      <c r="K321" s="3" t="s">
        <v>65</v>
      </c>
      <c r="L321" s="2" t="s">
        <v>3435</v>
      </c>
      <c r="M321" s="2" t="s">
        <v>3436</v>
      </c>
      <c r="N321" s="3" t="s">
        <v>3437</v>
      </c>
      <c r="P321" s="3" t="s">
        <v>69</v>
      </c>
      <c r="R321" s="3" t="s">
        <v>70</v>
      </c>
      <c r="S321" s="4">
        <v>16</v>
      </c>
      <c r="T321" s="4">
        <v>16</v>
      </c>
      <c r="U321" s="5" t="s">
        <v>3438</v>
      </c>
      <c r="V321" s="5" t="s">
        <v>3438</v>
      </c>
      <c r="W321" s="5" t="s">
        <v>72</v>
      </c>
      <c r="X321" s="5" t="s">
        <v>72</v>
      </c>
      <c r="Y321" s="4">
        <v>136</v>
      </c>
      <c r="Z321" s="4">
        <v>20</v>
      </c>
      <c r="AA321" s="4">
        <v>56</v>
      </c>
      <c r="AB321" s="4">
        <v>2</v>
      </c>
      <c r="AC321" s="4">
        <v>6</v>
      </c>
      <c r="AD321" s="4">
        <v>33</v>
      </c>
      <c r="AE321" s="4">
        <v>136</v>
      </c>
      <c r="AF321" s="4">
        <v>1</v>
      </c>
      <c r="AG321" s="4">
        <v>2</v>
      </c>
      <c r="AH321" s="4">
        <v>23</v>
      </c>
      <c r="AI321" s="4">
        <v>107</v>
      </c>
      <c r="AJ321" s="4">
        <v>9</v>
      </c>
      <c r="AK321" s="4">
        <v>20</v>
      </c>
      <c r="AL321" s="4">
        <v>13</v>
      </c>
      <c r="AM321" s="4">
        <v>59</v>
      </c>
      <c r="AN321" s="4">
        <v>0</v>
      </c>
      <c r="AO321" s="4">
        <v>0</v>
      </c>
      <c r="AP321" s="4">
        <v>14</v>
      </c>
      <c r="AQ321" s="4">
        <v>35</v>
      </c>
      <c r="AR321" s="3" t="s">
        <v>64</v>
      </c>
      <c r="AS321" s="3" t="s">
        <v>64</v>
      </c>
      <c r="AT321" s="3" t="s">
        <v>64</v>
      </c>
      <c r="AV321" s="6" t="str">
        <f>HYPERLINK("http://mcgill.on.worldcat.org/oclc/2795165","Catalog Record")</f>
        <v>Catalog Record</v>
      </c>
      <c r="AW321" s="6" t="str">
        <f>HYPERLINK("http://www.worldcat.org/oclc/2795165","WorldCat Record")</f>
        <v>WorldCat Record</v>
      </c>
      <c r="AX321" s="3" t="s">
        <v>3439</v>
      </c>
      <c r="AY321" s="3" t="s">
        <v>3440</v>
      </c>
      <c r="AZ321" s="3" t="s">
        <v>3441</v>
      </c>
      <c r="BA321" s="3" t="s">
        <v>3441</v>
      </c>
      <c r="BB321" s="3" t="s">
        <v>3442</v>
      </c>
      <c r="BC321" s="3" t="s">
        <v>78</v>
      </c>
      <c r="BD321" s="3" t="s">
        <v>79</v>
      </c>
      <c r="BF321" s="3" t="s">
        <v>3442</v>
      </c>
      <c r="BG321" s="3" t="s">
        <v>3443</v>
      </c>
    </row>
    <row r="322" spans="1:59" ht="58" x14ac:dyDescent="0.35">
      <c r="A322" s="2" t="s">
        <v>59</v>
      </c>
      <c r="B322" s="2" t="s">
        <v>94</v>
      </c>
      <c r="C322" s="2" t="s">
        <v>3444</v>
      </c>
      <c r="D322" s="2" t="s">
        <v>3445</v>
      </c>
      <c r="E322" s="2" t="s">
        <v>3446</v>
      </c>
      <c r="G322" s="3" t="s">
        <v>64</v>
      </c>
      <c r="I322" s="3" t="s">
        <v>64</v>
      </c>
      <c r="J322" s="3" t="s">
        <v>64</v>
      </c>
      <c r="K322" s="3" t="s">
        <v>65</v>
      </c>
      <c r="L322" s="2" t="s">
        <v>3447</v>
      </c>
      <c r="M322" s="2" t="s">
        <v>3448</v>
      </c>
      <c r="N322" s="3" t="s">
        <v>1320</v>
      </c>
      <c r="P322" s="3" t="s">
        <v>69</v>
      </c>
      <c r="R322" s="3" t="s">
        <v>70</v>
      </c>
      <c r="S322" s="4">
        <v>42</v>
      </c>
      <c r="T322" s="4">
        <v>42</v>
      </c>
      <c r="U322" s="5" t="s">
        <v>3449</v>
      </c>
      <c r="V322" s="5" t="s">
        <v>3449</v>
      </c>
      <c r="W322" s="5" t="s">
        <v>72</v>
      </c>
      <c r="X322" s="5" t="s">
        <v>72</v>
      </c>
      <c r="Y322" s="4">
        <v>107</v>
      </c>
      <c r="Z322" s="4">
        <v>9</v>
      </c>
      <c r="AA322" s="4">
        <v>12</v>
      </c>
      <c r="AB322" s="4">
        <v>1</v>
      </c>
      <c r="AC322" s="4">
        <v>3</v>
      </c>
      <c r="AD322" s="4">
        <v>41</v>
      </c>
      <c r="AE322" s="4">
        <v>43</v>
      </c>
      <c r="AF322" s="4">
        <v>0</v>
      </c>
      <c r="AG322" s="4">
        <v>1</v>
      </c>
      <c r="AH322" s="4">
        <v>40</v>
      </c>
      <c r="AI322" s="4">
        <v>41</v>
      </c>
      <c r="AJ322" s="4">
        <v>4</v>
      </c>
      <c r="AK322" s="4">
        <v>5</v>
      </c>
      <c r="AL322" s="4">
        <v>22</v>
      </c>
      <c r="AM322" s="4">
        <v>23</v>
      </c>
      <c r="AN322" s="4">
        <v>0</v>
      </c>
      <c r="AO322" s="4">
        <v>0</v>
      </c>
      <c r="AP322" s="4">
        <v>5</v>
      </c>
      <c r="AQ322" s="4">
        <v>5</v>
      </c>
      <c r="AR322" s="3" t="s">
        <v>64</v>
      </c>
      <c r="AS322" s="3" t="s">
        <v>64</v>
      </c>
      <c r="AT322" s="3" t="s">
        <v>73</v>
      </c>
      <c r="AU322" s="6" t="str">
        <f>HYPERLINK("http://catalog.hathitrust.org/Record/003045908","HathiTrust Record")</f>
        <v>HathiTrust Record</v>
      </c>
      <c r="AV322" s="6" t="str">
        <f>HYPERLINK("http://mcgill.on.worldcat.org/oclc/34181126","Catalog Record")</f>
        <v>Catalog Record</v>
      </c>
      <c r="AW322" s="6" t="str">
        <f>HYPERLINK("http://www.worldcat.org/oclc/34181126","WorldCat Record")</f>
        <v>WorldCat Record</v>
      </c>
      <c r="AX322" s="3" t="s">
        <v>3450</v>
      </c>
      <c r="AY322" s="3" t="s">
        <v>3451</v>
      </c>
      <c r="AZ322" s="3" t="s">
        <v>3452</v>
      </c>
      <c r="BA322" s="3" t="s">
        <v>3452</v>
      </c>
      <c r="BB322" s="3" t="s">
        <v>3453</v>
      </c>
      <c r="BC322" s="3" t="s">
        <v>78</v>
      </c>
      <c r="BD322" s="3" t="s">
        <v>79</v>
      </c>
      <c r="BE322" s="3" t="s">
        <v>3454</v>
      </c>
      <c r="BF322" s="3" t="s">
        <v>3453</v>
      </c>
      <c r="BG322" s="3" t="s">
        <v>3455</v>
      </c>
    </row>
    <row r="323" spans="1:59" ht="58" x14ac:dyDescent="0.35">
      <c r="A323" s="2" t="s">
        <v>59</v>
      </c>
      <c r="B323" s="2" t="s">
        <v>94</v>
      </c>
      <c r="C323" s="2" t="s">
        <v>3456</v>
      </c>
      <c r="D323" s="2" t="s">
        <v>3457</v>
      </c>
      <c r="E323" s="2" t="s">
        <v>3458</v>
      </c>
      <c r="G323" s="3" t="s">
        <v>64</v>
      </c>
      <c r="I323" s="3" t="s">
        <v>64</v>
      </c>
      <c r="J323" s="3" t="s">
        <v>64</v>
      </c>
      <c r="K323" s="3" t="s">
        <v>65</v>
      </c>
      <c r="L323" s="2" t="s">
        <v>3310</v>
      </c>
      <c r="M323" s="2" t="s">
        <v>3459</v>
      </c>
      <c r="N323" s="3" t="s">
        <v>3460</v>
      </c>
      <c r="P323" s="3" t="s">
        <v>69</v>
      </c>
      <c r="R323" s="3" t="s">
        <v>70</v>
      </c>
      <c r="S323" s="4">
        <v>31</v>
      </c>
      <c r="T323" s="4">
        <v>31</v>
      </c>
      <c r="U323" s="5" t="s">
        <v>3461</v>
      </c>
      <c r="V323" s="5" t="s">
        <v>3461</v>
      </c>
      <c r="W323" s="5" t="s">
        <v>72</v>
      </c>
      <c r="X323" s="5" t="s">
        <v>72</v>
      </c>
      <c r="Y323" s="4">
        <v>228</v>
      </c>
      <c r="Z323" s="4">
        <v>15</v>
      </c>
      <c r="AA323" s="4">
        <v>38</v>
      </c>
      <c r="AB323" s="4">
        <v>1</v>
      </c>
      <c r="AC323" s="4">
        <v>5</v>
      </c>
      <c r="AD323" s="4">
        <v>59</v>
      </c>
      <c r="AE323" s="4">
        <v>116</v>
      </c>
      <c r="AF323" s="4">
        <v>0</v>
      </c>
      <c r="AG323" s="4">
        <v>2</v>
      </c>
      <c r="AH323" s="4">
        <v>52</v>
      </c>
      <c r="AI323" s="4">
        <v>96</v>
      </c>
      <c r="AJ323" s="4">
        <v>9</v>
      </c>
      <c r="AK323" s="4">
        <v>20</v>
      </c>
      <c r="AL323" s="4">
        <v>31</v>
      </c>
      <c r="AM323" s="4">
        <v>54</v>
      </c>
      <c r="AN323" s="4">
        <v>0</v>
      </c>
      <c r="AO323" s="4">
        <v>5</v>
      </c>
      <c r="AP323" s="4">
        <v>11</v>
      </c>
      <c r="AQ323" s="4">
        <v>25</v>
      </c>
      <c r="AR323" s="3" t="s">
        <v>64</v>
      </c>
      <c r="AS323" s="3" t="s">
        <v>64</v>
      </c>
      <c r="AT323" s="3" t="s">
        <v>64</v>
      </c>
      <c r="AV323" s="6" t="str">
        <f>HYPERLINK("http://mcgill.on.worldcat.org/oclc/1745399","Catalog Record")</f>
        <v>Catalog Record</v>
      </c>
      <c r="AW323" s="6" t="str">
        <f>HYPERLINK("http://www.worldcat.org/oclc/1745399","WorldCat Record")</f>
        <v>WorldCat Record</v>
      </c>
      <c r="AX323" s="3" t="s">
        <v>3462</v>
      </c>
      <c r="AY323" s="3" t="s">
        <v>3463</v>
      </c>
      <c r="AZ323" s="3" t="s">
        <v>3464</v>
      </c>
      <c r="BA323" s="3" t="s">
        <v>3464</v>
      </c>
      <c r="BB323" s="3" t="s">
        <v>3465</v>
      </c>
      <c r="BC323" s="3" t="s">
        <v>78</v>
      </c>
      <c r="BD323" s="3" t="s">
        <v>79</v>
      </c>
      <c r="BF323" s="3" t="s">
        <v>3465</v>
      </c>
      <c r="BG323" s="3" t="s">
        <v>3466</v>
      </c>
    </row>
    <row r="324" spans="1:59" ht="58" x14ac:dyDescent="0.35">
      <c r="A324" s="2" t="s">
        <v>59</v>
      </c>
      <c r="B324" s="2" t="s">
        <v>94</v>
      </c>
      <c r="C324" s="2" t="s">
        <v>3467</v>
      </c>
      <c r="D324" s="2" t="s">
        <v>3468</v>
      </c>
      <c r="E324" s="2" t="s">
        <v>3469</v>
      </c>
      <c r="G324" s="3" t="s">
        <v>64</v>
      </c>
      <c r="I324" s="3" t="s">
        <v>64</v>
      </c>
      <c r="J324" s="3" t="s">
        <v>64</v>
      </c>
      <c r="K324" s="3" t="s">
        <v>65</v>
      </c>
      <c r="M324" s="2" t="s">
        <v>3470</v>
      </c>
      <c r="N324" s="3" t="s">
        <v>499</v>
      </c>
      <c r="O324" s="2" t="s">
        <v>3471</v>
      </c>
      <c r="P324" s="3" t="s">
        <v>69</v>
      </c>
      <c r="R324" s="3" t="s">
        <v>70</v>
      </c>
      <c r="S324" s="4">
        <v>13</v>
      </c>
      <c r="T324" s="4">
        <v>13</v>
      </c>
      <c r="U324" s="5" t="s">
        <v>3472</v>
      </c>
      <c r="V324" s="5" t="s">
        <v>3472</v>
      </c>
      <c r="W324" s="5" t="s">
        <v>72</v>
      </c>
      <c r="X324" s="5" t="s">
        <v>72</v>
      </c>
      <c r="Y324" s="4">
        <v>281</v>
      </c>
      <c r="Z324" s="4">
        <v>36</v>
      </c>
      <c r="AA324" s="4">
        <v>119</v>
      </c>
      <c r="AB324" s="4">
        <v>2</v>
      </c>
      <c r="AC324" s="4">
        <v>18</v>
      </c>
      <c r="AD324" s="4">
        <v>87</v>
      </c>
      <c r="AE324" s="4">
        <v>139</v>
      </c>
      <c r="AF324" s="4">
        <v>0</v>
      </c>
      <c r="AG324" s="4">
        <v>8</v>
      </c>
      <c r="AH324" s="4">
        <v>73</v>
      </c>
      <c r="AI324" s="4">
        <v>95</v>
      </c>
      <c r="AJ324" s="4">
        <v>13</v>
      </c>
      <c r="AK324" s="4">
        <v>27</v>
      </c>
      <c r="AL324" s="4">
        <v>42</v>
      </c>
      <c r="AM324" s="4">
        <v>48</v>
      </c>
      <c r="AN324" s="4">
        <v>0</v>
      </c>
      <c r="AO324" s="4">
        <v>0</v>
      </c>
      <c r="AP324" s="4">
        <v>21</v>
      </c>
      <c r="AQ324" s="4">
        <v>52</v>
      </c>
      <c r="AR324" s="3" t="s">
        <v>64</v>
      </c>
      <c r="AS324" s="3" t="s">
        <v>64</v>
      </c>
      <c r="AT324" s="3" t="s">
        <v>64</v>
      </c>
      <c r="AV324" s="6" t="str">
        <f>HYPERLINK("http://mcgill.on.worldcat.org/oclc/60514140","Catalog Record")</f>
        <v>Catalog Record</v>
      </c>
      <c r="AW324" s="6" t="str">
        <f>HYPERLINK("http://www.worldcat.org/oclc/60514140","WorldCat Record")</f>
        <v>WorldCat Record</v>
      </c>
      <c r="AX324" s="3" t="s">
        <v>3473</v>
      </c>
      <c r="AY324" s="3" t="s">
        <v>3474</v>
      </c>
      <c r="AZ324" s="3" t="s">
        <v>3475</v>
      </c>
      <c r="BA324" s="3" t="s">
        <v>3475</v>
      </c>
      <c r="BB324" s="3" t="s">
        <v>3476</v>
      </c>
      <c r="BC324" s="3" t="s">
        <v>78</v>
      </c>
      <c r="BD324" s="3" t="s">
        <v>79</v>
      </c>
      <c r="BE324" s="3" t="s">
        <v>3477</v>
      </c>
      <c r="BF324" s="3" t="s">
        <v>3476</v>
      </c>
      <c r="BG324" s="3" t="s">
        <v>3478</v>
      </c>
    </row>
    <row r="325" spans="1:59" ht="58" x14ac:dyDescent="0.35">
      <c r="A325" s="2" t="s">
        <v>59</v>
      </c>
      <c r="B325" s="2" t="s">
        <v>94</v>
      </c>
      <c r="C325" s="2" t="s">
        <v>3479</v>
      </c>
      <c r="D325" s="2" t="s">
        <v>3480</v>
      </c>
      <c r="E325" s="2" t="s">
        <v>3481</v>
      </c>
      <c r="G325" s="3" t="s">
        <v>64</v>
      </c>
      <c r="I325" s="3" t="s">
        <v>64</v>
      </c>
      <c r="J325" s="3" t="s">
        <v>73</v>
      </c>
      <c r="K325" s="3" t="s">
        <v>65</v>
      </c>
      <c r="L325" s="2" t="s">
        <v>3482</v>
      </c>
      <c r="M325" s="2" t="s">
        <v>3483</v>
      </c>
      <c r="N325" s="3" t="s">
        <v>274</v>
      </c>
      <c r="P325" s="3" t="s">
        <v>69</v>
      </c>
      <c r="Q325" s="2" t="s">
        <v>3484</v>
      </c>
      <c r="R325" s="3" t="s">
        <v>70</v>
      </c>
      <c r="S325" s="4">
        <v>46</v>
      </c>
      <c r="T325" s="4">
        <v>46</v>
      </c>
      <c r="U325" s="5" t="s">
        <v>3485</v>
      </c>
      <c r="V325" s="5" t="s">
        <v>3485</v>
      </c>
      <c r="W325" s="5" t="s">
        <v>72</v>
      </c>
      <c r="X325" s="5" t="s">
        <v>72</v>
      </c>
      <c r="Y325" s="4">
        <v>801</v>
      </c>
      <c r="Z325" s="4">
        <v>57</v>
      </c>
      <c r="AA325" s="4">
        <v>72</v>
      </c>
      <c r="AB325" s="4">
        <v>6</v>
      </c>
      <c r="AC325" s="4">
        <v>8</v>
      </c>
      <c r="AD325" s="4">
        <v>131</v>
      </c>
      <c r="AE325" s="4">
        <v>150</v>
      </c>
      <c r="AF325" s="4">
        <v>2</v>
      </c>
      <c r="AG325" s="4">
        <v>4</v>
      </c>
      <c r="AH325" s="4">
        <v>104</v>
      </c>
      <c r="AI325" s="4">
        <v>113</v>
      </c>
      <c r="AJ325" s="4">
        <v>22</v>
      </c>
      <c r="AK325" s="4">
        <v>25</v>
      </c>
      <c r="AL325" s="4">
        <v>56</v>
      </c>
      <c r="AM325" s="4">
        <v>61</v>
      </c>
      <c r="AN325" s="4">
        <v>0</v>
      </c>
      <c r="AO325" s="4">
        <v>0</v>
      </c>
      <c r="AP325" s="4">
        <v>37</v>
      </c>
      <c r="AQ325" s="4">
        <v>45</v>
      </c>
      <c r="AR325" s="3" t="s">
        <v>64</v>
      </c>
      <c r="AS325" s="3" t="s">
        <v>64</v>
      </c>
      <c r="AT325" s="3" t="s">
        <v>64</v>
      </c>
      <c r="AV325" s="6" t="str">
        <f>HYPERLINK("http://mcgill.on.worldcat.org/oclc/16276059","Catalog Record")</f>
        <v>Catalog Record</v>
      </c>
      <c r="AW325" s="6" t="str">
        <f>HYPERLINK("http://www.worldcat.org/oclc/16276059","WorldCat Record")</f>
        <v>WorldCat Record</v>
      </c>
      <c r="AX325" s="3" t="s">
        <v>3486</v>
      </c>
      <c r="AY325" s="3" t="s">
        <v>3487</v>
      </c>
      <c r="AZ325" s="3" t="s">
        <v>3488</v>
      </c>
      <c r="BA325" s="3" t="s">
        <v>3488</v>
      </c>
      <c r="BB325" s="3" t="s">
        <v>3489</v>
      </c>
      <c r="BC325" s="3" t="s">
        <v>78</v>
      </c>
      <c r="BD325" s="3" t="s">
        <v>79</v>
      </c>
      <c r="BE325" s="3" t="s">
        <v>3490</v>
      </c>
      <c r="BF325" s="3" t="s">
        <v>3489</v>
      </c>
      <c r="BG325" s="3" t="s">
        <v>3491</v>
      </c>
    </row>
    <row r="326" spans="1:59" ht="58" x14ac:dyDescent="0.35">
      <c r="A326" s="2" t="s">
        <v>59</v>
      </c>
      <c r="B326" s="2" t="s">
        <v>94</v>
      </c>
      <c r="C326" s="2" t="s">
        <v>3492</v>
      </c>
      <c r="D326" s="2" t="s">
        <v>3493</v>
      </c>
      <c r="E326" s="2" t="s">
        <v>3494</v>
      </c>
      <c r="G326" s="3" t="s">
        <v>64</v>
      </c>
      <c r="I326" s="3" t="s">
        <v>64</v>
      </c>
      <c r="J326" s="3" t="s">
        <v>73</v>
      </c>
      <c r="K326" s="3" t="s">
        <v>65</v>
      </c>
      <c r="L326" s="2" t="s">
        <v>3482</v>
      </c>
      <c r="M326" s="2" t="s">
        <v>3495</v>
      </c>
      <c r="N326" s="3" t="s">
        <v>705</v>
      </c>
      <c r="O326" s="2" t="s">
        <v>638</v>
      </c>
      <c r="P326" s="3" t="s">
        <v>69</v>
      </c>
      <c r="R326" s="3" t="s">
        <v>70</v>
      </c>
      <c r="S326" s="4">
        <v>52</v>
      </c>
      <c r="T326" s="4">
        <v>52</v>
      </c>
      <c r="U326" s="5" t="s">
        <v>3496</v>
      </c>
      <c r="V326" s="5" t="s">
        <v>3496</v>
      </c>
      <c r="W326" s="5" t="s">
        <v>72</v>
      </c>
      <c r="X326" s="5" t="s">
        <v>72</v>
      </c>
      <c r="Y326" s="4">
        <v>486</v>
      </c>
      <c r="Z326" s="4">
        <v>29</v>
      </c>
      <c r="AA326" s="4">
        <v>72</v>
      </c>
      <c r="AB326" s="4">
        <v>1</v>
      </c>
      <c r="AC326" s="4">
        <v>8</v>
      </c>
      <c r="AD326" s="4">
        <v>95</v>
      </c>
      <c r="AE326" s="4">
        <v>150</v>
      </c>
      <c r="AF326" s="4">
        <v>0</v>
      </c>
      <c r="AG326" s="4">
        <v>4</v>
      </c>
      <c r="AH326" s="4">
        <v>79</v>
      </c>
      <c r="AI326" s="4">
        <v>113</v>
      </c>
      <c r="AJ326" s="4">
        <v>14</v>
      </c>
      <c r="AK326" s="4">
        <v>25</v>
      </c>
      <c r="AL326" s="4">
        <v>48</v>
      </c>
      <c r="AM326" s="4">
        <v>61</v>
      </c>
      <c r="AN326" s="4">
        <v>0</v>
      </c>
      <c r="AO326" s="4">
        <v>0</v>
      </c>
      <c r="AP326" s="4">
        <v>21</v>
      </c>
      <c r="AQ326" s="4">
        <v>45</v>
      </c>
      <c r="AR326" s="3" t="s">
        <v>64</v>
      </c>
      <c r="AS326" s="3" t="s">
        <v>64</v>
      </c>
      <c r="AT326" s="3" t="s">
        <v>64</v>
      </c>
      <c r="AV326" s="6" t="str">
        <f>HYPERLINK("http://mcgill.on.worldcat.org/oclc/32968694","Catalog Record")</f>
        <v>Catalog Record</v>
      </c>
      <c r="AW326" s="6" t="str">
        <f>HYPERLINK("http://www.worldcat.org/oclc/32968694","WorldCat Record")</f>
        <v>WorldCat Record</v>
      </c>
      <c r="AX326" s="3" t="s">
        <v>3486</v>
      </c>
      <c r="AY326" s="3" t="s">
        <v>3497</v>
      </c>
      <c r="AZ326" s="3" t="s">
        <v>3498</v>
      </c>
      <c r="BA326" s="3" t="s">
        <v>3498</v>
      </c>
      <c r="BB326" s="3" t="s">
        <v>3499</v>
      </c>
      <c r="BC326" s="3" t="s">
        <v>78</v>
      </c>
      <c r="BD326" s="3" t="s">
        <v>414</v>
      </c>
      <c r="BE326" s="3" t="s">
        <v>3500</v>
      </c>
      <c r="BF326" s="3" t="s">
        <v>3499</v>
      </c>
      <c r="BG326" s="3" t="s">
        <v>3501</v>
      </c>
    </row>
    <row r="327" spans="1:59" ht="58" x14ac:dyDescent="0.35">
      <c r="A327" s="2" t="s">
        <v>59</v>
      </c>
      <c r="B327" s="2" t="s">
        <v>94</v>
      </c>
      <c r="C327" s="2" t="s">
        <v>3502</v>
      </c>
      <c r="D327" s="2" t="s">
        <v>3503</v>
      </c>
      <c r="E327" s="2" t="s">
        <v>3504</v>
      </c>
      <c r="G327" s="3" t="s">
        <v>64</v>
      </c>
      <c r="I327" s="3" t="s">
        <v>73</v>
      </c>
      <c r="J327" s="3" t="s">
        <v>73</v>
      </c>
      <c r="K327" s="3" t="s">
        <v>65</v>
      </c>
      <c r="L327" s="2" t="s">
        <v>3505</v>
      </c>
      <c r="M327" s="2" t="s">
        <v>3506</v>
      </c>
      <c r="N327" s="3" t="s">
        <v>100</v>
      </c>
      <c r="P327" s="3" t="s">
        <v>69</v>
      </c>
      <c r="R327" s="3" t="s">
        <v>70</v>
      </c>
      <c r="S327" s="4">
        <v>10</v>
      </c>
      <c r="T327" s="4">
        <v>25</v>
      </c>
      <c r="U327" s="5" t="s">
        <v>3449</v>
      </c>
      <c r="V327" s="5" t="s">
        <v>3449</v>
      </c>
      <c r="W327" s="5" t="s">
        <v>72</v>
      </c>
      <c r="X327" s="5" t="s">
        <v>72</v>
      </c>
      <c r="Y327" s="4">
        <v>738</v>
      </c>
      <c r="Z327" s="4">
        <v>28</v>
      </c>
      <c r="AA327" s="4">
        <v>59</v>
      </c>
      <c r="AB327" s="4">
        <v>4</v>
      </c>
      <c r="AC327" s="4">
        <v>7</v>
      </c>
      <c r="AD327" s="4">
        <v>117</v>
      </c>
      <c r="AE327" s="4">
        <v>142</v>
      </c>
      <c r="AF327" s="4">
        <v>1</v>
      </c>
      <c r="AG327" s="4">
        <v>3</v>
      </c>
      <c r="AH327" s="4">
        <v>100</v>
      </c>
      <c r="AI327" s="4">
        <v>111</v>
      </c>
      <c r="AJ327" s="4">
        <v>17</v>
      </c>
      <c r="AK327" s="4">
        <v>26</v>
      </c>
      <c r="AL327" s="4">
        <v>56</v>
      </c>
      <c r="AM327" s="4">
        <v>60</v>
      </c>
      <c r="AN327" s="4">
        <v>0</v>
      </c>
      <c r="AO327" s="4">
        <v>1</v>
      </c>
      <c r="AP327" s="4">
        <v>20</v>
      </c>
      <c r="AQ327" s="4">
        <v>37</v>
      </c>
      <c r="AR327" s="3" t="s">
        <v>64</v>
      </c>
      <c r="AS327" s="3" t="s">
        <v>64</v>
      </c>
      <c r="AT327" s="3" t="s">
        <v>73</v>
      </c>
      <c r="AU327" s="6" t="str">
        <f>HYPERLINK("http://catalog.hathitrust.org/Record/010678472","HathiTrust Record")</f>
        <v>HathiTrust Record</v>
      </c>
      <c r="AV327" s="6" t="str">
        <f>HYPERLINK("http://mcgill.on.worldcat.org/oclc/567936","Catalog Record")</f>
        <v>Catalog Record</v>
      </c>
      <c r="AW327" s="6" t="str">
        <f>HYPERLINK("http://www.worldcat.org/oclc/567936","WorldCat Record")</f>
        <v>WorldCat Record</v>
      </c>
      <c r="AX327" s="3" t="s">
        <v>3507</v>
      </c>
      <c r="AY327" s="3" t="s">
        <v>3508</v>
      </c>
      <c r="AZ327" s="3" t="s">
        <v>3509</v>
      </c>
      <c r="BA327" s="3" t="s">
        <v>3509</v>
      </c>
      <c r="BB327" s="3" t="s">
        <v>3510</v>
      </c>
      <c r="BC327" s="3" t="s">
        <v>78</v>
      </c>
      <c r="BD327" s="3" t="s">
        <v>79</v>
      </c>
      <c r="BF327" s="3" t="s">
        <v>3510</v>
      </c>
      <c r="BG327" s="3" t="s">
        <v>3511</v>
      </c>
    </row>
    <row r="328" spans="1:59" ht="58" x14ac:dyDescent="0.35">
      <c r="A328" s="2" t="s">
        <v>59</v>
      </c>
      <c r="B328" s="2" t="s">
        <v>94</v>
      </c>
      <c r="C328" s="2" t="s">
        <v>3502</v>
      </c>
      <c r="D328" s="2" t="s">
        <v>3503</v>
      </c>
      <c r="E328" s="2" t="s">
        <v>3504</v>
      </c>
      <c r="G328" s="3" t="s">
        <v>64</v>
      </c>
      <c r="I328" s="3" t="s">
        <v>73</v>
      </c>
      <c r="J328" s="3" t="s">
        <v>73</v>
      </c>
      <c r="K328" s="3" t="s">
        <v>65</v>
      </c>
      <c r="L328" s="2" t="s">
        <v>3505</v>
      </c>
      <c r="M328" s="2" t="s">
        <v>3506</v>
      </c>
      <c r="N328" s="3" t="s">
        <v>100</v>
      </c>
      <c r="P328" s="3" t="s">
        <v>69</v>
      </c>
      <c r="R328" s="3" t="s">
        <v>70</v>
      </c>
      <c r="S328" s="4">
        <v>15</v>
      </c>
      <c r="T328" s="4">
        <v>25</v>
      </c>
      <c r="U328" s="5" t="s">
        <v>3512</v>
      </c>
      <c r="V328" s="5" t="s">
        <v>3449</v>
      </c>
      <c r="W328" s="5" t="s">
        <v>72</v>
      </c>
      <c r="X328" s="5" t="s">
        <v>72</v>
      </c>
      <c r="Y328" s="4">
        <v>738</v>
      </c>
      <c r="Z328" s="4">
        <v>28</v>
      </c>
      <c r="AA328" s="4">
        <v>59</v>
      </c>
      <c r="AB328" s="4">
        <v>4</v>
      </c>
      <c r="AC328" s="4">
        <v>7</v>
      </c>
      <c r="AD328" s="4">
        <v>117</v>
      </c>
      <c r="AE328" s="4">
        <v>142</v>
      </c>
      <c r="AF328" s="4">
        <v>1</v>
      </c>
      <c r="AG328" s="4">
        <v>3</v>
      </c>
      <c r="AH328" s="4">
        <v>100</v>
      </c>
      <c r="AI328" s="4">
        <v>111</v>
      </c>
      <c r="AJ328" s="4">
        <v>17</v>
      </c>
      <c r="AK328" s="4">
        <v>26</v>
      </c>
      <c r="AL328" s="4">
        <v>56</v>
      </c>
      <c r="AM328" s="4">
        <v>60</v>
      </c>
      <c r="AN328" s="4">
        <v>0</v>
      </c>
      <c r="AO328" s="4">
        <v>1</v>
      </c>
      <c r="AP328" s="4">
        <v>20</v>
      </c>
      <c r="AQ328" s="4">
        <v>37</v>
      </c>
      <c r="AR328" s="3" t="s">
        <v>64</v>
      </c>
      <c r="AS328" s="3" t="s">
        <v>64</v>
      </c>
      <c r="AT328" s="3" t="s">
        <v>73</v>
      </c>
      <c r="AU328" s="6" t="str">
        <f>HYPERLINK("http://catalog.hathitrust.org/Record/010678472","HathiTrust Record")</f>
        <v>HathiTrust Record</v>
      </c>
      <c r="AV328" s="6" t="str">
        <f>HYPERLINK("http://mcgill.on.worldcat.org/oclc/567936","Catalog Record")</f>
        <v>Catalog Record</v>
      </c>
      <c r="AW328" s="6" t="str">
        <f>HYPERLINK("http://www.worldcat.org/oclc/567936","WorldCat Record")</f>
        <v>WorldCat Record</v>
      </c>
      <c r="AX328" s="3" t="s">
        <v>3507</v>
      </c>
      <c r="AY328" s="3" t="s">
        <v>3508</v>
      </c>
      <c r="AZ328" s="3" t="s">
        <v>3509</v>
      </c>
      <c r="BA328" s="3" t="s">
        <v>3509</v>
      </c>
      <c r="BB328" s="3" t="s">
        <v>3513</v>
      </c>
      <c r="BC328" s="3" t="s">
        <v>78</v>
      </c>
      <c r="BD328" s="3" t="s">
        <v>79</v>
      </c>
      <c r="BF328" s="3" t="s">
        <v>3513</v>
      </c>
      <c r="BG328" s="3" t="s">
        <v>3514</v>
      </c>
    </row>
    <row r="329" spans="1:59" ht="58" x14ac:dyDescent="0.35">
      <c r="A329" s="2" t="s">
        <v>59</v>
      </c>
      <c r="B329" s="2" t="s">
        <v>94</v>
      </c>
      <c r="C329" s="2" t="s">
        <v>3515</v>
      </c>
      <c r="D329" s="2" t="s">
        <v>3516</v>
      </c>
      <c r="E329" s="2" t="s">
        <v>3517</v>
      </c>
      <c r="G329" s="3" t="s">
        <v>64</v>
      </c>
      <c r="I329" s="3" t="s">
        <v>64</v>
      </c>
      <c r="J329" s="3" t="s">
        <v>64</v>
      </c>
      <c r="K329" s="3" t="s">
        <v>65</v>
      </c>
      <c r="L329" s="2" t="s">
        <v>3518</v>
      </c>
      <c r="M329" s="2" t="s">
        <v>3519</v>
      </c>
      <c r="N329" s="3" t="s">
        <v>1167</v>
      </c>
      <c r="P329" s="3" t="s">
        <v>69</v>
      </c>
      <c r="R329" s="3" t="s">
        <v>70</v>
      </c>
      <c r="S329" s="4">
        <v>18</v>
      </c>
      <c r="T329" s="4">
        <v>18</v>
      </c>
      <c r="U329" s="5" t="s">
        <v>957</v>
      </c>
      <c r="V329" s="5" t="s">
        <v>957</v>
      </c>
      <c r="W329" s="5" t="s">
        <v>72</v>
      </c>
      <c r="X329" s="5" t="s">
        <v>72</v>
      </c>
      <c r="Y329" s="4">
        <v>623</v>
      </c>
      <c r="Z329" s="4">
        <v>29</v>
      </c>
      <c r="AA329" s="4">
        <v>45</v>
      </c>
      <c r="AB329" s="4">
        <v>2</v>
      </c>
      <c r="AC329" s="4">
        <v>2</v>
      </c>
      <c r="AD329" s="4">
        <v>109</v>
      </c>
      <c r="AE329" s="4">
        <v>129</v>
      </c>
      <c r="AF329" s="4">
        <v>1</v>
      </c>
      <c r="AG329" s="4">
        <v>1</v>
      </c>
      <c r="AH329" s="4">
        <v>90</v>
      </c>
      <c r="AI329" s="4">
        <v>104</v>
      </c>
      <c r="AJ329" s="4">
        <v>13</v>
      </c>
      <c r="AK329" s="4">
        <v>20</v>
      </c>
      <c r="AL329" s="4">
        <v>46</v>
      </c>
      <c r="AM329" s="4">
        <v>54</v>
      </c>
      <c r="AN329" s="4">
        <v>0</v>
      </c>
      <c r="AO329" s="4">
        <v>0</v>
      </c>
      <c r="AP329" s="4">
        <v>23</v>
      </c>
      <c r="AQ329" s="4">
        <v>33</v>
      </c>
      <c r="AR329" s="3" t="s">
        <v>64</v>
      </c>
      <c r="AS329" s="3" t="s">
        <v>64</v>
      </c>
      <c r="AT329" s="3" t="s">
        <v>73</v>
      </c>
      <c r="AU329" s="6" t="str">
        <f>HYPERLINK("http://catalog.hathitrust.org/Record/000296800","HathiTrust Record")</f>
        <v>HathiTrust Record</v>
      </c>
      <c r="AV329" s="6" t="str">
        <f>HYPERLINK("http://mcgill.on.worldcat.org/oclc/3272721","Catalog Record")</f>
        <v>Catalog Record</v>
      </c>
      <c r="AW329" s="6" t="str">
        <f>HYPERLINK("http://www.worldcat.org/oclc/3272721","WorldCat Record")</f>
        <v>WorldCat Record</v>
      </c>
      <c r="AX329" s="3" t="s">
        <v>3520</v>
      </c>
      <c r="AY329" s="3" t="s">
        <v>3521</v>
      </c>
      <c r="AZ329" s="3" t="s">
        <v>3522</v>
      </c>
      <c r="BA329" s="3" t="s">
        <v>3522</v>
      </c>
      <c r="BB329" s="3" t="s">
        <v>3523</v>
      </c>
      <c r="BC329" s="3" t="s">
        <v>78</v>
      </c>
      <c r="BD329" s="3" t="s">
        <v>79</v>
      </c>
      <c r="BE329" s="3" t="s">
        <v>3524</v>
      </c>
      <c r="BF329" s="3" t="s">
        <v>3523</v>
      </c>
      <c r="BG329" s="3" t="s">
        <v>3525</v>
      </c>
    </row>
    <row r="330" spans="1:59" ht="58" x14ac:dyDescent="0.35">
      <c r="A330" s="2" t="s">
        <v>59</v>
      </c>
      <c r="B330" s="2" t="s">
        <v>94</v>
      </c>
      <c r="C330" s="2" t="s">
        <v>3526</v>
      </c>
      <c r="D330" s="2" t="s">
        <v>3527</v>
      </c>
      <c r="E330" s="2" t="s">
        <v>3528</v>
      </c>
      <c r="G330" s="3" t="s">
        <v>64</v>
      </c>
      <c r="I330" s="3" t="s">
        <v>64</v>
      </c>
      <c r="J330" s="3" t="s">
        <v>64</v>
      </c>
      <c r="K330" s="3" t="s">
        <v>65</v>
      </c>
      <c r="L330" s="2" t="s">
        <v>3529</v>
      </c>
      <c r="M330" s="2" t="s">
        <v>3530</v>
      </c>
      <c r="N330" s="3" t="s">
        <v>689</v>
      </c>
      <c r="P330" s="3" t="s">
        <v>69</v>
      </c>
      <c r="R330" s="3" t="s">
        <v>70</v>
      </c>
      <c r="S330" s="4">
        <v>27</v>
      </c>
      <c r="T330" s="4">
        <v>27</v>
      </c>
      <c r="U330" s="5" t="s">
        <v>1447</v>
      </c>
      <c r="V330" s="5" t="s">
        <v>1447</v>
      </c>
      <c r="W330" s="5" t="s">
        <v>72</v>
      </c>
      <c r="X330" s="5" t="s">
        <v>72</v>
      </c>
      <c r="Y330" s="4">
        <v>800</v>
      </c>
      <c r="Z330" s="4">
        <v>30</v>
      </c>
      <c r="AA330" s="4">
        <v>45</v>
      </c>
      <c r="AB330" s="4">
        <v>1</v>
      </c>
      <c r="AC330" s="4">
        <v>5</v>
      </c>
      <c r="AD330" s="4">
        <v>106</v>
      </c>
      <c r="AE330" s="4">
        <v>121</v>
      </c>
      <c r="AF330" s="4">
        <v>0</v>
      </c>
      <c r="AG330" s="4">
        <v>2</v>
      </c>
      <c r="AH330" s="4">
        <v>95</v>
      </c>
      <c r="AI330" s="4">
        <v>102</v>
      </c>
      <c r="AJ330" s="4">
        <v>12</v>
      </c>
      <c r="AK330" s="4">
        <v>18</v>
      </c>
      <c r="AL330" s="4">
        <v>52</v>
      </c>
      <c r="AM330" s="4">
        <v>54</v>
      </c>
      <c r="AN330" s="4">
        <v>0</v>
      </c>
      <c r="AO330" s="4">
        <v>0</v>
      </c>
      <c r="AP330" s="4">
        <v>18</v>
      </c>
      <c r="AQ330" s="4">
        <v>27</v>
      </c>
      <c r="AR330" s="3" t="s">
        <v>64</v>
      </c>
      <c r="AS330" s="3" t="s">
        <v>64</v>
      </c>
      <c r="AT330" s="3" t="s">
        <v>73</v>
      </c>
      <c r="AU330" s="6" t="str">
        <f>HYPERLINK("http://catalog.hathitrust.org/Record/002456651","HathiTrust Record")</f>
        <v>HathiTrust Record</v>
      </c>
      <c r="AV330" s="6" t="str">
        <f>HYPERLINK("http://mcgill.on.worldcat.org/oclc/21599314","Catalog Record")</f>
        <v>Catalog Record</v>
      </c>
      <c r="AW330" s="6" t="str">
        <f>HYPERLINK("http://www.worldcat.org/oclc/21599314","WorldCat Record")</f>
        <v>WorldCat Record</v>
      </c>
      <c r="AX330" s="3" t="s">
        <v>3531</v>
      </c>
      <c r="AY330" s="3" t="s">
        <v>3532</v>
      </c>
      <c r="AZ330" s="3" t="s">
        <v>3533</v>
      </c>
      <c r="BA330" s="3" t="s">
        <v>3533</v>
      </c>
      <c r="BB330" s="3" t="s">
        <v>3534</v>
      </c>
      <c r="BC330" s="3" t="s">
        <v>78</v>
      </c>
      <c r="BD330" s="3" t="s">
        <v>79</v>
      </c>
      <c r="BE330" s="3" t="s">
        <v>3535</v>
      </c>
      <c r="BF330" s="3" t="s">
        <v>3534</v>
      </c>
      <c r="BG330" s="3" t="s">
        <v>3536</v>
      </c>
    </row>
    <row r="331" spans="1:59" ht="58" x14ac:dyDescent="0.35">
      <c r="A331" s="2" t="s">
        <v>59</v>
      </c>
      <c r="B331" s="2" t="s">
        <v>94</v>
      </c>
      <c r="C331" s="2" t="s">
        <v>3537</v>
      </c>
      <c r="D331" s="2" t="s">
        <v>3538</v>
      </c>
      <c r="E331" s="2" t="s">
        <v>3539</v>
      </c>
      <c r="G331" s="3" t="s">
        <v>64</v>
      </c>
      <c r="I331" s="3" t="s">
        <v>64</v>
      </c>
      <c r="J331" s="3" t="s">
        <v>64</v>
      </c>
      <c r="K331" s="3" t="s">
        <v>65</v>
      </c>
      <c r="L331" s="2" t="s">
        <v>3540</v>
      </c>
      <c r="M331" s="2" t="s">
        <v>3541</v>
      </c>
      <c r="N331" s="3" t="s">
        <v>473</v>
      </c>
      <c r="P331" s="3" t="s">
        <v>69</v>
      </c>
      <c r="R331" s="3" t="s">
        <v>70</v>
      </c>
      <c r="S331" s="4">
        <v>18</v>
      </c>
      <c r="T331" s="4">
        <v>18</v>
      </c>
      <c r="U331" s="5" t="s">
        <v>3542</v>
      </c>
      <c r="V331" s="5" t="s">
        <v>3542</v>
      </c>
      <c r="W331" s="5" t="s">
        <v>72</v>
      </c>
      <c r="X331" s="5" t="s">
        <v>72</v>
      </c>
      <c r="Y331" s="4">
        <v>219</v>
      </c>
      <c r="Z331" s="4">
        <v>20</v>
      </c>
      <c r="AA331" s="4">
        <v>23</v>
      </c>
      <c r="AB331" s="4">
        <v>1</v>
      </c>
      <c r="AC331" s="4">
        <v>4</v>
      </c>
      <c r="AD331" s="4">
        <v>72</v>
      </c>
      <c r="AE331" s="4">
        <v>74</v>
      </c>
      <c r="AF331" s="4">
        <v>0</v>
      </c>
      <c r="AG331" s="4">
        <v>0</v>
      </c>
      <c r="AH331" s="4">
        <v>64</v>
      </c>
      <c r="AI331" s="4">
        <v>66</v>
      </c>
      <c r="AJ331" s="4">
        <v>13</v>
      </c>
      <c r="AK331" s="4">
        <v>13</v>
      </c>
      <c r="AL331" s="4">
        <v>38</v>
      </c>
      <c r="AM331" s="4">
        <v>38</v>
      </c>
      <c r="AN331" s="4">
        <v>0</v>
      </c>
      <c r="AO331" s="4">
        <v>0</v>
      </c>
      <c r="AP331" s="4">
        <v>16</v>
      </c>
      <c r="AQ331" s="4">
        <v>16</v>
      </c>
      <c r="AR331" s="3" t="s">
        <v>64</v>
      </c>
      <c r="AS331" s="3" t="s">
        <v>64</v>
      </c>
      <c r="AT331" s="3" t="s">
        <v>64</v>
      </c>
      <c r="AV331" s="6" t="str">
        <f>HYPERLINK("http://mcgill.on.worldcat.org/oclc/20824542","Catalog Record")</f>
        <v>Catalog Record</v>
      </c>
      <c r="AW331" s="6" t="str">
        <f>HYPERLINK("http://www.worldcat.org/oclc/20824542","WorldCat Record")</f>
        <v>WorldCat Record</v>
      </c>
      <c r="AX331" s="3" t="s">
        <v>3543</v>
      </c>
      <c r="AY331" s="3" t="s">
        <v>3544</v>
      </c>
      <c r="AZ331" s="3" t="s">
        <v>3545</v>
      </c>
      <c r="BA331" s="3" t="s">
        <v>3545</v>
      </c>
      <c r="BB331" s="3" t="s">
        <v>3546</v>
      </c>
      <c r="BC331" s="3" t="s">
        <v>78</v>
      </c>
      <c r="BD331" s="3" t="s">
        <v>79</v>
      </c>
      <c r="BE331" s="3" t="s">
        <v>3547</v>
      </c>
      <c r="BF331" s="3" t="s">
        <v>3546</v>
      </c>
      <c r="BG331" s="3" t="s">
        <v>3548</v>
      </c>
    </row>
    <row r="332" spans="1:59" ht="58" x14ac:dyDescent="0.35">
      <c r="A332" s="2" t="s">
        <v>59</v>
      </c>
      <c r="B332" s="2" t="s">
        <v>94</v>
      </c>
      <c r="C332" s="2" t="s">
        <v>3549</v>
      </c>
      <c r="D332" s="2" t="s">
        <v>3550</v>
      </c>
      <c r="E332" s="2" t="s">
        <v>3551</v>
      </c>
      <c r="G332" s="3" t="s">
        <v>64</v>
      </c>
      <c r="I332" s="3" t="s">
        <v>64</v>
      </c>
      <c r="J332" s="3" t="s">
        <v>64</v>
      </c>
      <c r="K332" s="3" t="s">
        <v>65</v>
      </c>
      <c r="L332" s="2" t="s">
        <v>3361</v>
      </c>
      <c r="M332" s="2" t="s">
        <v>3552</v>
      </c>
      <c r="N332" s="3" t="s">
        <v>422</v>
      </c>
      <c r="P332" s="3" t="s">
        <v>69</v>
      </c>
      <c r="R332" s="3" t="s">
        <v>70</v>
      </c>
      <c r="S332" s="4">
        <v>6</v>
      </c>
      <c r="T332" s="4">
        <v>6</v>
      </c>
      <c r="U332" s="5" t="s">
        <v>3496</v>
      </c>
      <c r="V332" s="5" t="s">
        <v>3496</v>
      </c>
      <c r="W332" s="5" t="s">
        <v>72</v>
      </c>
      <c r="X332" s="5" t="s">
        <v>72</v>
      </c>
      <c r="Y332" s="4">
        <v>254</v>
      </c>
      <c r="Z332" s="4">
        <v>15</v>
      </c>
      <c r="AA332" s="4">
        <v>86</v>
      </c>
      <c r="AB332" s="4">
        <v>2</v>
      </c>
      <c r="AC332" s="4">
        <v>16</v>
      </c>
      <c r="AD332" s="4">
        <v>86</v>
      </c>
      <c r="AE332" s="4">
        <v>134</v>
      </c>
      <c r="AF332" s="4">
        <v>0</v>
      </c>
      <c r="AG332" s="4">
        <v>8</v>
      </c>
      <c r="AH332" s="4">
        <v>78</v>
      </c>
      <c r="AI332" s="4">
        <v>98</v>
      </c>
      <c r="AJ332" s="4">
        <v>8</v>
      </c>
      <c r="AK332" s="4">
        <v>23</v>
      </c>
      <c r="AL332" s="4">
        <v>43</v>
      </c>
      <c r="AM332" s="4">
        <v>51</v>
      </c>
      <c r="AN332" s="4">
        <v>0</v>
      </c>
      <c r="AO332" s="4">
        <v>0</v>
      </c>
      <c r="AP332" s="4">
        <v>12</v>
      </c>
      <c r="AQ332" s="4">
        <v>45</v>
      </c>
      <c r="AR332" s="3" t="s">
        <v>64</v>
      </c>
      <c r="AS332" s="3" t="s">
        <v>64</v>
      </c>
      <c r="AT332" s="3" t="s">
        <v>64</v>
      </c>
      <c r="AV332" s="6" t="str">
        <f>HYPERLINK("http://mcgill.on.worldcat.org/oclc/45917030","Catalog Record")</f>
        <v>Catalog Record</v>
      </c>
      <c r="AW332" s="6" t="str">
        <f>HYPERLINK("http://www.worldcat.org/oclc/45917030","WorldCat Record")</f>
        <v>WorldCat Record</v>
      </c>
      <c r="AX332" s="3" t="s">
        <v>3553</v>
      </c>
      <c r="AY332" s="3" t="s">
        <v>3554</v>
      </c>
      <c r="AZ332" s="3" t="s">
        <v>3555</v>
      </c>
      <c r="BA332" s="3" t="s">
        <v>3555</v>
      </c>
      <c r="BB332" s="3" t="s">
        <v>3556</v>
      </c>
      <c r="BC332" s="3" t="s">
        <v>78</v>
      </c>
      <c r="BD332" s="3" t="s">
        <v>79</v>
      </c>
      <c r="BE332" s="3" t="s">
        <v>3557</v>
      </c>
      <c r="BF332" s="3" t="s">
        <v>3556</v>
      </c>
      <c r="BG332" s="3" t="s">
        <v>3558</v>
      </c>
    </row>
    <row r="333" spans="1:59" ht="58" x14ac:dyDescent="0.35">
      <c r="A333" s="2" t="s">
        <v>59</v>
      </c>
      <c r="B333" s="2" t="s">
        <v>94</v>
      </c>
      <c r="C333" s="2" t="s">
        <v>3559</v>
      </c>
      <c r="D333" s="2" t="s">
        <v>3560</v>
      </c>
      <c r="E333" s="2" t="s">
        <v>3561</v>
      </c>
      <c r="G333" s="3" t="s">
        <v>64</v>
      </c>
      <c r="I333" s="3" t="s">
        <v>64</v>
      </c>
      <c r="J333" s="3" t="s">
        <v>64</v>
      </c>
      <c r="K333" s="3" t="s">
        <v>65</v>
      </c>
      <c r="L333" s="2" t="s">
        <v>2238</v>
      </c>
      <c r="M333" s="2" t="s">
        <v>3562</v>
      </c>
      <c r="N333" s="3" t="s">
        <v>3563</v>
      </c>
      <c r="P333" s="3" t="s">
        <v>69</v>
      </c>
      <c r="R333" s="3" t="s">
        <v>70</v>
      </c>
      <c r="S333" s="4">
        <v>14</v>
      </c>
      <c r="T333" s="4">
        <v>14</v>
      </c>
      <c r="U333" s="5" t="s">
        <v>3564</v>
      </c>
      <c r="V333" s="5" t="s">
        <v>3564</v>
      </c>
      <c r="W333" s="5" t="s">
        <v>72</v>
      </c>
      <c r="X333" s="5" t="s">
        <v>72</v>
      </c>
      <c r="Y333" s="4">
        <v>303</v>
      </c>
      <c r="Z333" s="4">
        <v>18</v>
      </c>
      <c r="AA333" s="4">
        <v>18</v>
      </c>
      <c r="AB333" s="4">
        <v>1</v>
      </c>
      <c r="AC333" s="4">
        <v>1</v>
      </c>
      <c r="AD333" s="4">
        <v>95</v>
      </c>
      <c r="AE333" s="4">
        <v>95</v>
      </c>
      <c r="AF333" s="4">
        <v>0</v>
      </c>
      <c r="AG333" s="4">
        <v>0</v>
      </c>
      <c r="AH333" s="4">
        <v>89</v>
      </c>
      <c r="AI333" s="4">
        <v>89</v>
      </c>
      <c r="AJ333" s="4">
        <v>12</v>
      </c>
      <c r="AK333" s="4">
        <v>12</v>
      </c>
      <c r="AL333" s="4">
        <v>51</v>
      </c>
      <c r="AM333" s="4">
        <v>51</v>
      </c>
      <c r="AN333" s="4">
        <v>0</v>
      </c>
      <c r="AO333" s="4">
        <v>0</v>
      </c>
      <c r="AP333" s="4">
        <v>14</v>
      </c>
      <c r="AQ333" s="4">
        <v>14</v>
      </c>
      <c r="AR333" s="3" t="s">
        <v>64</v>
      </c>
      <c r="AS333" s="3" t="s">
        <v>64</v>
      </c>
      <c r="AT333" s="3" t="s">
        <v>64</v>
      </c>
      <c r="AV333" s="6" t="str">
        <f>HYPERLINK("http://mcgill.on.worldcat.org/oclc/25630695","Catalog Record")</f>
        <v>Catalog Record</v>
      </c>
      <c r="AW333" s="6" t="str">
        <f>HYPERLINK("http://www.worldcat.org/oclc/25630695","WorldCat Record")</f>
        <v>WorldCat Record</v>
      </c>
      <c r="AX333" s="3" t="s">
        <v>3565</v>
      </c>
      <c r="AY333" s="3" t="s">
        <v>3566</v>
      </c>
      <c r="AZ333" s="3" t="s">
        <v>3567</v>
      </c>
      <c r="BA333" s="3" t="s">
        <v>3567</v>
      </c>
      <c r="BB333" s="3" t="s">
        <v>3568</v>
      </c>
      <c r="BC333" s="3" t="s">
        <v>78</v>
      </c>
      <c r="BD333" s="3" t="s">
        <v>79</v>
      </c>
      <c r="BE333" s="3" t="s">
        <v>3569</v>
      </c>
      <c r="BF333" s="3" t="s">
        <v>3568</v>
      </c>
      <c r="BG333" s="3" t="s">
        <v>3570</v>
      </c>
    </row>
    <row r="334" spans="1:59" ht="58" x14ac:dyDescent="0.35">
      <c r="A334" s="2" t="s">
        <v>59</v>
      </c>
      <c r="B334" s="2" t="s">
        <v>94</v>
      </c>
      <c r="C334" s="2" t="s">
        <v>3571</v>
      </c>
      <c r="D334" s="2" t="s">
        <v>3572</v>
      </c>
      <c r="E334" s="2" t="s">
        <v>3573</v>
      </c>
      <c r="G334" s="3" t="s">
        <v>64</v>
      </c>
      <c r="I334" s="3" t="s">
        <v>64</v>
      </c>
      <c r="J334" s="3" t="s">
        <v>73</v>
      </c>
      <c r="K334" s="3" t="s">
        <v>65</v>
      </c>
      <c r="L334" s="2" t="s">
        <v>3574</v>
      </c>
      <c r="M334" s="2" t="s">
        <v>3575</v>
      </c>
      <c r="N334" s="3" t="s">
        <v>1247</v>
      </c>
      <c r="P334" s="3" t="s">
        <v>69</v>
      </c>
      <c r="R334" s="3" t="s">
        <v>70</v>
      </c>
      <c r="S334" s="4">
        <v>12</v>
      </c>
      <c r="T334" s="4">
        <v>12</v>
      </c>
      <c r="U334" s="5" t="s">
        <v>3542</v>
      </c>
      <c r="V334" s="5" t="s">
        <v>3542</v>
      </c>
      <c r="W334" s="5" t="s">
        <v>72</v>
      </c>
      <c r="X334" s="5" t="s">
        <v>72</v>
      </c>
      <c r="Y334" s="4">
        <v>110</v>
      </c>
      <c r="Z334" s="4">
        <v>12</v>
      </c>
      <c r="AA334" s="4">
        <v>43</v>
      </c>
      <c r="AB334" s="4">
        <v>2</v>
      </c>
      <c r="AC334" s="4">
        <v>4</v>
      </c>
      <c r="AD334" s="4">
        <v>24</v>
      </c>
      <c r="AE334" s="4">
        <v>119</v>
      </c>
      <c r="AF334" s="4">
        <v>1</v>
      </c>
      <c r="AG334" s="4">
        <v>2</v>
      </c>
      <c r="AH334" s="4">
        <v>16</v>
      </c>
      <c r="AI334" s="4">
        <v>96</v>
      </c>
      <c r="AJ334" s="4">
        <v>7</v>
      </c>
      <c r="AK334" s="4">
        <v>20</v>
      </c>
      <c r="AL334" s="4">
        <v>12</v>
      </c>
      <c r="AM334" s="4">
        <v>53</v>
      </c>
      <c r="AN334" s="4">
        <v>0</v>
      </c>
      <c r="AO334" s="4">
        <v>0</v>
      </c>
      <c r="AP334" s="4">
        <v>10</v>
      </c>
      <c r="AQ334" s="4">
        <v>32</v>
      </c>
      <c r="AR334" s="3" t="s">
        <v>64</v>
      </c>
      <c r="AS334" s="3" t="s">
        <v>64</v>
      </c>
      <c r="AT334" s="3" t="s">
        <v>73</v>
      </c>
      <c r="AU334" s="6" t="str">
        <f>HYPERLINK("http://catalog.hathitrust.org/Record/001047035","HathiTrust Record")</f>
        <v>HathiTrust Record</v>
      </c>
      <c r="AV334" s="6" t="str">
        <f>HYPERLINK("http://mcgill.on.worldcat.org/oclc/9703296","Catalog Record")</f>
        <v>Catalog Record</v>
      </c>
      <c r="AW334" s="6" t="str">
        <f>HYPERLINK("http://www.worldcat.org/oclc/9703296","WorldCat Record")</f>
        <v>WorldCat Record</v>
      </c>
      <c r="AX334" s="3" t="s">
        <v>3576</v>
      </c>
      <c r="AY334" s="3" t="s">
        <v>3577</v>
      </c>
      <c r="AZ334" s="3" t="s">
        <v>3578</v>
      </c>
      <c r="BA334" s="3" t="s">
        <v>3578</v>
      </c>
      <c r="BB334" s="3" t="s">
        <v>3579</v>
      </c>
      <c r="BC334" s="3" t="s">
        <v>78</v>
      </c>
      <c r="BD334" s="3" t="s">
        <v>79</v>
      </c>
      <c r="BE334" s="3" t="s">
        <v>3580</v>
      </c>
      <c r="BF334" s="3" t="s">
        <v>3579</v>
      </c>
      <c r="BG334" s="3" t="s">
        <v>3581</v>
      </c>
    </row>
    <row r="335" spans="1:59" ht="58" x14ac:dyDescent="0.35">
      <c r="A335" s="2" t="s">
        <v>59</v>
      </c>
      <c r="B335" s="2" t="s">
        <v>94</v>
      </c>
      <c r="C335" s="2" t="s">
        <v>3582</v>
      </c>
      <c r="D335" s="2" t="s">
        <v>3583</v>
      </c>
      <c r="E335" s="2" t="s">
        <v>3584</v>
      </c>
      <c r="G335" s="3" t="s">
        <v>64</v>
      </c>
      <c r="I335" s="3" t="s">
        <v>64</v>
      </c>
      <c r="J335" s="3" t="s">
        <v>64</v>
      </c>
      <c r="K335" s="3" t="s">
        <v>65</v>
      </c>
      <c r="L335" s="2" t="s">
        <v>3585</v>
      </c>
      <c r="M335" s="2" t="s">
        <v>3586</v>
      </c>
      <c r="N335" s="3" t="s">
        <v>651</v>
      </c>
      <c r="P335" s="3" t="s">
        <v>69</v>
      </c>
      <c r="Q335" s="2" t="s">
        <v>3587</v>
      </c>
      <c r="R335" s="3" t="s">
        <v>70</v>
      </c>
      <c r="S335" s="4">
        <v>2</v>
      </c>
      <c r="T335" s="4">
        <v>2</v>
      </c>
      <c r="U335" s="5" t="s">
        <v>3588</v>
      </c>
      <c r="V335" s="5" t="s">
        <v>3588</v>
      </c>
      <c r="W335" s="5" t="s">
        <v>72</v>
      </c>
      <c r="X335" s="5" t="s">
        <v>72</v>
      </c>
      <c r="Y335" s="4">
        <v>211</v>
      </c>
      <c r="Z335" s="4">
        <v>15</v>
      </c>
      <c r="AA335" s="4">
        <v>17</v>
      </c>
      <c r="AB335" s="4">
        <v>1</v>
      </c>
      <c r="AC335" s="4">
        <v>3</v>
      </c>
      <c r="AD335" s="4">
        <v>71</v>
      </c>
      <c r="AE335" s="4">
        <v>73</v>
      </c>
      <c r="AF335" s="4">
        <v>0</v>
      </c>
      <c r="AG335" s="4">
        <v>0</v>
      </c>
      <c r="AH335" s="4">
        <v>66</v>
      </c>
      <c r="AI335" s="4">
        <v>67</v>
      </c>
      <c r="AJ335" s="4">
        <v>8</v>
      </c>
      <c r="AK335" s="4">
        <v>8</v>
      </c>
      <c r="AL335" s="4">
        <v>37</v>
      </c>
      <c r="AM335" s="4">
        <v>38</v>
      </c>
      <c r="AN335" s="4">
        <v>0</v>
      </c>
      <c r="AO335" s="4">
        <v>0</v>
      </c>
      <c r="AP335" s="4">
        <v>10</v>
      </c>
      <c r="AQ335" s="4">
        <v>10</v>
      </c>
      <c r="AR335" s="3" t="s">
        <v>64</v>
      </c>
      <c r="AS335" s="3" t="s">
        <v>64</v>
      </c>
      <c r="AT335" s="3" t="s">
        <v>64</v>
      </c>
      <c r="AV335" s="6" t="str">
        <f>HYPERLINK("http://mcgill.on.worldcat.org/oclc/49727823","Catalog Record")</f>
        <v>Catalog Record</v>
      </c>
      <c r="AW335" s="6" t="str">
        <f>HYPERLINK("http://www.worldcat.org/oclc/49727823","WorldCat Record")</f>
        <v>WorldCat Record</v>
      </c>
      <c r="AX335" s="3" t="s">
        <v>3589</v>
      </c>
      <c r="AY335" s="3" t="s">
        <v>3590</v>
      </c>
      <c r="AZ335" s="3" t="s">
        <v>3591</v>
      </c>
      <c r="BA335" s="3" t="s">
        <v>3591</v>
      </c>
      <c r="BB335" s="3" t="s">
        <v>3592</v>
      </c>
      <c r="BC335" s="3" t="s">
        <v>78</v>
      </c>
      <c r="BD335" s="3" t="s">
        <v>79</v>
      </c>
      <c r="BE335" s="3" t="s">
        <v>3593</v>
      </c>
      <c r="BF335" s="3" t="s">
        <v>3592</v>
      </c>
      <c r="BG335" s="3" t="s">
        <v>3594</v>
      </c>
    </row>
    <row r="336" spans="1:59" ht="58" x14ac:dyDescent="0.35">
      <c r="A336" s="2" t="s">
        <v>59</v>
      </c>
      <c r="B336" s="2" t="s">
        <v>94</v>
      </c>
      <c r="C336" s="2" t="s">
        <v>3595</v>
      </c>
      <c r="D336" s="2" t="s">
        <v>3596</v>
      </c>
      <c r="E336" s="2" t="s">
        <v>3597</v>
      </c>
      <c r="G336" s="3" t="s">
        <v>64</v>
      </c>
      <c r="I336" s="3" t="s">
        <v>64</v>
      </c>
      <c r="J336" s="3" t="s">
        <v>64</v>
      </c>
      <c r="K336" s="3" t="s">
        <v>65</v>
      </c>
      <c r="L336" s="2" t="s">
        <v>3361</v>
      </c>
      <c r="M336" s="2" t="s">
        <v>3598</v>
      </c>
      <c r="N336" s="3" t="s">
        <v>1530</v>
      </c>
      <c r="P336" s="3" t="s">
        <v>69</v>
      </c>
      <c r="R336" s="3" t="s">
        <v>70</v>
      </c>
      <c r="S336" s="4">
        <v>4</v>
      </c>
      <c r="T336" s="4">
        <v>4</v>
      </c>
      <c r="U336" s="5" t="s">
        <v>3599</v>
      </c>
      <c r="V336" s="5" t="s">
        <v>3599</v>
      </c>
      <c r="W336" s="5" t="s">
        <v>72</v>
      </c>
      <c r="X336" s="5" t="s">
        <v>72</v>
      </c>
      <c r="Y336" s="4">
        <v>332</v>
      </c>
      <c r="Z336" s="4">
        <v>18</v>
      </c>
      <c r="AA336" s="4">
        <v>88</v>
      </c>
      <c r="AB336" s="4">
        <v>2</v>
      </c>
      <c r="AC336" s="4">
        <v>16</v>
      </c>
      <c r="AD336" s="4">
        <v>89</v>
      </c>
      <c r="AE336" s="4">
        <v>138</v>
      </c>
      <c r="AF336" s="4">
        <v>0</v>
      </c>
      <c r="AG336" s="4">
        <v>8</v>
      </c>
      <c r="AH336" s="4">
        <v>81</v>
      </c>
      <c r="AI336" s="4">
        <v>102</v>
      </c>
      <c r="AJ336" s="4">
        <v>9</v>
      </c>
      <c r="AK336" s="4">
        <v>23</v>
      </c>
      <c r="AL336" s="4">
        <v>45</v>
      </c>
      <c r="AM336" s="4">
        <v>53</v>
      </c>
      <c r="AN336" s="4">
        <v>0</v>
      </c>
      <c r="AO336" s="4">
        <v>0</v>
      </c>
      <c r="AP336" s="4">
        <v>13</v>
      </c>
      <c r="AQ336" s="4">
        <v>45</v>
      </c>
      <c r="AR336" s="3" t="s">
        <v>64</v>
      </c>
      <c r="AS336" s="3" t="s">
        <v>64</v>
      </c>
      <c r="AT336" s="3" t="s">
        <v>73</v>
      </c>
      <c r="AU336" s="6" t="str">
        <f>HYPERLINK("http://catalog.hathitrust.org/Record/004242234","HathiTrust Record")</f>
        <v>HathiTrust Record</v>
      </c>
      <c r="AV336" s="6" t="str">
        <f>HYPERLINK("http://mcgill.on.worldcat.org/oclc/47790934","Catalog Record")</f>
        <v>Catalog Record</v>
      </c>
      <c r="AW336" s="6" t="str">
        <f>HYPERLINK("http://www.worldcat.org/oclc/47790934","WorldCat Record")</f>
        <v>WorldCat Record</v>
      </c>
      <c r="AX336" s="3" t="s">
        <v>3600</v>
      </c>
      <c r="AY336" s="3" t="s">
        <v>3601</v>
      </c>
      <c r="AZ336" s="3" t="s">
        <v>3602</v>
      </c>
      <c r="BA336" s="3" t="s">
        <v>3602</v>
      </c>
      <c r="BB336" s="3" t="s">
        <v>3603</v>
      </c>
      <c r="BC336" s="3" t="s">
        <v>78</v>
      </c>
      <c r="BD336" s="3" t="s">
        <v>79</v>
      </c>
      <c r="BE336" s="3" t="s">
        <v>3604</v>
      </c>
      <c r="BF336" s="3" t="s">
        <v>3603</v>
      </c>
      <c r="BG336" s="3" t="s">
        <v>3605</v>
      </c>
    </row>
    <row r="337" spans="1:59" ht="58" x14ac:dyDescent="0.35">
      <c r="A337" s="2" t="s">
        <v>59</v>
      </c>
      <c r="B337" s="2" t="s">
        <v>94</v>
      </c>
      <c r="C337" s="2" t="s">
        <v>3606</v>
      </c>
      <c r="D337" s="2" t="s">
        <v>3607</v>
      </c>
      <c r="E337" s="2" t="s">
        <v>3608</v>
      </c>
      <c r="G337" s="3" t="s">
        <v>64</v>
      </c>
      <c r="I337" s="3" t="s">
        <v>64</v>
      </c>
      <c r="J337" s="3" t="s">
        <v>64</v>
      </c>
      <c r="K337" s="3" t="s">
        <v>65</v>
      </c>
      <c r="L337" s="2" t="s">
        <v>3609</v>
      </c>
      <c r="M337" s="2" t="s">
        <v>3610</v>
      </c>
      <c r="N337" s="3" t="s">
        <v>226</v>
      </c>
      <c r="P337" s="3" t="s">
        <v>69</v>
      </c>
      <c r="R337" s="3" t="s">
        <v>70</v>
      </c>
      <c r="S337" s="4">
        <v>9</v>
      </c>
      <c r="T337" s="4">
        <v>9</v>
      </c>
      <c r="U337" s="5" t="s">
        <v>3611</v>
      </c>
      <c r="V337" s="5" t="s">
        <v>3611</v>
      </c>
      <c r="W337" s="5" t="s">
        <v>72</v>
      </c>
      <c r="X337" s="5" t="s">
        <v>72</v>
      </c>
      <c r="Y337" s="4">
        <v>402</v>
      </c>
      <c r="Z337" s="4">
        <v>19</v>
      </c>
      <c r="AA337" s="4">
        <v>19</v>
      </c>
      <c r="AB337" s="4">
        <v>1</v>
      </c>
      <c r="AC337" s="4">
        <v>1</v>
      </c>
      <c r="AD337" s="4">
        <v>101</v>
      </c>
      <c r="AE337" s="4">
        <v>101</v>
      </c>
      <c r="AF337" s="4">
        <v>0</v>
      </c>
      <c r="AG337" s="4">
        <v>0</v>
      </c>
      <c r="AH337" s="4">
        <v>90</v>
      </c>
      <c r="AI337" s="4">
        <v>90</v>
      </c>
      <c r="AJ337" s="4">
        <v>10</v>
      </c>
      <c r="AK337" s="4">
        <v>10</v>
      </c>
      <c r="AL337" s="4">
        <v>52</v>
      </c>
      <c r="AM337" s="4">
        <v>52</v>
      </c>
      <c r="AN337" s="4">
        <v>0</v>
      </c>
      <c r="AO337" s="4">
        <v>0</v>
      </c>
      <c r="AP337" s="4">
        <v>14</v>
      </c>
      <c r="AQ337" s="4">
        <v>14</v>
      </c>
      <c r="AR337" s="3" t="s">
        <v>64</v>
      </c>
      <c r="AS337" s="3" t="s">
        <v>64</v>
      </c>
      <c r="AT337" s="3" t="s">
        <v>73</v>
      </c>
      <c r="AU337" s="6" t="str">
        <f>HYPERLINK("http://catalog.hathitrust.org/Record/003112129","HathiTrust Record")</f>
        <v>HathiTrust Record</v>
      </c>
      <c r="AV337" s="6" t="str">
        <f>HYPERLINK("http://mcgill.on.worldcat.org/oclc/34281412","Catalog Record")</f>
        <v>Catalog Record</v>
      </c>
      <c r="AW337" s="6" t="str">
        <f>HYPERLINK("http://www.worldcat.org/oclc/34281412","WorldCat Record")</f>
        <v>WorldCat Record</v>
      </c>
      <c r="AX337" s="3" t="s">
        <v>3612</v>
      </c>
      <c r="AY337" s="3" t="s">
        <v>3613</v>
      </c>
      <c r="AZ337" s="3" t="s">
        <v>3614</v>
      </c>
      <c r="BA337" s="3" t="s">
        <v>3614</v>
      </c>
      <c r="BB337" s="3" t="s">
        <v>3615</v>
      </c>
      <c r="BC337" s="3" t="s">
        <v>78</v>
      </c>
      <c r="BD337" s="3" t="s">
        <v>79</v>
      </c>
      <c r="BE337" s="3" t="s">
        <v>3616</v>
      </c>
      <c r="BF337" s="3" t="s">
        <v>3615</v>
      </c>
      <c r="BG337" s="3" t="s">
        <v>3617</v>
      </c>
    </row>
    <row r="338" spans="1:59" ht="58" x14ac:dyDescent="0.35">
      <c r="A338" s="2" t="s">
        <v>59</v>
      </c>
      <c r="B338" s="2" t="s">
        <v>94</v>
      </c>
      <c r="C338" s="2" t="s">
        <v>3618</v>
      </c>
      <c r="D338" s="2" t="s">
        <v>3619</v>
      </c>
      <c r="E338" s="2" t="s">
        <v>3620</v>
      </c>
      <c r="G338" s="3" t="s">
        <v>64</v>
      </c>
      <c r="I338" s="3" t="s">
        <v>64</v>
      </c>
      <c r="J338" s="3" t="s">
        <v>64</v>
      </c>
      <c r="K338" s="3" t="s">
        <v>65</v>
      </c>
      <c r="L338" s="2" t="s">
        <v>3621</v>
      </c>
      <c r="M338" s="2" t="s">
        <v>3622</v>
      </c>
      <c r="N338" s="3" t="s">
        <v>473</v>
      </c>
      <c r="P338" s="3" t="s">
        <v>69</v>
      </c>
      <c r="R338" s="3" t="s">
        <v>70</v>
      </c>
      <c r="S338" s="4">
        <v>11</v>
      </c>
      <c r="T338" s="4">
        <v>11</v>
      </c>
      <c r="U338" s="5" t="s">
        <v>3623</v>
      </c>
      <c r="V338" s="5" t="s">
        <v>3623</v>
      </c>
      <c r="W338" s="5" t="s">
        <v>72</v>
      </c>
      <c r="X338" s="5" t="s">
        <v>72</v>
      </c>
      <c r="Y338" s="4">
        <v>722</v>
      </c>
      <c r="Z338" s="4">
        <v>28</v>
      </c>
      <c r="AA338" s="4">
        <v>44</v>
      </c>
      <c r="AB338" s="4">
        <v>2</v>
      </c>
      <c r="AC338" s="4">
        <v>7</v>
      </c>
      <c r="AD338" s="4">
        <v>96</v>
      </c>
      <c r="AE338" s="4">
        <v>114</v>
      </c>
      <c r="AF338" s="4">
        <v>1</v>
      </c>
      <c r="AG338" s="4">
        <v>2</v>
      </c>
      <c r="AH338" s="4">
        <v>87</v>
      </c>
      <c r="AI338" s="4">
        <v>100</v>
      </c>
      <c r="AJ338" s="4">
        <v>10</v>
      </c>
      <c r="AK338" s="4">
        <v>13</v>
      </c>
      <c r="AL338" s="4">
        <v>48</v>
      </c>
      <c r="AM338" s="4">
        <v>54</v>
      </c>
      <c r="AN338" s="4">
        <v>0</v>
      </c>
      <c r="AO338" s="4">
        <v>0</v>
      </c>
      <c r="AP338" s="4">
        <v>14</v>
      </c>
      <c r="AQ338" s="4">
        <v>20</v>
      </c>
      <c r="AR338" s="3" t="s">
        <v>64</v>
      </c>
      <c r="AS338" s="3" t="s">
        <v>64</v>
      </c>
      <c r="AT338" s="3" t="s">
        <v>73</v>
      </c>
      <c r="AU338" s="6" t="str">
        <f>HYPERLINK("http://catalog.hathitrust.org/Record/002053654","HathiTrust Record")</f>
        <v>HathiTrust Record</v>
      </c>
      <c r="AV338" s="6" t="str">
        <f>HYPERLINK("http://mcgill.on.worldcat.org/oclc/20356932","Catalog Record")</f>
        <v>Catalog Record</v>
      </c>
      <c r="AW338" s="6" t="str">
        <f>HYPERLINK("http://www.worldcat.org/oclc/20356932","WorldCat Record")</f>
        <v>WorldCat Record</v>
      </c>
      <c r="AX338" s="3" t="s">
        <v>3624</v>
      </c>
      <c r="AY338" s="3" t="s">
        <v>3625</v>
      </c>
      <c r="AZ338" s="3" t="s">
        <v>3626</v>
      </c>
      <c r="BA338" s="3" t="s">
        <v>3626</v>
      </c>
      <c r="BB338" s="3" t="s">
        <v>3627</v>
      </c>
      <c r="BC338" s="3" t="s">
        <v>78</v>
      </c>
      <c r="BD338" s="3" t="s">
        <v>79</v>
      </c>
      <c r="BE338" s="3" t="s">
        <v>3628</v>
      </c>
      <c r="BF338" s="3" t="s">
        <v>3627</v>
      </c>
      <c r="BG338" s="3" t="s">
        <v>3629</v>
      </c>
    </row>
    <row r="339" spans="1:59" ht="58" x14ac:dyDescent="0.35">
      <c r="A339" s="2" t="s">
        <v>59</v>
      </c>
      <c r="B339" s="2" t="s">
        <v>94</v>
      </c>
      <c r="C339" s="2" t="s">
        <v>3630</v>
      </c>
      <c r="D339" s="2" t="s">
        <v>3631</v>
      </c>
      <c r="E339" s="2" t="s">
        <v>3632</v>
      </c>
      <c r="G339" s="3" t="s">
        <v>64</v>
      </c>
      <c r="I339" s="3" t="s">
        <v>64</v>
      </c>
      <c r="J339" s="3" t="s">
        <v>64</v>
      </c>
      <c r="K339" s="3" t="s">
        <v>65</v>
      </c>
      <c r="M339" s="2" t="s">
        <v>3633</v>
      </c>
      <c r="N339" s="3" t="s">
        <v>328</v>
      </c>
      <c r="P339" s="3" t="s">
        <v>69</v>
      </c>
      <c r="R339" s="3" t="s">
        <v>70</v>
      </c>
      <c r="S339" s="4">
        <v>1</v>
      </c>
      <c r="T339" s="4">
        <v>1</v>
      </c>
      <c r="U339" s="5" t="s">
        <v>3611</v>
      </c>
      <c r="V339" s="5" t="s">
        <v>3611</v>
      </c>
      <c r="W339" s="5" t="s">
        <v>72</v>
      </c>
      <c r="X339" s="5" t="s">
        <v>72</v>
      </c>
      <c r="Y339" s="4">
        <v>82</v>
      </c>
      <c r="Z339" s="4">
        <v>5</v>
      </c>
      <c r="AA339" s="4">
        <v>8</v>
      </c>
      <c r="AB339" s="4">
        <v>1</v>
      </c>
      <c r="AC339" s="4">
        <v>1</v>
      </c>
      <c r="AD339" s="4">
        <v>35</v>
      </c>
      <c r="AE339" s="4">
        <v>46</v>
      </c>
      <c r="AF339" s="4">
        <v>0</v>
      </c>
      <c r="AG339" s="4">
        <v>0</v>
      </c>
      <c r="AH339" s="4">
        <v>33</v>
      </c>
      <c r="AI339" s="4">
        <v>43</v>
      </c>
      <c r="AJ339" s="4">
        <v>2</v>
      </c>
      <c r="AK339" s="4">
        <v>4</v>
      </c>
      <c r="AL339" s="4">
        <v>23</v>
      </c>
      <c r="AM339" s="4">
        <v>30</v>
      </c>
      <c r="AN339" s="4">
        <v>0</v>
      </c>
      <c r="AO339" s="4">
        <v>0</v>
      </c>
      <c r="AP339" s="4">
        <v>2</v>
      </c>
      <c r="AQ339" s="4">
        <v>4</v>
      </c>
      <c r="AR339" s="3" t="s">
        <v>64</v>
      </c>
      <c r="AS339" s="3" t="s">
        <v>64</v>
      </c>
      <c r="AT339" s="3" t="s">
        <v>64</v>
      </c>
      <c r="AV339" s="6" t="str">
        <f>HYPERLINK("http://mcgill.on.worldcat.org/oclc/723142940","Catalog Record")</f>
        <v>Catalog Record</v>
      </c>
      <c r="AW339" s="6" t="str">
        <f>HYPERLINK("http://www.worldcat.org/oclc/723142940","WorldCat Record")</f>
        <v>WorldCat Record</v>
      </c>
      <c r="AX339" s="3" t="s">
        <v>3634</v>
      </c>
      <c r="AY339" s="3" t="s">
        <v>3635</v>
      </c>
      <c r="AZ339" s="3" t="s">
        <v>3636</v>
      </c>
      <c r="BA339" s="3" t="s">
        <v>3636</v>
      </c>
      <c r="BB339" s="3" t="s">
        <v>3637</v>
      </c>
      <c r="BC339" s="3" t="s">
        <v>78</v>
      </c>
      <c r="BD339" s="3" t="s">
        <v>79</v>
      </c>
      <c r="BE339" s="3" t="s">
        <v>3638</v>
      </c>
      <c r="BF339" s="3" t="s">
        <v>3637</v>
      </c>
      <c r="BG339" s="3" t="s">
        <v>3639</v>
      </c>
    </row>
    <row r="340" spans="1:59" ht="58" x14ac:dyDescent="0.35">
      <c r="A340" s="2" t="s">
        <v>59</v>
      </c>
      <c r="B340" s="2" t="s">
        <v>94</v>
      </c>
      <c r="C340" s="2" t="s">
        <v>3640</v>
      </c>
      <c r="D340" s="2" t="s">
        <v>3641</v>
      </c>
      <c r="E340" s="2" t="s">
        <v>3642</v>
      </c>
      <c r="F340" s="3" t="s">
        <v>388</v>
      </c>
      <c r="G340" s="3" t="s">
        <v>73</v>
      </c>
      <c r="I340" s="3" t="s">
        <v>64</v>
      </c>
      <c r="J340" s="3" t="s">
        <v>64</v>
      </c>
      <c r="K340" s="3" t="s">
        <v>65</v>
      </c>
      <c r="L340" s="2" t="s">
        <v>3643</v>
      </c>
      <c r="M340" s="2" t="s">
        <v>3644</v>
      </c>
      <c r="N340" s="3" t="s">
        <v>473</v>
      </c>
      <c r="P340" s="3" t="s">
        <v>69</v>
      </c>
      <c r="R340" s="3" t="s">
        <v>70</v>
      </c>
      <c r="S340" s="4">
        <v>9</v>
      </c>
      <c r="T340" s="4">
        <v>41</v>
      </c>
      <c r="U340" s="5" t="s">
        <v>3645</v>
      </c>
      <c r="V340" s="5" t="s">
        <v>3646</v>
      </c>
      <c r="W340" s="5" t="s">
        <v>72</v>
      </c>
      <c r="X340" s="5" t="s">
        <v>72</v>
      </c>
      <c r="Y340" s="4">
        <v>615</v>
      </c>
      <c r="Z340" s="4">
        <v>29</v>
      </c>
      <c r="AA340" s="4">
        <v>29</v>
      </c>
      <c r="AB340" s="4">
        <v>1</v>
      </c>
      <c r="AC340" s="4">
        <v>1</v>
      </c>
      <c r="AD340" s="4">
        <v>112</v>
      </c>
      <c r="AE340" s="4">
        <v>112</v>
      </c>
      <c r="AF340" s="4">
        <v>0</v>
      </c>
      <c r="AG340" s="4">
        <v>0</v>
      </c>
      <c r="AH340" s="4">
        <v>98</v>
      </c>
      <c r="AI340" s="4">
        <v>98</v>
      </c>
      <c r="AJ340" s="4">
        <v>11</v>
      </c>
      <c r="AK340" s="4">
        <v>11</v>
      </c>
      <c r="AL340" s="4">
        <v>57</v>
      </c>
      <c r="AM340" s="4">
        <v>57</v>
      </c>
      <c r="AN340" s="4">
        <v>0</v>
      </c>
      <c r="AO340" s="4">
        <v>0</v>
      </c>
      <c r="AP340" s="4">
        <v>18</v>
      </c>
      <c r="AQ340" s="4">
        <v>18</v>
      </c>
      <c r="AR340" s="3" t="s">
        <v>64</v>
      </c>
      <c r="AS340" s="3" t="s">
        <v>64</v>
      </c>
      <c r="AT340" s="3" t="s">
        <v>73</v>
      </c>
      <c r="AU340" s="6" t="str">
        <f>HYPERLINK("http://catalog.hathitrust.org/Record/002053247","HathiTrust Record")</f>
        <v>HathiTrust Record</v>
      </c>
      <c r="AV340" s="6" t="str">
        <f>HYPERLINK("http://mcgill.on.worldcat.org/oclc/20098796","Catalog Record")</f>
        <v>Catalog Record</v>
      </c>
      <c r="AW340" s="6" t="str">
        <f>HYPERLINK("http://www.worldcat.org/oclc/20098796","WorldCat Record")</f>
        <v>WorldCat Record</v>
      </c>
      <c r="AX340" s="3" t="s">
        <v>3647</v>
      </c>
      <c r="AY340" s="3" t="s">
        <v>3648</v>
      </c>
      <c r="AZ340" s="3" t="s">
        <v>3649</v>
      </c>
      <c r="BA340" s="3" t="s">
        <v>3649</v>
      </c>
      <c r="BB340" s="3" t="s">
        <v>3650</v>
      </c>
      <c r="BC340" s="3" t="s">
        <v>78</v>
      </c>
      <c r="BD340" s="3" t="s">
        <v>79</v>
      </c>
      <c r="BE340" s="3" t="s">
        <v>3651</v>
      </c>
      <c r="BF340" s="3" t="s">
        <v>3650</v>
      </c>
      <c r="BG340" s="3" t="s">
        <v>3652</v>
      </c>
    </row>
    <row r="341" spans="1:59" ht="58" x14ac:dyDescent="0.35">
      <c r="A341" s="2" t="s">
        <v>59</v>
      </c>
      <c r="B341" s="2" t="s">
        <v>94</v>
      </c>
      <c r="C341" s="2" t="s">
        <v>3640</v>
      </c>
      <c r="D341" s="2" t="s">
        <v>3641</v>
      </c>
      <c r="E341" s="2" t="s">
        <v>3642</v>
      </c>
      <c r="F341" s="3" t="s">
        <v>3653</v>
      </c>
      <c r="G341" s="3" t="s">
        <v>73</v>
      </c>
      <c r="I341" s="3" t="s">
        <v>64</v>
      </c>
      <c r="J341" s="3" t="s">
        <v>64</v>
      </c>
      <c r="K341" s="3" t="s">
        <v>65</v>
      </c>
      <c r="L341" s="2" t="s">
        <v>3643</v>
      </c>
      <c r="M341" s="2" t="s">
        <v>3644</v>
      </c>
      <c r="N341" s="3" t="s">
        <v>473</v>
      </c>
      <c r="P341" s="3" t="s">
        <v>69</v>
      </c>
      <c r="R341" s="3" t="s">
        <v>70</v>
      </c>
      <c r="S341" s="4">
        <v>9</v>
      </c>
      <c r="T341" s="4">
        <v>41</v>
      </c>
      <c r="U341" s="5" t="s">
        <v>3654</v>
      </c>
      <c r="V341" s="5" t="s">
        <v>3646</v>
      </c>
      <c r="W341" s="5" t="s">
        <v>72</v>
      </c>
      <c r="X341" s="5" t="s">
        <v>72</v>
      </c>
      <c r="Y341" s="4">
        <v>615</v>
      </c>
      <c r="Z341" s="4">
        <v>29</v>
      </c>
      <c r="AA341" s="4">
        <v>29</v>
      </c>
      <c r="AB341" s="4">
        <v>1</v>
      </c>
      <c r="AC341" s="4">
        <v>1</v>
      </c>
      <c r="AD341" s="4">
        <v>112</v>
      </c>
      <c r="AE341" s="4">
        <v>112</v>
      </c>
      <c r="AF341" s="4">
        <v>0</v>
      </c>
      <c r="AG341" s="4">
        <v>0</v>
      </c>
      <c r="AH341" s="4">
        <v>98</v>
      </c>
      <c r="AI341" s="4">
        <v>98</v>
      </c>
      <c r="AJ341" s="4">
        <v>11</v>
      </c>
      <c r="AK341" s="4">
        <v>11</v>
      </c>
      <c r="AL341" s="4">
        <v>57</v>
      </c>
      <c r="AM341" s="4">
        <v>57</v>
      </c>
      <c r="AN341" s="4">
        <v>0</v>
      </c>
      <c r="AO341" s="4">
        <v>0</v>
      </c>
      <c r="AP341" s="4">
        <v>18</v>
      </c>
      <c r="AQ341" s="4">
        <v>18</v>
      </c>
      <c r="AR341" s="3" t="s">
        <v>64</v>
      </c>
      <c r="AS341" s="3" t="s">
        <v>64</v>
      </c>
      <c r="AT341" s="3" t="s">
        <v>73</v>
      </c>
      <c r="AU341" s="6" t="str">
        <f>HYPERLINK("http://catalog.hathitrust.org/Record/002053247","HathiTrust Record")</f>
        <v>HathiTrust Record</v>
      </c>
      <c r="AV341" s="6" t="str">
        <f>HYPERLINK("http://mcgill.on.worldcat.org/oclc/20098796","Catalog Record")</f>
        <v>Catalog Record</v>
      </c>
      <c r="AW341" s="6" t="str">
        <f>HYPERLINK("http://www.worldcat.org/oclc/20098796","WorldCat Record")</f>
        <v>WorldCat Record</v>
      </c>
      <c r="AX341" s="3" t="s">
        <v>3647</v>
      </c>
      <c r="AY341" s="3" t="s">
        <v>3648</v>
      </c>
      <c r="AZ341" s="3" t="s">
        <v>3649</v>
      </c>
      <c r="BA341" s="3" t="s">
        <v>3649</v>
      </c>
      <c r="BB341" s="3" t="s">
        <v>3655</v>
      </c>
      <c r="BC341" s="3" t="s">
        <v>78</v>
      </c>
      <c r="BD341" s="3" t="s">
        <v>79</v>
      </c>
      <c r="BE341" s="3" t="s">
        <v>3651</v>
      </c>
      <c r="BF341" s="3" t="s">
        <v>3655</v>
      </c>
      <c r="BG341" s="3" t="s">
        <v>3656</v>
      </c>
    </row>
    <row r="342" spans="1:59" ht="58" x14ac:dyDescent="0.35">
      <c r="A342" s="2" t="s">
        <v>59</v>
      </c>
      <c r="B342" s="2" t="s">
        <v>94</v>
      </c>
      <c r="C342" s="2" t="s">
        <v>3640</v>
      </c>
      <c r="D342" s="2" t="s">
        <v>3641</v>
      </c>
      <c r="E342" s="2" t="s">
        <v>3642</v>
      </c>
      <c r="F342" s="3" t="s">
        <v>399</v>
      </c>
      <c r="G342" s="3" t="s">
        <v>73</v>
      </c>
      <c r="I342" s="3" t="s">
        <v>64</v>
      </c>
      <c r="J342" s="3" t="s">
        <v>64</v>
      </c>
      <c r="K342" s="3" t="s">
        <v>65</v>
      </c>
      <c r="L342" s="2" t="s">
        <v>3643</v>
      </c>
      <c r="M342" s="2" t="s">
        <v>3644</v>
      </c>
      <c r="N342" s="3" t="s">
        <v>473</v>
      </c>
      <c r="P342" s="3" t="s">
        <v>69</v>
      </c>
      <c r="R342" s="3" t="s">
        <v>70</v>
      </c>
      <c r="S342" s="4">
        <v>9</v>
      </c>
      <c r="T342" s="4">
        <v>41</v>
      </c>
      <c r="U342" s="5" t="s">
        <v>3657</v>
      </c>
      <c r="V342" s="5" t="s">
        <v>3646</v>
      </c>
      <c r="W342" s="5" t="s">
        <v>72</v>
      </c>
      <c r="X342" s="5" t="s">
        <v>72</v>
      </c>
      <c r="Y342" s="4">
        <v>615</v>
      </c>
      <c r="Z342" s="4">
        <v>29</v>
      </c>
      <c r="AA342" s="4">
        <v>29</v>
      </c>
      <c r="AB342" s="4">
        <v>1</v>
      </c>
      <c r="AC342" s="4">
        <v>1</v>
      </c>
      <c r="AD342" s="4">
        <v>112</v>
      </c>
      <c r="AE342" s="4">
        <v>112</v>
      </c>
      <c r="AF342" s="4">
        <v>0</v>
      </c>
      <c r="AG342" s="4">
        <v>0</v>
      </c>
      <c r="AH342" s="4">
        <v>98</v>
      </c>
      <c r="AI342" s="4">
        <v>98</v>
      </c>
      <c r="AJ342" s="4">
        <v>11</v>
      </c>
      <c r="AK342" s="4">
        <v>11</v>
      </c>
      <c r="AL342" s="4">
        <v>57</v>
      </c>
      <c r="AM342" s="4">
        <v>57</v>
      </c>
      <c r="AN342" s="4">
        <v>0</v>
      </c>
      <c r="AO342" s="4">
        <v>0</v>
      </c>
      <c r="AP342" s="4">
        <v>18</v>
      </c>
      <c r="AQ342" s="4">
        <v>18</v>
      </c>
      <c r="AR342" s="3" t="s">
        <v>64</v>
      </c>
      <c r="AS342" s="3" t="s">
        <v>64</v>
      </c>
      <c r="AT342" s="3" t="s">
        <v>73</v>
      </c>
      <c r="AU342" s="6" t="str">
        <f>HYPERLINK("http://catalog.hathitrust.org/Record/002053247","HathiTrust Record")</f>
        <v>HathiTrust Record</v>
      </c>
      <c r="AV342" s="6" t="str">
        <f>HYPERLINK("http://mcgill.on.worldcat.org/oclc/20098796","Catalog Record")</f>
        <v>Catalog Record</v>
      </c>
      <c r="AW342" s="6" t="str">
        <f>HYPERLINK("http://www.worldcat.org/oclc/20098796","WorldCat Record")</f>
        <v>WorldCat Record</v>
      </c>
      <c r="AX342" s="3" t="s">
        <v>3647</v>
      </c>
      <c r="AY342" s="3" t="s">
        <v>3648</v>
      </c>
      <c r="AZ342" s="3" t="s">
        <v>3649</v>
      </c>
      <c r="BA342" s="3" t="s">
        <v>3649</v>
      </c>
      <c r="BB342" s="3" t="s">
        <v>3658</v>
      </c>
      <c r="BC342" s="3" t="s">
        <v>78</v>
      </c>
      <c r="BD342" s="3" t="s">
        <v>79</v>
      </c>
      <c r="BE342" s="3" t="s">
        <v>3651</v>
      </c>
      <c r="BF342" s="3" t="s">
        <v>3658</v>
      </c>
      <c r="BG342" s="3" t="s">
        <v>3659</v>
      </c>
    </row>
    <row r="343" spans="1:59" ht="58" x14ac:dyDescent="0.35">
      <c r="A343" s="2" t="s">
        <v>59</v>
      </c>
      <c r="B343" s="2" t="s">
        <v>94</v>
      </c>
      <c r="C343" s="2" t="s">
        <v>3640</v>
      </c>
      <c r="D343" s="2" t="s">
        <v>3641</v>
      </c>
      <c r="E343" s="2" t="s">
        <v>3642</v>
      </c>
      <c r="F343" s="3" t="s">
        <v>3660</v>
      </c>
      <c r="G343" s="3" t="s">
        <v>73</v>
      </c>
      <c r="I343" s="3" t="s">
        <v>64</v>
      </c>
      <c r="J343" s="3" t="s">
        <v>64</v>
      </c>
      <c r="K343" s="3" t="s">
        <v>65</v>
      </c>
      <c r="L343" s="2" t="s">
        <v>3643</v>
      </c>
      <c r="M343" s="2" t="s">
        <v>3644</v>
      </c>
      <c r="N343" s="3" t="s">
        <v>473</v>
      </c>
      <c r="P343" s="3" t="s">
        <v>69</v>
      </c>
      <c r="R343" s="3" t="s">
        <v>70</v>
      </c>
      <c r="S343" s="4">
        <v>14</v>
      </c>
      <c r="T343" s="4">
        <v>41</v>
      </c>
      <c r="U343" s="5" t="s">
        <v>3646</v>
      </c>
      <c r="V343" s="5" t="s">
        <v>3646</v>
      </c>
      <c r="W343" s="5" t="s">
        <v>72</v>
      </c>
      <c r="X343" s="5" t="s">
        <v>72</v>
      </c>
      <c r="Y343" s="4">
        <v>615</v>
      </c>
      <c r="Z343" s="4">
        <v>29</v>
      </c>
      <c r="AA343" s="4">
        <v>29</v>
      </c>
      <c r="AB343" s="4">
        <v>1</v>
      </c>
      <c r="AC343" s="4">
        <v>1</v>
      </c>
      <c r="AD343" s="4">
        <v>112</v>
      </c>
      <c r="AE343" s="4">
        <v>112</v>
      </c>
      <c r="AF343" s="4">
        <v>0</v>
      </c>
      <c r="AG343" s="4">
        <v>0</v>
      </c>
      <c r="AH343" s="4">
        <v>98</v>
      </c>
      <c r="AI343" s="4">
        <v>98</v>
      </c>
      <c r="AJ343" s="4">
        <v>11</v>
      </c>
      <c r="AK343" s="4">
        <v>11</v>
      </c>
      <c r="AL343" s="4">
        <v>57</v>
      </c>
      <c r="AM343" s="4">
        <v>57</v>
      </c>
      <c r="AN343" s="4">
        <v>0</v>
      </c>
      <c r="AO343" s="4">
        <v>0</v>
      </c>
      <c r="AP343" s="4">
        <v>18</v>
      </c>
      <c r="AQ343" s="4">
        <v>18</v>
      </c>
      <c r="AR343" s="3" t="s">
        <v>64</v>
      </c>
      <c r="AS343" s="3" t="s">
        <v>64</v>
      </c>
      <c r="AT343" s="3" t="s">
        <v>73</v>
      </c>
      <c r="AU343" s="6" t="str">
        <f>HYPERLINK("http://catalog.hathitrust.org/Record/002053247","HathiTrust Record")</f>
        <v>HathiTrust Record</v>
      </c>
      <c r="AV343" s="6" t="str">
        <f>HYPERLINK("http://mcgill.on.worldcat.org/oclc/20098796","Catalog Record")</f>
        <v>Catalog Record</v>
      </c>
      <c r="AW343" s="6" t="str">
        <f>HYPERLINK("http://www.worldcat.org/oclc/20098796","WorldCat Record")</f>
        <v>WorldCat Record</v>
      </c>
      <c r="AX343" s="3" t="s">
        <v>3647</v>
      </c>
      <c r="AY343" s="3" t="s">
        <v>3648</v>
      </c>
      <c r="AZ343" s="3" t="s">
        <v>3649</v>
      </c>
      <c r="BA343" s="3" t="s">
        <v>3649</v>
      </c>
      <c r="BB343" s="3" t="s">
        <v>3661</v>
      </c>
      <c r="BC343" s="3" t="s">
        <v>78</v>
      </c>
      <c r="BD343" s="3" t="s">
        <v>79</v>
      </c>
      <c r="BE343" s="3" t="s">
        <v>3651</v>
      </c>
      <c r="BF343" s="3" t="s">
        <v>3661</v>
      </c>
      <c r="BG343" s="3" t="s">
        <v>3662</v>
      </c>
    </row>
    <row r="344" spans="1:59" ht="58" x14ac:dyDescent="0.35">
      <c r="A344" s="2" t="s">
        <v>59</v>
      </c>
      <c r="B344" s="2" t="s">
        <v>94</v>
      </c>
      <c r="C344" s="2" t="s">
        <v>3663</v>
      </c>
      <c r="D344" s="2" t="s">
        <v>3664</v>
      </c>
      <c r="E344" s="2" t="s">
        <v>3665</v>
      </c>
      <c r="G344" s="3" t="s">
        <v>64</v>
      </c>
      <c r="I344" s="3" t="s">
        <v>64</v>
      </c>
      <c r="J344" s="3" t="s">
        <v>64</v>
      </c>
      <c r="K344" s="3" t="s">
        <v>65</v>
      </c>
      <c r="L344" s="2" t="s">
        <v>3666</v>
      </c>
      <c r="M344" s="2" t="s">
        <v>3667</v>
      </c>
      <c r="N344" s="3" t="s">
        <v>214</v>
      </c>
      <c r="P344" s="3" t="s">
        <v>69</v>
      </c>
      <c r="R344" s="3" t="s">
        <v>70</v>
      </c>
      <c r="S344" s="4">
        <v>2</v>
      </c>
      <c r="T344" s="4">
        <v>2</v>
      </c>
      <c r="U344" s="5" t="s">
        <v>3611</v>
      </c>
      <c r="V344" s="5" t="s">
        <v>3611</v>
      </c>
      <c r="W344" s="5" t="s">
        <v>72</v>
      </c>
      <c r="X344" s="5" t="s">
        <v>72</v>
      </c>
      <c r="Y344" s="4">
        <v>204</v>
      </c>
      <c r="Z344" s="4">
        <v>12</v>
      </c>
      <c r="AA344" s="4">
        <v>105</v>
      </c>
      <c r="AB344" s="4">
        <v>2</v>
      </c>
      <c r="AC344" s="4">
        <v>19</v>
      </c>
      <c r="AD344" s="4">
        <v>67</v>
      </c>
      <c r="AE344" s="4">
        <v>135</v>
      </c>
      <c r="AF344" s="4">
        <v>1</v>
      </c>
      <c r="AG344" s="4">
        <v>8</v>
      </c>
      <c r="AH344" s="4">
        <v>62</v>
      </c>
      <c r="AI344" s="4">
        <v>100</v>
      </c>
      <c r="AJ344" s="4">
        <v>5</v>
      </c>
      <c r="AK344" s="4">
        <v>22</v>
      </c>
      <c r="AL344" s="4">
        <v>40</v>
      </c>
      <c r="AM344" s="4">
        <v>54</v>
      </c>
      <c r="AN344" s="4">
        <v>0</v>
      </c>
      <c r="AO344" s="4">
        <v>0</v>
      </c>
      <c r="AP344" s="4">
        <v>7</v>
      </c>
      <c r="AQ344" s="4">
        <v>43</v>
      </c>
      <c r="AR344" s="3" t="s">
        <v>64</v>
      </c>
      <c r="AS344" s="3" t="s">
        <v>64</v>
      </c>
      <c r="AT344" s="3" t="s">
        <v>64</v>
      </c>
      <c r="AV344" s="6" t="str">
        <f>HYPERLINK("http://mcgill.on.worldcat.org/oclc/459210324","Catalog Record")</f>
        <v>Catalog Record</v>
      </c>
      <c r="AW344" s="6" t="str">
        <f>HYPERLINK("http://www.worldcat.org/oclc/459210324","WorldCat Record")</f>
        <v>WorldCat Record</v>
      </c>
      <c r="AX344" s="3" t="s">
        <v>3668</v>
      </c>
      <c r="AY344" s="3" t="s">
        <v>3669</v>
      </c>
      <c r="AZ344" s="3" t="s">
        <v>3670</v>
      </c>
      <c r="BA344" s="3" t="s">
        <v>3670</v>
      </c>
      <c r="BB344" s="3" t="s">
        <v>3671</v>
      </c>
      <c r="BC344" s="3" t="s">
        <v>78</v>
      </c>
      <c r="BD344" s="3" t="s">
        <v>79</v>
      </c>
      <c r="BE344" s="3" t="s">
        <v>3672</v>
      </c>
      <c r="BF344" s="3" t="s">
        <v>3671</v>
      </c>
      <c r="BG344" s="3" t="s">
        <v>3673</v>
      </c>
    </row>
    <row r="345" spans="1:59" ht="58" x14ac:dyDescent="0.35">
      <c r="A345" s="2" t="s">
        <v>59</v>
      </c>
      <c r="B345" s="2" t="s">
        <v>94</v>
      </c>
      <c r="C345" s="2" t="s">
        <v>3674</v>
      </c>
      <c r="D345" s="2" t="s">
        <v>3675</v>
      </c>
      <c r="E345" s="2" t="s">
        <v>3676</v>
      </c>
      <c r="G345" s="3" t="s">
        <v>64</v>
      </c>
      <c r="I345" s="3" t="s">
        <v>64</v>
      </c>
      <c r="J345" s="3" t="s">
        <v>64</v>
      </c>
      <c r="K345" s="3" t="s">
        <v>65</v>
      </c>
      <c r="L345" s="2" t="s">
        <v>3677</v>
      </c>
      <c r="M345" s="2" t="s">
        <v>3678</v>
      </c>
      <c r="N345" s="3" t="s">
        <v>226</v>
      </c>
      <c r="P345" s="3" t="s">
        <v>69</v>
      </c>
      <c r="R345" s="3" t="s">
        <v>70</v>
      </c>
      <c r="S345" s="4">
        <v>9</v>
      </c>
      <c r="T345" s="4">
        <v>9</v>
      </c>
      <c r="U345" s="5" t="s">
        <v>897</v>
      </c>
      <c r="V345" s="5" t="s">
        <v>897</v>
      </c>
      <c r="W345" s="5" t="s">
        <v>72</v>
      </c>
      <c r="X345" s="5" t="s">
        <v>72</v>
      </c>
      <c r="Y345" s="4">
        <v>827</v>
      </c>
      <c r="Z345" s="4">
        <v>27</v>
      </c>
      <c r="AA345" s="4">
        <v>43</v>
      </c>
      <c r="AB345" s="4">
        <v>2</v>
      </c>
      <c r="AC345" s="4">
        <v>3</v>
      </c>
      <c r="AD345" s="4">
        <v>99</v>
      </c>
      <c r="AE345" s="4">
        <v>113</v>
      </c>
      <c r="AF345" s="4">
        <v>1</v>
      </c>
      <c r="AG345" s="4">
        <v>1</v>
      </c>
      <c r="AH345" s="4">
        <v>88</v>
      </c>
      <c r="AI345" s="4">
        <v>94</v>
      </c>
      <c r="AJ345" s="4">
        <v>12</v>
      </c>
      <c r="AK345" s="4">
        <v>16</v>
      </c>
      <c r="AL345" s="4">
        <v>50</v>
      </c>
      <c r="AM345" s="4">
        <v>52</v>
      </c>
      <c r="AN345" s="4">
        <v>0</v>
      </c>
      <c r="AO345" s="4">
        <v>0</v>
      </c>
      <c r="AP345" s="4">
        <v>15</v>
      </c>
      <c r="AQ345" s="4">
        <v>25</v>
      </c>
      <c r="AR345" s="3" t="s">
        <v>64</v>
      </c>
      <c r="AS345" s="3" t="s">
        <v>64</v>
      </c>
      <c r="AT345" s="3" t="s">
        <v>64</v>
      </c>
      <c r="AV345" s="6" t="str">
        <f>HYPERLINK("http://mcgill.on.worldcat.org/oclc/34906174","Catalog Record")</f>
        <v>Catalog Record</v>
      </c>
      <c r="AW345" s="6" t="str">
        <f>HYPERLINK("http://www.worldcat.org/oclc/34906174","WorldCat Record")</f>
        <v>WorldCat Record</v>
      </c>
      <c r="AX345" s="3" t="s">
        <v>3679</v>
      </c>
      <c r="AY345" s="3" t="s">
        <v>3680</v>
      </c>
      <c r="AZ345" s="3" t="s">
        <v>3681</v>
      </c>
      <c r="BA345" s="3" t="s">
        <v>3681</v>
      </c>
      <c r="BB345" s="3" t="s">
        <v>3682</v>
      </c>
      <c r="BC345" s="3" t="s">
        <v>78</v>
      </c>
      <c r="BD345" s="3" t="s">
        <v>79</v>
      </c>
      <c r="BE345" s="3" t="s">
        <v>3683</v>
      </c>
      <c r="BF345" s="3" t="s">
        <v>3682</v>
      </c>
      <c r="BG345" s="3" t="s">
        <v>3684</v>
      </c>
    </row>
    <row r="346" spans="1:59" ht="58" x14ac:dyDescent="0.35">
      <c r="A346" s="2" t="s">
        <v>59</v>
      </c>
      <c r="B346" s="2" t="s">
        <v>94</v>
      </c>
      <c r="C346" s="2" t="s">
        <v>3685</v>
      </c>
      <c r="D346" s="2" t="s">
        <v>3686</v>
      </c>
      <c r="E346" s="2" t="s">
        <v>3687</v>
      </c>
      <c r="F346" s="3" t="s">
        <v>399</v>
      </c>
      <c r="G346" s="3" t="s">
        <v>73</v>
      </c>
      <c r="I346" s="3" t="s">
        <v>64</v>
      </c>
      <c r="J346" s="3" t="s">
        <v>64</v>
      </c>
      <c r="K346" s="3" t="s">
        <v>65</v>
      </c>
      <c r="M346" s="2" t="s">
        <v>3688</v>
      </c>
      <c r="N346" s="3" t="s">
        <v>315</v>
      </c>
      <c r="P346" s="3" t="s">
        <v>69</v>
      </c>
      <c r="Q346" s="2" t="s">
        <v>3689</v>
      </c>
      <c r="R346" s="3" t="s">
        <v>70</v>
      </c>
      <c r="S346" s="4">
        <v>19</v>
      </c>
      <c r="T346" s="4">
        <v>54</v>
      </c>
      <c r="U346" s="5" t="s">
        <v>3690</v>
      </c>
      <c r="V346" s="5" t="s">
        <v>3690</v>
      </c>
      <c r="W346" s="5" t="s">
        <v>72</v>
      </c>
      <c r="X346" s="5" t="s">
        <v>72</v>
      </c>
      <c r="Y346" s="4">
        <v>102</v>
      </c>
      <c r="Z346" s="4">
        <v>15</v>
      </c>
      <c r="AA346" s="4">
        <v>17</v>
      </c>
      <c r="AB346" s="4">
        <v>1</v>
      </c>
      <c r="AC346" s="4">
        <v>1</v>
      </c>
      <c r="AD346" s="4">
        <v>30</v>
      </c>
      <c r="AE346" s="4">
        <v>46</v>
      </c>
      <c r="AF346" s="4">
        <v>0</v>
      </c>
      <c r="AG346" s="4">
        <v>0</v>
      </c>
      <c r="AH346" s="4">
        <v>25</v>
      </c>
      <c r="AI346" s="4">
        <v>40</v>
      </c>
      <c r="AJ346" s="4">
        <v>7</v>
      </c>
      <c r="AK346" s="4">
        <v>8</v>
      </c>
      <c r="AL346" s="4">
        <v>13</v>
      </c>
      <c r="AM346" s="4">
        <v>23</v>
      </c>
      <c r="AN346" s="4">
        <v>0</v>
      </c>
      <c r="AO346" s="4">
        <v>0</v>
      </c>
      <c r="AP346" s="4">
        <v>9</v>
      </c>
      <c r="AQ346" s="4">
        <v>11</v>
      </c>
      <c r="AR346" s="3" t="s">
        <v>64</v>
      </c>
      <c r="AS346" s="3" t="s">
        <v>64</v>
      </c>
      <c r="AT346" s="3" t="s">
        <v>64</v>
      </c>
      <c r="AV346" s="6" t="str">
        <f>HYPERLINK("http://mcgill.on.worldcat.org/oclc/220072268","Catalog Record")</f>
        <v>Catalog Record</v>
      </c>
      <c r="AW346" s="6" t="str">
        <f>HYPERLINK("http://www.worldcat.org/oclc/220072268","WorldCat Record")</f>
        <v>WorldCat Record</v>
      </c>
      <c r="AX346" s="3" t="s">
        <v>3691</v>
      </c>
      <c r="AY346" s="3" t="s">
        <v>3692</v>
      </c>
      <c r="AZ346" s="3" t="s">
        <v>3693</v>
      </c>
      <c r="BA346" s="3" t="s">
        <v>3693</v>
      </c>
      <c r="BB346" s="3" t="s">
        <v>3694</v>
      </c>
      <c r="BC346" s="3" t="s">
        <v>78</v>
      </c>
      <c r="BD346" s="3" t="s">
        <v>79</v>
      </c>
      <c r="BE346" s="3" t="s">
        <v>3695</v>
      </c>
      <c r="BF346" s="3" t="s">
        <v>3694</v>
      </c>
      <c r="BG346" s="3" t="s">
        <v>3696</v>
      </c>
    </row>
    <row r="347" spans="1:59" ht="58" x14ac:dyDescent="0.35">
      <c r="A347" s="2" t="s">
        <v>59</v>
      </c>
      <c r="B347" s="2" t="s">
        <v>94</v>
      </c>
      <c r="C347" s="2" t="s">
        <v>3685</v>
      </c>
      <c r="D347" s="2" t="s">
        <v>3686</v>
      </c>
      <c r="E347" s="2" t="s">
        <v>3687</v>
      </c>
      <c r="F347" s="3" t="s">
        <v>388</v>
      </c>
      <c r="G347" s="3" t="s">
        <v>73</v>
      </c>
      <c r="I347" s="3" t="s">
        <v>64</v>
      </c>
      <c r="J347" s="3" t="s">
        <v>64</v>
      </c>
      <c r="K347" s="3" t="s">
        <v>65</v>
      </c>
      <c r="M347" s="2" t="s">
        <v>3688</v>
      </c>
      <c r="N347" s="3" t="s">
        <v>315</v>
      </c>
      <c r="P347" s="3" t="s">
        <v>69</v>
      </c>
      <c r="Q347" s="2" t="s">
        <v>3689</v>
      </c>
      <c r="R347" s="3" t="s">
        <v>70</v>
      </c>
      <c r="S347" s="4">
        <v>18</v>
      </c>
      <c r="T347" s="4">
        <v>54</v>
      </c>
      <c r="U347" s="5" t="s">
        <v>3697</v>
      </c>
      <c r="V347" s="5" t="s">
        <v>3690</v>
      </c>
      <c r="W347" s="5" t="s">
        <v>72</v>
      </c>
      <c r="X347" s="5" t="s">
        <v>72</v>
      </c>
      <c r="Y347" s="4">
        <v>102</v>
      </c>
      <c r="Z347" s="4">
        <v>15</v>
      </c>
      <c r="AA347" s="4">
        <v>17</v>
      </c>
      <c r="AB347" s="4">
        <v>1</v>
      </c>
      <c r="AC347" s="4">
        <v>1</v>
      </c>
      <c r="AD347" s="4">
        <v>30</v>
      </c>
      <c r="AE347" s="4">
        <v>46</v>
      </c>
      <c r="AF347" s="4">
        <v>0</v>
      </c>
      <c r="AG347" s="4">
        <v>0</v>
      </c>
      <c r="AH347" s="4">
        <v>25</v>
      </c>
      <c r="AI347" s="4">
        <v>40</v>
      </c>
      <c r="AJ347" s="4">
        <v>7</v>
      </c>
      <c r="AK347" s="4">
        <v>8</v>
      </c>
      <c r="AL347" s="4">
        <v>13</v>
      </c>
      <c r="AM347" s="4">
        <v>23</v>
      </c>
      <c r="AN347" s="4">
        <v>0</v>
      </c>
      <c r="AO347" s="4">
        <v>0</v>
      </c>
      <c r="AP347" s="4">
        <v>9</v>
      </c>
      <c r="AQ347" s="4">
        <v>11</v>
      </c>
      <c r="AR347" s="3" t="s">
        <v>64</v>
      </c>
      <c r="AS347" s="3" t="s">
        <v>64</v>
      </c>
      <c r="AT347" s="3" t="s">
        <v>64</v>
      </c>
      <c r="AV347" s="6" t="str">
        <f>HYPERLINK("http://mcgill.on.worldcat.org/oclc/220072268","Catalog Record")</f>
        <v>Catalog Record</v>
      </c>
      <c r="AW347" s="6" t="str">
        <f>HYPERLINK("http://www.worldcat.org/oclc/220072268","WorldCat Record")</f>
        <v>WorldCat Record</v>
      </c>
      <c r="AX347" s="3" t="s">
        <v>3691</v>
      </c>
      <c r="AY347" s="3" t="s">
        <v>3692</v>
      </c>
      <c r="AZ347" s="3" t="s">
        <v>3693</v>
      </c>
      <c r="BA347" s="3" t="s">
        <v>3693</v>
      </c>
      <c r="BB347" s="3" t="s">
        <v>3698</v>
      </c>
      <c r="BC347" s="3" t="s">
        <v>78</v>
      </c>
      <c r="BD347" s="3" t="s">
        <v>414</v>
      </c>
      <c r="BE347" s="3" t="s">
        <v>3695</v>
      </c>
      <c r="BF347" s="3" t="s">
        <v>3698</v>
      </c>
      <c r="BG347" s="3" t="s">
        <v>3699</v>
      </c>
    </row>
    <row r="348" spans="1:59" ht="58" x14ac:dyDescent="0.35">
      <c r="A348" s="2" t="s">
        <v>59</v>
      </c>
      <c r="B348" s="2" t="s">
        <v>94</v>
      </c>
      <c r="C348" s="2" t="s">
        <v>3685</v>
      </c>
      <c r="D348" s="2" t="s">
        <v>3686</v>
      </c>
      <c r="E348" s="2" t="s">
        <v>3687</v>
      </c>
      <c r="F348" s="3" t="s">
        <v>3660</v>
      </c>
      <c r="G348" s="3" t="s">
        <v>73</v>
      </c>
      <c r="I348" s="3" t="s">
        <v>64</v>
      </c>
      <c r="J348" s="3" t="s">
        <v>64</v>
      </c>
      <c r="K348" s="3" t="s">
        <v>65</v>
      </c>
      <c r="M348" s="2" t="s">
        <v>3688</v>
      </c>
      <c r="N348" s="3" t="s">
        <v>315</v>
      </c>
      <c r="P348" s="3" t="s">
        <v>69</v>
      </c>
      <c r="Q348" s="2" t="s">
        <v>3689</v>
      </c>
      <c r="R348" s="3" t="s">
        <v>70</v>
      </c>
      <c r="S348" s="4">
        <v>17</v>
      </c>
      <c r="T348" s="4">
        <v>54</v>
      </c>
      <c r="U348" s="5" t="s">
        <v>3700</v>
      </c>
      <c r="V348" s="5" t="s">
        <v>3690</v>
      </c>
      <c r="W348" s="5" t="s">
        <v>72</v>
      </c>
      <c r="X348" s="5" t="s">
        <v>72</v>
      </c>
      <c r="Y348" s="4">
        <v>102</v>
      </c>
      <c r="Z348" s="4">
        <v>15</v>
      </c>
      <c r="AA348" s="4">
        <v>17</v>
      </c>
      <c r="AB348" s="4">
        <v>1</v>
      </c>
      <c r="AC348" s="4">
        <v>1</v>
      </c>
      <c r="AD348" s="4">
        <v>30</v>
      </c>
      <c r="AE348" s="4">
        <v>46</v>
      </c>
      <c r="AF348" s="4">
        <v>0</v>
      </c>
      <c r="AG348" s="4">
        <v>0</v>
      </c>
      <c r="AH348" s="4">
        <v>25</v>
      </c>
      <c r="AI348" s="4">
        <v>40</v>
      </c>
      <c r="AJ348" s="4">
        <v>7</v>
      </c>
      <c r="AK348" s="4">
        <v>8</v>
      </c>
      <c r="AL348" s="4">
        <v>13</v>
      </c>
      <c r="AM348" s="4">
        <v>23</v>
      </c>
      <c r="AN348" s="4">
        <v>0</v>
      </c>
      <c r="AO348" s="4">
        <v>0</v>
      </c>
      <c r="AP348" s="4">
        <v>9</v>
      </c>
      <c r="AQ348" s="4">
        <v>11</v>
      </c>
      <c r="AR348" s="3" t="s">
        <v>64</v>
      </c>
      <c r="AS348" s="3" t="s">
        <v>64</v>
      </c>
      <c r="AT348" s="3" t="s">
        <v>64</v>
      </c>
      <c r="AV348" s="6" t="str">
        <f>HYPERLINK("http://mcgill.on.worldcat.org/oclc/220072268","Catalog Record")</f>
        <v>Catalog Record</v>
      </c>
      <c r="AW348" s="6" t="str">
        <f>HYPERLINK("http://www.worldcat.org/oclc/220072268","WorldCat Record")</f>
        <v>WorldCat Record</v>
      </c>
      <c r="AX348" s="3" t="s">
        <v>3691</v>
      </c>
      <c r="AY348" s="3" t="s">
        <v>3692</v>
      </c>
      <c r="AZ348" s="3" t="s">
        <v>3693</v>
      </c>
      <c r="BA348" s="3" t="s">
        <v>3693</v>
      </c>
      <c r="BB348" s="3" t="s">
        <v>3701</v>
      </c>
      <c r="BC348" s="3" t="s">
        <v>78</v>
      </c>
      <c r="BD348" s="3" t="s">
        <v>79</v>
      </c>
      <c r="BE348" s="3" t="s">
        <v>3695</v>
      </c>
      <c r="BF348" s="3" t="s">
        <v>3701</v>
      </c>
      <c r="BG348" s="3" t="s">
        <v>3702</v>
      </c>
    </row>
    <row r="349" spans="1:59" ht="58" x14ac:dyDescent="0.35">
      <c r="A349" s="2" t="s">
        <v>59</v>
      </c>
      <c r="B349" s="2" t="s">
        <v>94</v>
      </c>
      <c r="C349" s="2" t="s">
        <v>3703</v>
      </c>
      <c r="D349" s="2" t="s">
        <v>3704</v>
      </c>
      <c r="E349" s="2" t="s">
        <v>3705</v>
      </c>
      <c r="G349" s="3" t="s">
        <v>64</v>
      </c>
      <c r="I349" s="3" t="s">
        <v>64</v>
      </c>
      <c r="J349" s="3" t="s">
        <v>64</v>
      </c>
      <c r="K349" s="3" t="s">
        <v>65</v>
      </c>
      <c r="M349" s="2" t="s">
        <v>3495</v>
      </c>
      <c r="N349" s="3" t="s">
        <v>705</v>
      </c>
      <c r="P349" s="3" t="s">
        <v>69</v>
      </c>
      <c r="R349" s="3" t="s">
        <v>70</v>
      </c>
      <c r="S349" s="4">
        <v>9</v>
      </c>
      <c r="T349" s="4">
        <v>9</v>
      </c>
      <c r="U349" s="5" t="s">
        <v>3611</v>
      </c>
      <c r="V349" s="5" t="s">
        <v>3611</v>
      </c>
      <c r="W349" s="5" t="s">
        <v>72</v>
      </c>
      <c r="X349" s="5" t="s">
        <v>72</v>
      </c>
      <c r="Y349" s="4">
        <v>331</v>
      </c>
      <c r="Z349" s="4">
        <v>18</v>
      </c>
      <c r="AA349" s="4">
        <v>28</v>
      </c>
      <c r="AB349" s="4">
        <v>1</v>
      </c>
      <c r="AC349" s="4">
        <v>4</v>
      </c>
      <c r="AD349" s="4">
        <v>91</v>
      </c>
      <c r="AE349" s="4">
        <v>103</v>
      </c>
      <c r="AF349" s="4">
        <v>0</v>
      </c>
      <c r="AG349" s="4">
        <v>1</v>
      </c>
      <c r="AH349" s="4">
        <v>83</v>
      </c>
      <c r="AI349" s="4">
        <v>91</v>
      </c>
      <c r="AJ349" s="4">
        <v>10</v>
      </c>
      <c r="AK349" s="4">
        <v>14</v>
      </c>
      <c r="AL349" s="4">
        <v>51</v>
      </c>
      <c r="AM349" s="4">
        <v>51</v>
      </c>
      <c r="AN349" s="4">
        <v>0</v>
      </c>
      <c r="AO349" s="4">
        <v>0</v>
      </c>
      <c r="AP349" s="4">
        <v>13</v>
      </c>
      <c r="AQ349" s="4">
        <v>18</v>
      </c>
      <c r="AR349" s="3" t="s">
        <v>64</v>
      </c>
      <c r="AS349" s="3" t="s">
        <v>64</v>
      </c>
      <c r="AT349" s="3" t="s">
        <v>64</v>
      </c>
      <c r="AV349" s="6" t="str">
        <f>HYPERLINK("http://mcgill.on.worldcat.org/oclc/33334760","Catalog Record")</f>
        <v>Catalog Record</v>
      </c>
      <c r="AW349" s="6" t="str">
        <f>HYPERLINK("http://www.worldcat.org/oclc/33334760","WorldCat Record")</f>
        <v>WorldCat Record</v>
      </c>
      <c r="AX349" s="3" t="s">
        <v>3706</v>
      </c>
      <c r="AY349" s="3" t="s">
        <v>3707</v>
      </c>
      <c r="AZ349" s="3" t="s">
        <v>3708</v>
      </c>
      <c r="BA349" s="3" t="s">
        <v>3708</v>
      </c>
      <c r="BB349" s="3" t="s">
        <v>3709</v>
      </c>
      <c r="BC349" s="3" t="s">
        <v>78</v>
      </c>
      <c r="BD349" s="3" t="s">
        <v>79</v>
      </c>
      <c r="BE349" s="3" t="s">
        <v>3710</v>
      </c>
      <c r="BF349" s="3" t="s">
        <v>3709</v>
      </c>
      <c r="BG349" s="3" t="s">
        <v>3711</v>
      </c>
    </row>
    <row r="350" spans="1:59" ht="58" x14ac:dyDescent="0.35">
      <c r="A350" s="2" t="s">
        <v>59</v>
      </c>
      <c r="B350" s="2" t="s">
        <v>94</v>
      </c>
      <c r="C350" s="2" t="s">
        <v>3712</v>
      </c>
      <c r="D350" s="2" t="s">
        <v>3713</v>
      </c>
      <c r="E350" s="2" t="s">
        <v>3714</v>
      </c>
      <c r="F350" s="3" t="s">
        <v>388</v>
      </c>
      <c r="G350" s="3" t="s">
        <v>73</v>
      </c>
      <c r="I350" s="3" t="s">
        <v>64</v>
      </c>
      <c r="J350" s="3" t="s">
        <v>64</v>
      </c>
      <c r="K350" s="3" t="s">
        <v>65</v>
      </c>
      <c r="M350" s="2" t="s">
        <v>3715</v>
      </c>
      <c r="N350" s="3" t="s">
        <v>872</v>
      </c>
      <c r="P350" s="3" t="s">
        <v>69</v>
      </c>
      <c r="Q350" s="2" t="s">
        <v>3716</v>
      </c>
      <c r="R350" s="3" t="s">
        <v>70</v>
      </c>
      <c r="S350" s="4">
        <v>14</v>
      </c>
      <c r="T350" s="4">
        <v>28</v>
      </c>
      <c r="U350" s="5" t="s">
        <v>3611</v>
      </c>
      <c r="V350" s="5" t="s">
        <v>3611</v>
      </c>
      <c r="W350" s="5" t="s">
        <v>72</v>
      </c>
      <c r="X350" s="5" t="s">
        <v>72</v>
      </c>
      <c r="Y350" s="4">
        <v>3</v>
      </c>
      <c r="Z350" s="4">
        <v>1</v>
      </c>
      <c r="AA350" s="4">
        <v>14</v>
      </c>
      <c r="AB350" s="4">
        <v>1</v>
      </c>
      <c r="AC350" s="4">
        <v>2</v>
      </c>
      <c r="AD350" s="4">
        <v>0</v>
      </c>
      <c r="AE350" s="4">
        <v>74</v>
      </c>
      <c r="AF350" s="4">
        <v>0</v>
      </c>
      <c r="AG350" s="4">
        <v>1</v>
      </c>
      <c r="AH350" s="4">
        <v>0</v>
      </c>
      <c r="AI350" s="4">
        <v>65</v>
      </c>
      <c r="AJ350" s="4">
        <v>0</v>
      </c>
      <c r="AK350" s="4">
        <v>11</v>
      </c>
      <c r="AL350" s="4">
        <v>0</v>
      </c>
      <c r="AM350" s="4">
        <v>45</v>
      </c>
      <c r="AN350" s="4">
        <v>0</v>
      </c>
      <c r="AO350" s="4">
        <v>0</v>
      </c>
      <c r="AP350" s="4">
        <v>0</v>
      </c>
      <c r="AQ350" s="4">
        <v>11</v>
      </c>
      <c r="AR350" s="3" t="s">
        <v>64</v>
      </c>
      <c r="AS350" s="3" t="s">
        <v>64</v>
      </c>
      <c r="AT350" s="3" t="s">
        <v>73</v>
      </c>
      <c r="AU350" s="6" t="str">
        <f>HYPERLINK("http://catalog.hathitrust.org/Record/001529686","HathiTrust Record")</f>
        <v>HathiTrust Record</v>
      </c>
      <c r="AV350" s="6" t="str">
        <f>HYPERLINK("http://mcgill.on.worldcat.org/oclc/60076018","Catalog Record")</f>
        <v>Catalog Record</v>
      </c>
      <c r="AW350" s="6" t="str">
        <f>HYPERLINK("http://www.worldcat.org/oclc/60076018","WorldCat Record")</f>
        <v>WorldCat Record</v>
      </c>
      <c r="AX350" s="3" t="s">
        <v>3717</v>
      </c>
      <c r="AY350" s="3" t="s">
        <v>3718</v>
      </c>
      <c r="AZ350" s="3" t="s">
        <v>3719</v>
      </c>
      <c r="BA350" s="3" t="s">
        <v>3719</v>
      </c>
      <c r="BB350" s="3" t="s">
        <v>3720</v>
      </c>
      <c r="BC350" s="3" t="s">
        <v>78</v>
      </c>
      <c r="BD350" s="3" t="s">
        <v>79</v>
      </c>
      <c r="BE350" s="3" t="s">
        <v>3721</v>
      </c>
      <c r="BF350" s="3" t="s">
        <v>3720</v>
      </c>
      <c r="BG350" s="3" t="s">
        <v>3722</v>
      </c>
    </row>
    <row r="351" spans="1:59" ht="58" x14ac:dyDescent="0.35">
      <c r="A351" s="2" t="s">
        <v>59</v>
      </c>
      <c r="B351" s="2" t="s">
        <v>94</v>
      </c>
      <c r="C351" s="2" t="s">
        <v>3712</v>
      </c>
      <c r="D351" s="2" t="s">
        <v>3713</v>
      </c>
      <c r="E351" s="2" t="s">
        <v>3714</v>
      </c>
      <c r="F351" s="3" t="s">
        <v>399</v>
      </c>
      <c r="G351" s="3" t="s">
        <v>73</v>
      </c>
      <c r="I351" s="3" t="s">
        <v>64</v>
      </c>
      <c r="J351" s="3" t="s">
        <v>64</v>
      </c>
      <c r="K351" s="3" t="s">
        <v>65</v>
      </c>
      <c r="M351" s="2" t="s">
        <v>3715</v>
      </c>
      <c r="N351" s="3" t="s">
        <v>872</v>
      </c>
      <c r="P351" s="3" t="s">
        <v>69</v>
      </c>
      <c r="Q351" s="2" t="s">
        <v>3716</v>
      </c>
      <c r="R351" s="3" t="s">
        <v>70</v>
      </c>
      <c r="S351" s="4">
        <v>14</v>
      </c>
      <c r="T351" s="4">
        <v>28</v>
      </c>
      <c r="U351" s="5" t="s">
        <v>3723</v>
      </c>
      <c r="V351" s="5" t="s">
        <v>3611</v>
      </c>
      <c r="W351" s="5" t="s">
        <v>72</v>
      </c>
      <c r="X351" s="5" t="s">
        <v>72</v>
      </c>
      <c r="Y351" s="4">
        <v>3</v>
      </c>
      <c r="Z351" s="4">
        <v>1</v>
      </c>
      <c r="AA351" s="4">
        <v>14</v>
      </c>
      <c r="AB351" s="4">
        <v>1</v>
      </c>
      <c r="AC351" s="4">
        <v>2</v>
      </c>
      <c r="AD351" s="4">
        <v>0</v>
      </c>
      <c r="AE351" s="4">
        <v>74</v>
      </c>
      <c r="AF351" s="4">
        <v>0</v>
      </c>
      <c r="AG351" s="4">
        <v>1</v>
      </c>
      <c r="AH351" s="4">
        <v>0</v>
      </c>
      <c r="AI351" s="4">
        <v>65</v>
      </c>
      <c r="AJ351" s="4">
        <v>0</v>
      </c>
      <c r="AK351" s="4">
        <v>11</v>
      </c>
      <c r="AL351" s="4">
        <v>0</v>
      </c>
      <c r="AM351" s="4">
        <v>45</v>
      </c>
      <c r="AN351" s="4">
        <v>0</v>
      </c>
      <c r="AO351" s="4">
        <v>0</v>
      </c>
      <c r="AP351" s="4">
        <v>0</v>
      </c>
      <c r="AQ351" s="4">
        <v>11</v>
      </c>
      <c r="AR351" s="3" t="s">
        <v>64</v>
      </c>
      <c r="AS351" s="3" t="s">
        <v>64</v>
      </c>
      <c r="AT351" s="3" t="s">
        <v>73</v>
      </c>
      <c r="AU351" s="6" t="str">
        <f>HYPERLINK("http://catalog.hathitrust.org/Record/001529686","HathiTrust Record")</f>
        <v>HathiTrust Record</v>
      </c>
      <c r="AV351" s="6" t="str">
        <f>HYPERLINK("http://mcgill.on.worldcat.org/oclc/60076018","Catalog Record")</f>
        <v>Catalog Record</v>
      </c>
      <c r="AW351" s="6" t="str">
        <f>HYPERLINK("http://www.worldcat.org/oclc/60076018","WorldCat Record")</f>
        <v>WorldCat Record</v>
      </c>
      <c r="AX351" s="3" t="s">
        <v>3717</v>
      </c>
      <c r="AY351" s="3" t="s">
        <v>3718</v>
      </c>
      <c r="AZ351" s="3" t="s">
        <v>3719</v>
      </c>
      <c r="BA351" s="3" t="s">
        <v>3719</v>
      </c>
      <c r="BB351" s="3" t="s">
        <v>3724</v>
      </c>
      <c r="BC351" s="3" t="s">
        <v>78</v>
      </c>
      <c r="BD351" s="3" t="s">
        <v>79</v>
      </c>
      <c r="BE351" s="3" t="s">
        <v>3721</v>
      </c>
      <c r="BF351" s="3" t="s">
        <v>3724</v>
      </c>
      <c r="BG351" s="3" t="s">
        <v>3725</v>
      </c>
    </row>
    <row r="352" spans="1:59" ht="58" x14ac:dyDescent="0.35">
      <c r="A352" s="2" t="s">
        <v>59</v>
      </c>
      <c r="B352" s="2" t="s">
        <v>94</v>
      </c>
      <c r="C352" s="2" t="s">
        <v>3726</v>
      </c>
      <c r="D352" s="2" t="s">
        <v>3727</v>
      </c>
      <c r="E352" s="2" t="s">
        <v>3728</v>
      </c>
      <c r="G352" s="3" t="s">
        <v>64</v>
      </c>
      <c r="I352" s="3" t="s">
        <v>64</v>
      </c>
      <c r="J352" s="3" t="s">
        <v>64</v>
      </c>
      <c r="K352" s="3" t="s">
        <v>65</v>
      </c>
      <c r="L352" s="2" t="s">
        <v>3729</v>
      </c>
      <c r="M352" s="2" t="s">
        <v>3730</v>
      </c>
      <c r="N352" s="3" t="s">
        <v>689</v>
      </c>
      <c r="P352" s="3" t="s">
        <v>69</v>
      </c>
      <c r="R352" s="3" t="s">
        <v>70</v>
      </c>
      <c r="S352" s="4">
        <v>48</v>
      </c>
      <c r="T352" s="4">
        <v>48</v>
      </c>
      <c r="U352" s="5" t="s">
        <v>3731</v>
      </c>
      <c r="V352" s="5" t="s">
        <v>3731</v>
      </c>
      <c r="W352" s="5" t="s">
        <v>72</v>
      </c>
      <c r="X352" s="5" t="s">
        <v>72</v>
      </c>
      <c r="Y352" s="4">
        <v>901</v>
      </c>
      <c r="Z352" s="4">
        <v>37</v>
      </c>
      <c r="AA352" s="4">
        <v>41</v>
      </c>
      <c r="AB352" s="4">
        <v>2</v>
      </c>
      <c r="AC352" s="4">
        <v>6</v>
      </c>
      <c r="AD352" s="4">
        <v>118</v>
      </c>
      <c r="AE352" s="4">
        <v>120</v>
      </c>
      <c r="AF352" s="4">
        <v>1</v>
      </c>
      <c r="AG352" s="4">
        <v>3</v>
      </c>
      <c r="AH352" s="4">
        <v>102</v>
      </c>
      <c r="AI352" s="4">
        <v>103</v>
      </c>
      <c r="AJ352" s="4">
        <v>18</v>
      </c>
      <c r="AK352" s="4">
        <v>20</v>
      </c>
      <c r="AL352" s="4">
        <v>54</v>
      </c>
      <c r="AM352" s="4">
        <v>54</v>
      </c>
      <c r="AN352" s="4">
        <v>0</v>
      </c>
      <c r="AO352" s="4">
        <v>0</v>
      </c>
      <c r="AP352" s="4">
        <v>23</v>
      </c>
      <c r="AQ352" s="4">
        <v>25</v>
      </c>
      <c r="AR352" s="3" t="s">
        <v>64</v>
      </c>
      <c r="AS352" s="3" t="s">
        <v>64</v>
      </c>
      <c r="AT352" s="3" t="s">
        <v>64</v>
      </c>
      <c r="AV352" s="6" t="str">
        <f>HYPERLINK("http://mcgill.on.worldcat.org/oclc/22388208","Catalog Record")</f>
        <v>Catalog Record</v>
      </c>
      <c r="AW352" s="6" t="str">
        <f>HYPERLINK("http://www.worldcat.org/oclc/22388208","WorldCat Record")</f>
        <v>WorldCat Record</v>
      </c>
      <c r="AX352" s="3" t="s">
        <v>3732</v>
      </c>
      <c r="AY352" s="3" t="s">
        <v>3733</v>
      </c>
      <c r="AZ352" s="3" t="s">
        <v>3734</v>
      </c>
      <c r="BA352" s="3" t="s">
        <v>3734</v>
      </c>
      <c r="BB352" s="3" t="s">
        <v>3735</v>
      </c>
      <c r="BC352" s="3" t="s">
        <v>78</v>
      </c>
      <c r="BD352" s="3" t="s">
        <v>79</v>
      </c>
      <c r="BE352" s="3" t="s">
        <v>3736</v>
      </c>
      <c r="BF352" s="3" t="s">
        <v>3735</v>
      </c>
      <c r="BG352" s="3" t="s">
        <v>3737</v>
      </c>
    </row>
    <row r="353" spans="1:59" ht="58" x14ac:dyDescent="0.35">
      <c r="A353" s="2" t="s">
        <v>59</v>
      </c>
      <c r="B353" s="2" t="s">
        <v>94</v>
      </c>
      <c r="C353" s="2" t="s">
        <v>3738</v>
      </c>
      <c r="D353" s="2" t="s">
        <v>3739</v>
      </c>
      <c r="E353" s="2" t="s">
        <v>3740</v>
      </c>
      <c r="G353" s="3" t="s">
        <v>64</v>
      </c>
      <c r="I353" s="3" t="s">
        <v>64</v>
      </c>
      <c r="J353" s="3" t="s">
        <v>64</v>
      </c>
      <c r="K353" s="3" t="s">
        <v>65</v>
      </c>
      <c r="L353" s="2" t="s">
        <v>3741</v>
      </c>
      <c r="M353" s="2" t="s">
        <v>3742</v>
      </c>
      <c r="N353" s="3" t="s">
        <v>3563</v>
      </c>
      <c r="P353" s="3" t="s">
        <v>69</v>
      </c>
      <c r="Q353" s="2" t="s">
        <v>3743</v>
      </c>
      <c r="R353" s="3" t="s">
        <v>70</v>
      </c>
      <c r="S353" s="4">
        <v>15</v>
      </c>
      <c r="T353" s="4">
        <v>15</v>
      </c>
      <c r="U353" s="5" t="s">
        <v>3744</v>
      </c>
      <c r="V353" s="5" t="s">
        <v>3744</v>
      </c>
      <c r="W353" s="5" t="s">
        <v>72</v>
      </c>
      <c r="X353" s="5" t="s">
        <v>72</v>
      </c>
      <c r="Y353" s="4">
        <v>371</v>
      </c>
      <c r="Z353" s="4">
        <v>20</v>
      </c>
      <c r="AA353" s="4">
        <v>25</v>
      </c>
      <c r="AB353" s="4">
        <v>1</v>
      </c>
      <c r="AC353" s="4">
        <v>2</v>
      </c>
      <c r="AD353" s="4">
        <v>100</v>
      </c>
      <c r="AE353" s="4">
        <v>105</v>
      </c>
      <c r="AF353" s="4">
        <v>0</v>
      </c>
      <c r="AG353" s="4">
        <v>0</v>
      </c>
      <c r="AH353" s="4">
        <v>90</v>
      </c>
      <c r="AI353" s="4">
        <v>94</v>
      </c>
      <c r="AJ353" s="4">
        <v>14</v>
      </c>
      <c r="AK353" s="4">
        <v>16</v>
      </c>
      <c r="AL353" s="4">
        <v>53</v>
      </c>
      <c r="AM353" s="4">
        <v>54</v>
      </c>
      <c r="AN353" s="4">
        <v>0</v>
      </c>
      <c r="AO353" s="4">
        <v>0</v>
      </c>
      <c r="AP353" s="4">
        <v>15</v>
      </c>
      <c r="AQ353" s="4">
        <v>18</v>
      </c>
      <c r="AR353" s="3" t="s">
        <v>64</v>
      </c>
      <c r="AS353" s="3" t="s">
        <v>64</v>
      </c>
      <c r="AT353" s="3" t="s">
        <v>73</v>
      </c>
      <c r="AU353" s="6" t="str">
        <f>HYPERLINK("http://catalog.hathitrust.org/Record/002595462","HathiTrust Record")</f>
        <v>HathiTrust Record</v>
      </c>
      <c r="AV353" s="6" t="str">
        <f>HYPERLINK("http://mcgill.on.worldcat.org/oclc/25872397","Catalog Record")</f>
        <v>Catalog Record</v>
      </c>
      <c r="AW353" s="6" t="str">
        <f>HYPERLINK("http://www.worldcat.org/oclc/25872397","WorldCat Record")</f>
        <v>WorldCat Record</v>
      </c>
      <c r="AX353" s="3" t="s">
        <v>3745</v>
      </c>
      <c r="AY353" s="3" t="s">
        <v>3746</v>
      </c>
      <c r="AZ353" s="3" t="s">
        <v>3747</v>
      </c>
      <c r="BA353" s="3" t="s">
        <v>3747</v>
      </c>
      <c r="BB353" s="3" t="s">
        <v>3748</v>
      </c>
      <c r="BC353" s="3" t="s">
        <v>78</v>
      </c>
      <c r="BD353" s="3" t="s">
        <v>79</v>
      </c>
      <c r="BE353" s="3" t="s">
        <v>3749</v>
      </c>
      <c r="BF353" s="3" t="s">
        <v>3748</v>
      </c>
      <c r="BG353" s="3" t="s">
        <v>3750</v>
      </c>
    </row>
    <row r="354" spans="1:59" ht="58" x14ac:dyDescent="0.35">
      <c r="A354" s="2" t="s">
        <v>59</v>
      </c>
      <c r="B354" s="2" t="s">
        <v>94</v>
      </c>
      <c r="C354" s="2" t="s">
        <v>3751</v>
      </c>
      <c r="D354" s="2" t="s">
        <v>3752</v>
      </c>
      <c r="E354" s="2" t="s">
        <v>3753</v>
      </c>
      <c r="G354" s="3" t="s">
        <v>64</v>
      </c>
      <c r="I354" s="3" t="s">
        <v>64</v>
      </c>
      <c r="J354" s="3" t="s">
        <v>64</v>
      </c>
      <c r="K354" s="3" t="s">
        <v>65</v>
      </c>
      <c r="L354" s="2" t="s">
        <v>3754</v>
      </c>
      <c r="M354" s="2" t="s">
        <v>3755</v>
      </c>
      <c r="N354" s="3" t="s">
        <v>1320</v>
      </c>
      <c r="P354" s="3" t="s">
        <v>69</v>
      </c>
      <c r="R354" s="3" t="s">
        <v>70</v>
      </c>
      <c r="S354" s="4">
        <v>21</v>
      </c>
      <c r="T354" s="4">
        <v>21</v>
      </c>
      <c r="U354" s="5" t="s">
        <v>3002</v>
      </c>
      <c r="V354" s="5" t="s">
        <v>3002</v>
      </c>
      <c r="W354" s="5" t="s">
        <v>72</v>
      </c>
      <c r="X354" s="5" t="s">
        <v>72</v>
      </c>
      <c r="Y354" s="4">
        <v>375</v>
      </c>
      <c r="Z354" s="4">
        <v>25</v>
      </c>
      <c r="AA354" s="4">
        <v>41</v>
      </c>
      <c r="AB354" s="4">
        <v>2</v>
      </c>
      <c r="AC354" s="4">
        <v>5</v>
      </c>
      <c r="AD354" s="4">
        <v>106</v>
      </c>
      <c r="AE354" s="4">
        <v>121</v>
      </c>
      <c r="AF354" s="4">
        <v>1</v>
      </c>
      <c r="AG354" s="4">
        <v>2</v>
      </c>
      <c r="AH354" s="4">
        <v>95</v>
      </c>
      <c r="AI354" s="4">
        <v>101</v>
      </c>
      <c r="AJ354" s="4">
        <v>15</v>
      </c>
      <c r="AK354" s="4">
        <v>20</v>
      </c>
      <c r="AL354" s="4">
        <v>53</v>
      </c>
      <c r="AM354" s="4">
        <v>55</v>
      </c>
      <c r="AN354" s="4">
        <v>0</v>
      </c>
      <c r="AO354" s="4">
        <v>0</v>
      </c>
      <c r="AP354" s="4">
        <v>19</v>
      </c>
      <c r="AQ354" s="4">
        <v>29</v>
      </c>
      <c r="AR354" s="3" t="s">
        <v>64</v>
      </c>
      <c r="AS354" s="3" t="s">
        <v>64</v>
      </c>
      <c r="AT354" s="3" t="s">
        <v>64</v>
      </c>
      <c r="AV354" s="6" t="str">
        <f>HYPERLINK("http://mcgill.on.worldcat.org/oclc/31519719","Catalog Record")</f>
        <v>Catalog Record</v>
      </c>
      <c r="AW354" s="6" t="str">
        <f>HYPERLINK("http://www.worldcat.org/oclc/31519719","WorldCat Record")</f>
        <v>WorldCat Record</v>
      </c>
      <c r="AX354" s="3" t="s">
        <v>3756</v>
      </c>
      <c r="AY354" s="3" t="s">
        <v>3757</v>
      </c>
      <c r="AZ354" s="3" t="s">
        <v>3758</v>
      </c>
      <c r="BA354" s="3" t="s">
        <v>3758</v>
      </c>
      <c r="BB354" s="3" t="s">
        <v>3759</v>
      </c>
      <c r="BC354" s="3" t="s">
        <v>78</v>
      </c>
      <c r="BD354" s="3" t="s">
        <v>79</v>
      </c>
      <c r="BE354" s="3" t="s">
        <v>3760</v>
      </c>
      <c r="BF354" s="3" t="s">
        <v>3759</v>
      </c>
      <c r="BG354" s="3" t="s">
        <v>3761</v>
      </c>
    </row>
    <row r="355" spans="1:59" ht="58" x14ac:dyDescent="0.35">
      <c r="A355" s="2" t="s">
        <v>59</v>
      </c>
      <c r="B355" s="2" t="s">
        <v>94</v>
      </c>
      <c r="C355" s="2" t="s">
        <v>3762</v>
      </c>
      <c r="D355" s="2" t="s">
        <v>3763</v>
      </c>
      <c r="E355" s="2" t="s">
        <v>3764</v>
      </c>
      <c r="G355" s="3" t="s">
        <v>64</v>
      </c>
      <c r="I355" s="3" t="s">
        <v>73</v>
      </c>
      <c r="J355" s="3" t="s">
        <v>64</v>
      </c>
      <c r="K355" s="3" t="s">
        <v>65</v>
      </c>
      <c r="M355" s="2" t="s">
        <v>3765</v>
      </c>
      <c r="N355" s="3" t="s">
        <v>1247</v>
      </c>
      <c r="P355" s="3" t="s">
        <v>69</v>
      </c>
      <c r="Q355" s="2" t="s">
        <v>3766</v>
      </c>
      <c r="R355" s="3" t="s">
        <v>70</v>
      </c>
      <c r="S355" s="4">
        <v>26</v>
      </c>
      <c r="T355" s="4">
        <v>50</v>
      </c>
      <c r="U355" s="5" t="s">
        <v>3767</v>
      </c>
      <c r="V355" s="5" t="s">
        <v>3767</v>
      </c>
      <c r="W355" s="5" t="s">
        <v>72</v>
      </c>
      <c r="X355" s="5" t="s">
        <v>72</v>
      </c>
      <c r="Y355" s="4">
        <v>536</v>
      </c>
      <c r="Z355" s="4">
        <v>36</v>
      </c>
      <c r="AA355" s="4">
        <v>47</v>
      </c>
      <c r="AB355" s="4">
        <v>2</v>
      </c>
      <c r="AC355" s="4">
        <v>6</v>
      </c>
      <c r="AD355" s="4">
        <v>119</v>
      </c>
      <c r="AE355" s="4">
        <v>129</v>
      </c>
      <c r="AF355" s="4">
        <v>1</v>
      </c>
      <c r="AG355" s="4">
        <v>2</v>
      </c>
      <c r="AH355" s="4">
        <v>100</v>
      </c>
      <c r="AI355" s="4">
        <v>104</v>
      </c>
      <c r="AJ355" s="4">
        <v>20</v>
      </c>
      <c r="AK355" s="4">
        <v>23</v>
      </c>
      <c r="AL355" s="4">
        <v>54</v>
      </c>
      <c r="AM355" s="4">
        <v>58</v>
      </c>
      <c r="AN355" s="4">
        <v>0</v>
      </c>
      <c r="AO355" s="4">
        <v>0</v>
      </c>
      <c r="AP355" s="4">
        <v>26</v>
      </c>
      <c r="AQ355" s="4">
        <v>31</v>
      </c>
      <c r="AR355" s="3" t="s">
        <v>64</v>
      </c>
      <c r="AS355" s="3" t="s">
        <v>64</v>
      </c>
      <c r="AT355" s="3" t="s">
        <v>73</v>
      </c>
      <c r="AU355" s="6" t="str">
        <f>HYPERLINK("http://catalog.hathitrust.org/Record/000016544","HathiTrust Record")</f>
        <v>HathiTrust Record</v>
      </c>
      <c r="AV355" s="6" t="str">
        <f>HYPERLINK("http://mcgill.on.worldcat.org/oclc/1009099","Catalog Record")</f>
        <v>Catalog Record</v>
      </c>
      <c r="AW355" s="6" t="str">
        <f>HYPERLINK("http://www.worldcat.org/oclc/1009099","WorldCat Record")</f>
        <v>WorldCat Record</v>
      </c>
      <c r="AX355" s="3" t="s">
        <v>3768</v>
      </c>
      <c r="AY355" s="3" t="s">
        <v>3769</v>
      </c>
      <c r="AZ355" s="3" t="s">
        <v>3770</v>
      </c>
      <c r="BA355" s="3" t="s">
        <v>3770</v>
      </c>
      <c r="BB355" s="3" t="s">
        <v>3771</v>
      </c>
      <c r="BC355" s="3" t="s">
        <v>78</v>
      </c>
      <c r="BD355" s="3" t="s">
        <v>79</v>
      </c>
      <c r="BE355" s="3" t="s">
        <v>3772</v>
      </c>
      <c r="BF355" s="3" t="s">
        <v>3771</v>
      </c>
      <c r="BG355" s="3" t="s">
        <v>3773</v>
      </c>
    </row>
    <row r="356" spans="1:59" ht="58" x14ac:dyDescent="0.35">
      <c r="A356" s="2" t="s">
        <v>59</v>
      </c>
      <c r="B356" s="2" t="s">
        <v>94</v>
      </c>
      <c r="C356" s="2" t="s">
        <v>3762</v>
      </c>
      <c r="D356" s="2" t="s">
        <v>3763</v>
      </c>
      <c r="E356" s="2" t="s">
        <v>3764</v>
      </c>
      <c r="G356" s="3" t="s">
        <v>64</v>
      </c>
      <c r="I356" s="3" t="s">
        <v>73</v>
      </c>
      <c r="J356" s="3" t="s">
        <v>64</v>
      </c>
      <c r="K356" s="3" t="s">
        <v>65</v>
      </c>
      <c r="M356" s="2" t="s">
        <v>3765</v>
      </c>
      <c r="N356" s="3" t="s">
        <v>1247</v>
      </c>
      <c r="P356" s="3" t="s">
        <v>69</v>
      </c>
      <c r="Q356" s="2" t="s">
        <v>3766</v>
      </c>
      <c r="R356" s="3" t="s">
        <v>70</v>
      </c>
      <c r="S356" s="4">
        <v>24</v>
      </c>
      <c r="T356" s="4">
        <v>50</v>
      </c>
      <c r="U356" s="5" t="s">
        <v>3774</v>
      </c>
      <c r="V356" s="5" t="s">
        <v>3767</v>
      </c>
      <c r="W356" s="5" t="s">
        <v>72</v>
      </c>
      <c r="X356" s="5" t="s">
        <v>72</v>
      </c>
      <c r="Y356" s="4">
        <v>536</v>
      </c>
      <c r="Z356" s="4">
        <v>36</v>
      </c>
      <c r="AA356" s="4">
        <v>47</v>
      </c>
      <c r="AB356" s="4">
        <v>2</v>
      </c>
      <c r="AC356" s="4">
        <v>6</v>
      </c>
      <c r="AD356" s="4">
        <v>119</v>
      </c>
      <c r="AE356" s="4">
        <v>129</v>
      </c>
      <c r="AF356" s="4">
        <v>1</v>
      </c>
      <c r="AG356" s="4">
        <v>2</v>
      </c>
      <c r="AH356" s="4">
        <v>100</v>
      </c>
      <c r="AI356" s="4">
        <v>104</v>
      </c>
      <c r="AJ356" s="4">
        <v>20</v>
      </c>
      <c r="AK356" s="4">
        <v>23</v>
      </c>
      <c r="AL356" s="4">
        <v>54</v>
      </c>
      <c r="AM356" s="4">
        <v>58</v>
      </c>
      <c r="AN356" s="4">
        <v>0</v>
      </c>
      <c r="AO356" s="4">
        <v>0</v>
      </c>
      <c r="AP356" s="4">
        <v>26</v>
      </c>
      <c r="AQ356" s="4">
        <v>31</v>
      </c>
      <c r="AR356" s="3" t="s">
        <v>64</v>
      </c>
      <c r="AS356" s="3" t="s">
        <v>64</v>
      </c>
      <c r="AT356" s="3" t="s">
        <v>73</v>
      </c>
      <c r="AU356" s="6" t="str">
        <f>HYPERLINK("http://catalog.hathitrust.org/Record/000016544","HathiTrust Record")</f>
        <v>HathiTrust Record</v>
      </c>
      <c r="AV356" s="6" t="str">
        <f>HYPERLINK("http://mcgill.on.worldcat.org/oclc/1009099","Catalog Record")</f>
        <v>Catalog Record</v>
      </c>
      <c r="AW356" s="6" t="str">
        <f>HYPERLINK("http://www.worldcat.org/oclc/1009099","WorldCat Record")</f>
        <v>WorldCat Record</v>
      </c>
      <c r="AX356" s="3" t="s">
        <v>3768</v>
      </c>
      <c r="AY356" s="3" t="s">
        <v>3769</v>
      </c>
      <c r="AZ356" s="3" t="s">
        <v>3770</v>
      </c>
      <c r="BA356" s="3" t="s">
        <v>3770</v>
      </c>
      <c r="BB356" s="3" t="s">
        <v>3775</v>
      </c>
      <c r="BC356" s="3" t="s">
        <v>78</v>
      </c>
      <c r="BD356" s="3" t="s">
        <v>3776</v>
      </c>
      <c r="BE356" s="3" t="s">
        <v>3772</v>
      </c>
      <c r="BF356" s="3" t="s">
        <v>3775</v>
      </c>
      <c r="BG356" s="3" t="s">
        <v>3777</v>
      </c>
    </row>
    <row r="357" spans="1:59" ht="116" x14ac:dyDescent="0.35">
      <c r="A357" s="2" t="s">
        <v>59</v>
      </c>
      <c r="B357" s="2" t="s">
        <v>3778</v>
      </c>
      <c r="C357" s="2" t="s">
        <v>3779</v>
      </c>
      <c r="D357" s="2" t="s">
        <v>3780</v>
      </c>
      <c r="E357" s="2" t="s">
        <v>3781</v>
      </c>
      <c r="G357" s="3" t="s">
        <v>64</v>
      </c>
      <c r="I357" s="3" t="s">
        <v>64</v>
      </c>
      <c r="J357" s="3" t="s">
        <v>64</v>
      </c>
      <c r="K357" s="3" t="s">
        <v>65</v>
      </c>
      <c r="M357" s="2" t="s">
        <v>3782</v>
      </c>
      <c r="N357" s="3" t="s">
        <v>226</v>
      </c>
      <c r="O357" s="2" t="s">
        <v>3783</v>
      </c>
      <c r="P357" s="3" t="s">
        <v>3784</v>
      </c>
      <c r="R357" s="3" t="s">
        <v>70</v>
      </c>
      <c r="S357" s="4">
        <v>7</v>
      </c>
      <c r="T357" s="4">
        <v>7</v>
      </c>
      <c r="U357" s="5" t="s">
        <v>3785</v>
      </c>
      <c r="V357" s="5" t="s">
        <v>3785</v>
      </c>
      <c r="W357" s="5" t="s">
        <v>72</v>
      </c>
      <c r="X357" s="5" t="s">
        <v>72</v>
      </c>
      <c r="Y357" s="4">
        <v>22</v>
      </c>
      <c r="Z357" s="4">
        <v>3</v>
      </c>
      <c r="AA357" s="4">
        <v>3</v>
      </c>
      <c r="AB357" s="4">
        <v>1</v>
      </c>
      <c r="AC357" s="4">
        <v>1</v>
      </c>
      <c r="AD357" s="4">
        <v>16</v>
      </c>
      <c r="AE357" s="4">
        <v>16</v>
      </c>
      <c r="AF357" s="4">
        <v>0</v>
      </c>
      <c r="AG357" s="4">
        <v>0</v>
      </c>
      <c r="AH357" s="4">
        <v>15</v>
      </c>
      <c r="AI357" s="4">
        <v>15</v>
      </c>
      <c r="AJ357" s="4">
        <v>1</v>
      </c>
      <c r="AK357" s="4">
        <v>1</v>
      </c>
      <c r="AL357" s="4">
        <v>13</v>
      </c>
      <c r="AM357" s="4">
        <v>13</v>
      </c>
      <c r="AN357" s="4">
        <v>0</v>
      </c>
      <c r="AO357" s="4">
        <v>0</v>
      </c>
      <c r="AP357" s="4">
        <v>1</v>
      </c>
      <c r="AQ357" s="4">
        <v>1</v>
      </c>
      <c r="AR357" s="3" t="s">
        <v>64</v>
      </c>
      <c r="AS357" s="3" t="s">
        <v>64</v>
      </c>
      <c r="AT357" s="3" t="s">
        <v>64</v>
      </c>
      <c r="AV357" s="6" t="str">
        <f>HYPERLINK("http://mcgill.on.worldcat.org/oclc/39161448","Catalog Record")</f>
        <v>Catalog Record</v>
      </c>
      <c r="AW357" s="6" t="str">
        <f>HYPERLINK("http://www.worldcat.org/oclc/39161448","WorldCat Record")</f>
        <v>WorldCat Record</v>
      </c>
      <c r="AX357" s="3" t="s">
        <v>3786</v>
      </c>
      <c r="AY357" s="3" t="s">
        <v>3787</v>
      </c>
      <c r="AZ357" s="3" t="s">
        <v>3788</v>
      </c>
      <c r="BA357" s="3" t="s">
        <v>3788</v>
      </c>
      <c r="BB357" s="3" t="s">
        <v>3789</v>
      </c>
      <c r="BC357" s="3" t="s">
        <v>78</v>
      </c>
      <c r="BD357" s="3" t="s">
        <v>414</v>
      </c>
      <c r="BE357" s="3" t="s">
        <v>3790</v>
      </c>
      <c r="BF357" s="3" t="s">
        <v>3789</v>
      </c>
      <c r="BG357" s="3" t="s">
        <v>3791</v>
      </c>
    </row>
    <row r="358" spans="1:59" ht="116" x14ac:dyDescent="0.35">
      <c r="A358" s="2" t="s">
        <v>59</v>
      </c>
      <c r="B358" s="2" t="s">
        <v>3778</v>
      </c>
      <c r="C358" s="2" t="s">
        <v>3792</v>
      </c>
      <c r="D358" s="2" t="s">
        <v>3793</v>
      </c>
      <c r="E358" s="2" t="s">
        <v>3794</v>
      </c>
      <c r="F358" s="3" t="s">
        <v>3660</v>
      </c>
      <c r="G358" s="3" t="s">
        <v>73</v>
      </c>
      <c r="I358" s="3" t="s">
        <v>64</v>
      </c>
      <c r="J358" s="3" t="s">
        <v>64</v>
      </c>
      <c r="K358" s="3" t="s">
        <v>65</v>
      </c>
      <c r="M358" s="2" t="s">
        <v>3795</v>
      </c>
      <c r="N358" s="3" t="s">
        <v>274</v>
      </c>
      <c r="O358" s="2" t="s">
        <v>3783</v>
      </c>
      <c r="P358" s="3" t="s">
        <v>3784</v>
      </c>
      <c r="Q358" s="2" t="s">
        <v>3796</v>
      </c>
      <c r="R358" s="3" t="s">
        <v>70</v>
      </c>
      <c r="S358" s="4">
        <v>5</v>
      </c>
      <c r="T358" s="4">
        <v>12</v>
      </c>
      <c r="U358" s="5" t="s">
        <v>3797</v>
      </c>
      <c r="V358" s="5" t="s">
        <v>3797</v>
      </c>
      <c r="W358" s="5" t="s">
        <v>72</v>
      </c>
      <c r="X358" s="5" t="s">
        <v>72</v>
      </c>
      <c r="Y358" s="4">
        <v>13</v>
      </c>
      <c r="Z358" s="4">
        <v>2</v>
      </c>
      <c r="AA358" s="4">
        <v>2</v>
      </c>
      <c r="AB358" s="4">
        <v>1</v>
      </c>
      <c r="AC358" s="4">
        <v>1</v>
      </c>
      <c r="AD358" s="4">
        <v>8</v>
      </c>
      <c r="AE358" s="4">
        <v>8</v>
      </c>
      <c r="AF358" s="4">
        <v>0</v>
      </c>
      <c r="AG358" s="4">
        <v>0</v>
      </c>
      <c r="AH358" s="4">
        <v>8</v>
      </c>
      <c r="AI358" s="4">
        <v>8</v>
      </c>
      <c r="AJ358" s="4">
        <v>1</v>
      </c>
      <c r="AK358" s="4">
        <v>1</v>
      </c>
      <c r="AL358" s="4">
        <v>5</v>
      </c>
      <c r="AM358" s="4">
        <v>5</v>
      </c>
      <c r="AN358" s="4">
        <v>0</v>
      </c>
      <c r="AO358" s="4">
        <v>0</v>
      </c>
      <c r="AP358" s="4">
        <v>1</v>
      </c>
      <c r="AQ358" s="4">
        <v>1</v>
      </c>
      <c r="AR358" s="3" t="s">
        <v>64</v>
      </c>
      <c r="AS358" s="3" t="s">
        <v>64</v>
      </c>
      <c r="AT358" s="3" t="s">
        <v>64</v>
      </c>
      <c r="AV358" s="6" t="str">
        <f>HYPERLINK("http://mcgill.on.worldcat.org/oclc/23974504","Catalog Record")</f>
        <v>Catalog Record</v>
      </c>
      <c r="AW358" s="6" t="str">
        <f>HYPERLINK("http://www.worldcat.org/oclc/23974504","WorldCat Record")</f>
        <v>WorldCat Record</v>
      </c>
      <c r="AX358" s="3" t="s">
        <v>3798</v>
      </c>
      <c r="AY358" s="3" t="s">
        <v>3799</v>
      </c>
      <c r="AZ358" s="3" t="s">
        <v>3800</v>
      </c>
      <c r="BA358" s="3" t="s">
        <v>3800</v>
      </c>
      <c r="BB358" s="3" t="s">
        <v>3801</v>
      </c>
      <c r="BC358" s="3" t="s">
        <v>78</v>
      </c>
      <c r="BD358" s="3" t="s">
        <v>79</v>
      </c>
      <c r="BE358" s="3" t="s">
        <v>3802</v>
      </c>
      <c r="BF358" s="3" t="s">
        <v>3801</v>
      </c>
      <c r="BG358" s="3" t="s">
        <v>3803</v>
      </c>
    </row>
    <row r="359" spans="1:59" ht="116" x14ac:dyDescent="0.35">
      <c r="A359" s="2" t="s">
        <v>59</v>
      </c>
      <c r="B359" s="2" t="s">
        <v>3778</v>
      </c>
      <c r="C359" s="2" t="s">
        <v>3792</v>
      </c>
      <c r="D359" s="2" t="s">
        <v>3793</v>
      </c>
      <c r="E359" s="2" t="s">
        <v>3794</v>
      </c>
      <c r="F359" s="3" t="s">
        <v>388</v>
      </c>
      <c r="G359" s="3" t="s">
        <v>73</v>
      </c>
      <c r="I359" s="3" t="s">
        <v>64</v>
      </c>
      <c r="J359" s="3" t="s">
        <v>64</v>
      </c>
      <c r="K359" s="3" t="s">
        <v>65</v>
      </c>
      <c r="M359" s="2" t="s">
        <v>3795</v>
      </c>
      <c r="N359" s="3" t="s">
        <v>274</v>
      </c>
      <c r="O359" s="2" t="s">
        <v>3783</v>
      </c>
      <c r="P359" s="3" t="s">
        <v>3784</v>
      </c>
      <c r="Q359" s="2" t="s">
        <v>3796</v>
      </c>
      <c r="R359" s="3" t="s">
        <v>70</v>
      </c>
      <c r="S359" s="4">
        <v>5</v>
      </c>
      <c r="T359" s="4">
        <v>12</v>
      </c>
      <c r="U359" s="5" t="s">
        <v>3797</v>
      </c>
      <c r="V359" s="5" t="s">
        <v>3797</v>
      </c>
      <c r="W359" s="5" t="s">
        <v>72</v>
      </c>
      <c r="X359" s="5" t="s">
        <v>72</v>
      </c>
      <c r="Y359" s="4">
        <v>13</v>
      </c>
      <c r="Z359" s="4">
        <v>2</v>
      </c>
      <c r="AA359" s="4">
        <v>2</v>
      </c>
      <c r="AB359" s="4">
        <v>1</v>
      </c>
      <c r="AC359" s="4">
        <v>1</v>
      </c>
      <c r="AD359" s="4">
        <v>8</v>
      </c>
      <c r="AE359" s="4">
        <v>8</v>
      </c>
      <c r="AF359" s="4">
        <v>0</v>
      </c>
      <c r="AG359" s="4">
        <v>0</v>
      </c>
      <c r="AH359" s="4">
        <v>8</v>
      </c>
      <c r="AI359" s="4">
        <v>8</v>
      </c>
      <c r="AJ359" s="4">
        <v>1</v>
      </c>
      <c r="AK359" s="4">
        <v>1</v>
      </c>
      <c r="AL359" s="4">
        <v>5</v>
      </c>
      <c r="AM359" s="4">
        <v>5</v>
      </c>
      <c r="AN359" s="4">
        <v>0</v>
      </c>
      <c r="AO359" s="4">
        <v>0</v>
      </c>
      <c r="AP359" s="4">
        <v>1</v>
      </c>
      <c r="AQ359" s="4">
        <v>1</v>
      </c>
      <c r="AR359" s="3" t="s">
        <v>64</v>
      </c>
      <c r="AS359" s="3" t="s">
        <v>64</v>
      </c>
      <c r="AT359" s="3" t="s">
        <v>64</v>
      </c>
      <c r="AV359" s="6" t="str">
        <f>HYPERLINK("http://mcgill.on.worldcat.org/oclc/23974504","Catalog Record")</f>
        <v>Catalog Record</v>
      </c>
      <c r="AW359" s="6" t="str">
        <f>HYPERLINK("http://www.worldcat.org/oclc/23974504","WorldCat Record")</f>
        <v>WorldCat Record</v>
      </c>
      <c r="AX359" s="3" t="s">
        <v>3798</v>
      </c>
      <c r="AY359" s="3" t="s">
        <v>3799</v>
      </c>
      <c r="AZ359" s="3" t="s">
        <v>3800</v>
      </c>
      <c r="BA359" s="3" t="s">
        <v>3800</v>
      </c>
      <c r="BB359" s="3" t="s">
        <v>3804</v>
      </c>
      <c r="BC359" s="3" t="s">
        <v>78</v>
      </c>
      <c r="BD359" s="3" t="s">
        <v>79</v>
      </c>
      <c r="BE359" s="3" t="s">
        <v>3802</v>
      </c>
      <c r="BF359" s="3" t="s">
        <v>3804</v>
      </c>
      <c r="BG359" s="3" t="s">
        <v>3805</v>
      </c>
    </row>
    <row r="360" spans="1:59" ht="116" x14ac:dyDescent="0.35">
      <c r="A360" s="2" t="s">
        <v>59</v>
      </c>
      <c r="B360" s="2" t="s">
        <v>3778</v>
      </c>
      <c r="C360" s="2" t="s">
        <v>3792</v>
      </c>
      <c r="D360" s="2" t="s">
        <v>3793</v>
      </c>
      <c r="E360" s="2" t="s">
        <v>3794</v>
      </c>
      <c r="F360" s="3" t="s">
        <v>399</v>
      </c>
      <c r="G360" s="3" t="s">
        <v>73</v>
      </c>
      <c r="I360" s="3" t="s">
        <v>64</v>
      </c>
      <c r="J360" s="3" t="s">
        <v>64</v>
      </c>
      <c r="K360" s="3" t="s">
        <v>65</v>
      </c>
      <c r="M360" s="2" t="s">
        <v>3795</v>
      </c>
      <c r="N360" s="3" t="s">
        <v>274</v>
      </c>
      <c r="O360" s="2" t="s">
        <v>3783</v>
      </c>
      <c r="P360" s="3" t="s">
        <v>3784</v>
      </c>
      <c r="Q360" s="2" t="s">
        <v>3796</v>
      </c>
      <c r="R360" s="3" t="s">
        <v>70</v>
      </c>
      <c r="S360" s="4">
        <v>2</v>
      </c>
      <c r="T360" s="4">
        <v>12</v>
      </c>
      <c r="U360" s="5" t="s">
        <v>3797</v>
      </c>
      <c r="V360" s="5" t="s">
        <v>3797</v>
      </c>
      <c r="W360" s="5" t="s">
        <v>72</v>
      </c>
      <c r="X360" s="5" t="s">
        <v>72</v>
      </c>
      <c r="Y360" s="4">
        <v>13</v>
      </c>
      <c r="Z360" s="4">
        <v>2</v>
      </c>
      <c r="AA360" s="4">
        <v>2</v>
      </c>
      <c r="AB360" s="4">
        <v>1</v>
      </c>
      <c r="AC360" s="4">
        <v>1</v>
      </c>
      <c r="AD360" s="4">
        <v>8</v>
      </c>
      <c r="AE360" s="4">
        <v>8</v>
      </c>
      <c r="AF360" s="4">
        <v>0</v>
      </c>
      <c r="AG360" s="4">
        <v>0</v>
      </c>
      <c r="AH360" s="4">
        <v>8</v>
      </c>
      <c r="AI360" s="4">
        <v>8</v>
      </c>
      <c r="AJ360" s="4">
        <v>1</v>
      </c>
      <c r="AK360" s="4">
        <v>1</v>
      </c>
      <c r="AL360" s="4">
        <v>5</v>
      </c>
      <c r="AM360" s="4">
        <v>5</v>
      </c>
      <c r="AN360" s="4">
        <v>0</v>
      </c>
      <c r="AO360" s="4">
        <v>0</v>
      </c>
      <c r="AP360" s="4">
        <v>1</v>
      </c>
      <c r="AQ360" s="4">
        <v>1</v>
      </c>
      <c r="AR360" s="3" t="s">
        <v>64</v>
      </c>
      <c r="AS360" s="3" t="s">
        <v>64</v>
      </c>
      <c r="AT360" s="3" t="s">
        <v>64</v>
      </c>
      <c r="AV360" s="6" t="str">
        <f>HYPERLINK("http://mcgill.on.worldcat.org/oclc/23974504","Catalog Record")</f>
        <v>Catalog Record</v>
      </c>
      <c r="AW360" s="6" t="str">
        <f>HYPERLINK("http://www.worldcat.org/oclc/23974504","WorldCat Record")</f>
        <v>WorldCat Record</v>
      </c>
      <c r="AX360" s="3" t="s">
        <v>3798</v>
      </c>
      <c r="AY360" s="3" t="s">
        <v>3799</v>
      </c>
      <c r="AZ360" s="3" t="s">
        <v>3800</v>
      </c>
      <c r="BA360" s="3" t="s">
        <v>3800</v>
      </c>
      <c r="BB360" s="3" t="s">
        <v>3806</v>
      </c>
      <c r="BC360" s="3" t="s">
        <v>78</v>
      </c>
      <c r="BD360" s="3" t="s">
        <v>79</v>
      </c>
      <c r="BE360" s="3" t="s">
        <v>3802</v>
      </c>
      <c r="BF360" s="3" t="s">
        <v>3806</v>
      </c>
      <c r="BG360" s="3" t="s">
        <v>3807</v>
      </c>
    </row>
    <row r="361" spans="1:59" ht="116" x14ac:dyDescent="0.35">
      <c r="A361" s="2" t="s">
        <v>59</v>
      </c>
      <c r="B361" s="2" t="s">
        <v>3778</v>
      </c>
      <c r="C361" s="2" t="s">
        <v>3808</v>
      </c>
      <c r="D361" s="2" t="s">
        <v>3809</v>
      </c>
      <c r="E361" s="2" t="s">
        <v>3810</v>
      </c>
      <c r="F361" s="3" t="s">
        <v>3811</v>
      </c>
      <c r="G361" s="3" t="s">
        <v>73</v>
      </c>
      <c r="I361" s="3" t="s">
        <v>73</v>
      </c>
      <c r="J361" s="3" t="s">
        <v>64</v>
      </c>
      <c r="K361" s="3" t="s">
        <v>65</v>
      </c>
      <c r="M361" s="2" t="s">
        <v>3812</v>
      </c>
      <c r="N361" s="3" t="s">
        <v>340</v>
      </c>
      <c r="O361" s="2" t="s">
        <v>3813</v>
      </c>
      <c r="P361" s="3" t="s">
        <v>3784</v>
      </c>
      <c r="R361" s="3" t="s">
        <v>70</v>
      </c>
      <c r="S361" s="4">
        <v>8</v>
      </c>
      <c r="T361" s="4">
        <v>110</v>
      </c>
      <c r="U361" s="5" t="s">
        <v>3814</v>
      </c>
      <c r="V361" s="5" t="s">
        <v>3815</v>
      </c>
      <c r="W361" s="5" t="s">
        <v>72</v>
      </c>
      <c r="X361" s="5" t="s">
        <v>72</v>
      </c>
      <c r="Y361" s="4">
        <v>31</v>
      </c>
      <c r="Z361" s="4">
        <v>5</v>
      </c>
      <c r="AA361" s="4">
        <v>5</v>
      </c>
      <c r="AB361" s="4">
        <v>1</v>
      </c>
      <c r="AC361" s="4">
        <v>1</v>
      </c>
      <c r="AD361" s="4">
        <v>23</v>
      </c>
      <c r="AE361" s="4">
        <v>23</v>
      </c>
      <c r="AF361" s="4">
        <v>0</v>
      </c>
      <c r="AG361" s="4">
        <v>0</v>
      </c>
      <c r="AH361" s="4">
        <v>21</v>
      </c>
      <c r="AI361" s="4">
        <v>21</v>
      </c>
      <c r="AJ361" s="4">
        <v>2</v>
      </c>
      <c r="AK361" s="4">
        <v>2</v>
      </c>
      <c r="AL361" s="4">
        <v>20</v>
      </c>
      <c r="AM361" s="4">
        <v>20</v>
      </c>
      <c r="AN361" s="4">
        <v>0</v>
      </c>
      <c r="AO361" s="4">
        <v>0</v>
      </c>
      <c r="AP361" s="4">
        <v>2</v>
      </c>
      <c r="AQ361" s="4">
        <v>2</v>
      </c>
      <c r="AR361" s="3" t="s">
        <v>64</v>
      </c>
      <c r="AS361" s="3" t="s">
        <v>64</v>
      </c>
      <c r="AT361" s="3" t="s">
        <v>73</v>
      </c>
      <c r="AU361" s="6" t="str">
        <f t="shared" ref="AU361:AU381" si="3">HYPERLINK("http://catalog.hathitrust.org/Record/007239502","HathiTrust Record")</f>
        <v>HathiTrust Record</v>
      </c>
      <c r="AV361" s="6" t="str">
        <f t="shared" ref="AV361:AV381" si="4">HYPERLINK("http://mcgill.on.worldcat.org/oclc/44702943","Catalog Record")</f>
        <v>Catalog Record</v>
      </c>
      <c r="AW361" s="6" t="str">
        <f t="shared" ref="AW361:AW381" si="5">HYPERLINK("http://www.worldcat.org/oclc/44702943","WorldCat Record")</f>
        <v>WorldCat Record</v>
      </c>
      <c r="AX361" s="3" t="s">
        <v>3816</v>
      </c>
      <c r="AY361" s="3" t="s">
        <v>3817</v>
      </c>
      <c r="AZ361" s="3" t="s">
        <v>3818</v>
      </c>
      <c r="BA361" s="3" t="s">
        <v>3818</v>
      </c>
      <c r="BB361" s="3" t="s">
        <v>3819</v>
      </c>
      <c r="BC361" s="3" t="s">
        <v>78</v>
      </c>
      <c r="BD361" s="3" t="s">
        <v>79</v>
      </c>
      <c r="BE361" s="3" t="s">
        <v>3820</v>
      </c>
      <c r="BF361" s="3" t="s">
        <v>3819</v>
      </c>
      <c r="BG361" s="3" t="s">
        <v>3821</v>
      </c>
    </row>
    <row r="362" spans="1:59" ht="116" x14ac:dyDescent="0.35">
      <c r="A362" s="2" t="s">
        <v>59</v>
      </c>
      <c r="B362" s="2" t="s">
        <v>3778</v>
      </c>
      <c r="C362" s="2" t="s">
        <v>3808</v>
      </c>
      <c r="D362" s="2" t="s">
        <v>3809</v>
      </c>
      <c r="E362" s="2" t="s">
        <v>3810</v>
      </c>
      <c r="F362" s="3" t="s">
        <v>3822</v>
      </c>
      <c r="G362" s="3" t="s">
        <v>73</v>
      </c>
      <c r="I362" s="3" t="s">
        <v>73</v>
      </c>
      <c r="J362" s="3" t="s">
        <v>64</v>
      </c>
      <c r="K362" s="3" t="s">
        <v>65</v>
      </c>
      <c r="M362" s="2" t="s">
        <v>3812</v>
      </c>
      <c r="N362" s="3" t="s">
        <v>340</v>
      </c>
      <c r="O362" s="2" t="s">
        <v>3813</v>
      </c>
      <c r="P362" s="3" t="s">
        <v>3784</v>
      </c>
      <c r="R362" s="3" t="s">
        <v>70</v>
      </c>
      <c r="S362" s="4">
        <v>6</v>
      </c>
      <c r="T362" s="4">
        <v>110</v>
      </c>
      <c r="U362" s="5" t="s">
        <v>3823</v>
      </c>
      <c r="V362" s="5" t="s">
        <v>3815</v>
      </c>
      <c r="W362" s="5" t="s">
        <v>72</v>
      </c>
      <c r="X362" s="5" t="s">
        <v>72</v>
      </c>
      <c r="Y362" s="4">
        <v>31</v>
      </c>
      <c r="Z362" s="4">
        <v>5</v>
      </c>
      <c r="AA362" s="4">
        <v>5</v>
      </c>
      <c r="AB362" s="4">
        <v>1</v>
      </c>
      <c r="AC362" s="4">
        <v>1</v>
      </c>
      <c r="AD362" s="4">
        <v>23</v>
      </c>
      <c r="AE362" s="4">
        <v>23</v>
      </c>
      <c r="AF362" s="4">
        <v>0</v>
      </c>
      <c r="AG362" s="4">
        <v>0</v>
      </c>
      <c r="AH362" s="4">
        <v>21</v>
      </c>
      <c r="AI362" s="4">
        <v>21</v>
      </c>
      <c r="AJ362" s="4">
        <v>2</v>
      </c>
      <c r="AK362" s="4">
        <v>2</v>
      </c>
      <c r="AL362" s="4">
        <v>20</v>
      </c>
      <c r="AM362" s="4">
        <v>20</v>
      </c>
      <c r="AN362" s="4">
        <v>0</v>
      </c>
      <c r="AO362" s="4">
        <v>0</v>
      </c>
      <c r="AP362" s="4">
        <v>2</v>
      </c>
      <c r="AQ362" s="4">
        <v>2</v>
      </c>
      <c r="AR362" s="3" t="s">
        <v>64</v>
      </c>
      <c r="AS362" s="3" t="s">
        <v>64</v>
      </c>
      <c r="AT362" s="3" t="s">
        <v>73</v>
      </c>
      <c r="AU362" s="6" t="str">
        <f t="shared" si="3"/>
        <v>HathiTrust Record</v>
      </c>
      <c r="AV362" s="6" t="str">
        <f t="shared" si="4"/>
        <v>Catalog Record</v>
      </c>
      <c r="AW362" s="6" t="str">
        <f t="shared" si="5"/>
        <v>WorldCat Record</v>
      </c>
      <c r="AX362" s="3" t="s">
        <v>3816</v>
      </c>
      <c r="AY362" s="3" t="s">
        <v>3817</v>
      </c>
      <c r="AZ362" s="3" t="s">
        <v>3818</v>
      </c>
      <c r="BA362" s="3" t="s">
        <v>3818</v>
      </c>
      <c r="BB362" s="3" t="s">
        <v>3824</v>
      </c>
      <c r="BC362" s="3" t="s">
        <v>78</v>
      </c>
      <c r="BD362" s="3" t="s">
        <v>79</v>
      </c>
      <c r="BE362" s="3" t="s">
        <v>3820</v>
      </c>
      <c r="BF362" s="3" t="s">
        <v>3824</v>
      </c>
      <c r="BG362" s="3" t="s">
        <v>3825</v>
      </c>
    </row>
    <row r="363" spans="1:59" ht="116" x14ac:dyDescent="0.35">
      <c r="A363" s="2" t="s">
        <v>59</v>
      </c>
      <c r="B363" s="2" t="s">
        <v>3778</v>
      </c>
      <c r="C363" s="2" t="s">
        <v>3808</v>
      </c>
      <c r="D363" s="2" t="s">
        <v>3809</v>
      </c>
      <c r="E363" s="2" t="s">
        <v>3810</v>
      </c>
      <c r="F363" s="3" t="s">
        <v>3660</v>
      </c>
      <c r="G363" s="3" t="s">
        <v>73</v>
      </c>
      <c r="I363" s="3" t="s">
        <v>73</v>
      </c>
      <c r="J363" s="3" t="s">
        <v>64</v>
      </c>
      <c r="K363" s="3" t="s">
        <v>65</v>
      </c>
      <c r="M363" s="2" t="s">
        <v>3812</v>
      </c>
      <c r="N363" s="3" t="s">
        <v>340</v>
      </c>
      <c r="O363" s="2" t="s">
        <v>3813</v>
      </c>
      <c r="P363" s="3" t="s">
        <v>3784</v>
      </c>
      <c r="R363" s="3" t="s">
        <v>70</v>
      </c>
      <c r="S363" s="4">
        <v>9</v>
      </c>
      <c r="T363" s="4">
        <v>110</v>
      </c>
      <c r="U363" s="5" t="s">
        <v>3815</v>
      </c>
      <c r="V363" s="5" t="s">
        <v>3815</v>
      </c>
      <c r="W363" s="5" t="s">
        <v>72</v>
      </c>
      <c r="X363" s="5" t="s">
        <v>72</v>
      </c>
      <c r="Y363" s="4">
        <v>31</v>
      </c>
      <c r="Z363" s="4">
        <v>5</v>
      </c>
      <c r="AA363" s="4">
        <v>5</v>
      </c>
      <c r="AB363" s="4">
        <v>1</v>
      </c>
      <c r="AC363" s="4">
        <v>1</v>
      </c>
      <c r="AD363" s="4">
        <v>23</v>
      </c>
      <c r="AE363" s="4">
        <v>23</v>
      </c>
      <c r="AF363" s="4">
        <v>0</v>
      </c>
      <c r="AG363" s="4">
        <v>0</v>
      </c>
      <c r="AH363" s="4">
        <v>21</v>
      </c>
      <c r="AI363" s="4">
        <v>21</v>
      </c>
      <c r="AJ363" s="4">
        <v>2</v>
      </c>
      <c r="AK363" s="4">
        <v>2</v>
      </c>
      <c r="AL363" s="4">
        <v>20</v>
      </c>
      <c r="AM363" s="4">
        <v>20</v>
      </c>
      <c r="AN363" s="4">
        <v>0</v>
      </c>
      <c r="AO363" s="4">
        <v>0</v>
      </c>
      <c r="AP363" s="4">
        <v>2</v>
      </c>
      <c r="AQ363" s="4">
        <v>2</v>
      </c>
      <c r="AR363" s="3" t="s">
        <v>64</v>
      </c>
      <c r="AS363" s="3" t="s">
        <v>64</v>
      </c>
      <c r="AT363" s="3" t="s">
        <v>73</v>
      </c>
      <c r="AU363" s="6" t="str">
        <f t="shared" si="3"/>
        <v>HathiTrust Record</v>
      </c>
      <c r="AV363" s="6" t="str">
        <f t="shared" si="4"/>
        <v>Catalog Record</v>
      </c>
      <c r="AW363" s="6" t="str">
        <f t="shared" si="5"/>
        <v>WorldCat Record</v>
      </c>
      <c r="AX363" s="3" t="s">
        <v>3816</v>
      </c>
      <c r="AY363" s="3" t="s">
        <v>3817</v>
      </c>
      <c r="AZ363" s="3" t="s">
        <v>3818</v>
      </c>
      <c r="BA363" s="3" t="s">
        <v>3818</v>
      </c>
      <c r="BB363" s="3" t="s">
        <v>3826</v>
      </c>
      <c r="BC363" s="3" t="s">
        <v>78</v>
      </c>
      <c r="BD363" s="3" t="s">
        <v>414</v>
      </c>
      <c r="BE363" s="3" t="s">
        <v>3820</v>
      </c>
      <c r="BF363" s="3" t="s">
        <v>3826</v>
      </c>
      <c r="BG363" s="3" t="s">
        <v>3827</v>
      </c>
    </row>
    <row r="364" spans="1:59" ht="116" x14ac:dyDescent="0.35">
      <c r="A364" s="2" t="s">
        <v>59</v>
      </c>
      <c r="B364" s="2" t="s">
        <v>3778</v>
      </c>
      <c r="C364" s="2" t="s">
        <v>3808</v>
      </c>
      <c r="D364" s="2" t="s">
        <v>3809</v>
      </c>
      <c r="E364" s="2" t="s">
        <v>3810</v>
      </c>
      <c r="F364" s="3" t="s">
        <v>3828</v>
      </c>
      <c r="G364" s="3" t="s">
        <v>73</v>
      </c>
      <c r="I364" s="3" t="s">
        <v>73</v>
      </c>
      <c r="J364" s="3" t="s">
        <v>64</v>
      </c>
      <c r="K364" s="3" t="s">
        <v>65</v>
      </c>
      <c r="M364" s="2" t="s">
        <v>3812</v>
      </c>
      <c r="N364" s="3" t="s">
        <v>340</v>
      </c>
      <c r="O364" s="2" t="s">
        <v>3813</v>
      </c>
      <c r="P364" s="3" t="s">
        <v>3784</v>
      </c>
      <c r="R364" s="3" t="s">
        <v>70</v>
      </c>
      <c r="S364" s="4">
        <v>0</v>
      </c>
      <c r="T364" s="4">
        <v>110</v>
      </c>
      <c r="V364" s="5" t="s">
        <v>3815</v>
      </c>
      <c r="W364" s="5" t="s">
        <v>72</v>
      </c>
      <c r="X364" s="5" t="s">
        <v>72</v>
      </c>
      <c r="Y364" s="4">
        <v>31</v>
      </c>
      <c r="Z364" s="4">
        <v>5</v>
      </c>
      <c r="AA364" s="4">
        <v>5</v>
      </c>
      <c r="AB364" s="4">
        <v>1</v>
      </c>
      <c r="AC364" s="4">
        <v>1</v>
      </c>
      <c r="AD364" s="4">
        <v>23</v>
      </c>
      <c r="AE364" s="4">
        <v>23</v>
      </c>
      <c r="AF364" s="4">
        <v>0</v>
      </c>
      <c r="AG364" s="4">
        <v>0</v>
      </c>
      <c r="AH364" s="4">
        <v>21</v>
      </c>
      <c r="AI364" s="4">
        <v>21</v>
      </c>
      <c r="AJ364" s="4">
        <v>2</v>
      </c>
      <c r="AK364" s="4">
        <v>2</v>
      </c>
      <c r="AL364" s="4">
        <v>20</v>
      </c>
      <c r="AM364" s="4">
        <v>20</v>
      </c>
      <c r="AN364" s="4">
        <v>0</v>
      </c>
      <c r="AO364" s="4">
        <v>0</v>
      </c>
      <c r="AP364" s="4">
        <v>2</v>
      </c>
      <c r="AQ364" s="4">
        <v>2</v>
      </c>
      <c r="AR364" s="3" t="s">
        <v>64</v>
      </c>
      <c r="AS364" s="3" t="s">
        <v>64</v>
      </c>
      <c r="AT364" s="3" t="s">
        <v>73</v>
      </c>
      <c r="AU364" s="6" t="str">
        <f t="shared" si="3"/>
        <v>HathiTrust Record</v>
      </c>
      <c r="AV364" s="6" t="str">
        <f t="shared" si="4"/>
        <v>Catalog Record</v>
      </c>
      <c r="AW364" s="6" t="str">
        <f t="shared" si="5"/>
        <v>WorldCat Record</v>
      </c>
      <c r="AX364" s="3" t="s">
        <v>3816</v>
      </c>
      <c r="AY364" s="3" t="s">
        <v>3817</v>
      </c>
      <c r="AZ364" s="3" t="s">
        <v>3818</v>
      </c>
      <c r="BA364" s="3" t="s">
        <v>3818</v>
      </c>
      <c r="BB364" s="3" t="s">
        <v>3829</v>
      </c>
      <c r="BC364" s="3" t="s">
        <v>78</v>
      </c>
      <c r="BD364" s="3" t="s">
        <v>79</v>
      </c>
      <c r="BE364" s="3" t="s">
        <v>3820</v>
      </c>
      <c r="BF364" s="3" t="s">
        <v>3829</v>
      </c>
      <c r="BG364" s="3" t="s">
        <v>3830</v>
      </c>
    </row>
    <row r="365" spans="1:59" ht="116" x14ac:dyDescent="0.35">
      <c r="A365" s="2" t="s">
        <v>59</v>
      </c>
      <c r="B365" s="2" t="s">
        <v>3778</v>
      </c>
      <c r="C365" s="2" t="s">
        <v>3808</v>
      </c>
      <c r="D365" s="2" t="s">
        <v>3809</v>
      </c>
      <c r="E365" s="2" t="s">
        <v>3810</v>
      </c>
      <c r="F365" s="3" t="s">
        <v>3831</v>
      </c>
      <c r="G365" s="3" t="s">
        <v>73</v>
      </c>
      <c r="I365" s="3" t="s">
        <v>73</v>
      </c>
      <c r="J365" s="3" t="s">
        <v>64</v>
      </c>
      <c r="K365" s="3" t="s">
        <v>65</v>
      </c>
      <c r="M365" s="2" t="s">
        <v>3812</v>
      </c>
      <c r="N365" s="3" t="s">
        <v>340</v>
      </c>
      <c r="O365" s="2" t="s">
        <v>3813</v>
      </c>
      <c r="P365" s="3" t="s">
        <v>3784</v>
      </c>
      <c r="R365" s="3" t="s">
        <v>70</v>
      </c>
      <c r="S365" s="4">
        <v>3</v>
      </c>
      <c r="T365" s="4">
        <v>110</v>
      </c>
      <c r="U365" s="5" t="s">
        <v>3832</v>
      </c>
      <c r="V365" s="5" t="s">
        <v>3815</v>
      </c>
      <c r="W365" s="5" t="s">
        <v>72</v>
      </c>
      <c r="X365" s="5" t="s">
        <v>72</v>
      </c>
      <c r="Y365" s="4">
        <v>31</v>
      </c>
      <c r="Z365" s="4">
        <v>5</v>
      </c>
      <c r="AA365" s="4">
        <v>5</v>
      </c>
      <c r="AB365" s="4">
        <v>1</v>
      </c>
      <c r="AC365" s="4">
        <v>1</v>
      </c>
      <c r="AD365" s="4">
        <v>23</v>
      </c>
      <c r="AE365" s="4">
        <v>23</v>
      </c>
      <c r="AF365" s="4">
        <v>0</v>
      </c>
      <c r="AG365" s="4">
        <v>0</v>
      </c>
      <c r="AH365" s="4">
        <v>21</v>
      </c>
      <c r="AI365" s="4">
        <v>21</v>
      </c>
      <c r="AJ365" s="4">
        <v>2</v>
      </c>
      <c r="AK365" s="4">
        <v>2</v>
      </c>
      <c r="AL365" s="4">
        <v>20</v>
      </c>
      <c r="AM365" s="4">
        <v>20</v>
      </c>
      <c r="AN365" s="4">
        <v>0</v>
      </c>
      <c r="AO365" s="4">
        <v>0</v>
      </c>
      <c r="AP365" s="4">
        <v>2</v>
      </c>
      <c r="AQ365" s="4">
        <v>2</v>
      </c>
      <c r="AR365" s="3" t="s">
        <v>64</v>
      </c>
      <c r="AS365" s="3" t="s">
        <v>64</v>
      </c>
      <c r="AT365" s="3" t="s">
        <v>73</v>
      </c>
      <c r="AU365" s="6" t="str">
        <f t="shared" si="3"/>
        <v>HathiTrust Record</v>
      </c>
      <c r="AV365" s="6" t="str">
        <f t="shared" si="4"/>
        <v>Catalog Record</v>
      </c>
      <c r="AW365" s="6" t="str">
        <f t="shared" si="5"/>
        <v>WorldCat Record</v>
      </c>
      <c r="AX365" s="3" t="s">
        <v>3816</v>
      </c>
      <c r="AY365" s="3" t="s">
        <v>3817</v>
      </c>
      <c r="AZ365" s="3" t="s">
        <v>3818</v>
      </c>
      <c r="BA365" s="3" t="s">
        <v>3818</v>
      </c>
      <c r="BB365" s="3" t="s">
        <v>3833</v>
      </c>
      <c r="BC365" s="3" t="s">
        <v>78</v>
      </c>
      <c r="BD365" s="3" t="s">
        <v>79</v>
      </c>
      <c r="BE365" s="3" t="s">
        <v>3820</v>
      </c>
      <c r="BF365" s="3" t="s">
        <v>3833</v>
      </c>
      <c r="BG365" s="3" t="s">
        <v>3834</v>
      </c>
    </row>
    <row r="366" spans="1:59" ht="116" x14ac:dyDescent="0.35">
      <c r="A366" s="2" t="s">
        <v>59</v>
      </c>
      <c r="B366" s="2" t="s">
        <v>3778</v>
      </c>
      <c r="C366" s="2" t="s">
        <v>3808</v>
      </c>
      <c r="D366" s="2" t="s">
        <v>3809</v>
      </c>
      <c r="E366" s="2" t="s">
        <v>3810</v>
      </c>
      <c r="F366" s="3" t="s">
        <v>3835</v>
      </c>
      <c r="G366" s="3" t="s">
        <v>73</v>
      </c>
      <c r="I366" s="3" t="s">
        <v>73</v>
      </c>
      <c r="J366" s="3" t="s">
        <v>64</v>
      </c>
      <c r="K366" s="3" t="s">
        <v>65</v>
      </c>
      <c r="M366" s="2" t="s">
        <v>3812</v>
      </c>
      <c r="N366" s="3" t="s">
        <v>340</v>
      </c>
      <c r="O366" s="2" t="s">
        <v>3813</v>
      </c>
      <c r="P366" s="3" t="s">
        <v>3784</v>
      </c>
      <c r="R366" s="3" t="s">
        <v>70</v>
      </c>
      <c r="S366" s="4">
        <v>2</v>
      </c>
      <c r="T366" s="4">
        <v>110</v>
      </c>
      <c r="U366" s="5" t="s">
        <v>3823</v>
      </c>
      <c r="V366" s="5" t="s">
        <v>3815</v>
      </c>
      <c r="W366" s="5" t="s">
        <v>72</v>
      </c>
      <c r="X366" s="5" t="s">
        <v>72</v>
      </c>
      <c r="Y366" s="4">
        <v>31</v>
      </c>
      <c r="Z366" s="4">
        <v>5</v>
      </c>
      <c r="AA366" s="4">
        <v>5</v>
      </c>
      <c r="AB366" s="4">
        <v>1</v>
      </c>
      <c r="AC366" s="4">
        <v>1</v>
      </c>
      <c r="AD366" s="4">
        <v>23</v>
      </c>
      <c r="AE366" s="4">
        <v>23</v>
      </c>
      <c r="AF366" s="4">
        <v>0</v>
      </c>
      <c r="AG366" s="4">
        <v>0</v>
      </c>
      <c r="AH366" s="4">
        <v>21</v>
      </c>
      <c r="AI366" s="4">
        <v>21</v>
      </c>
      <c r="AJ366" s="4">
        <v>2</v>
      </c>
      <c r="AK366" s="4">
        <v>2</v>
      </c>
      <c r="AL366" s="4">
        <v>20</v>
      </c>
      <c r="AM366" s="4">
        <v>20</v>
      </c>
      <c r="AN366" s="4">
        <v>0</v>
      </c>
      <c r="AO366" s="4">
        <v>0</v>
      </c>
      <c r="AP366" s="4">
        <v>2</v>
      </c>
      <c r="AQ366" s="4">
        <v>2</v>
      </c>
      <c r="AR366" s="3" t="s">
        <v>64</v>
      </c>
      <c r="AS366" s="3" t="s">
        <v>64</v>
      </c>
      <c r="AT366" s="3" t="s">
        <v>73</v>
      </c>
      <c r="AU366" s="6" t="str">
        <f t="shared" si="3"/>
        <v>HathiTrust Record</v>
      </c>
      <c r="AV366" s="6" t="str">
        <f t="shared" si="4"/>
        <v>Catalog Record</v>
      </c>
      <c r="AW366" s="6" t="str">
        <f t="shared" si="5"/>
        <v>WorldCat Record</v>
      </c>
      <c r="AX366" s="3" t="s">
        <v>3816</v>
      </c>
      <c r="AY366" s="3" t="s">
        <v>3817</v>
      </c>
      <c r="AZ366" s="3" t="s">
        <v>3818</v>
      </c>
      <c r="BA366" s="3" t="s">
        <v>3818</v>
      </c>
      <c r="BB366" s="3" t="s">
        <v>3836</v>
      </c>
      <c r="BC366" s="3" t="s">
        <v>78</v>
      </c>
      <c r="BD366" s="3" t="s">
        <v>79</v>
      </c>
      <c r="BE366" s="3" t="s">
        <v>3820</v>
      </c>
      <c r="BF366" s="3" t="s">
        <v>3836</v>
      </c>
      <c r="BG366" s="3" t="s">
        <v>3837</v>
      </c>
    </row>
    <row r="367" spans="1:59" ht="116" x14ac:dyDescent="0.35">
      <c r="A367" s="2" t="s">
        <v>59</v>
      </c>
      <c r="B367" s="2" t="s">
        <v>3778</v>
      </c>
      <c r="C367" s="2" t="s">
        <v>3808</v>
      </c>
      <c r="D367" s="2" t="s">
        <v>3809</v>
      </c>
      <c r="E367" s="2" t="s">
        <v>3810</v>
      </c>
      <c r="F367" s="3" t="s">
        <v>3838</v>
      </c>
      <c r="G367" s="3" t="s">
        <v>73</v>
      </c>
      <c r="I367" s="3" t="s">
        <v>73</v>
      </c>
      <c r="J367" s="3" t="s">
        <v>64</v>
      </c>
      <c r="K367" s="3" t="s">
        <v>65</v>
      </c>
      <c r="M367" s="2" t="s">
        <v>3812</v>
      </c>
      <c r="N367" s="3" t="s">
        <v>340</v>
      </c>
      <c r="O367" s="2" t="s">
        <v>3813</v>
      </c>
      <c r="P367" s="3" t="s">
        <v>3784</v>
      </c>
      <c r="R367" s="3" t="s">
        <v>70</v>
      </c>
      <c r="S367" s="4">
        <v>4</v>
      </c>
      <c r="T367" s="4">
        <v>110</v>
      </c>
      <c r="U367" s="5" t="s">
        <v>3839</v>
      </c>
      <c r="V367" s="5" t="s">
        <v>3815</v>
      </c>
      <c r="W367" s="5" t="s">
        <v>72</v>
      </c>
      <c r="X367" s="5" t="s">
        <v>72</v>
      </c>
      <c r="Y367" s="4">
        <v>31</v>
      </c>
      <c r="Z367" s="4">
        <v>5</v>
      </c>
      <c r="AA367" s="4">
        <v>5</v>
      </c>
      <c r="AB367" s="4">
        <v>1</v>
      </c>
      <c r="AC367" s="4">
        <v>1</v>
      </c>
      <c r="AD367" s="4">
        <v>23</v>
      </c>
      <c r="AE367" s="4">
        <v>23</v>
      </c>
      <c r="AF367" s="4">
        <v>0</v>
      </c>
      <c r="AG367" s="4">
        <v>0</v>
      </c>
      <c r="AH367" s="4">
        <v>21</v>
      </c>
      <c r="AI367" s="4">
        <v>21</v>
      </c>
      <c r="AJ367" s="4">
        <v>2</v>
      </c>
      <c r="AK367" s="4">
        <v>2</v>
      </c>
      <c r="AL367" s="4">
        <v>20</v>
      </c>
      <c r="AM367" s="4">
        <v>20</v>
      </c>
      <c r="AN367" s="4">
        <v>0</v>
      </c>
      <c r="AO367" s="4">
        <v>0</v>
      </c>
      <c r="AP367" s="4">
        <v>2</v>
      </c>
      <c r="AQ367" s="4">
        <v>2</v>
      </c>
      <c r="AR367" s="3" t="s">
        <v>64</v>
      </c>
      <c r="AS367" s="3" t="s">
        <v>64</v>
      </c>
      <c r="AT367" s="3" t="s">
        <v>73</v>
      </c>
      <c r="AU367" s="6" t="str">
        <f t="shared" si="3"/>
        <v>HathiTrust Record</v>
      </c>
      <c r="AV367" s="6" t="str">
        <f t="shared" si="4"/>
        <v>Catalog Record</v>
      </c>
      <c r="AW367" s="6" t="str">
        <f t="shared" si="5"/>
        <v>WorldCat Record</v>
      </c>
      <c r="AX367" s="3" t="s">
        <v>3816</v>
      </c>
      <c r="AY367" s="3" t="s">
        <v>3817</v>
      </c>
      <c r="AZ367" s="3" t="s">
        <v>3818</v>
      </c>
      <c r="BA367" s="3" t="s">
        <v>3818</v>
      </c>
      <c r="BB367" s="3" t="s">
        <v>3840</v>
      </c>
      <c r="BC367" s="3" t="s">
        <v>78</v>
      </c>
      <c r="BD367" s="3" t="s">
        <v>79</v>
      </c>
      <c r="BE367" s="3" t="s">
        <v>3820</v>
      </c>
      <c r="BF367" s="3" t="s">
        <v>3840</v>
      </c>
      <c r="BG367" s="3" t="s">
        <v>3841</v>
      </c>
    </row>
    <row r="368" spans="1:59" ht="116" x14ac:dyDescent="0.35">
      <c r="A368" s="2" t="s">
        <v>59</v>
      </c>
      <c r="B368" s="2" t="s">
        <v>3778</v>
      </c>
      <c r="C368" s="2" t="s">
        <v>3808</v>
      </c>
      <c r="D368" s="2" t="s">
        <v>3809</v>
      </c>
      <c r="E368" s="2" t="s">
        <v>3810</v>
      </c>
      <c r="F368" s="3" t="s">
        <v>3842</v>
      </c>
      <c r="G368" s="3" t="s">
        <v>73</v>
      </c>
      <c r="I368" s="3" t="s">
        <v>73</v>
      </c>
      <c r="J368" s="3" t="s">
        <v>64</v>
      </c>
      <c r="K368" s="3" t="s">
        <v>65</v>
      </c>
      <c r="M368" s="2" t="s">
        <v>3812</v>
      </c>
      <c r="N368" s="3" t="s">
        <v>340</v>
      </c>
      <c r="O368" s="2" t="s">
        <v>3813</v>
      </c>
      <c r="P368" s="3" t="s">
        <v>3784</v>
      </c>
      <c r="R368" s="3" t="s">
        <v>70</v>
      </c>
      <c r="S368" s="4">
        <v>7</v>
      </c>
      <c r="T368" s="4">
        <v>110</v>
      </c>
      <c r="U368" s="5" t="s">
        <v>3843</v>
      </c>
      <c r="V368" s="5" t="s">
        <v>3815</v>
      </c>
      <c r="W368" s="5" t="s">
        <v>72</v>
      </c>
      <c r="X368" s="5" t="s">
        <v>72</v>
      </c>
      <c r="Y368" s="4">
        <v>31</v>
      </c>
      <c r="Z368" s="4">
        <v>5</v>
      </c>
      <c r="AA368" s="4">
        <v>5</v>
      </c>
      <c r="AB368" s="4">
        <v>1</v>
      </c>
      <c r="AC368" s="4">
        <v>1</v>
      </c>
      <c r="AD368" s="4">
        <v>23</v>
      </c>
      <c r="AE368" s="4">
        <v>23</v>
      </c>
      <c r="AF368" s="4">
        <v>0</v>
      </c>
      <c r="AG368" s="4">
        <v>0</v>
      </c>
      <c r="AH368" s="4">
        <v>21</v>
      </c>
      <c r="AI368" s="4">
        <v>21</v>
      </c>
      <c r="AJ368" s="4">
        <v>2</v>
      </c>
      <c r="AK368" s="4">
        <v>2</v>
      </c>
      <c r="AL368" s="4">
        <v>20</v>
      </c>
      <c r="AM368" s="4">
        <v>20</v>
      </c>
      <c r="AN368" s="4">
        <v>0</v>
      </c>
      <c r="AO368" s="4">
        <v>0</v>
      </c>
      <c r="AP368" s="4">
        <v>2</v>
      </c>
      <c r="AQ368" s="4">
        <v>2</v>
      </c>
      <c r="AR368" s="3" t="s">
        <v>64</v>
      </c>
      <c r="AS368" s="3" t="s">
        <v>64</v>
      </c>
      <c r="AT368" s="3" t="s">
        <v>73</v>
      </c>
      <c r="AU368" s="6" t="str">
        <f t="shared" si="3"/>
        <v>HathiTrust Record</v>
      </c>
      <c r="AV368" s="6" t="str">
        <f t="shared" si="4"/>
        <v>Catalog Record</v>
      </c>
      <c r="AW368" s="6" t="str">
        <f t="shared" si="5"/>
        <v>WorldCat Record</v>
      </c>
      <c r="AX368" s="3" t="s">
        <v>3816</v>
      </c>
      <c r="AY368" s="3" t="s">
        <v>3817</v>
      </c>
      <c r="AZ368" s="3" t="s">
        <v>3818</v>
      </c>
      <c r="BA368" s="3" t="s">
        <v>3818</v>
      </c>
      <c r="BB368" s="3" t="s">
        <v>3844</v>
      </c>
      <c r="BC368" s="3" t="s">
        <v>78</v>
      </c>
      <c r="BD368" s="3" t="s">
        <v>79</v>
      </c>
      <c r="BE368" s="3" t="s">
        <v>3820</v>
      </c>
      <c r="BF368" s="3" t="s">
        <v>3844</v>
      </c>
      <c r="BG368" s="3" t="s">
        <v>3845</v>
      </c>
    </row>
    <row r="369" spans="1:59" ht="116" x14ac:dyDescent="0.35">
      <c r="A369" s="2" t="s">
        <v>59</v>
      </c>
      <c r="B369" s="2" t="s">
        <v>3778</v>
      </c>
      <c r="C369" s="2" t="s">
        <v>3808</v>
      </c>
      <c r="D369" s="2" t="s">
        <v>3809</v>
      </c>
      <c r="E369" s="2" t="s">
        <v>3810</v>
      </c>
      <c r="F369" s="3" t="s">
        <v>3846</v>
      </c>
      <c r="G369" s="3" t="s">
        <v>73</v>
      </c>
      <c r="I369" s="3" t="s">
        <v>73</v>
      </c>
      <c r="J369" s="3" t="s">
        <v>64</v>
      </c>
      <c r="K369" s="3" t="s">
        <v>65</v>
      </c>
      <c r="M369" s="2" t="s">
        <v>3812</v>
      </c>
      <c r="N369" s="3" t="s">
        <v>340</v>
      </c>
      <c r="O369" s="2" t="s">
        <v>3813</v>
      </c>
      <c r="P369" s="3" t="s">
        <v>3784</v>
      </c>
      <c r="R369" s="3" t="s">
        <v>70</v>
      </c>
      <c r="S369" s="4">
        <v>5</v>
      </c>
      <c r="T369" s="4">
        <v>110</v>
      </c>
      <c r="U369" s="5" t="s">
        <v>3847</v>
      </c>
      <c r="V369" s="5" t="s">
        <v>3815</v>
      </c>
      <c r="W369" s="5" t="s">
        <v>72</v>
      </c>
      <c r="X369" s="5" t="s">
        <v>72</v>
      </c>
      <c r="Y369" s="4">
        <v>31</v>
      </c>
      <c r="Z369" s="4">
        <v>5</v>
      </c>
      <c r="AA369" s="4">
        <v>5</v>
      </c>
      <c r="AB369" s="4">
        <v>1</v>
      </c>
      <c r="AC369" s="4">
        <v>1</v>
      </c>
      <c r="AD369" s="4">
        <v>23</v>
      </c>
      <c r="AE369" s="4">
        <v>23</v>
      </c>
      <c r="AF369" s="4">
        <v>0</v>
      </c>
      <c r="AG369" s="4">
        <v>0</v>
      </c>
      <c r="AH369" s="4">
        <v>21</v>
      </c>
      <c r="AI369" s="4">
        <v>21</v>
      </c>
      <c r="AJ369" s="4">
        <v>2</v>
      </c>
      <c r="AK369" s="4">
        <v>2</v>
      </c>
      <c r="AL369" s="4">
        <v>20</v>
      </c>
      <c r="AM369" s="4">
        <v>20</v>
      </c>
      <c r="AN369" s="4">
        <v>0</v>
      </c>
      <c r="AO369" s="4">
        <v>0</v>
      </c>
      <c r="AP369" s="4">
        <v>2</v>
      </c>
      <c r="AQ369" s="4">
        <v>2</v>
      </c>
      <c r="AR369" s="3" t="s">
        <v>64</v>
      </c>
      <c r="AS369" s="3" t="s">
        <v>64</v>
      </c>
      <c r="AT369" s="3" t="s">
        <v>73</v>
      </c>
      <c r="AU369" s="6" t="str">
        <f t="shared" si="3"/>
        <v>HathiTrust Record</v>
      </c>
      <c r="AV369" s="6" t="str">
        <f t="shared" si="4"/>
        <v>Catalog Record</v>
      </c>
      <c r="AW369" s="6" t="str">
        <f t="shared" si="5"/>
        <v>WorldCat Record</v>
      </c>
      <c r="AX369" s="3" t="s">
        <v>3816</v>
      </c>
      <c r="AY369" s="3" t="s">
        <v>3817</v>
      </c>
      <c r="AZ369" s="3" t="s">
        <v>3818</v>
      </c>
      <c r="BA369" s="3" t="s">
        <v>3818</v>
      </c>
      <c r="BB369" s="3" t="s">
        <v>3848</v>
      </c>
      <c r="BC369" s="3" t="s">
        <v>78</v>
      </c>
      <c r="BD369" s="3" t="s">
        <v>79</v>
      </c>
      <c r="BE369" s="3" t="s">
        <v>3820</v>
      </c>
      <c r="BF369" s="3" t="s">
        <v>3848</v>
      </c>
      <c r="BG369" s="3" t="s">
        <v>3849</v>
      </c>
    </row>
    <row r="370" spans="1:59" ht="116" x14ac:dyDescent="0.35">
      <c r="A370" s="2" t="s">
        <v>59</v>
      </c>
      <c r="B370" s="2" t="s">
        <v>3778</v>
      </c>
      <c r="C370" s="2" t="s">
        <v>3808</v>
      </c>
      <c r="D370" s="2" t="s">
        <v>3809</v>
      </c>
      <c r="E370" s="2" t="s">
        <v>3810</v>
      </c>
      <c r="F370" s="3" t="s">
        <v>3653</v>
      </c>
      <c r="G370" s="3" t="s">
        <v>73</v>
      </c>
      <c r="I370" s="3" t="s">
        <v>73</v>
      </c>
      <c r="J370" s="3" t="s">
        <v>64</v>
      </c>
      <c r="K370" s="3" t="s">
        <v>65</v>
      </c>
      <c r="M370" s="2" t="s">
        <v>3812</v>
      </c>
      <c r="N370" s="3" t="s">
        <v>340</v>
      </c>
      <c r="O370" s="2" t="s">
        <v>3813</v>
      </c>
      <c r="P370" s="3" t="s">
        <v>3784</v>
      </c>
      <c r="R370" s="3" t="s">
        <v>70</v>
      </c>
      <c r="S370" s="4">
        <v>9</v>
      </c>
      <c r="T370" s="4">
        <v>110</v>
      </c>
      <c r="U370" s="5" t="s">
        <v>3815</v>
      </c>
      <c r="V370" s="5" t="s">
        <v>3815</v>
      </c>
      <c r="W370" s="5" t="s">
        <v>72</v>
      </c>
      <c r="X370" s="5" t="s">
        <v>72</v>
      </c>
      <c r="Y370" s="4">
        <v>31</v>
      </c>
      <c r="Z370" s="4">
        <v>5</v>
      </c>
      <c r="AA370" s="4">
        <v>5</v>
      </c>
      <c r="AB370" s="4">
        <v>1</v>
      </c>
      <c r="AC370" s="4">
        <v>1</v>
      </c>
      <c r="AD370" s="4">
        <v>23</v>
      </c>
      <c r="AE370" s="4">
        <v>23</v>
      </c>
      <c r="AF370" s="4">
        <v>0</v>
      </c>
      <c r="AG370" s="4">
        <v>0</v>
      </c>
      <c r="AH370" s="4">
        <v>21</v>
      </c>
      <c r="AI370" s="4">
        <v>21</v>
      </c>
      <c r="AJ370" s="4">
        <v>2</v>
      </c>
      <c r="AK370" s="4">
        <v>2</v>
      </c>
      <c r="AL370" s="4">
        <v>20</v>
      </c>
      <c r="AM370" s="4">
        <v>20</v>
      </c>
      <c r="AN370" s="4">
        <v>0</v>
      </c>
      <c r="AO370" s="4">
        <v>0</v>
      </c>
      <c r="AP370" s="4">
        <v>2</v>
      </c>
      <c r="AQ370" s="4">
        <v>2</v>
      </c>
      <c r="AR370" s="3" t="s">
        <v>64</v>
      </c>
      <c r="AS370" s="3" t="s">
        <v>64</v>
      </c>
      <c r="AT370" s="3" t="s">
        <v>73</v>
      </c>
      <c r="AU370" s="6" t="str">
        <f t="shared" si="3"/>
        <v>HathiTrust Record</v>
      </c>
      <c r="AV370" s="6" t="str">
        <f t="shared" si="4"/>
        <v>Catalog Record</v>
      </c>
      <c r="AW370" s="6" t="str">
        <f t="shared" si="5"/>
        <v>WorldCat Record</v>
      </c>
      <c r="AX370" s="3" t="s">
        <v>3816</v>
      </c>
      <c r="AY370" s="3" t="s">
        <v>3817</v>
      </c>
      <c r="AZ370" s="3" t="s">
        <v>3818</v>
      </c>
      <c r="BA370" s="3" t="s">
        <v>3818</v>
      </c>
      <c r="BB370" s="3" t="s">
        <v>3850</v>
      </c>
      <c r="BC370" s="3" t="s">
        <v>78</v>
      </c>
      <c r="BD370" s="3" t="s">
        <v>414</v>
      </c>
      <c r="BE370" s="3" t="s">
        <v>3820</v>
      </c>
      <c r="BF370" s="3" t="s">
        <v>3850</v>
      </c>
      <c r="BG370" s="3" t="s">
        <v>3851</v>
      </c>
    </row>
    <row r="371" spans="1:59" ht="116" x14ac:dyDescent="0.35">
      <c r="A371" s="2" t="s">
        <v>59</v>
      </c>
      <c r="B371" s="2" t="s">
        <v>3778</v>
      </c>
      <c r="C371" s="2" t="s">
        <v>3808</v>
      </c>
      <c r="D371" s="2" t="s">
        <v>3809</v>
      </c>
      <c r="E371" s="2" t="s">
        <v>3810</v>
      </c>
      <c r="F371" s="3" t="s">
        <v>3852</v>
      </c>
      <c r="G371" s="3" t="s">
        <v>73</v>
      </c>
      <c r="I371" s="3" t="s">
        <v>73</v>
      </c>
      <c r="J371" s="3" t="s">
        <v>64</v>
      </c>
      <c r="K371" s="3" t="s">
        <v>65</v>
      </c>
      <c r="M371" s="2" t="s">
        <v>3812</v>
      </c>
      <c r="N371" s="3" t="s">
        <v>340</v>
      </c>
      <c r="O371" s="2" t="s">
        <v>3813</v>
      </c>
      <c r="P371" s="3" t="s">
        <v>3784</v>
      </c>
      <c r="R371" s="3" t="s">
        <v>70</v>
      </c>
      <c r="S371" s="4">
        <v>2</v>
      </c>
      <c r="T371" s="4">
        <v>110</v>
      </c>
      <c r="U371" s="5" t="s">
        <v>3823</v>
      </c>
      <c r="V371" s="5" t="s">
        <v>3815</v>
      </c>
      <c r="W371" s="5" t="s">
        <v>72</v>
      </c>
      <c r="X371" s="5" t="s">
        <v>72</v>
      </c>
      <c r="Y371" s="4">
        <v>31</v>
      </c>
      <c r="Z371" s="4">
        <v>5</v>
      </c>
      <c r="AA371" s="4">
        <v>5</v>
      </c>
      <c r="AB371" s="4">
        <v>1</v>
      </c>
      <c r="AC371" s="4">
        <v>1</v>
      </c>
      <c r="AD371" s="4">
        <v>23</v>
      </c>
      <c r="AE371" s="4">
        <v>23</v>
      </c>
      <c r="AF371" s="4">
        <v>0</v>
      </c>
      <c r="AG371" s="4">
        <v>0</v>
      </c>
      <c r="AH371" s="4">
        <v>21</v>
      </c>
      <c r="AI371" s="4">
        <v>21</v>
      </c>
      <c r="AJ371" s="4">
        <v>2</v>
      </c>
      <c r="AK371" s="4">
        <v>2</v>
      </c>
      <c r="AL371" s="4">
        <v>20</v>
      </c>
      <c r="AM371" s="4">
        <v>20</v>
      </c>
      <c r="AN371" s="4">
        <v>0</v>
      </c>
      <c r="AO371" s="4">
        <v>0</v>
      </c>
      <c r="AP371" s="4">
        <v>2</v>
      </c>
      <c r="AQ371" s="4">
        <v>2</v>
      </c>
      <c r="AR371" s="3" t="s">
        <v>64</v>
      </c>
      <c r="AS371" s="3" t="s">
        <v>64</v>
      </c>
      <c r="AT371" s="3" t="s">
        <v>73</v>
      </c>
      <c r="AU371" s="6" t="str">
        <f t="shared" si="3"/>
        <v>HathiTrust Record</v>
      </c>
      <c r="AV371" s="6" t="str">
        <f t="shared" si="4"/>
        <v>Catalog Record</v>
      </c>
      <c r="AW371" s="6" t="str">
        <f t="shared" si="5"/>
        <v>WorldCat Record</v>
      </c>
      <c r="AX371" s="3" t="s">
        <v>3816</v>
      </c>
      <c r="AY371" s="3" t="s">
        <v>3817</v>
      </c>
      <c r="AZ371" s="3" t="s">
        <v>3818</v>
      </c>
      <c r="BA371" s="3" t="s">
        <v>3818</v>
      </c>
      <c r="BB371" s="3" t="s">
        <v>3853</v>
      </c>
      <c r="BC371" s="3" t="s">
        <v>78</v>
      </c>
      <c r="BD371" s="3" t="s">
        <v>79</v>
      </c>
      <c r="BE371" s="3" t="s">
        <v>3820</v>
      </c>
      <c r="BF371" s="3" t="s">
        <v>3853</v>
      </c>
      <c r="BG371" s="3" t="s">
        <v>3854</v>
      </c>
    </row>
    <row r="372" spans="1:59" ht="116" x14ac:dyDescent="0.35">
      <c r="A372" s="2" t="s">
        <v>59</v>
      </c>
      <c r="B372" s="2" t="s">
        <v>3778</v>
      </c>
      <c r="C372" s="2" t="s">
        <v>3808</v>
      </c>
      <c r="D372" s="2" t="s">
        <v>3809</v>
      </c>
      <c r="E372" s="2" t="s">
        <v>3810</v>
      </c>
      <c r="F372" s="3" t="s">
        <v>3855</v>
      </c>
      <c r="G372" s="3" t="s">
        <v>73</v>
      </c>
      <c r="I372" s="3" t="s">
        <v>73</v>
      </c>
      <c r="J372" s="3" t="s">
        <v>64</v>
      </c>
      <c r="K372" s="3" t="s">
        <v>65</v>
      </c>
      <c r="M372" s="2" t="s">
        <v>3812</v>
      </c>
      <c r="N372" s="3" t="s">
        <v>340</v>
      </c>
      <c r="O372" s="2" t="s">
        <v>3813</v>
      </c>
      <c r="P372" s="3" t="s">
        <v>3784</v>
      </c>
      <c r="R372" s="3" t="s">
        <v>70</v>
      </c>
      <c r="S372" s="4">
        <v>5</v>
      </c>
      <c r="T372" s="4">
        <v>110</v>
      </c>
      <c r="U372" s="5" t="s">
        <v>3847</v>
      </c>
      <c r="V372" s="5" t="s">
        <v>3815</v>
      </c>
      <c r="W372" s="5" t="s">
        <v>72</v>
      </c>
      <c r="X372" s="5" t="s">
        <v>72</v>
      </c>
      <c r="Y372" s="4">
        <v>31</v>
      </c>
      <c r="Z372" s="4">
        <v>5</v>
      </c>
      <c r="AA372" s="4">
        <v>5</v>
      </c>
      <c r="AB372" s="4">
        <v>1</v>
      </c>
      <c r="AC372" s="4">
        <v>1</v>
      </c>
      <c r="AD372" s="4">
        <v>23</v>
      </c>
      <c r="AE372" s="4">
        <v>23</v>
      </c>
      <c r="AF372" s="4">
        <v>0</v>
      </c>
      <c r="AG372" s="4">
        <v>0</v>
      </c>
      <c r="AH372" s="4">
        <v>21</v>
      </c>
      <c r="AI372" s="4">
        <v>21</v>
      </c>
      <c r="AJ372" s="4">
        <v>2</v>
      </c>
      <c r="AK372" s="4">
        <v>2</v>
      </c>
      <c r="AL372" s="4">
        <v>20</v>
      </c>
      <c r="AM372" s="4">
        <v>20</v>
      </c>
      <c r="AN372" s="4">
        <v>0</v>
      </c>
      <c r="AO372" s="4">
        <v>0</v>
      </c>
      <c r="AP372" s="4">
        <v>2</v>
      </c>
      <c r="AQ372" s="4">
        <v>2</v>
      </c>
      <c r="AR372" s="3" t="s">
        <v>64</v>
      </c>
      <c r="AS372" s="3" t="s">
        <v>64</v>
      </c>
      <c r="AT372" s="3" t="s">
        <v>73</v>
      </c>
      <c r="AU372" s="6" t="str">
        <f t="shared" si="3"/>
        <v>HathiTrust Record</v>
      </c>
      <c r="AV372" s="6" t="str">
        <f t="shared" si="4"/>
        <v>Catalog Record</v>
      </c>
      <c r="AW372" s="6" t="str">
        <f t="shared" si="5"/>
        <v>WorldCat Record</v>
      </c>
      <c r="AX372" s="3" t="s">
        <v>3816</v>
      </c>
      <c r="AY372" s="3" t="s">
        <v>3817</v>
      </c>
      <c r="AZ372" s="3" t="s">
        <v>3818</v>
      </c>
      <c r="BA372" s="3" t="s">
        <v>3818</v>
      </c>
      <c r="BB372" s="3" t="s">
        <v>3856</v>
      </c>
      <c r="BC372" s="3" t="s">
        <v>78</v>
      </c>
      <c r="BD372" s="3" t="s">
        <v>79</v>
      </c>
      <c r="BE372" s="3" t="s">
        <v>3820</v>
      </c>
      <c r="BF372" s="3" t="s">
        <v>3856</v>
      </c>
      <c r="BG372" s="3" t="s">
        <v>3857</v>
      </c>
    </row>
    <row r="373" spans="1:59" ht="116" x14ac:dyDescent="0.35">
      <c r="A373" s="2" t="s">
        <v>59</v>
      </c>
      <c r="B373" s="2" t="s">
        <v>3778</v>
      </c>
      <c r="C373" s="2" t="s">
        <v>3808</v>
      </c>
      <c r="D373" s="2" t="s">
        <v>3809</v>
      </c>
      <c r="E373" s="2" t="s">
        <v>3810</v>
      </c>
      <c r="F373" s="3" t="s">
        <v>3858</v>
      </c>
      <c r="G373" s="3" t="s">
        <v>73</v>
      </c>
      <c r="I373" s="3" t="s">
        <v>73</v>
      </c>
      <c r="J373" s="3" t="s">
        <v>64</v>
      </c>
      <c r="K373" s="3" t="s">
        <v>65</v>
      </c>
      <c r="M373" s="2" t="s">
        <v>3812</v>
      </c>
      <c r="N373" s="3" t="s">
        <v>340</v>
      </c>
      <c r="O373" s="2" t="s">
        <v>3813</v>
      </c>
      <c r="P373" s="3" t="s">
        <v>3784</v>
      </c>
      <c r="R373" s="3" t="s">
        <v>70</v>
      </c>
      <c r="S373" s="4">
        <v>7</v>
      </c>
      <c r="T373" s="4">
        <v>110</v>
      </c>
      <c r="U373" s="5" t="s">
        <v>3815</v>
      </c>
      <c r="V373" s="5" t="s">
        <v>3815</v>
      </c>
      <c r="W373" s="5" t="s">
        <v>72</v>
      </c>
      <c r="X373" s="5" t="s">
        <v>72</v>
      </c>
      <c r="Y373" s="4">
        <v>31</v>
      </c>
      <c r="Z373" s="4">
        <v>5</v>
      </c>
      <c r="AA373" s="4">
        <v>5</v>
      </c>
      <c r="AB373" s="4">
        <v>1</v>
      </c>
      <c r="AC373" s="4">
        <v>1</v>
      </c>
      <c r="AD373" s="4">
        <v>23</v>
      </c>
      <c r="AE373" s="4">
        <v>23</v>
      </c>
      <c r="AF373" s="4">
        <v>0</v>
      </c>
      <c r="AG373" s="4">
        <v>0</v>
      </c>
      <c r="AH373" s="4">
        <v>21</v>
      </c>
      <c r="AI373" s="4">
        <v>21</v>
      </c>
      <c r="AJ373" s="4">
        <v>2</v>
      </c>
      <c r="AK373" s="4">
        <v>2</v>
      </c>
      <c r="AL373" s="4">
        <v>20</v>
      </c>
      <c r="AM373" s="4">
        <v>20</v>
      </c>
      <c r="AN373" s="4">
        <v>0</v>
      </c>
      <c r="AO373" s="4">
        <v>0</v>
      </c>
      <c r="AP373" s="4">
        <v>2</v>
      </c>
      <c r="AQ373" s="4">
        <v>2</v>
      </c>
      <c r="AR373" s="3" t="s">
        <v>64</v>
      </c>
      <c r="AS373" s="3" t="s">
        <v>64</v>
      </c>
      <c r="AT373" s="3" t="s">
        <v>73</v>
      </c>
      <c r="AU373" s="6" t="str">
        <f t="shared" si="3"/>
        <v>HathiTrust Record</v>
      </c>
      <c r="AV373" s="6" t="str">
        <f t="shared" si="4"/>
        <v>Catalog Record</v>
      </c>
      <c r="AW373" s="6" t="str">
        <f t="shared" si="5"/>
        <v>WorldCat Record</v>
      </c>
      <c r="AX373" s="3" t="s">
        <v>3816</v>
      </c>
      <c r="AY373" s="3" t="s">
        <v>3817</v>
      </c>
      <c r="AZ373" s="3" t="s">
        <v>3818</v>
      </c>
      <c r="BA373" s="3" t="s">
        <v>3818</v>
      </c>
      <c r="BB373" s="3" t="s">
        <v>3859</v>
      </c>
      <c r="BC373" s="3" t="s">
        <v>78</v>
      </c>
      <c r="BD373" s="3" t="s">
        <v>414</v>
      </c>
      <c r="BE373" s="3" t="s">
        <v>3820</v>
      </c>
      <c r="BF373" s="3" t="s">
        <v>3859</v>
      </c>
      <c r="BG373" s="3" t="s">
        <v>3860</v>
      </c>
    </row>
    <row r="374" spans="1:59" ht="116" x14ac:dyDescent="0.35">
      <c r="A374" s="2" t="s">
        <v>59</v>
      </c>
      <c r="B374" s="2" t="s">
        <v>3778</v>
      </c>
      <c r="C374" s="2" t="s">
        <v>3808</v>
      </c>
      <c r="D374" s="2" t="s">
        <v>3809</v>
      </c>
      <c r="E374" s="2" t="s">
        <v>3810</v>
      </c>
      <c r="F374" s="3" t="s">
        <v>3861</v>
      </c>
      <c r="G374" s="3" t="s">
        <v>73</v>
      </c>
      <c r="I374" s="3" t="s">
        <v>73</v>
      </c>
      <c r="J374" s="3" t="s">
        <v>64</v>
      </c>
      <c r="K374" s="3" t="s">
        <v>65</v>
      </c>
      <c r="M374" s="2" t="s">
        <v>3812</v>
      </c>
      <c r="N374" s="3" t="s">
        <v>340</v>
      </c>
      <c r="O374" s="2" t="s">
        <v>3813</v>
      </c>
      <c r="P374" s="3" t="s">
        <v>3784</v>
      </c>
      <c r="R374" s="3" t="s">
        <v>70</v>
      </c>
      <c r="S374" s="4">
        <v>6</v>
      </c>
      <c r="T374" s="4">
        <v>110</v>
      </c>
      <c r="U374" s="5" t="s">
        <v>3815</v>
      </c>
      <c r="V374" s="5" t="s">
        <v>3815</v>
      </c>
      <c r="W374" s="5" t="s">
        <v>72</v>
      </c>
      <c r="X374" s="5" t="s">
        <v>72</v>
      </c>
      <c r="Y374" s="4">
        <v>31</v>
      </c>
      <c r="Z374" s="4">
        <v>5</v>
      </c>
      <c r="AA374" s="4">
        <v>5</v>
      </c>
      <c r="AB374" s="4">
        <v>1</v>
      </c>
      <c r="AC374" s="4">
        <v>1</v>
      </c>
      <c r="AD374" s="4">
        <v>23</v>
      </c>
      <c r="AE374" s="4">
        <v>23</v>
      </c>
      <c r="AF374" s="4">
        <v>0</v>
      </c>
      <c r="AG374" s="4">
        <v>0</v>
      </c>
      <c r="AH374" s="4">
        <v>21</v>
      </c>
      <c r="AI374" s="4">
        <v>21</v>
      </c>
      <c r="AJ374" s="4">
        <v>2</v>
      </c>
      <c r="AK374" s="4">
        <v>2</v>
      </c>
      <c r="AL374" s="4">
        <v>20</v>
      </c>
      <c r="AM374" s="4">
        <v>20</v>
      </c>
      <c r="AN374" s="4">
        <v>0</v>
      </c>
      <c r="AO374" s="4">
        <v>0</v>
      </c>
      <c r="AP374" s="4">
        <v>2</v>
      </c>
      <c r="AQ374" s="4">
        <v>2</v>
      </c>
      <c r="AR374" s="3" t="s">
        <v>64</v>
      </c>
      <c r="AS374" s="3" t="s">
        <v>64</v>
      </c>
      <c r="AT374" s="3" t="s">
        <v>73</v>
      </c>
      <c r="AU374" s="6" t="str">
        <f t="shared" si="3"/>
        <v>HathiTrust Record</v>
      </c>
      <c r="AV374" s="6" t="str">
        <f t="shared" si="4"/>
        <v>Catalog Record</v>
      </c>
      <c r="AW374" s="6" t="str">
        <f t="shared" si="5"/>
        <v>WorldCat Record</v>
      </c>
      <c r="AX374" s="3" t="s">
        <v>3816</v>
      </c>
      <c r="AY374" s="3" t="s">
        <v>3817</v>
      </c>
      <c r="AZ374" s="3" t="s">
        <v>3818</v>
      </c>
      <c r="BA374" s="3" t="s">
        <v>3818</v>
      </c>
      <c r="BB374" s="3" t="s">
        <v>3862</v>
      </c>
      <c r="BC374" s="3" t="s">
        <v>78</v>
      </c>
      <c r="BD374" s="3" t="s">
        <v>414</v>
      </c>
      <c r="BE374" s="3" t="s">
        <v>3820</v>
      </c>
      <c r="BF374" s="3" t="s">
        <v>3862</v>
      </c>
      <c r="BG374" s="3" t="s">
        <v>3863</v>
      </c>
    </row>
    <row r="375" spans="1:59" ht="116" x14ac:dyDescent="0.35">
      <c r="A375" s="2" t="s">
        <v>59</v>
      </c>
      <c r="B375" s="2" t="s">
        <v>3778</v>
      </c>
      <c r="C375" s="2" t="s">
        <v>3808</v>
      </c>
      <c r="D375" s="2" t="s">
        <v>3809</v>
      </c>
      <c r="E375" s="2" t="s">
        <v>3810</v>
      </c>
      <c r="F375" s="3" t="s">
        <v>3864</v>
      </c>
      <c r="G375" s="3" t="s">
        <v>73</v>
      </c>
      <c r="I375" s="3" t="s">
        <v>73</v>
      </c>
      <c r="J375" s="3" t="s">
        <v>64</v>
      </c>
      <c r="K375" s="3" t="s">
        <v>65</v>
      </c>
      <c r="M375" s="2" t="s">
        <v>3812</v>
      </c>
      <c r="N375" s="3" t="s">
        <v>340</v>
      </c>
      <c r="O375" s="2" t="s">
        <v>3813</v>
      </c>
      <c r="P375" s="3" t="s">
        <v>3784</v>
      </c>
      <c r="R375" s="3" t="s">
        <v>70</v>
      </c>
      <c r="S375" s="4">
        <v>6</v>
      </c>
      <c r="T375" s="4">
        <v>110</v>
      </c>
      <c r="U375" s="5" t="s">
        <v>3865</v>
      </c>
      <c r="V375" s="5" t="s">
        <v>3815</v>
      </c>
      <c r="W375" s="5" t="s">
        <v>72</v>
      </c>
      <c r="X375" s="5" t="s">
        <v>72</v>
      </c>
      <c r="Y375" s="4">
        <v>31</v>
      </c>
      <c r="Z375" s="4">
        <v>5</v>
      </c>
      <c r="AA375" s="4">
        <v>5</v>
      </c>
      <c r="AB375" s="4">
        <v>1</v>
      </c>
      <c r="AC375" s="4">
        <v>1</v>
      </c>
      <c r="AD375" s="4">
        <v>23</v>
      </c>
      <c r="AE375" s="4">
        <v>23</v>
      </c>
      <c r="AF375" s="4">
        <v>0</v>
      </c>
      <c r="AG375" s="4">
        <v>0</v>
      </c>
      <c r="AH375" s="4">
        <v>21</v>
      </c>
      <c r="AI375" s="4">
        <v>21</v>
      </c>
      <c r="AJ375" s="4">
        <v>2</v>
      </c>
      <c r="AK375" s="4">
        <v>2</v>
      </c>
      <c r="AL375" s="4">
        <v>20</v>
      </c>
      <c r="AM375" s="4">
        <v>20</v>
      </c>
      <c r="AN375" s="4">
        <v>0</v>
      </c>
      <c r="AO375" s="4">
        <v>0</v>
      </c>
      <c r="AP375" s="4">
        <v>2</v>
      </c>
      <c r="AQ375" s="4">
        <v>2</v>
      </c>
      <c r="AR375" s="3" t="s">
        <v>64</v>
      </c>
      <c r="AS375" s="3" t="s">
        <v>64</v>
      </c>
      <c r="AT375" s="3" t="s">
        <v>73</v>
      </c>
      <c r="AU375" s="6" t="str">
        <f t="shared" si="3"/>
        <v>HathiTrust Record</v>
      </c>
      <c r="AV375" s="6" t="str">
        <f t="shared" si="4"/>
        <v>Catalog Record</v>
      </c>
      <c r="AW375" s="6" t="str">
        <f t="shared" si="5"/>
        <v>WorldCat Record</v>
      </c>
      <c r="AX375" s="3" t="s">
        <v>3816</v>
      </c>
      <c r="AY375" s="3" t="s">
        <v>3817</v>
      </c>
      <c r="AZ375" s="3" t="s">
        <v>3818</v>
      </c>
      <c r="BA375" s="3" t="s">
        <v>3818</v>
      </c>
      <c r="BB375" s="3" t="s">
        <v>3866</v>
      </c>
      <c r="BC375" s="3" t="s">
        <v>78</v>
      </c>
      <c r="BD375" s="3" t="s">
        <v>79</v>
      </c>
      <c r="BE375" s="3" t="s">
        <v>3820</v>
      </c>
      <c r="BF375" s="3" t="s">
        <v>3866</v>
      </c>
      <c r="BG375" s="3" t="s">
        <v>3867</v>
      </c>
    </row>
    <row r="376" spans="1:59" ht="116" x14ac:dyDescent="0.35">
      <c r="A376" s="2" t="s">
        <v>59</v>
      </c>
      <c r="B376" s="2" t="s">
        <v>3778</v>
      </c>
      <c r="C376" s="2" t="s">
        <v>3808</v>
      </c>
      <c r="D376" s="2" t="s">
        <v>3809</v>
      </c>
      <c r="E376" s="2" t="s">
        <v>3810</v>
      </c>
      <c r="F376" s="3" t="s">
        <v>3868</v>
      </c>
      <c r="G376" s="3" t="s">
        <v>73</v>
      </c>
      <c r="I376" s="3" t="s">
        <v>73</v>
      </c>
      <c r="J376" s="3" t="s">
        <v>64</v>
      </c>
      <c r="K376" s="3" t="s">
        <v>65</v>
      </c>
      <c r="M376" s="2" t="s">
        <v>3812</v>
      </c>
      <c r="N376" s="3" t="s">
        <v>340</v>
      </c>
      <c r="O376" s="2" t="s">
        <v>3813</v>
      </c>
      <c r="P376" s="3" t="s">
        <v>3784</v>
      </c>
      <c r="R376" s="3" t="s">
        <v>70</v>
      </c>
      <c r="S376" s="4">
        <v>3</v>
      </c>
      <c r="T376" s="4">
        <v>110</v>
      </c>
      <c r="U376" s="5" t="s">
        <v>3823</v>
      </c>
      <c r="V376" s="5" t="s">
        <v>3815</v>
      </c>
      <c r="W376" s="5" t="s">
        <v>72</v>
      </c>
      <c r="X376" s="5" t="s">
        <v>72</v>
      </c>
      <c r="Y376" s="4">
        <v>31</v>
      </c>
      <c r="Z376" s="4">
        <v>5</v>
      </c>
      <c r="AA376" s="4">
        <v>5</v>
      </c>
      <c r="AB376" s="4">
        <v>1</v>
      </c>
      <c r="AC376" s="4">
        <v>1</v>
      </c>
      <c r="AD376" s="4">
        <v>23</v>
      </c>
      <c r="AE376" s="4">
        <v>23</v>
      </c>
      <c r="AF376" s="4">
        <v>0</v>
      </c>
      <c r="AG376" s="4">
        <v>0</v>
      </c>
      <c r="AH376" s="4">
        <v>21</v>
      </c>
      <c r="AI376" s="4">
        <v>21</v>
      </c>
      <c r="AJ376" s="4">
        <v>2</v>
      </c>
      <c r="AK376" s="4">
        <v>2</v>
      </c>
      <c r="AL376" s="4">
        <v>20</v>
      </c>
      <c r="AM376" s="4">
        <v>20</v>
      </c>
      <c r="AN376" s="4">
        <v>0</v>
      </c>
      <c r="AO376" s="4">
        <v>0</v>
      </c>
      <c r="AP376" s="4">
        <v>2</v>
      </c>
      <c r="AQ376" s="4">
        <v>2</v>
      </c>
      <c r="AR376" s="3" t="s">
        <v>64</v>
      </c>
      <c r="AS376" s="3" t="s">
        <v>64</v>
      </c>
      <c r="AT376" s="3" t="s">
        <v>73</v>
      </c>
      <c r="AU376" s="6" t="str">
        <f t="shared" si="3"/>
        <v>HathiTrust Record</v>
      </c>
      <c r="AV376" s="6" t="str">
        <f t="shared" si="4"/>
        <v>Catalog Record</v>
      </c>
      <c r="AW376" s="6" t="str">
        <f t="shared" si="5"/>
        <v>WorldCat Record</v>
      </c>
      <c r="AX376" s="3" t="s">
        <v>3816</v>
      </c>
      <c r="AY376" s="3" t="s">
        <v>3817</v>
      </c>
      <c r="AZ376" s="3" t="s">
        <v>3818</v>
      </c>
      <c r="BA376" s="3" t="s">
        <v>3818</v>
      </c>
      <c r="BB376" s="3" t="s">
        <v>3869</v>
      </c>
      <c r="BC376" s="3" t="s">
        <v>78</v>
      </c>
      <c r="BD376" s="3" t="s">
        <v>79</v>
      </c>
      <c r="BE376" s="3" t="s">
        <v>3820</v>
      </c>
      <c r="BF376" s="3" t="s">
        <v>3869</v>
      </c>
      <c r="BG376" s="3" t="s">
        <v>3870</v>
      </c>
    </row>
    <row r="377" spans="1:59" ht="116" x14ac:dyDescent="0.35">
      <c r="A377" s="2" t="s">
        <v>59</v>
      </c>
      <c r="B377" s="2" t="s">
        <v>3778</v>
      </c>
      <c r="C377" s="2" t="s">
        <v>3808</v>
      </c>
      <c r="D377" s="2" t="s">
        <v>3809</v>
      </c>
      <c r="E377" s="2" t="s">
        <v>3810</v>
      </c>
      <c r="G377" s="3" t="s">
        <v>73</v>
      </c>
      <c r="I377" s="3" t="s">
        <v>73</v>
      </c>
      <c r="J377" s="3" t="s">
        <v>64</v>
      </c>
      <c r="K377" s="3" t="s">
        <v>65</v>
      </c>
      <c r="M377" s="2" t="s">
        <v>3812</v>
      </c>
      <c r="N377" s="3" t="s">
        <v>340</v>
      </c>
      <c r="O377" s="2" t="s">
        <v>3813</v>
      </c>
      <c r="P377" s="3" t="s">
        <v>3784</v>
      </c>
      <c r="R377" s="3" t="s">
        <v>70</v>
      </c>
      <c r="S377" s="4">
        <v>6</v>
      </c>
      <c r="T377" s="4">
        <v>110</v>
      </c>
      <c r="U377" s="5" t="s">
        <v>3843</v>
      </c>
      <c r="V377" s="5" t="s">
        <v>3815</v>
      </c>
      <c r="W377" s="5" t="s">
        <v>72</v>
      </c>
      <c r="X377" s="5" t="s">
        <v>72</v>
      </c>
      <c r="Y377" s="4">
        <v>31</v>
      </c>
      <c r="Z377" s="4">
        <v>5</v>
      </c>
      <c r="AA377" s="4">
        <v>5</v>
      </c>
      <c r="AB377" s="4">
        <v>1</v>
      </c>
      <c r="AC377" s="4">
        <v>1</v>
      </c>
      <c r="AD377" s="4">
        <v>23</v>
      </c>
      <c r="AE377" s="4">
        <v>23</v>
      </c>
      <c r="AF377" s="4">
        <v>0</v>
      </c>
      <c r="AG377" s="4">
        <v>0</v>
      </c>
      <c r="AH377" s="4">
        <v>21</v>
      </c>
      <c r="AI377" s="4">
        <v>21</v>
      </c>
      <c r="AJ377" s="4">
        <v>2</v>
      </c>
      <c r="AK377" s="4">
        <v>2</v>
      </c>
      <c r="AL377" s="4">
        <v>20</v>
      </c>
      <c r="AM377" s="4">
        <v>20</v>
      </c>
      <c r="AN377" s="4">
        <v>0</v>
      </c>
      <c r="AO377" s="4">
        <v>0</v>
      </c>
      <c r="AP377" s="4">
        <v>2</v>
      </c>
      <c r="AQ377" s="4">
        <v>2</v>
      </c>
      <c r="AR377" s="3" t="s">
        <v>64</v>
      </c>
      <c r="AS377" s="3" t="s">
        <v>64</v>
      </c>
      <c r="AT377" s="3" t="s">
        <v>73</v>
      </c>
      <c r="AU377" s="6" t="str">
        <f t="shared" si="3"/>
        <v>HathiTrust Record</v>
      </c>
      <c r="AV377" s="6" t="str">
        <f t="shared" si="4"/>
        <v>Catalog Record</v>
      </c>
      <c r="AW377" s="6" t="str">
        <f t="shared" si="5"/>
        <v>WorldCat Record</v>
      </c>
      <c r="AX377" s="3" t="s">
        <v>3816</v>
      </c>
      <c r="AY377" s="3" t="s">
        <v>3817</v>
      </c>
      <c r="AZ377" s="3" t="s">
        <v>3818</v>
      </c>
      <c r="BA377" s="3" t="s">
        <v>3818</v>
      </c>
      <c r="BB377" s="3" t="s">
        <v>3871</v>
      </c>
      <c r="BC377" s="3" t="s">
        <v>78</v>
      </c>
      <c r="BD377" s="3" t="s">
        <v>79</v>
      </c>
      <c r="BE377" s="3" t="s">
        <v>3820</v>
      </c>
      <c r="BF377" s="3" t="s">
        <v>3871</v>
      </c>
      <c r="BG377" s="3" t="s">
        <v>3872</v>
      </c>
    </row>
    <row r="378" spans="1:59" ht="116" x14ac:dyDescent="0.35">
      <c r="A378" s="2" t="s">
        <v>59</v>
      </c>
      <c r="B378" s="2" t="s">
        <v>3778</v>
      </c>
      <c r="C378" s="2" t="s">
        <v>3808</v>
      </c>
      <c r="D378" s="2" t="s">
        <v>3809</v>
      </c>
      <c r="E378" s="2" t="s">
        <v>3810</v>
      </c>
      <c r="F378" s="3" t="s">
        <v>388</v>
      </c>
      <c r="G378" s="3" t="s">
        <v>73</v>
      </c>
      <c r="I378" s="3" t="s">
        <v>73</v>
      </c>
      <c r="J378" s="3" t="s">
        <v>64</v>
      </c>
      <c r="K378" s="3" t="s">
        <v>65</v>
      </c>
      <c r="M378" s="2" t="s">
        <v>3812</v>
      </c>
      <c r="N378" s="3" t="s">
        <v>340</v>
      </c>
      <c r="O378" s="2" t="s">
        <v>3813</v>
      </c>
      <c r="P378" s="3" t="s">
        <v>3784</v>
      </c>
      <c r="R378" s="3" t="s">
        <v>70</v>
      </c>
      <c r="S378" s="4">
        <v>7</v>
      </c>
      <c r="T378" s="4">
        <v>110</v>
      </c>
      <c r="U378" s="5" t="s">
        <v>3815</v>
      </c>
      <c r="V378" s="5" t="s">
        <v>3815</v>
      </c>
      <c r="W378" s="5" t="s">
        <v>72</v>
      </c>
      <c r="X378" s="5" t="s">
        <v>72</v>
      </c>
      <c r="Y378" s="4">
        <v>31</v>
      </c>
      <c r="Z378" s="4">
        <v>5</v>
      </c>
      <c r="AA378" s="4">
        <v>5</v>
      </c>
      <c r="AB378" s="4">
        <v>1</v>
      </c>
      <c r="AC378" s="4">
        <v>1</v>
      </c>
      <c r="AD378" s="4">
        <v>23</v>
      </c>
      <c r="AE378" s="4">
        <v>23</v>
      </c>
      <c r="AF378" s="4">
        <v>0</v>
      </c>
      <c r="AG378" s="4">
        <v>0</v>
      </c>
      <c r="AH378" s="4">
        <v>21</v>
      </c>
      <c r="AI378" s="4">
        <v>21</v>
      </c>
      <c r="AJ378" s="4">
        <v>2</v>
      </c>
      <c r="AK378" s="4">
        <v>2</v>
      </c>
      <c r="AL378" s="4">
        <v>20</v>
      </c>
      <c r="AM378" s="4">
        <v>20</v>
      </c>
      <c r="AN378" s="4">
        <v>0</v>
      </c>
      <c r="AO378" s="4">
        <v>0</v>
      </c>
      <c r="AP378" s="4">
        <v>2</v>
      </c>
      <c r="AQ378" s="4">
        <v>2</v>
      </c>
      <c r="AR378" s="3" t="s">
        <v>64</v>
      </c>
      <c r="AS378" s="3" t="s">
        <v>64</v>
      </c>
      <c r="AT378" s="3" t="s">
        <v>73</v>
      </c>
      <c r="AU378" s="6" t="str">
        <f t="shared" si="3"/>
        <v>HathiTrust Record</v>
      </c>
      <c r="AV378" s="6" t="str">
        <f t="shared" si="4"/>
        <v>Catalog Record</v>
      </c>
      <c r="AW378" s="6" t="str">
        <f t="shared" si="5"/>
        <v>WorldCat Record</v>
      </c>
      <c r="AX378" s="3" t="s">
        <v>3816</v>
      </c>
      <c r="AY378" s="3" t="s">
        <v>3817</v>
      </c>
      <c r="AZ378" s="3" t="s">
        <v>3818</v>
      </c>
      <c r="BA378" s="3" t="s">
        <v>3818</v>
      </c>
      <c r="BB378" s="3" t="s">
        <v>3873</v>
      </c>
      <c r="BC378" s="3" t="s">
        <v>78</v>
      </c>
      <c r="BD378" s="3" t="s">
        <v>414</v>
      </c>
      <c r="BE378" s="3" t="s">
        <v>3820</v>
      </c>
      <c r="BF378" s="3" t="s">
        <v>3873</v>
      </c>
      <c r="BG378" s="3" t="s">
        <v>3874</v>
      </c>
    </row>
    <row r="379" spans="1:59" ht="116" x14ac:dyDescent="0.35">
      <c r="A379" s="2" t="s">
        <v>59</v>
      </c>
      <c r="B379" s="2" t="s">
        <v>3778</v>
      </c>
      <c r="C379" s="2" t="s">
        <v>3808</v>
      </c>
      <c r="D379" s="2" t="s">
        <v>3809</v>
      </c>
      <c r="E379" s="2" t="s">
        <v>3810</v>
      </c>
      <c r="F379" s="3" t="s">
        <v>399</v>
      </c>
      <c r="G379" s="3" t="s">
        <v>73</v>
      </c>
      <c r="I379" s="3" t="s">
        <v>73</v>
      </c>
      <c r="J379" s="3" t="s">
        <v>64</v>
      </c>
      <c r="K379" s="3" t="s">
        <v>65</v>
      </c>
      <c r="M379" s="2" t="s">
        <v>3812</v>
      </c>
      <c r="N379" s="3" t="s">
        <v>340</v>
      </c>
      <c r="O379" s="2" t="s">
        <v>3813</v>
      </c>
      <c r="P379" s="3" t="s">
        <v>3784</v>
      </c>
      <c r="R379" s="3" t="s">
        <v>70</v>
      </c>
      <c r="S379" s="4">
        <v>6</v>
      </c>
      <c r="T379" s="4">
        <v>110</v>
      </c>
      <c r="U379" s="5" t="s">
        <v>3815</v>
      </c>
      <c r="V379" s="5" t="s">
        <v>3815</v>
      </c>
      <c r="W379" s="5" t="s">
        <v>72</v>
      </c>
      <c r="X379" s="5" t="s">
        <v>72</v>
      </c>
      <c r="Y379" s="4">
        <v>31</v>
      </c>
      <c r="Z379" s="4">
        <v>5</v>
      </c>
      <c r="AA379" s="4">
        <v>5</v>
      </c>
      <c r="AB379" s="4">
        <v>1</v>
      </c>
      <c r="AC379" s="4">
        <v>1</v>
      </c>
      <c r="AD379" s="4">
        <v>23</v>
      </c>
      <c r="AE379" s="4">
        <v>23</v>
      </c>
      <c r="AF379" s="4">
        <v>0</v>
      </c>
      <c r="AG379" s="4">
        <v>0</v>
      </c>
      <c r="AH379" s="4">
        <v>21</v>
      </c>
      <c r="AI379" s="4">
        <v>21</v>
      </c>
      <c r="AJ379" s="4">
        <v>2</v>
      </c>
      <c r="AK379" s="4">
        <v>2</v>
      </c>
      <c r="AL379" s="4">
        <v>20</v>
      </c>
      <c r="AM379" s="4">
        <v>20</v>
      </c>
      <c r="AN379" s="4">
        <v>0</v>
      </c>
      <c r="AO379" s="4">
        <v>0</v>
      </c>
      <c r="AP379" s="4">
        <v>2</v>
      </c>
      <c r="AQ379" s="4">
        <v>2</v>
      </c>
      <c r="AR379" s="3" t="s">
        <v>64</v>
      </c>
      <c r="AS379" s="3" t="s">
        <v>64</v>
      </c>
      <c r="AT379" s="3" t="s">
        <v>73</v>
      </c>
      <c r="AU379" s="6" t="str">
        <f t="shared" si="3"/>
        <v>HathiTrust Record</v>
      </c>
      <c r="AV379" s="6" t="str">
        <f t="shared" si="4"/>
        <v>Catalog Record</v>
      </c>
      <c r="AW379" s="6" t="str">
        <f t="shared" si="5"/>
        <v>WorldCat Record</v>
      </c>
      <c r="AX379" s="3" t="s">
        <v>3816</v>
      </c>
      <c r="AY379" s="3" t="s">
        <v>3817</v>
      </c>
      <c r="AZ379" s="3" t="s">
        <v>3818</v>
      </c>
      <c r="BA379" s="3" t="s">
        <v>3818</v>
      </c>
      <c r="BB379" s="3" t="s">
        <v>3875</v>
      </c>
      <c r="BC379" s="3" t="s">
        <v>78</v>
      </c>
      <c r="BD379" s="3" t="s">
        <v>414</v>
      </c>
      <c r="BE379" s="3" t="s">
        <v>3820</v>
      </c>
      <c r="BF379" s="3" t="s">
        <v>3875</v>
      </c>
      <c r="BG379" s="3" t="s">
        <v>3876</v>
      </c>
    </row>
    <row r="380" spans="1:59" ht="116" x14ac:dyDescent="0.35">
      <c r="A380" s="2" t="s">
        <v>59</v>
      </c>
      <c r="B380" s="2" t="s">
        <v>3778</v>
      </c>
      <c r="C380" s="2" t="s">
        <v>3808</v>
      </c>
      <c r="D380" s="2" t="s">
        <v>3809</v>
      </c>
      <c r="E380" s="2" t="s">
        <v>3810</v>
      </c>
      <c r="F380" s="3" t="s">
        <v>3877</v>
      </c>
      <c r="G380" s="3" t="s">
        <v>73</v>
      </c>
      <c r="I380" s="3" t="s">
        <v>73</v>
      </c>
      <c r="J380" s="3" t="s">
        <v>64</v>
      </c>
      <c r="K380" s="3" t="s">
        <v>65</v>
      </c>
      <c r="M380" s="2" t="s">
        <v>3812</v>
      </c>
      <c r="N380" s="3" t="s">
        <v>340</v>
      </c>
      <c r="O380" s="2" t="s">
        <v>3813</v>
      </c>
      <c r="P380" s="3" t="s">
        <v>3784</v>
      </c>
      <c r="R380" s="3" t="s">
        <v>70</v>
      </c>
      <c r="S380" s="4">
        <v>3</v>
      </c>
      <c r="T380" s="4">
        <v>110</v>
      </c>
      <c r="U380" s="5" t="s">
        <v>3839</v>
      </c>
      <c r="V380" s="5" t="s">
        <v>3815</v>
      </c>
      <c r="W380" s="5" t="s">
        <v>72</v>
      </c>
      <c r="X380" s="5" t="s">
        <v>72</v>
      </c>
      <c r="Y380" s="4">
        <v>31</v>
      </c>
      <c r="Z380" s="4">
        <v>5</v>
      </c>
      <c r="AA380" s="4">
        <v>5</v>
      </c>
      <c r="AB380" s="4">
        <v>1</v>
      </c>
      <c r="AC380" s="4">
        <v>1</v>
      </c>
      <c r="AD380" s="4">
        <v>23</v>
      </c>
      <c r="AE380" s="4">
        <v>23</v>
      </c>
      <c r="AF380" s="4">
        <v>0</v>
      </c>
      <c r="AG380" s="4">
        <v>0</v>
      </c>
      <c r="AH380" s="4">
        <v>21</v>
      </c>
      <c r="AI380" s="4">
        <v>21</v>
      </c>
      <c r="AJ380" s="4">
        <v>2</v>
      </c>
      <c r="AK380" s="4">
        <v>2</v>
      </c>
      <c r="AL380" s="4">
        <v>20</v>
      </c>
      <c r="AM380" s="4">
        <v>20</v>
      </c>
      <c r="AN380" s="4">
        <v>0</v>
      </c>
      <c r="AO380" s="4">
        <v>0</v>
      </c>
      <c r="AP380" s="4">
        <v>2</v>
      </c>
      <c r="AQ380" s="4">
        <v>2</v>
      </c>
      <c r="AR380" s="3" t="s">
        <v>64</v>
      </c>
      <c r="AS380" s="3" t="s">
        <v>64</v>
      </c>
      <c r="AT380" s="3" t="s">
        <v>73</v>
      </c>
      <c r="AU380" s="6" t="str">
        <f t="shared" si="3"/>
        <v>HathiTrust Record</v>
      </c>
      <c r="AV380" s="6" t="str">
        <f t="shared" si="4"/>
        <v>Catalog Record</v>
      </c>
      <c r="AW380" s="6" t="str">
        <f t="shared" si="5"/>
        <v>WorldCat Record</v>
      </c>
      <c r="AX380" s="3" t="s">
        <v>3816</v>
      </c>
      <c r="AY380" s="3" t="s">
        <v>3817</v>
      </c>
      <c r="AZ380" s="3" t="s">
        <v>3818</v>
      </c>
      <c r="BA380" s="3" t="s">
        <v>3818</v>
      </c>
      <c r="BB380" s="3" t="s">
        <v>3878</v>
      </c>
      <c r="BC380" s="3" t="s">
        <v>78</v>
      </c>
      <c r="BD380" s="3" t="s">
        <v>79</v>
      </c>
      <c r="BE380" s="3" t="s">
        <v>3820</v>
      </c>
      <c r="BF380" s="3" t="s">
        <v>3878</v>
      </c>
      <c r="BG380" s="3" t="s">
        <v>3879</v>
      </c>
    </row>
    <row r="381" spans="1:59" ht="116" x14ac:dyDescent="0.35">
      <c r="A381" s="2" t="s">
        <v>59</v>
      </c>
      <c r="B381" s="2" t="s">
        <v>3778</v>
      </c>
      <c r="C381" s="2" t="s">
        <v>3808</v>
      </c>
      <c r="D381" s="2" t="s">
        <v>3809</v>
      </c>
      <c r="E381" s="2" t="s">
        <v>3810</v>
      </c>
      <c r="F381" s="3" t="s">
        <v>3880</v>
      </c>
      <c r="G381" s="3" t="s">
        <v>73</v>
      </c>
      <c r="I381" s="3" t="s">
        <v>73</v>
      </c>
      <c r="J381" s="3" t="s">
        <v>64</v>
      </c>
      <c r="K381" s="3" t="s">
        <v>65</v>
      </c>
      <c r="M381" s="2" t="s">
        <v>3812</v>
      </c>
      <c r="N381" s="3" t="s">
        <v>340</v>
      </c>
      <c r="O381" s="2" t="s">
        <v>3813</v>
      </c>
      <c r="P381" s="3" t="s">
        <v>3784</v>
      </c>
      <c r="R381" s="3" t="s">
        <v>70</v>
      </c>
      <c r="S381" s="4">
        <v>6</v>
      </c>
      <c r="T381" s="4">
        <v>110</v>
      </c>
      <c r="U381" s="5" t="s">
        <v>3823</v>
      </c>
      <c r="V381" s="5" t="s">
        <v>3815</v>
      </c>
      <c r="W381" s="5" t="s">
        <v>72</v>
      </c>
      <c r="X381" s="5" t="s">
        <v>72</v>
      </c>
      <c r="Y381" s="4">
        <v>31</v>
      </c>
      <c r="Z381" s="4">
        <v>5</v>
      </c>
      <c r="AA381" s="4">
        <v>5</v>
      </c>
      <c r="AB381" s="4">
        <v>1</v>
      </c>
      <c r="AC381" s="4">
        <v>1</v>
      </c>
      <c r="AD381" s="4">
        <v>23</v>
      </c>
      <c r="AE381" s="4">
        <v>23</v>
      </c>
      <c r="AF381" s="4">
        <v>0</v>
      </c>
      <c r="AG381" s="4">
        <v>0</v>
      </c>
      <c r="AH381" s="4">
        <v>21</v>
      </c>
      <c r="AI381" s="4">
        <v>21</v>
      </c>
      <c r="AJ381" s="4">
        <v>2</v>
      </c>
      <c r="AK381" s="4">
        <v>2</v>
      </c>
      <c r="AL381" s="4">
        <v>20</v>
      </c>
      <c r="AM381" s="4">
        <v>20</v>
      </c>
      <c r="AN381" s="4">
        <v>0</v>
      </c>
      <c r="AO381" s="4">
        <v>0</v>
      </c>
      <c r="AP381" s="4">
        <v>2</v>
      </c>
      <c r="AQ381" s="4">
        <v>2</v>
      </c>
      <c r="AR381" s="3" t="s">
        <v>64</v>
      </c>
      <c r="AS381" s="3" t="s">
        <v>64</v>
      </c>
      <c r="AT381" s="3" t="s">
        <v>73</v>
      </c>
      <c r="AU381" s="6" t="str">
        <f t="shared" si="3"/>
        <v>HathiTrust Record</v>
      </c>
      <c r="AV381" s="6" t="str">
        <f t="shared" si="4"/>
        <v>Catalog Record</v>
      </c>
      <c r="AW381" s="6" t="str">
        <f t="shared" si="5"/>
        <v>WorldCat Record</v>
      </c>
      <c r="AX381" s="3" t="s">
        <v>3816</v>
      </c>
      <c r="AY381" s="3" t="s">
        <v>3817</v>
      </c>
      <c r="AZ381" s="3" t="s">
        <v>3818</v>
      </c>
      <c r="BA381" s="3" t="s">
        <v>3818</v>
      </c>
      <c r="BB381" s="3" t="s">
        <v>3881</v>
      </c>
      <c r="BC381" s="3" t="s">
        <v>78</v>
      </c>
      <c r="BD381" s="3" t="s">
        <v>79</v>
      </c>
      <c r="BE381" s="3" t="s">
        <v>3820</v>
      </c>
      <c r="BF381" s="3" t="s">
        <v>3881</v>
      </c>
      <c r="BG381" s="3" t="s">
        <v>3882</v>
      </c>
    </row>
    <row r="382" spans="1:59" ht="58" x14ac:dyDescent="0.35">
      <c r="A382" s="2" t="s">
        <v>59</v>
      </c>
      <c r="B382" s="2" t="s">
        <v>94</v>
      </c>
      <c r="C382" s="2" t="s">
        <v>3883</v>
      </c>
      <c r="D382" s="2" t="s">
        <v>3884</v>
      </c>
      <c r="E382" s="2" t="s">
        <v>3885</v>
      </c>
      <c r="G382" s="3" t="s">
        <v>64</v>
      </c>
      <c r="I382" s="3" t="s">
        <v>64</v>
      </c>
      <c r="J382" s="3" t="s">
        <v>64</v>
      </c>
      <c r="K382" s="3" t="s">
        <v>65</v>
      </c>
      <c r="L382" s="2" t="s">
        <v>3886</v>
      </c>
      <c r="M382" s="2" t="s">
        <v>3887</v>
      </c>
      <c r="N382" s="3" t="s">
        <v>68</v>
      </c>
      <c r="O382" s="2" t="s">
        <v>1294</v>
      </c>
      <c r="P382" s="3" t="s">
        <v>69</v>
      </c>
      <c r="R382" s="3" t="s">
        <v>70</v>
      </c>
      <c r="S382" s="4">
        <v>12</v>
      </c>
      <c r="T382" s="4">
        <v>12</v>
      </c>
      <c r="U382" s="5" t="s">
        <v>3888</v>
      </c>
      <c r="V382" s="5" t="s">
        <v>3888</v>
      </c>
      <c r="W382" s="5" t="s">
        <v>72</v>
      </c>
      <c r="X382" s="5" t="s">
        <v>72</v>
      </c>
      <c r="Y382" s="4">
        <v>199</v>
      </c>
      <c r="Z382" s="4">
        <v>13</v>
      </c>
      <c r="AA382" s="4">
        <v>43</v>
      </c>
      <c r="AB382" s="4">
        <v>1</v>
      </c>
      <c r="AC382" s="4">
        <v>3</v>
      </c>
      <c r="AD382" s="4">
        <v>75</v>
      </c>
      <c r="AE382" s="4">
        <v>95</v>
      </c>
      <c r="AF382" s="4">
        <v>0</v>
      </c>
      <c r="AG382" s="4">
        <v>0</v>
      </c>
      <c r="AH382" s="4">
        <v>69</v>
      </c>
      <c r="AI382" s="4">
        <v>82</v>
      </c>
      <c r="AJ382" s="4">
        <v>8</v>
      </c>
      <c r="AK382" s="4">
        <v>10</v>
      </c>
      <c r="AL382" s="4">
        <v>39</v>
      </c>
      <c r="AM382" s="4">
        <v>44</v>
      </c>
      <c r="AN382" s="4">
        <v>0</v>
      </c>
      <c r="AO382" s="4">
        <v>0</v>
      </c>
      <c r="AP382" s="4">
        <v>10</v>
      </c>
      <c r="AQ382" s="4">
        <v>19</v>
      </c>
      <c r="AR382" s="3" t="s">
        <v>64</v>
      </c>
      <c r="AS382" s="3" t="s">
        <v>64</v>
      </c>
      <c r="AT382" s="3" t="s">
        <v>64</v>
      </c>
      <c r="AV382" s="6" t="str">
        <f>HYPERLINK("http://mcgill.on.worldcat.org/oclc/61684278","Catalog Record")</f>
        <v>Catalog Record</v>
      </c>
      <c r="AW382" s="6" t="str">
        <f>HYPERLINK("http://www.worldcat.org/oclc/61684278","WorldCat Record")</f>
        <v>WorldCat Record</v>
      </c>
      <c r="AX382" s="3" t="s">
        <v>3889</v>
      </c>
      <c r="AY382" s="3" t="s">
        <v>3890</v>
      </c>
      <c r="AZ382" s="3" t="s">
        <v>3891</v>
      </c>
      <c r="BA382" s="3" t="s">
        <v>3891</v>
      </c>
      <c r="BB382" s="3" t="s">
        <v>3892</v>
      </c>
      <c r="BC382" s="3" t="s">
        <v>78</v>
      </c>
      <c r="BD382" s="3" t="s">
        <v>79</v>
      </c>
      <c r="BE382" s="3" t="s">
        <v>3893</v>
      </c>
      <c r="BF382" s="3" t="s">
        <v>3892</v>
      </c>
      <c r="BG382" s="3" t="s">
        <v>3894</v>
      </c>
    </row>
    <row r="383" spans="1:59" ht="116" x14ac:dyDescent="0.35">
      <c r="A383" s="2" t="s">
        <v>59</v>
      </c>
      <c r="B383" s="2" t="s">
        <v>3778</v>
      </c>
      <c r="C383" s="2" t="s">
        <v>3895</v>
      </c>
      <c r="D383" s="2" t="s">
        <v>3896</v>
      </c>
      <c r="E383" s="2" t="s">
        <v>3897</v>
      </c>
      <c r="G383" s="3" t="s">
        <v>64</v>
      </c>
      <c r="I383" s="3" t="s">
        <v>64</v>
      </c>
      <c r="J383" s="3" t="s">
        <v>64</v>
      </c>
      <c r="K383" s="3" t="s">
        <v>65</v>
      </c>
      <c r="L383" s="2" t="s">
        <v>3898</v>
      </c>
      <c r="M383" s="2" t="s">
        <v>3899</v>
      </c>
      <c r="N383" s="3" t="s">
        <v>1530</v>
      </c>
      <c r="O383" s="2" t="s">
        <v>3783</v>
      </c>
      <c r="P383" s="3" t="s">
        <v>3784</v>
      </c>
      <c r="R383" s="3" t="s">
        <v>70</v>
      </c>
      <c r="S383" s="4">
        <v>8</v>
      </c>
      <c r="T383" s="4">
        <v>8</v>
      </c>
      <c r="U383" s="5" t="s">
        <v>3900</v>
      </c>
      <c r="V383" s="5" t="s">
        <v>3900</v>
      </c>
      <c r="W383" s="5" t="s">
        <v>72</v>
      </c>
      <c r="X383" s="5" t="s">
        <v>72</v>
      </c>
      <c r="Y383" s="4">
        <v>3</v>
      </c>
      <c r="Z383" s="4">
        <v>2</v>
      </c>
      <c r="AA383" s="4">
        <v>2</v>
      </c>
      <c r="AB383" s="4">
        <v>2</v>
      </c>
      <c r="AC383" s="4">
        <v>2</v>
      </c>
      <c r="AD383" s="4">
        <v>0</v>
      </c>
      <c r="AE383" s="4">
        <v>0</v>
      </c>
      <c r="AF383" s="4">
        <v>0</v>
      </c>
      <c r="AG383" s="4">
        <v>0</v>
      </c>
      <c r="AH383" s="4">
        <v>0</v>
      </c>
      <c r="AI383" s="4">
        <v>0</v>
      </c>
      <c r="AJ383" s="4">
        <v>0</v>
      </c>
      <c r="AK383" s="4">
        <v>0</v>
      </c>
      <c r="AL383" s="4">
        <v>0</v>
      </c>
      <c r="AM383" s="4">
        <v>0</v>
      </c>
      <c r="AN383" s="4">
        <v>0</v>
      </c>
      <c r="AO383" s="4">
        <v>0</v>
      </c>
      <c r="AP383" s="4">
        <v>0</v>
      </c>
      <c r="AQ383" s="4">
        <v>0</v>
      </c>
      <c r="AR383" s="3" t="s">
        <v>64</v>
      </c>
      <c r="AS383" s="3" t="s">
        <v>64</v>
      </c>
      <c r="AT383" s="3" t="s">
        <v>64</v>
      </c>
      <c r="AV383" s="6" t="str">
        <f>HYPERLINK("http://mcgill.on.worldcat.org/oclc/155872512","Catalog Record")</f>
        <v>Catalog Record</v>
      </c>
      <c r="AW383" s="6" t="str">
        <f>HYPERLINK("http://www.worldcat.org/oclc/155872512","WorldCat Record")</f>
        <v>WorldCat Record</v>
      </c>
      <c r="AX383" s="3" t="s">
        <v>3901</v>
      </c>
      <c r="AY383" s="3" t="s">
        <v>3902</v>
      </c>
      <c r="AZ383" s="3" t="s">
        <v>3903</v>
      </c>
      <c r="BA383" s="3" t="s">
        <v>3903</v>
      </c>
      <c r="BB383" s="3" t="s">
        <v>3904</v>
      </c>
      <c r="BC383" s="3" t="s">
        <v>78</v>
      </c>
      <c r="BD383" s="3" t="s">
        <v>79</v>
      </c>
      <c r="BE383" s="3" t="s">
        <v>3905</v>
      </c>
      <c r="BF383" s="3" t="s">
        <v>3904</v>
      </c>
      <c r="BG383" s="3" t="s">
        <v>3906</v>
      </c>
    </row>
    <row r="384" spans="1:59" ht="58" x14ac:dyDescent="0.35">
      <c r="A384" s="2" t="s">
        <v>59</v>
      </c>
      <c r="B384" s="2" t="s">
        <v>94</v>
      </c>
      <c r="C384" s="2" t="s">
        <v>3907</v>
      </c>
      <c r="D384" s="2" t="s">
        <v>3908</v>
      </c>
      <c r="E384" s="2" t="s">
        <v>3909</v>
      </c>
      <c r="G384" s="3" t="s">
        <v>64</v>
      </c>
      <c r="I384" s="3" t="s">
        <v>64</v>
      </c>
      <c r="J384" s="3" t="s">
        <v>64</v>
      </c>
      <c r="K384" s="3" t="s">
        <v>65</v>
      </c>
      <c r="L384" s="2" t="s">
        <v>3910</v>
      </c>
      <c r="M384" s="2" t="s">
        <v>3911</v>
      </c>
      <c r="N384" s="3" t="s">
        <v>1645</v>
      </c>
      <c r="P384" s="3" t="s">
        <v>69</v>
      </c>
      <c r="R384" s="3" t="s">
        <v>70</v>
      </c>
      <c r="S384" s="4">
        <v>2</v>
      </c>
      <c r="T384" s="4">
        <v>2</v>
      </c>
      <c r="U384" s="5" t="s">
        <v>3912</v>
      </c>
      <c r="V384" s="5" t="s">
        <v>3912</v>
      </c>
      <c r="W384" s="5" t="s">
        <v>72</v>
      </c>
      <c r="X384" s="5" t="s">
        <v>72</v>
      </c>
      <c r="Y384" s="4">
        <v>59</v>
      </c>
      <c r="Z384" s="4">
        <v>1</v>
      </c>
      <c r="AA384" s="4">
        <v>74</v>
      </c>
      <c r="AB384" s="4">
        <v>1</v>
      </c>
      <c r="AC384" s="4">
        <v>14</v>
      </c>
      <c r="AD384" s="4">
        <v>33</v>
      </c>
      <c r="AE384" s="4">
        <v>95</v>
      </c>
      <c r="AF384" s="4">
        <v>0</v>
      </c>
      <c r="AG384" s="4">
        <v>8</v>
      </c>
      <c r="AH384" s="4">
        <v>31</v>
      </c>
      <c r="AI384" s="4">
        <v>65</v>
      </c>
      <c r="AJ384" s="4">
        <v>0</v>
      </c>
      <c r="AK384" s="4">
        <v>16</v>
      </c>
      <c r="AL384" s="4">
        <v>25</v>
      </c>
      <c r="AM384" s="4">
        <v>36</v>
      </c>
      <c r="AN384" s="4">
        <v>0</v>
      </c>
      <c r="AO384" s="4">
        <v>0</v>
      </c>
      <c r="AP384" s="4">
        <v>0</v>
      </c>
      <c r="AQ384" s="4">
        <v>35</v>
      </c>
      <c r="AR384" s="3" t="s">
        <v>64</v>
      </c>
      <c r="AS384" s="3" t="s">
        <v>64</v>
      </c>
      <c r="AT384" s="3" t="s">
        <v>64</v>
      </c>
      <c r="AV384" s="6" t="str">
        <f>HYPERLINK("http://mcgill.on.worldcat.org/oclc/959552277","Catalog Record")</f>
        <v>Catalog Record</v>
      </c>
      <c r="AW384" s="6" t="str">
        <f>HYPERLINK("http://www.worldcat.org/oclc/959552277","WorldCat Record")</f>
        <v>WorldCat Record</v>
      </c>
      <c r="AX384" s="3" t="s">
        <v>3913</v>
      </c>
      <c r="AY384" s="3" t="s">
        <v>3914</v>
      </c>
      <c r="AZ384" s="3" t="s">
        <v>3915</v>
      </c>
      <c r="BA384" s="3" t="s">
        <v>3915</v>
      </c>
      <c r="BB384" s="3" t="s">
        <v>3916</v>
      </c>
      <c r="BC384" s="3" t="s">
        <v>78</v>
      </c>
      <c r="BD384" s="3" t="s">
        <v>79</v>
      </c>
      <c r="BE384" s="3" t="s">
        <v>3917</v>
      </c>
      <c r="BF384" s="3" t="s">
        <v>3916</v>
      </c>
      <c r="BG384" s="3" t="s">
        <v>3918</v>
      </c>
    </row>
    <row r="385" spans="1:59" ht="58" x14ac:dyDescent="0.35">
      <c r="A385" s="2" t="s">
        <v>59</v>
      </c>
      <c r="B385" s="2" t="s">
        <v>94</v>
      </c>
      <c r="C385" s="2" t="s">
        <v>3919</v>
      </c>
      <c r="D385" s="2" t="s">
        <v>3920</v>
      </c>
      <c r="E385" s="2" t="s">
        <v>3921</v>
      </c>
      <c r="G385" s="3" t="s">
        <v>64</v>
      </c>
      <c r="I385" s="3" t="s">
        <v>64</v>
      </c>
      <c r="J385" s="3" t="s">
        <v>64</v>
      </c>
      <c r="K385" s="3" t="s">
        <v>65</v>
      </c>
      <c r="L385" s="2" t="s">
        <v>3922</v>
      </c>
      <c r="M385" s="2" t="s">
        <v>3923</v>
      </c>
      <c r="N385" s="3" t="s">
        <v>3563</v>
      </c>
      <c r="P385" s="3" t="s">
        <v>69</v>
      </c>
      <c r="R385" s="3" t="s">
        <v>70</v>
      </c>
      <c r="S385" s="4">
        <v>20</v>
      </c>
      <c r="T385" s="4">
        <v>20</v>
      </c>
      <c r="U385" s="5" t="s">
        <v>3888</v>
      </c>
      <c r="V385" s="5" t="s">
        <v>3888</v>
      </c>
      <c r="W385" s="5" t="s">
        <v>72</v>
      </c>
      <c r="X385" s="5" t="s">
        <v>72</v>
      </c>
      <c r="Y385" s="4">
        <v>99</v>
      </c>
      <c r="Z385" s="4">
        <v>12</v>
      </c>
      <c r="AA385" s="4">
        <v>14</v>
      </c>
      <c r="AB385" s="4">
        <v>1</v>
      </c>
      <c r="AC385" s="4">
        <v>1</v>
      </c>
      <c r="AD385" s="4">
        <v>27</v>
      </c>
      <c r="AE385" s="4">
        <v>29</v>
      </c>
      <c r="AF385" s="4">
        <v>0</v>
      </c>
      <c r="AG385" s="4">
        <v>0</v>
      </c>
      <c r="AH385" s="4">
        <v>23</v>
      </c>
      <c r="AI385" s="4">
        <v>24</v>
      </c>
      <c r="AJ385" s="4">
        <v>10</v>
      </c>
      <c r="AK385" s="4">
        <v>10</v>
      </c>
      <c r="AL385" s="4">
        <v>13</v>
      </c>
      <c r="AM385" s="4">
        <v>15</v>
      </c>
      <c r="AN385" s="4">
        <v>0</v>
      </c>
      <c r="AO385" s="4">
        <v>0</v>
      </c>
      <c r="AP385" s="4">
        <v>9</v>
      </c>
      <c r="AQ385" s="4">
        <v>9</v>
      </c>
      <c r="AR385" s="3" t="s">
        <v>64</v>
      </c>
      <c r="AS385" s="3" t="s">
        <v>64</v>
      </c>
      <c r="AT385" s="3" t="s">
        <v>64</v>
      </c>
      <c r="AV385" s="6" t="str">
        <f>HYPERLINK("http://mcgill.on.worldcat.org/oclc/27768080","Catalog Record")</f>
        <v>Catalog Record</v>
      </c>
      <c r="AW385" s="6" t="str">
        <f>HYPERLINK("http://www.worldcat.org/oclc/27768080","WorldCat Record")</f>
        <v>WorldCat Record</v>
      </c>
      <c r="AX385" s="3" t="s">
        <v>3924</v>
      </c>
      <c r="AY385" s="3" t="s">
        <v>3925</v>
      </c>
      <c r="AZ385" s="3" t="s">
        <v>3926</v>
      </c>
      <c r="BA385" s="3" t="s">
        <v>3926</v>
      </c>
      <c r="BB385" s="3" t="s">
        <v>3927</v>
      </c>
      <c r="BC385" s="3" t="s">
        <v>78</v>
      </c>
      <c r="BD385" s="3" t="s">
        <v>79</v>
      </c>
      <c r="BE385" s="3" t="s">
        <v>3928</v>
      </c>
      <c r="BF385" s="3" t="s">
        <v>3927</v>
      </c>
      <c r="BG385" s="3" t="s">
        <v>3929</v>
      </c>
    </row>
    <row r="386" spans="1:59" ht="116" x14ac:dyDescent="0.35">
      <c r="A386" s="2" t="s">
        <v>59</v>
      </c>
      <c r="B386" s="2" t="s">
        <v>3778</v>
      </c>
      <c r="C386" s="2" t="s">
        <v>3930</v>
      </c>
      <c r="D386" s="2" t="s">
        <v>3931</v>
      </c>
      <c r="E386" s="2" t="s">
        <v>3932</v>
      </c>
      <c r="G386" s="3" t="s">
        <v>64</v>
      </c>
      <c r="I386" s="3" t="s">
        <v>64</v>
      </c>
      <c r="J386" s="3" t="s">
        <v>64</v>
      </c>
      <c r="K386" s="3" t="s">
        <v>65</v>
      </c>
      <c r="L386" s="2" t="s">
        <v>3933</v>
      </c>
      <c r="M386" s="2" t="s">
        <v>3934</v>
      </c>
      <c r="N386" s="3" t="s">
        <v>214</v>
      </c>
      <c r="O386" s="2" t="s">
        <v>3783</v>
      </c>
      <c r="P386" s="3" t="s">
        <v>3784</v>
      </c>
      <c r="Q386" s="2" t="s">
        <v>3935</v>
      </c>
      <c r="R386" s="3" t="s">
        <v>70</v>
      </c>
      <c r="S386" s="4">
        <v>0</v>
      </c>
      <c r="T386" s="4">
        <v>0</v>
      </c>
      <c r="W386" s="5" t="s">
        <v>72</v>
      </c>
      <c r="X386" s="5" t="s">
        <v>72</v>
      </c>
      <c r="Y386" s="4">
        <v>17</v>
      </c>
      <c r="Z386" s="4">
        <v>1</v>
      </c>
      <c r="AA386" s="4">
        <v>1</v>
      </c>
      <c r="AB386" s="4">
        <v>1</v>
      </c>
      <c r="AC386" s="4">
        <v>1</v>
      </c>
      <c r="AD386" s="4">
        <v>9</v>
      </c>
      <c r="AE386" s="4">
        <v>9</v>
      </c>
      <c r="AF386" s="4">
        <v>0</v>
      </c>
      <c r="AG386" s="4">
        <v>0</v>
      </c>
      <c r="AH386" s="4">
        <v>9</v>
      </c>
      <c r="AI386" s="4">
        <v>9</v>
      </c>
      <c r="AJ386" s="4">
        <v>0</v>
      </c>
      <c r="AK386" s="4">
        <v>0</v>
      </c>
      <c r="AL386" s="4">
        <v>7</v>
      </c>
      <c r="AM386" s="4">
        <v>7</v>
      </c>
      <c r="AN386" s="4">
        <v>0</v>
      </c>
      <c r="AO386" s="4">
        <v>0</v>
      </c>
      <c r="AP386" s="4">
        <v>0</v>
      </c>
      <c r="AQ386" s="4">
        <v>0</v>
      </c>
      <c r="AR386" s="3" t="s">
        <v>64</v>
      </c>
      <c r="AS386" s="3" t="s">
        <v>64</v>
      </c>
      <c r="AT386" s="3" t="s">
        <v>64</v>
      </c>
      <c r="AV386" s="6" t="str">
        <f>HYPERLINK("http://mcgill.on.worldcat.org/oclc/701470678","Catalog Record")</f>
        <v>Catalog Record</v>
      </c>
      <c r="AW386" s="6" t="str">
        <f>HYPERLINK("http://www.worldcat.org/oclc/701470678","WorldCat Record")</f>
        <v>WorldCat Record</v>
      </c>
      <c r="AX386" s="3" t="s">
        <v>3936</v>
      </c>
      <c r="AY386" s="3" t="s">
        <v>3937</v>
      </c>
      <c r="AZ386" s="3" t="s">
        <v>3938</v>
      </c>
      <c r="BA386" s="3" t="s">
        <v>3938</v>
      </c>
      <c r="BB386" s="3" t="s">
        <v>3939</v>
      </c>
      <c r="BC386" s="3" t="s">
        <v>78</v>
      </c>
      <c r="BD386" s="3" t="s">
        <v>79</v>
      </c>
      <c r="BE386" s="3" t="s">
        <v>3940</v>
      </c>
      <c r="BF386" s="3" t="s">
        <v>3939</v>
      </c>
      <c r="BG386" s="3" t="s">
        <v>3941</v>
      </c>
    </row>
    <row r="387" spans="1:59" ht="116" x14ac:dyDescent="0.35">
      <c r="A387" s="2" t="s">
        <v>59</v>
      </c>
      <c r="B387" s="2" t="s">
        <v>3778</v>
      </c>
      <c r="C387" s="2" t="s">
        <v>3942</v>
      </c>
      <c r="D387" s="2" t="s">
        <v>3943</v>
      </c>
      <c r="E387" s="2" t="s">
        <v>3944</v>
      </c>
      <c r="G387" s="3" t="s">
        <v>64</v>
      </c>
      <c r="I387" s="3" t="s">
        <v>64</v>
      </c>
      <c r="J387" s="3" t="s">
        <v>64</v>
      </c>
      <c r="K387" s="3" t="s">
        <v>65</v>
      </c>
      <c r="L387" s="2" t="s">
        <v>3945</v>
      </c>
      <c r="M387" s="2" t="s">
        <v>3946</v>
      </c>
      <c r="N387" s="3" t="s">
        <v>1064</v>
      </c>
      <c r="O387" s="2" t="s">
        <v>3783</v>
      </c>
      <c r="P387" s="3" t="s">
        <v>3784</v>
      </c>
      <c r="Q387" s="2" t="s">
        <v>3947</v>
      </c>
      <c r="R387" s="3" t="s">
        <v>70</v>
      </c>
      <c r="S387" s="4">
        <v>3</v>
      </c>
      <c r="T387" s="4">
        <v>3</v>
      </c>
      <c r="U387" s="5" t="s">
        <v>3948</v>
      </c>
      <c r="V387" s="5" t="s">
        <v>3948</v>
      </c>
      <c r="W387" s="5" t="s">
        <v>72</v>
      </c>
      <c r="X387" s="5" t="s">
        <v>72</v>
      </c>
      <c r="Y387" s="4">
        <v>27</v>
      </c>
      <c r="Z387" s="4">
        <v>5</v>
      </c>
      <c r="AA387" s="4">
        <v>5</v>
      </c>
      <c r="AB387" s="4">
        <v>1</v>
      </c>
      <c r="AC387" s="4">
        <v>1</v>
      </c>
      <c r="AD387" s="4">
        <v>15</v>
      </c>
      <c r="AE387" s="4">
        <v>15</v>
      </c>
      <c r="AF387" s="4">
        <v>0</v>
      </c>
      <c r="AG387" s="4">
        <v>0</v>
      </c>
      <c r="AH387" s="4">
        <v>14</v>
      </c>
      <c r="AI387" s="4">
        <v>14</v>
      </c>
      <c r="AJ387" s="4">
        <v>2</v>
      </c>
      <c r="AK387" s="4">
        <v>2</v>
      </c>
      <c r="AL387" s="4">
        <v>13</v>
      </c>
      <c r="AM387" s="4">
        <v>13</v>
      </c>
      <c r="AN387" s="4">
        <v>0</v>
      </c>
      <c r="AO387" s="4">
        <v>0</v>
      </c>
      <c r="AP387" s="4">
        <v>2</v>
      </c>
      <c r="AQ387" s="4">
        <v>2</v>
      </c>
      <c r="AR387" s="3" t="s">
        <v>64</v>
      </c>
      <c r="AS387" s="3" t="s">
        <v>64</v>
      </c>
      <c r="AT387" s="3" t="s">
        <v>73</v>
      </c>
      <c r="AU387" s="6" t="str">
        <f>HYPERLINK("http://catalog.hathitrust.org/Record/003589800","HathiTrust Record")</f>
        <v>HathiTrust Record</v>
      </c>
      <c r="AV387" s="6" t="str">
        <f>HYPERLINK("http://mcgill.on.worldcat.org/oclc/48535010","Catalog Record")</f>
        <v>Catalog Record</v>
      </c>
      <c r="AW387" s="6" t="str">
        <f>HYPERLINK("http://www.worldcat.org/oclc/48535010","WorldCat Record")</f>
        <v>WorldCat Record</v>
      </c>
      <c r="AX387" s="3" t="s">
        <v>3949</v>
      </c>
      <c r="AY387" s="3" t="s">
        <v>3950</v>
      </c>
      <c r="AZ387" s="3" t="s">
        <v>3951</v>
      </c>
      <c r="BA387" s="3" t="s">
        <v>3951</v>
      </c>
      <c r="BB387" s="3" t="s">
        <v>3952</v>
      </c>
      <c r="BC387" s="3" t="s">
        <v>78</v>
      </c>
      <c r="BD387" s="3" t="s">
        <v>79</v>
      </c>
      <c r="BE387" s="3" t="s">
        <v>3953</v>
      </c>
      <c r="BF387" s="3" t="s">
        <v>3952</v>
      </c>
      <c r="BG387" s="3" t="s">
        <v>3954</v>
      </c>
    </row>
    <row r="388" spans="1:59" ht="116" x14ac:dyDescent="0.35">
      <c r="A388" s="2" t="s">
        <v>59</v>
      </c>
      <c r="B388" s="2" t="s">
        <v>3778</v>
      </c>
      <c r="C388" s="2" t="s">
        <v>3955</v>
      </c>
      <c r="D388" s="2" t="s">
        <v>3956</v>
      </c>
      <c r="E388" s="2" t="s">
        <v>3957</v>
      </c>
      <c r="G388" s="3" t="s">
        <v>64</v>
      </c>
      <c r="I388" s="3" t="s">
        <v>64</v>
      </c>
      <c r="J388" s="3" t="s">
        <v>64</v>
      </c>
      <c r="K388" s="3" t="s">
        <v>65</v>
      </c>
      <c r="L388" s="2" t="s">
        <v>3958</v>
      </c>
      <c r="M388" s="2" t="s">
        <v>3959</v>
      </c>
      <c r="N388" s="3" t="s">
        <v>287</v>
      </c>
      <c r="O388" s="2" t="s">
        <v>3960</v>
      </c>
      <c r="P388" s="3" t="s">
        <v>3784</v>
      </c>
      <c r="R388" s="3" t="s">
        <v>70</v>
      </c>
      <c r="S388" s="4">
        <v>4</v>
      </c>
      <c r="T388" s="4">
        <v>4</v>
      </c>
      <c r="U388" s="5" t="s">
        <v>3961</v>
      </c>
      <c r="V388" s="5" t="s">
        <v>3961</v>
      </c>
      <c r="W388" s="5" t="s">
        <v>72</v>
      </c>
      <c r="X388" s="5" t="s">
        <v>72</v>
      </c>
      <c r="Y388" s="4">
        <v>6</v>
      </c>
      <c r="Z388" s="4">
        <v>1</v>
      </c>
      <c r="AA388" s="4">
        <v>5</v>
      </c>
      <c r="AB388" s="4">
        <v>1</v>
      </c>
      <c r="AC388" s="4">
        <v>1</v>
      </c>
      <c r="AD388" s="4">
        <v>3</v>
      </c>
      <c r="AE388" s="4">
        <v>30</v>
      </c>
      <c r="AF388" s="4">
        <v>0</v>
      </c>
      <c r="AG388" s="4">
        <v>0</v>
      </c>
      <c r="AH388" s="4">
        <v>3</v>
      </c>
      <c r="AI388" s="4">
        <v>28</v>
      </c>
      <c r="AJ388" s="4">
        <v>0</v>
      </c>
      <c r="AK388" s="4">
        <v>2</v>
      </c>
      <c r="AL388" s="4">
        <v>3</v>
      </c>
      <c r="AM388" s="4">
        <v>25</v>
      </c>
      <c r="AN388" s="4">
        <v>0</v>
      </c>
      <c r="AO388" s="4">
        <v>0</v>
      </c>
      <c r="AP388" s="4">
        <v>0</v>
      </c>
      <c r="AQ388" s="4">
        <v>2</v>
      </c>
      <c r="AR388" s="3" t="s">
        <v>64</v>
      </c>
      <c r="AS388" s="3" t="s">
        <v>64</v>
      </c>
      <c r="AT388" s="3" t="s">
        <v>73</v>
      </c>
      <c r="AU388" s="6" t="str">
        <f>HYPERLINK("http://catalog.hathitrust.org/Record/002300986","HathiTrust Record")</f>
        <v>HathiTrust Record</v>
      </c>
      <c r="AV388" s="6" t="str">
        <f>HYPERLINK("http://mcgill.on.worldcat.org/oclc/45801742","Catalog Record")</f>
        <v>Catalog Record</v>
      </c>
      <c r="AW388" s="6" t="str">
        <f>HYPERLINK("http://www.worldcat.org/oclc/45801742","WorldCat Record")</f>
        <v>WorldCat Record</v>
      </c>
      <c r="AX388" s="3" t="s">
        <v>3962</v>
      </c>
      <c r="AY388" s="3" t="s">
        <v>3963</v>
      </c>
      <c r="AZ388" s="3" t="s">
        <v>3964</v>
      </c>
      <c r="BA388" s="3" t="s">
        <v>3964</v>
      </c>
      <c r="BB388" s="3" t="s">
        <v>3965</v>
      </c>
      <c r="BC388" s="3" t="s">
        <v>78</v>
      </c>
      <c r="BD388" s="3" t="s">
        <v>79</v>
      </c>
      <c r="BF388" s="3" t="s">
        <v>3965</v>
      </c>
      <c r="BG388" s="3" t="s">
        <v>3966</v>
      </c>
    </row>
    <row r="389" spans="1:59" ht="58" x14ac:dyDescent="0.35">
      <c r="A389" s="2" t="s">
        <v>59</v>
      </c>
      <c r="B389" s="2" t="s">
        <v>94</v>
      </c>
      <c r="C389" s="2" t="s">
        <v>3967</v>
      </c>
      <c r="D389" s="2" t="s">
        <v>3968</v>
      </c>
      <c r="E389" s="2" t="s">
        <v>3969</v>
      </c>
      <c r="G389" s="3" t="s">
        <v>64</v>
      </c>
      <c r="I389" s="3" t="s">
        <v>73</v>
      </c>
      <c r="J389" s="3" t="s">
        <v>64</v>
      </c>
      <c r="K389" s="3" t="s">
        <v>65</v>
      </c>
      <c r="M389" s="2" t="s">
        <v>3970</v>
      </c>
      <c r="N389" s="3" t="s">
        <v>499</v>
      </c>
      <c r="P389" s="3" t="s">
        <v>69</v>
      </c>
      <c r="Q389" s="2" t="s">
        <v>3971</v>
      </c>
      <c r="R389" s="3" t="s">
        <v>70</v>
      </c>
      <c r="S389" s="4">
        <v>23</v>
      </c>
      <c r="T389" s="4">
        <v>26</v>
      </c>
      <c r="U389" s="5" t="s">
        <v>3972</v>
      </c>
      <c r="V389" s="5" t="s">
        <v>3972</v>
      </c>
      <c r="W389" s="5" t="s">
        <v>72</v>
      </c>
      <c r="X389" s="5" t="s">
        <v>72</v>
      </c>
      <c r="Y389" s="4">
        <v>114</v>
      </c>
      <c r="Z389" s="4">
        <v>6</v>
      </c>
      <c r="AA389" s="4">
        <v>11</v>
      </c>
      <c r="AB389" s="4">
        <v>1</v>
      </c>
      <c r="AC389" s="4">
        <v>4</v>
      </c>
      <c r="AD389" s="4">
        <v>38</v>
      </c>
      <c r="AE389" s="4">
        <v>41</v>
      </c>
      <c r="AF389" s="4">
        <v>0</v>
      </c>
      <c r="AG389" s="4">
        <v>0</v>
      </c>
      <c r="AH389" s="4">
        <v>35</v>
      </c>
      <c r="AI389" s="4">
        <v>38</v>
      </c>
      <c r="AJ389" s="4">
        <v>5</v>
      </c>
      <c r="AK389" s="4">
        <v>7</v>
      </c>
      <c r="AL389" s="4">
        <v>20</v>
      </c>
      <c r="AM389" s="4">
        <v>20</v>
      </c>
      <c r="AN389" s="4">
        <v>0</v>
      </c>
      <c r="AO389" s="4">
        <v>0</v>
      </c>
      <c r="AP389" s="4">
        <v>5</v>
      </c>
      <c r="AQ389" s="4">
        <v>7</v>
      </c>
      <c r="AR389" s="3" t="s">
        <v>64</v>
      </c>
      <c r="AS389" s="3" t="s">
        <v>64</v>
      </c>
      <c r="AT389" s="3" t="s">
        <v>64</v>
      </c>
      <c r="AV389" s="6" t="str">
        <f>HYPERLINK("http://mcgill.on.worldcat.org/oclc/60794551","Catalog Record")</f>
        <v>Catalog Record</v>
      </c>
      <c r="AW389" s="6" t="str">
        <f>HYPERLINK("http://www.worldcat.org/oclc/60794551","WorldCat Record")</f>
        <v>WorldCat Record</v>
      </c>
      <c r="AX389" s="3" t="s">
        <v>3973</v>
      </c>
      <c r="AY389" s="3" t="s">
        <v>3974</v>
      </c>
      <c r="AZ389" s="3" t="s">
        <v>3975</v>
      </c>
      <c r="BA389" s="3" t="s">
        <v>3975</v>
      </c>
      <c r="BB389" s="3" t="s">
        <v>3976</v>
      </c>
      <c r="BC389" s="3" t="s">
        <v>78</v>
      </c>
      <c r="BD389" s="3" t="s">
        <v>79</v>
      </c>
      <c r="BE389" s="3" t="s">
        <v>3977</v>
      </c>
      <c r="BF389" s="3" t="s">
        <v>3976</v>
      </c>
      <c r="BG389" s="3" t="s">
        <v>3978</v>
      </c>
    </row>
    <row r="390" spans="1:59" ht="58" x14ac:dyDescent="0.35">
      <c r="A390" s="2" t="s">
        <v>59</v>
      </c>
      <c r="B390" s="2" t="s">
        <v>94</v>
      </c>
      <c r="C390" s="2" t="s">
        <v>3967</v>
      </c>
      <c r="D390" s="2" t="s">
        <v>3968</v>
      </c>
      <c r="E390" s="2" t="s">
        <v>3969</v>
      </c>
      <c r="G390" s="3" t="s">
        <v>64</v>
      </c>
      <c r="I390" s="3" t="s">
        <v>73</v>
      </c>
      <c r="J390" s="3" t="s">
        <v>64</v>
      </c>
      <c r="K390" s="3" t="s">
        <v>65</v>
      </c>
      <c r="M390" s="2" t="s">
        <v>3970</v>
      </c>
      <c r="N390" s="3" t="s">
        <v>499</v>
      </c>
      <c r="P390" s="3" t="s">
        <v>69</v>
      </c>
      <c r="Q390" s="2" t="s">
        <v>3971</v>
      </c>
      <c r="R390" s="3" t="s">
        <v>70</v>
      </c>
      <c r="S390" s="4">
        <v>3</v>
      </c>
      <c r="T390" s="4">
        <v>26</v>
      </c>
      <c r="U390" s="5" t="s">
        <v>3979</v>
      </c>
      <c r="V390" s="5" t="s">
        <v>3972</v>
      </c>
      <c r="W390" s="5" t="s">
        <v>72</v>
      </c>
      <c r="X390" s="5" t="s">
        <v>72</v>
      </c>
      <c r="Y390" s="4">
        <v>114</v>
      </c>
      <c r="Z390" s="4">
        <v>6</v>
      </c>
      <c r="AA390" s="4">
        <v>11</v>
      </c>
      <c r="AB390" s="4">
        <v>1</v>
      </c>
      <c r="AC390" s="4">
        <v>4</v>
      </c>
      <c r="AD390" s="4">
        <v>38</v>
      </c>
      <c r="AE390" s="4">
        <v>41</v>
      </c>
      <c r="AF390" s="4">
        <v>0</v>
      </c>
      <c r="AG390" s="4">
        <v>0</v>
      </c>
      <c r="AH390" s="4">
        <v>35</v>
      </c>
      <c r="AI390" s="4">
        <v>38</v>
      </c>
      <c r="AJ390" s="4">
        <v>5</v>
      </c>
      <c r="AK390" s="4">
        <v>7</v>
      </c>
      <c r="AL390" s="4">
        <v>20</v>
      </c>
      <c r="AM390" s="4">
        <v>20</v>
      </c>
      <c r="AN390" s="4">
        <v>0</v>
      </c>
      <c r="AO390" s="4">
        <v>0</v>
      </c>
      <c r="AP390" s="4">
        <v>5</v>
      </c>
      <c r="AQ390" s="4">
        <v>7</v>
      </c>
      <c r="AR390" s="3" t="s">
        <v>64</v>
      </c>
      <c r="AS390" s="3" t="s">
        <v>64</v>
      </c>
      <c r="AT390" s="3" t="s">
        <v>64</v>
      </c>
      <c r="AV390" s="6" t="str">
        <f>HYPERLINK("http://mcgill.on.worldcat.org/oclc/60794551","Catalog Record")</f>
        <v>Catalog Record</v>
      </c>
      <c r="AW390" s="6" t="str">
        <f>HYPERLINK("http://www.worldcat.org/oclc/60794551","WorldCat Record")</f>
        <v>WorldCat Record</v>
      </c>
      <c r="AX390" s="3" t="s">
        <v>3973</v>
      </c>
      <c r="AY390" s="3" t="s">
        <v>3974</v>
      </c>
      <c r="AZ390" s="3" t="s">
        <v>3975</v>
      </c>
      <c r="BA390" s="3" t="s">
        <v>3975</v>
      </c>
      <c r="BB390" s="3" t="s">
        <v>3980</v>
      </c>
      <c r="BC390" s="3" t="s">
        <v>78</v>
      </c>
      <c r="BD390" s="3" t="s">
        <v>79</v>
      </c>
      <c r="BE390" s="3" t="s">
        <v>3977</v>
      </c>
      <c r="BF390" s="3" t="s">
        <v>3980</v>
      </c>
      <c r="BG390" s="3" t="s">
        <v>3981</v>
      </c>
    </row>
    <row r="391" spans="1:59" ht="58" x14ac:dyDescent="0.35">
      <c r="A391" s="2" t="s">
        <v>59</v>
      </c>
      <c r="B391" s="2" t="s">
        <v>94</v>
      </c>
      <c r="C391" s="2" t="s">
        <v>3982</v>
      </c>
      <c r="D391" s="2" t="s">
        <v>3983</v>
      </c>
      <c r="E391" s="2" t="s">
        <v>3984</v>
      </c>
      <c r="G391" s="3" t="s">
        <v>64</v>
      </c>
      <c r="I391" s="3" t="s">
        <v>64</v>
      </c>
      <c r="J391" s="3" t="s">
        <v>64</v>
      </c>
      <c r="K391" s="3" t="s">
        <v>65</v>
      </c>
      <c r="L391" s="2" t="s">
        <v>3985</v>
      </c>
      <c r="M391" s="2" t="s">
        <v>3986</v>
      </c>
      <c r="N391" s="3" t="s">
        <v>861</v>
      </c>
      <c r="P391" s="3" t="s">
        <v>69</v>
      </c>
      <c r="Q391" s="2" t="s">
        <v>3987</v>
      </c>
      <c r="R391" s="3" t="s">
        <v>70</v>
      </c>
      <c r="S391" s="4">
        <v>10</v>
      </c>
      <c r="T391" s="4">
        <v>10</v>
      </c>
      <c r="U391" s="5" t="s">
        <v>3988</v>
      </c>
      <c r="V391" s="5" t="s">
        <v>3988</v>
      </c>
      <c r="W391" s="5" t="s">
        <v>72</v>
      </c>
      <c r="X391" s="5" t="s">
        <v>72</v>
      </c>
      <c r="Y391" s="4">
        <v>107</v>
      </c>
      <c r="Z391" s="4">
        <v>5</v>
      </c>
      <c r="AA391" s="4">
        <v>17</v>
      </c>
      <c r="AB391" s="4">
        <v>1</v>
      </c>
      <c r="AC391" s="4">
        <v>1</v>
      </c>
      <c r="AD391" s="4">
        <v>21</v>
      </c>
      <c r="AE391" s="4">
        <v>53</v>
      </c>
      <c r="AF391" s="4">
        <v>0</v>
      </c>
      <c r="AG391" s="4">
        <v>0</v>
      </c>
      <c r="AH391" s="4">
        <v>20</v>
      </c>
      <c r="AI391" s="4">
        <v>49</v>
      </c>
      <c r="AJ391" s="4">
        <v>2</v>
      </c>
      <c r="AK391" s="4">
        <v>6</v>
      </c>
      <c r="AL391" s="4">
        <v>8</v>
      </c>
      <c r="AM391" s="4">
        <v>29</v>
      </c>
      <c r="AN391" s="4">
        <v>0</v>
      </c>
      <c r="AO391" s="4">
        <v>0</v>
      </c>
      <c r="AP391" s="4">
        <v>3</v>
      </c>
      <c r="AQ391" s="4">
        <v>7</v>
      </c>
      <c r="AR391" s="3" t="s">
        <v>64</v>
      </c>
      <c r="AS391" s="3" t="s">
        <v>64</v>
      </c>
      <c r="AT391" s="3" t="s">
        <v>64</v>
      </c>
      <c r="AV391" s="6" t="str">
        <f>HYPERLINK("http://mcgill.on.worldcat.org/oclc/55616213","Catalog Record")</f>
        <v>Catalog Record</v>
      </c>
      <c r="AW391" s="6" t="str">
        <f>HYPERLINK("http://www.worldcat.org/oclc/55616213","WorldCat Record")</f>
        <v>WorldCat Record</v>
      </c>
      <c r="AX391" s="3" t="s">
        <v>3989</v>
      </c>
      <c r="AY391" s="3" t="s">
        <v>3990</v>
      </c>
      <c r="AZ391" s="3" t="s">
        <v>3991</v>
      </c>
      <c r="BA391" s="3" t="s">
        <v>3991</v>
      </c>
      <c r="BB391" s="3" t="s">
        <v>3992</v>
      </c>
      <c r="BC391" s="3" t="s">
        <v>78</v>
      </c>
      <c r="BD391" s="3" t="s">
        <v>79</v>
      </c>
      <c r="BE391" s="3" t="s">
        <v>3993</v>
      </c>
      <c r="BF391" s="3" t="s">
        <v>3992</v>
      </c>
      <c r="BG391" s="3" t="s">
        <v>3994</v>
      </c>
    </row>
    <row r="392" spans="1:59" ht="58" x14ac:dyDescent="0.35">
      <c r="A392" s="2" t="s">
        <v>59</v>
      </c>
      <c r="B392" s="2" t="s">
        <v>94</v>
      </c>
      <c r="C392" s="2" t="s">
        <v>3995</v>
      </c>
      <c r="D392" s="2" t="s">
        <v>3996</v>
      </c>
      <c r="E392" s="2" t="s">
        <v>3997</v>
      </c>
      <c r="G392" s="3" t="s">
        <v>64</v>
      </c>
      <c r="I392" s="3" t="s">
        <v>64</v>
      </c>
      <c r="J392" s="3" t="s">
        <v>64</v>
      </c>
      <c r="K392" s="3" t="s">
        <v>65</v>
      </c>
      <c r="L392" s="2" t="s">
        <v>3998</v>
      </c>
      <c r="M392" s="2" t="s">
        <v>3999</v>
      </c>
      <c r="N392" s="3" t="s">
        <v>705</v>
      </c>
      <c r="P392" s="3" t="s">
        <v>69</v>
      </c>
      <c r="Q392" s="2" t="s">
        <v>4000</v>
      </c>
      <c r="R392" s="3" t="s">
        <v>70</v>
      </c>
      <c r="S392" s="4">
        <v>35</v>
      </c>
      <c r="T392" s="4">
        <v>35</v>
      </c>
      <c r="U392" s="5" t="s">
        <v>4001</v>
      </c>
      <c r="V392" s="5" t="s">
        <v>4001</v>
      </c>
      <c r="W392" s="5" t="s">
        <v>72</v>
      </c>
      <c r="X392" s="5" t="s">
        <v>72</v>
      </c>
      <c r="Y392" s="4">
        <v>389</v>
      </c>
      <c r="Z392" s="4">
        <v>27</v>
      </c>
      <c r="AA392" s="4">
        <v>30</v>
      </c>
      <c r="AB392" s="4">
        <v>1</v>
      </c>
      <c r="AC392" s="4">
        <v>2</v>
      </c>
      <c r="AD392" s="4">
        <v>107</v>
      </c>
      <c r="AE392" s="4">
        <v>112</v>
      </c>
      <c r="AF392" s="4">
        <v>0</v>
      </c>
      <c r="AG392" s="4">
        <v>1</v>
      </c>
      <c r="AH392" s="4">
        <v>96</v>
      </c>
      <c r="AI392" s="4">
        <v>99</v>
      </c>
      <c r="AJ392" s="4">
        <v>16</v>
      </c>
      <c r="AK392" s="4">
        <v>18</v>
      </c>
      <c r="AL392" s="4">
        <v>54</v>
      </c>
      <c r="AM392" s="4">
        <v>55</v>
      </c>
      <c r="AN392" s="4">
        <v>0</v>
      </c>
      <c r="AO392" s="4">
        <v>0</v>
      </c>
      <c r="AP392" s="4">
        <v>20</v>
      </c>
      <c r="AQ392" s="4">
        <v>22</v>
      </c>
      <c r="AR392" s="3" t="s">
        <v>64</v>
      </c>
      <c r="AS392" s="3" t="s">
        <v>64</v>
      </c>
      <c r="AT392" s="3" t="s">
        <v>73</v>
      </c>
      <c r="AU392" s="6" t="str">
        <f>HYPERLINK("http://catalog.hathitrust.org/Record/003061659","HathiTrust Record")</f>
        <v>HathiTrust Record</v>
      </c>
      <c r="AV392" s="6" t="str">
        <f>HYPERLINK("http://mcgill.on.worldcat.org/oclc/32509473","Catalog Record")</f>
        <v>Catalog Record</v>
      </c>
      <c r="AW392" s="6" t="str">
        <f>HYPERLINK("http://www.worldcat.org/oclc/32509473","WorldCat Record")</f>
        <v>WorldCat Record</v>
      </c>
      <c r="AX392" s="3" t="s">
        <v>4002</v>
      </c>
      <c r="AY392" s="3" t="s">
        <v>4003</v>
      </c>
      <c r="AZ392" s="3" t="s">
        <v>4004</v>
      </c>
      <c r="BA392" s="3" t="s">
        <v>4004</v>
      </c>
      <c r="BB392" s="3" t="s">
        <v>4005</v>
      </c>
      <c r="BC392" s="3" t="s">
        <v>78</v>
      </c>
      <c r="BD392" s="3" t="s">
        <v>79</v>
      </c>
      <c r="BE392" s="3" t="s">
        <v>4006</v>
      </c>
      <c r="BF392" s="3" t="s">
        <v>4005</v>
      </c>
      <c r="BG392" s="3" t="s">
        <v>4007</v>
      </c>
    </row>
    <row r="393" spans="1:59" ht="58" x14ac:dyDescent="0.35">
      <c r="A393" s="2" t="s">
        <v>59</v>
      </c>
      <c r="B393" s="2" t="s">
        <v>94</v>
      </c>
      <c r="C393" s="2" t="s">
        <v>4008</v>
      </c>
      <c r="D393" s="2" t="s">
        <v>4009</v>
      </c>
      <c r="E393" s="2" t="s">
        <v>4010</v>
      </c>
      <c r="G393" s="3" t="s">
        <v>64</v>
      </c>
      <c r="I393" s="3" t="s">
        <v>64</v>
      </c>
      <c r="J393" s="3" t="s">
        <v>64</v>
      </c>
      <c r="K393" s="3" t="s">
        <v>65</v>
      </c>
      <c r="L393" s="2" t="s">
        <v>4011</v>
      </c>
      <c r="M393" s="2" t="s">
        <v>4012</v>
      </c>
      <c r="N393" s="3" t="s">
        <v>365</v>
      </c>
      <c r="P393" s="3" t="s">
        <v>69</v>
      </c>
      <c r="Q393" s="2" t="s">
        <v>4013</v>
      </c>
      <c r="R393" s="3" t="s">
        <v>70</v>
      </c>
      <c r="S393" s="4">
        <v>52</v>
      </c>
      <c r="T393" s="4">
        <v>52</v>
      </c>
      <c r="U393" s="5" t="s">
        <v>4014</v>
      </c>
      <c r="V393" s="5" t="s">
        <v>4014</v>
      </c>
      <c r="W393" s="5" t="s">
        <v>72</v>
      </c>
      <c r="X393" s="5" t="s">
        <v>72</v>
      </c>
      <c r="Y393" s="4">
        <v>176</v>
      </c>
      <c r="Z393" s="4">
        <v>23</v>
      </c>
      <c r="AA393" s="4">
        <v>76</v>
      </c>
      <c r="AB393" s="4">
        <v>3</v>
      </c>
      <c r="AC393" s="4">
        <v>9</v>
      </c>
      <c r="AD393" s="4">
        <v>65</v>
      </c>
      <c r="AE393" s="4">
        <v>153</v>
      </c>
      <c r="AF393" s="4">
        <v>2</v>
      </c>
      <c r="AG393" s="4">
        <v>6</v>
      </c>
      <c r="AH393" s="4">
        <v>53</v>
      </c>
      <c r="AI393" s="4">
        <v>113</v>
      </c>
      <c r="AJ393" s="4">
        <v>15</v>
      </c>
      <c r="AK393" s="4">
        <v>28</v>
      </c>
      <c r="AL393" s="4">
        <v>26</v>
      </c>
      <c r="AM393" s="4">
        <v>59</v>
      </c>
      <c r="AN393" s="4">
        <v>0</v>
      </c>
      <c r="AO393" s="4">
        <v>0</v>
      </c>
      <c r="AP393" s="4">
        <v>20</v>
      </c>
      <c r="AQ393" s="4">
        <v>49</v>
      </c>
      <c r="AR393" s="3" t="s">
        <v>64</v>
      </c>
      <c r="AS393" s="3" t="s">
        <v>64</v>
      </c>
      <c r="AT393" s="3" t="s">
        <v>73</v>
      </c>
      <c r="AU393" s="6" t="str">
        <f>HYPERLINK("http://catalog.hathitrust.org/Record/000572927","HathiTrust Record")</f>
        <v>HathiTrust Record</v>
      </c>
      <c r="AV393" s="6" t="str">
        <f>HYPERLINK("http://mcgill.on.worldcat.org/oclc/12246098","Catalog Record")</f>
        <v>Catalog Record</v>
      </c>
      <c r="AW393" s="6" t="str">
        <f>HYPERLINK("http://www.worldcat.org/oclc/12246098","WorldCat Record")</f>
        <v>WorldCat Record</v>
      </c>
      <c r="AX393" s="3" t="s">
        <v>4015</v>
      </c>
      <c r="AY393" s="3" t="s">
        <v>4016</v>
      </c>
      <c r="AZ393" s="3" t="s">
        <v>4017</v>
      </c>
      <c r="BA393" s="3" t="s">
        <v>4017</v>
      </c>
      <c r="BB393" s="3" t="s">
        <v>4018</v>
      </c>
      <c r="BC393" s="3" t="s">
        <v>78</v>
      </c>
      <c r="BD393" s="3" t="s">
        <v>79</v>
      </c>
      <c r="BE393" s="3" t="s">
        <v>4019</v>
      </c>
      <c r="BF393" s="3" t="s">
        <v>4018</v>
      </c>
      <c r="BG393" s="3" t="s">
        <v>4020</v>
      </c>
    </row>
    <row r="394" spans="1:59" ht="58" x14ac:dyDescent="0.35">
      <c r="A394" s="2" t="s">
        <v>59</v>
      </c>
      <c r="B394" s="2" t="s">
        <v>94</v>
      </c>
      <c r="C394" s="2" t="s">
        <v>4021</v>
      </c>
      <c r="D394" s="2" t="s">
        <v>4022</v>
      </c>
      <c r="E394" s="2" t="s">
        <v>4023</v>
      </c>
      <c r="G394" s="3" t="s">
        <v>64</v>
      </c>
      <c r="I394" s="3" t="s">
        <v>64</v>
      </c>
      <c r="J394" s="3" t="s">
        <v>64</v>
      </c>
      <c r="K394" s="3" t="s">
        <v>65</v>
      </c>
      <c r="L394" s="2" t="s">
        <v>4011</v>
      </c>
      <c r="M394" s="2" t="s">
        <v>4024</v>
      </c>
      <c r="N394" s="3" t="s">
        <v>733</v>
      </c>
      <c r="P394" s="3" t="s">
        <v>69</v>
      </c>
      <c r="Q394" s="2" t="s">
        <v>4025</v>
      </c>
      <c r="R394" s="3" t="s">
        <v>70</v>
      </c>
      <c r="S394" s="4">
        <v>37</v>
      </c>
      <c r="T394" s="4">
        <v>37</v>
      </c>
      <c r="U394" s="5" t="s">
        <v>4026</v>
      </c>
      <c r="V394" s="5" t="s">
        <v>4026</v>
      </c>
      <c r="W394" s="5" t="s">
        <v>72</v>
      </c>
      <c r="X394" s="5" t="s">
        <v>72</v>
      </c>
      <c r="Y394" s="4">
        <v>322</v>
      </c>
      <c r="Z394" s="4">
        <v>27</v>
      </c>
      <c r="AA394" s="4">
        <v>96</v>
      </c>
      <c r="AB394" s="4">
        <v>4</v>
      </c>
      <c r="AC394" s="4">
        <v>18</v>
      </c>
      <c r="AD394" s="4">
        <v>102</v>
      </c>
      <c r="AE394" s="4">
        <v>135</v>
      </c>
      <c r="AF394" s="4">
        <v>2</v>
      </c>
      <c r="AG394" s="4">
        <v>8</v>
      </c>
      <c r="AH394" s="4">
        <v>87</v>
      </c>
      <c r="AI394" s="4">
        <v>97</v>
      </c>
      <c r="AJ394" s="4">
        <v>17</v>
      </c>
      <c r="AK394" s="4">
        <v>24</v>
      </c>
      <c r="AL394" s="4">
        <v>51</v>
      </c>
      <c r="AM394" s="4">
        <v>54</v>
      </c>
      <c r="AN394" s="4">
        <v>0</v>
      </c>
      <c r="AO394" s="4">
        <v>0</v>
      </c>
      <c r="AP394" s="4">
        <v>22</v>
      </c>
      <c r="AQ394" s="4">
        <v>48</v>
      </c>
      <c r="AR394" s="3" t="s">
        <v>64</v>
      </c>
      <c r="AS394" s="3" t="s">
        <v>64</v>
      </c>
      <c r="AT394" s="3" t="s">
        <v>73</v>
      </c>
      <c r="AU394" s="6" t="str">
        <f>HYPERLINK("http://catalog.hathitrust.org/Record/000773440","HathiTrust Record")</f>
        <v>HathiTrust Record</v>
      </c>
      <c r="AV394" s="6" t="str">
        <f>HYPERLINK("http://mcgill.on.worldcat.org/oclc/9670441","Catalog Record")</f>
        <v>Catalog Record</v>
      </c>
      <c r="AW394" s="6" t="str">
        <f>HYPERLINK("http://www.worldcat.org/oclc/9670441","WorldCat Record")</f>
        <v>WorldCat Record</v>
      </c>
      <c r="AX394" s="3" t="s">
        <v>4027</v>
      </c>
      <c r="AY394" s="3" t="s">
        <v>4028</v>
      </c>
      <c r="AZ394" s="3" t="s">
        <v>4029</v>
      </c>
      <c r="BA394" s="3" t="s">
        <v>4029</v>
      </c>
      <c r="BB394" s="3" t="s">
        <v>4030</v>
      </c>
      <c r="BC394" s="3" t="s">
        <v>78</v>
      </c>
      <c r="BD394" s="3" t="s">
        <v>79</v>
      </c>
      <c r="BE394" s="3" t="s">
        <v>4031</v>
      </c>
      <c r="BF394" s="3" t="s">
        <v>4030</v>
      </c>
      <c r="BG394" s="3" t="s">
        <v>4032</v>
      </c>
    </row>
    <row r="395" spans="1:59" ht="58" x14ac:dyDescent="0.35">
      <c r="A395" s="2" t="s">
        <v>59</v>
      </c>
      <c r="B395" s="2" t="s">
        <v>94</v>
      </c>
      <c r="C395" s="2" t="s">
        <v>4033</v>
      </c>
      <c r="D395" s="2" t="s">
        <v>4034</v>
      </c>
      <c r="E395" s="2" t="s">
        <v>4035</v>
      </c>
      <c r="G395" s="3" t="s">
        <v>64</v>
      </c>
      <c r="I395" s="3" t="s">
        <v>64</v>
      </c>
      <c r="J395" s="3" t="s">
        <v>64</v>
      </c>
      <c r="K395" s="3" t="s">
        <v>65</v>
      </c>
      <c r="L395" s="2" t="s">
        <v>4036</v>
      </c>
      <c r="M395" s="2" t="s">
        <v>4037</v>
      </c>
      <c r="N395" s="3" t="s">
        <v>226</v>
      </c>
      <c r="P395" s="3" t="s">
        <v>69</v>
      </c>
      <c r="Q395" s="2" t="s">
        <v>4038</v>
      </c>
      <c r="R395" s="3" t="s">
        <v>70</v>
      </c>
      <c r="S395" s="4">
        <v>29</v>
      </c>
      <c r="T395" s="4">
        <v>29</v>
      </c>
      <c r="U395" s="5" t="s">
        <v>2104</v>
      </c>
      <c r="V395" s="5" t="s">
        <v>2104</v>
      </c>
      <c r="W395" s="5" t="s">
        <v>72</v>
      </c>
      <c r="X395" s="5" t="s">
        <v>72</v>
      </c>
      <c r="Y395" s="4">
        <v>627</v>
      </c>
      <c r="Z395" s="4">
        <v>41</v>
      </c>
      <c r="AA395" s="4">
        <v>41</v>
      </c>
      <c r="AB395" s="4">
        <v>1</v>
      </c>
      <c r="AC395" s="4">
        <v>1</v>
      </c>
      <c r="AD395" s="4">
        <v>123</v>
      </c>
      <c r="AE395" s="4">
        <v>123</v>
      </c>
      <c r="AF395" s="4">
        <v>0</v>
      </c>
      <c r="AG395" s="4">
        <v>0</v>
      </c>
      <c r="AH395" s="4">
        <v>103</v>
      </c>
      <c r="AI395" s="4">
        <v>103</v>
      </c>
      <c r="AJ395" s="4">
        <v>18</v>
      </c>
      <c r="AK395" s="4">
        <v>18</v>
      </c>
      <c r="AL395" s="4">
        <v>56</v>
      </c>
      <c r="AM395" s="4">
        <v>56</v>
      </c>
      <c r="AN395" s="4">
        <v>0</v>
      </c>
      <c r="AO395" s="4">
        <v>0</v>
      </c>
      <c r="AP395" s="4">
        <v>27</v>
      </c>
      <c r="AQ395" s="4">
        <v>27</v>
      </c>
      <c r="AR395" s="3" t="s">
        <v>64</v>
      </c>
      <c r="AS395" s="3" t="s">
        <v>64</v>
      </c>
      <c r="AT395" s="3" t="s">
        <v>73</v>
      </c>
      <c r="AU395" s="6" t="str">
        <f>HYPERLINK("http://catalog.hathitrust.org/Record/003247514","HathiTrust Record")</f>
        <v>HathiTrust Record</v>
      </c>
      <c r="AV395" s="6" t="str">
        <f>HYPERLINK("http://mcgill.on.worldcat.org/oclc/35521720","Catalog Record")</f>
        <v>Catalog Record</v>
      </c>
      <c r="AW395" s="6" t="str">
        <f>HYPERLINK("http://www.worldcat.org/oclc/35521720","WorldCat Record")</f>
        <v>WorldCat Record</v>
      </c>
      <c r="AX395" s="3" t="s">
        <v>4039</v>
      </c>
      <c r="AY395" s="3" t="s">
        <v>4040</v>
      </c>
      <c r="AZ395" s="3" t="s">
        <v>4041</v>
      </c>
      <c r="BA395" s="3" t="s">
        <v>4041</v>
      </c>
      <c r="BB395" s="3" t="s">
        <v>4042</v>
      </c>
      <c r="BC395" s="3" t="s">
        <v>78</v>
      </c>
      <c r="BD395" s="3" t="s">
        <v>414</v>
      </c>
      <c r="BE395" s="3" t="s">
        <v>4043</v>
      </c>
      <c r="BF395" s="3" t="s">
        <v>4042</v>
      </c>
      <c r="BG395" s="3" t="s">
        <v>4044</v>
      </c>
    </row>
    <row r="396" spans="1:59" ht="58" x14ac:dyDescent="0.35">
      <c r="A396" s="2" t="s">
        <v>59</v>
      </c>
      <c r="B396" s="2" t="s">
        <v>94</v>
      </c>
      <c r="C396" s="2" t="s">
        <v>4045</v>
      </c>
      <c r="D396" s="2" t="s">
        <v>4046</v>
      </c>
      <c r="E396" s="2" t="s">
        <v>4047</v>
      </c>
      <c r="G396" s="3" t="s">
        <v>64</v>
      </c>
      <c r="I396" s="3" t="s">
        <v>64</v>
      </c>
      <c r="J396" s="3" t="s">
        <v>64</v>
      </c>
      <c r="K396" s="3" t="s">
        <v>65</v>
      </c>
      <c r="M396" s="2" t="s">
        <v>4048</v>
      </c>
      <c r="N396" s="3" t="s">
        <v>499</v>
      </c>
      <c r="P396" s="3" t="s">
        <v>69</v>
      </c>
      <c r="Q396" s="2" t="s">
        <v>4049</v>
      </c>
      <c r="R396" s="3" t="s">
        <v>70</v>
      </c>
      <c r="S396" s="4">
        <v>14</v>
      </c>
      <c r="T396" s="4">
        <v>14</v>
      </c>
      <c r="U396" s="5" t="s">
        <v>4050</v>
      </c>
      <c r="V396" s="5" t="s">
        <v>4050</v>
      </c>
      <c r="W396" s="5" t="s">
        <v>72</v>
      </c>
      <c r="X396" s="5" t="s">
        <v>72</v>
      </c>
      <c r="Y396" s="4">
        <v>240</v>
      </c>
      <c r="Z396" s="4">
        <v>22</v>
      </c>
      <c r="AA396" s="4">
        <v>96</v>
      </c>
      <c r="AB396" s="4">
        <v>3</v>
      </c>
      <c r="AC396" s="4">
        <v>19</v>
      </c>
      <c r="AD396" s="4">
        <v>89</v>
      </c>
      <c r="AE396" s="4">
        <v>133</v>
      </c>
      <c r="AF396" s="4">
        <v>0</v>
      </c>
      <c r="AG396" s="4">
        <v>8</v>
      </c>
      <c r="AH396" s="4">
        <v>81</v>
      </c>
      <c r="AI396" s="4">
        <v>96</v>
      </c>
      <c r="AJ396" s="4">
        <v>14</v>
      </c>
      <c r="AK396" s="4">
        <v>25</v>
      </c>
      <c r="AL396" s="4">
        <v>47</v>
      </c>
      <c r="AM396" s="4">
        <v>49</v>
      </c>
      <c r="AN396" s="4">
        <v>0</v>
      </c>
      <c r="AO396" s="4">
        <v>0</v>
      </c>
      <c r="AP396" s="4">
        <v>16</v>
      </c>
      <c r="AQ396" s="4">
        <v>47</v>
      </c>
      <c r="AR396" s="3" t="s">
        <v>64</v>
      </c>
      <c r="AS396" s="3" t="s">
        <v>64</v>
      </c>
      <c r="AT396" s="3" t="s">
        <v>64</v>
      </c>
      <c r="AV396" s="6" t="str">
        <f>HYPERLINK("http://mcgill.on.worldcat.org/oclc/55797897","Catalog Record")</f>
        <v>Catalog Record</v>
      </c>
      <c r="AW396" s="6" t="str">
        <f>HYPERLINK("http://www.worldcat.org/oclc/55797897","WorldCat Record")</f>
        <v>WorldCat Record</v>
      </c>
      <c r="AX396" s="3" t="s">
        <v>4051</v>
      </c>
      <c r="AY396" s="3" t="s">
        <v>4052</v>
      </c>
      <c r="AZ396" s="3" t="s">
        <v>4053</v>
      </c>
      <c r="BA396" s="3" t="s">
        <v>4053</v>
      </c>
      <c r="BB396" s="3" t="s">
        <v>4054</v>
      </c>
      <c r="BC396" s="3" t="s">
        <v>78</v>
      </c>
      <c r="BD396" s="3" t="s">
        <v>79</v>
      </c>
      <c r="BE396" s="3" t="s">
        <v>4055</v>
      </c>
      <c r="BF396" s="3" t="s">
        <v>4054</v>
      </c>
      <c r="BG396" s="3" t="s">
        <v>4056</v>
      </c>
    </row>
    <row r="397" spans="1:59" ht="58" x14ac:dyDescent="0.35">
      <c r="A397" s="2" t="s">
        <v>59</v>
      </c>
      <c r="B397" s="2" t="s">
        <v>94</v>
      </c>
      <c r="C397" s="2" t="s">
        <v>4057</v>
      </c>
      <c r="D397" s="2" t="s">
        <v>4058</v>
      </c>
      <c r="E397" s="2" t="s">
        <v>4059</v>
      </c>
      <c r="G397" s="3" t="s">
        <v>64</v>
      </c>
      <c r="I397" s="3" t="s">
        <v>73</v>
      </c>
      <c r="J397" s="3" t="s">
        <v>73</v>
      </c>
      <c r="K397" s="3" t="s">
        <v>65</v>
      </c>
      <c r="L397" s="2" t="s">
        <v>717</v>
      </c>
      <c r="M397" s="2" t="s">
        <v>4060</v>
      </c>
      <c r="N397" s="3" t="s">
        <v>2116</v>
      </c>
      <c r="P397" s="3" t="s">
        <v>69</v>
      </c>
      <c r="R397" s="3" t="s">
        <v>70</v>
      </c>
      <c r="S397" s="4">
        <v>64</v>
      </c>
      <c r="T397" s="4">
        <v>107</v>
      </c>
      <c r="U397" s="5" t="s">
        <v>4061</v>
      </c>
      <c r="V397" s="5" t="s">
        <v>735</v>
      </c>
      <c r="W397" s="5" t="s">
        <v>72</v>
      </c>
      <c r="X397" s="5" t="s">
        <v>72</v>
      </c>
      <c r="Y397" s="4">
        <v>990</v>
      </c>
      <c r="Z397" s="4">
        <v>61</v>
      </c>
      <c r="AA397" s="4">
        <v>77</v>
      </c>
      <c r="AB397" s="4">
        <v>3</v>
      </c>
      <c r="AC397" s="4">
        <v>8</v>
      </c>
      <c r="AD397" s="4">
        <v>132</v>
      </c>
      <c r="AE397" s="4">
        <v>142</v>
      </c>
      <c r="AF397" s="4">
        <v>1</v>
      </c>
      <c r="AG397" s="4">
        <v>1</v>
      </c>
      <c r="AH397" s="4">
        <v>101</v>
      </c>
      <c r="AI397" s="4">
        <v>110</v>
      </c>
      <c r="AJ397" s="4">
        <v>23</v>
      </c>
      <c r="AK397" s="4">
        <v>23</v>
      </c>
      <c r="AL397" s="4">
        <v>56</v>
      </c>
      <c r="AM397" s="4">
        <v>59</v>
      </c>
      <c r="AN397" s="4">
        <v>0</v>
      </c>
      <c r="AO397" s="4">
        <v>0</v>
      </c>
      <c r="AP397" s="4">
        <v>39</v>
      </c>
      <c r="AQ397" s="4">
        <v>40</v>
      </c>
      <c r="AR397" s="3" t="s">
        <v>64</v>
      </c>
      <c r="AS397" s="3" t="s">
        <v>64</v>
      </c>
      <c r="AT397" s="3" t="s">
        <v>73</v>
      </c>
      <c r="AU397" s="6" t="str">
        <f>HYPERLINK("http://catalog.hathitrust.org/Record/000740844","HathiTrust Record")</f>
        <v>HathiTrust Record</v>
      </c>
      <c r="AV397" s="6" t="str">
        <f>HYPERLINK("http://mcgill.on.worldcat.org/oclc/2361621","Catalog Record")</f>
        <v>Catalog Record</v>
      </c>
      <c r="AW397" s="6" t="str">
        <f>HYPERLINK("http://www.worldcat.org/oclc/2361621","WorldCat Record")</f>
        <v>WorldCat Record</v>
      </c>
      <c r="AX397" s="3" t="s">
        <v>4062</v>
      </c>
      <c r="AY397" s="3" t="s">
        <v>4063</v>
      </c>
      <c r="AZ397" s="3" t="s">
        <v>4064</v>
      </c>
      <c r="BA397" s="3" t="s">
        <v>4064</v>
      </c>
      <c r="BB397" s="3" t="s">
        <v>4065</v>
      </c>
      <c r="BC397" s="3" t="s">
        <v>78</v>
      </c>
      <c r="BD397" s="3" t="s">
        <v>79</v>
      </c>
      <c r="BE397" s="3" t="s">
        <v>4066</v>
      </c>
      <c r="BF397" s="3" t="s">
        <v>4065</v>
      </c>
      <c r="BG397" s="3" t="s">
        <v>4067</v>
      </c>
    </row>
    <row r="398" spans="1:59" ht="58" x14ac:dyDescent="0.35">
      <c r="A398" s="2" t="s">
        <v>59</v>
      </c>
      <c r="B398" s="2" t="s">
        <v>94</v>
      </c>
      <c r="C398" s="2" t="s">
        <v>4057</v>
      </c>
      <c r="D398" s="2" t="s">
        <v>4058</v>
      </c>
      <c r="E398" s="2" t="s">
        <v>4059</v>
      </c>
      <c r="G398" s="3" t="s">
        <v>64</v>
      </c>
      <c r="I398" s="3" t="s">
        <v>73</v>
      </c>
      <c r="J398" s="3" t="s">
        <v>73</v>
      </c>
      <c r="K398" s="3" t="s">
        <v>65</v>
      </c>
      <c r="L398" s="2" t="s">
        <v>717</v>
      </c>
      <c r="M398" s="2" t="s">
        <v>4060</v>
      </c>
      <c r="N398" s="3" t="s">
        <v>2116</v>
      </c>
      <c r="P398" s="3" t="s">
        <v>69</v>
      </c>
      <c r="R398" s="3" t="s">
        <v>70</v>
      </c>
      <c r="S398" s="4">
        <v>43</v>
      </c>
      <c r="T398" s="4">
        <v>107</v>
      </c>
      <c r="U398" s="5" t="s">
        <v>735</v>
      </c>
      <c r="V398" s="5" t="s">
        <v>735</v>
      </c>
      <c r="W398" s="5" t="s">
        <v>72</v>
      </c>
      <c r="X398" s="5" t="s">
        <v>72</v>
      </c>
      <c r="Y398" s="4">
        <v>990</v>
      </c>
      <c r="Z398" s="4">
        <v>61</v>
      </c>
      <c r="AA398" s="4">
        <v>77</v>
      </c>
      <c r="AB398" s="4">
        <v>3</v>
      </c>
      <c r="AC398" s="4">
        <v>8</v>
      </c>
      <c r="AD398" s="4">
        <v>132</v>
      </c>
      <c r="AE398" s="4">
        <v>142</v>
      </c>
      <c r="AF398" s="4">
        <v>1</v>
      </c>
      <c r="AG398" s="4">
        <v>1</v>
      </c>
      <c r="AH398" s="4">
        <v>101</v>
      </c>
      <c r="AI398" s="4">
        <v>110</v>
      </c>
      <c r="AJ398" s="4">
        <v>23</v>
      </c>
      <c r="AK398" s="4">
        <v>23</v>
      </c>
      <c r="AL398" s="4">
        <v>56</v>
      </c>
      <c r="AM398" s="4">
        <v>59</v>
      </c>
      <c r="AN398" s="4">
        <v>0</v>
      </c>
      <c r="AO398" s="4">
        <v>0</v>
      </c>
      <c r="AP398" s="4">
        <v>39</v>
      </c>
      <c r="AQ398" s="4">
        <v>40</v>
      </c>
      <c r="AR398" s="3" t="s">
        <v>64</v>
      </c>
      <c r="AS398" s="3" t="s">
        <v>64</v>
      </c>
      <c r="AT398" s="3" t="s">
        <v>73</v>
      </c>
      <c r="AU398" s="6" t="str">
        <f>HYPERLINK("http://catalog.hathitrust.org/Record/000740844","HathiTrust Record")</f>
        <v>HathiTrust Record</v>
      </c>
      <c r="AV398" s="6" t="str">
        <f>HYPERLINK("http://mcgill.on.worldcat.org/oclc/2361621","Catalog Record")</f>
        <v>Catalog Record</v>
      </c>
      <c r="AW398" s="6" t="str">
        <f>HYPERLINK("http://www.worldcat.org/oclc/2361621","WorldCat Record")</f>
        <v>WorldCat Record</v>
      </c>
      <c r="AX398" s="3" t="s">
        <v>4062</v>
      </c>
      <c r="AY398" s="3" t="s">
        <v>4063</v>
      </c>
      <c r="AZ398" s="3" t="s">
        <v>4064</v>
      </c>
      <c r="BA398" s="3" t="s">
        <v>4064</v>
      </c>
      <c r="BB398" s="3" t="s">
        <v>4068</v>
      </c>
      <c r="BC398" s="3" t="s">
        <v>78</v>
      </c>
      <c r="BD398" s="3" t="s">
        <v>79</v>
      </c>
      <c r="BE398" s="3" t="s">
        <v>4066</v>
      </c>
      <c r="BF398" s="3" t="s">
        <v>4068</v>
      </c>
      <c r="BG398" s="3" t="s">
        <v>4069</v>
      </c>
    </row>
    <row r="399" spans="1:59" ht="58" x14ac:dyDescent="0.35">
      <c r="A399" s="2" t="s">
        <v>59</v>
      </c>
      <c r="B399" s="2" t="s">
        <v>94</v>
      </c>
      <c r="C399" s="2" t="s">
        <v>4070</v>
      </c>
      <c r="D399" s="2" t="s">
        <v>4071</v>
      </c>
      <c r="E399" s="2" t="s">
        <v>4059</v>
      </c>
      <c r="G399" s="3" t="s">
        <v>64</v>
      </c>
      <c r="I399" s="3" t="s">
        <v>64</v>
      </c>
      <c r="J399" s="3" t="s">
        <v>73</v>
      </c>
      <c r="K399" s="3" t="s">
        <v>65</v>
      </c>
      <c r="L399" s="2" t="s">
        <v>717</v>
      </c>
      <c r="M399" s="2" t="s">
        <v>4072</v>
      </c>
      <c r="N399" s="3" t="s">
        <v>1029</v>
      </c>
      <c r="O399" s="2" t="s">
        <v>4073</v>
      </c>
      <c r="P399" s="3" t="s">
        <v>69</v>
      </c>
      <c r="R399" s="3" t="s">
        <v>70</v>
      </c>
      <c r="S399" s="4">
        <v>7</v>
      </c>
      <c r="T399" s="4">
        <v>7</v>
      </c>
      <c r="U399" s="5" t="s">
        <v>4074</v>
      </c>
      <c r="V399" s="5" t="s">
        <v>4074</v>
      </c>
      <c r="W399" s="5" t="s">
        <v>72</v>
      </c>
      <c r="X399" s="5" t="s">
        <v>72</v>
      </c>
      <c r="Y399" s="4">
        <v>208</v>
      </c>
      <c r="Z399" s="4">
        <v>21</v>
      </c>
      <c r="AA399" s="4">
        <v>77</v>
      </c>
      <c r="AB399" s="4">
        <v>3</v>
      </c>
      <c r="AC399" s="4">
        <v>8</v>
      </c>
      <c r="AD399" s="4">
        <v>58</v>
      </c>
      <c r="AE399" s="4">
        <v>142</v>
      </c>
      <c r="AF399" s="4">
        <v>0</v>
      </c>
      <c r="AG399" s="4">
        <v>1</v>
      </c>
      <c r="AH399" s="4">
        <v>52</v>
      </c>
      <c r="AI399" s="4">
        <v>110</v>
      </c>
      <c r="AJ399" s="4">
        <v>11</v>
      </c>
      <c r="AK399" s="4">
        <v>23</v>
      </c>
      <c r="AL399" s="4">
        <v>31</v>
      </c>
      <c r="AM399" s="4">
        <v>59</v>
      </c>
      <c r="AN399" s="4">
        <v>0</v>
      </c>
      <c r="AO399" s="4">
        <v>0</v>
      </c>
      <c r="AP399" s="4">
        <v>13</v>
      </c>
      <c r="AQ399" s="4">
        <v>40</v>
      </c>
      <c r="AR399" s="3" t="s">
        <v>64</v>
      </c>
      <c r="AS399" s="3" t="s">
        <v>64</v>
      </c>
      <c r="AT399" s="3" t="s">
        <v>64</v>
      </c>
      <c r="AV399" s="6" t="str">
        <f>HYPERLINK("http://mcgill.on.worldcat.org/oclc/244417432","Catalog Record")</f>
        <v>Catalog Record</v>
      </c>
      <c r="AW399" s="6" t="str">
        <f>HYPERLINK("http://www.worldcat.org/oclc/244417432","WorldCat Record")</f>
        <v>WorldCat Record</v>
      </c>
      <c r="AX399" s="3" t="s">
        <v>4062</v>
      </c>
      <c r="AY399" s="3" t="s">
        <v>4075</v>
      </c>
      <c r="AZ399" s="3" t="s">
        <v>4076</v>
      </c>
      <c r="BA399" s="3" t="s">
        <v>4076</v>
      </c>
      <c r="BB399" s="3" t="s">
        <v>4077</v>
      </c>
      <c r="BC399" s="3" t="s">
        <v>78</v>
      </c>
      <c r="BD399" s="3" t="s">
        <v>79</v>
      </c>
      <c r="BE399" s="3" t="s">
        <v>4078</v>
      </c>
      <c r="BF399" s="3" t="s">
        <v>4077</v>
      </c>
      <c r="BG399" s="3" t="s">
        <v>4079</v>
      </c>
    </row>
    <row r="400" spans="1:59" ht="58" x14ac:dyDescent="0.35">
      <c r="A400" s="2" t="s">
        <v>59</v>
      </c>
      <c r="B400" s="2" t="s">
        <v>94</v>
      </c>
      <c r="C400" s="2" t="s">
        <v>4080</v>
      </c>
      <c r="D400" s="2" t="s">
        <v>4081</v>
      </c>
      <c r="E400" s="2" t="s">
        <v>4082</v>
      </c>
      <c r="G400" s="3" t="s">
        <v>64</v>
      </c>
      <c r="I400" s="3" t="s">
        <v>64</v>
      </c>
      <c r="J400" s="3" t="s">
        <v>64</v>
      </c>
      <c r="K400" s="3" t="s">
        <v>65</v>
      </c>
      <c r="L400" s="2" t="s">
        <v>4083</v>
      </c>
      <c r="M400" s="2" t="s">
        <v>4084</v>
      </c>
      <c r="N400" s="3" t="s">
        <v>651</v>
      </c>
      <c r="P400" s="3" t="s">
        <v>69</v>
      </c>
      <c r="Q400" s="2" t="s">
        <v>4085</v>
      </c>
      <c r="R400" s="3" t="s">
        <v>70</v>
      </c>
      <c r="S400" s="4">
        <v>11</v>
      </c>
      <c r="T400" s="4">
        <v>11</v>
      </c>
      <c r="U400" s="5" t="s">
        <v>3399</v>
      </c>
      <c r="V400" s="5" t="s">
        <v>3399</v>
      </c>
      <c r="W400" s="5" t="s">
        <v>72</v>
      </c>
      <c r="X400" s="5" t="s">
        <v>72</v>
      </c>
      <c r="Y400" s="4">
        <v>255</v>
      </c>
      <c r="Z400" s="4">
        <v>12</v>
      </c>
      <c r="AA400" s="4">
        <v>38</v>
      </c>
      <c r="AB400" s="4">
        <v>1</v>
      </c>
      <c r="AC400" s="4">
        <v>6</v>
      </c>
      <c r="AD400" s="4">
        <v>82</v>
      </c>
      <c r="AE400" s="4">
        <v>86</v>
      </c>
      <c r="AF400" s="4">
        <v>0</v>
      </c>
      <c r="AG400" s="4">
        <v>0</v>
      </c>
      <c r="AH400" s="4">
        <v>77</v>
      </c>
      <c r="AI400" s="4">
        <v>79</v>
      </c>
      <c r="AJ400" s="4">
        <v>8</v>
      </c>
      <c r="AK400" s="4">
        <v>8</v>
      </c>
      <c r="AL400" s="4">
        <v>41</v>
      </c>
      <c r="AM400" s="4">
        <v>42</v>
      </c>
      <c r="AN400" s="4">
        <v>0</v>
      </c>
      <c r="AO400" s="4">
        <v>0</v>
      </c>
      <c r="AP400" s="4">
        <v>9</v>
      </c>
      <c r="AQ400" s="4">
        <v>11</v>
      </c>
      <c r="AR400" s="3" t="s">
        <v>64</v>
      </c>
      <c r="AS400" s="3" t="s">
        <v>64</v>
      </c>
      <c r="AT400" s="3" t="s">
        <v>64</v>
      </c>
      <c r="AV400" s="6" t="str">
        <f>HYPERLINK("http://mcgill.on.worldcat.org/oclc/51653332","Catalog Record")</f>
        <v>Catalog Record</v>
      </c>
      <c r="AW400" s="6" t="str">
        <f>HYPERLINK("http://www.worldcat.org/oclc/51653332","WorldCat Record")</f>
        <v>WorldCat Record</v>
      </c>
      <c r="AX400" s="3" t="s">
        <v>4086</v>
      </c>
      <c r="AY400" s="3" t="s">
        <v>4087</v>
      </c>
      <c r="AZ400" s="3" t="s">
        <v>4088</v>
      </c>
      <c r="BA400" s="3" t="s">
        <v>4088</v>
      </c>
      <c r="BB400" s="3" t="s">
        <v>4089</v>
      </c>
      <c r="BC400" s="3" t="s">
        <v>78</v>
      </c>
      <c r="BD400" s="3" t="s">
        <v>79</v>
      </c>
      <c r="BE400" s="3" t="s">
        <v>4090</v>
      </c>
      <c r="BF400" s="3" t="s">
        <v>4089</v>
      </c>
      <c r="BG400" s="3" t="s">
        <v>4091</v>
      </c>
    </row>
    <row r="401" spans="1:59" ht="58" x14ac:dyDescent="0.35">
      <c r="A401" s="2" t="s">
        <v>59</v>
      </c>
      <c r="B401" s="2" t="s">
        <v>94</v>
      </c>
      <c r="C401" s="2" t="s">
        <v>4092</v>
      </c>
      <c r="D401" s="2" t="s">
        <v>4093</v>
      </c>
      <c r="E401" s="2" t="s">
        <v>4094</v>
      </c>
      <c r="G401" s="3" t="s">
        <v>64</v>
      </c>
      <c r="I401" s="3" t="s">
        <v>64</v>
      </c>
      <c r="J401" s="3" t="s">
        <v>64</v>
      </c>
      <c r="K401" s="3" t="s">
        <v>65</v>
      </c>
      <c r="L401" s="2" t="s">
        <v>4095</v>
      </c>
      <c r="M401" s="2" t="s">
        <v>4096</v>
      </c>
      <c r="N401" s="3" t="s">
        <v>861</v>
      </c>
      <c r="P401" s="3" t="s">
        <v>69</v>
      </c>
      <c r="R401" s="3" t="s">
        <v>70</v>
      </c>
      <c r="S401" s="4">
        <v>8</v>
      </c>
      <c r="T401" s="4">
        <v>8</v>
      </c>
      <c r="U401" s="5" t="s">
        <v>2253</v>
      </c>
      <c r="V401" s="5" t="s">
        <v>2253</v>
      </c>
      <c r="W401" s="5" t="s">
        <v>72</v>
      </c>
      <c r="X401" s="5" t="s">
        <v>72</v>
      </c>
      <c r="Y401" s="4">
        <v>147</v>
      </c>
      <c r="Z401" s="4">
        <v>9</v>
      </c>
      <c r="AA401" s="4">
        <v>74</v>
      </c>
      <c r="AB401" s="4">
        <v>1</v>
      </c>
      <c r="AC401" s="4">
        <v>15</v>
      </c>
      <c r="AD401" s="4">
        <v>61</v>
      </c>
      <c r="AE401" s="4">
        <v>117</v>
      </c>
      <c r="AF401" s="4">
        <v>0</v>
      </c>
      <c r="AG401" s="4">
        <v>8</v>
      </c>
      <c r="AH401" s="4">
        <v>56</v>
      </c>
      <c r="AI401" s="4">
        <v>85</v>
      </c>
      <c r="AJ401" s="4">
        <v>6</v>
      </c>
      <c r="AK401" s="4">
        <v>21</v>
      </c>
      <c r="AL401" s="4">
        <v>38</v>
      </c>
      <c r="AM401" s="4">
        <v>46</v>
      </c>
      <c r="AN401" s="4">
        <v>0</v>
      </c>
      <c r="AO401" s="4">
        <v>0</v>
      </c>
      <c r="AP401" s="4">
        <v>6</v>
      </c>
      <c r="AQ401" s="4">
        <v>37</v>
      </c>
      <c r="AR401" s="3" t="s">
        <v>64</v>
      </c>
      <c r="AS401" s="3" t="s">
        <v>64</v>
      </c>
      <c r="AT401" s="3" t="s">
        <v>64</v>
      </c>
      <c r="AV401" s="6" t="str">
        <f>HYPERLINK("http://mcgill.on.worldcat.org/oclc/53932705","Catalog Record")</f>
        <v>Catalog Record</v>
      </c>
      <c r="AW401" s="6" t="str">
        <f>HYPERLINK("http://www.worldcat.org/oclc/53932705","WorldCat Record")</f>
        <v>WorldCat Record</v>
      </c>
      <c r="AX401" s="3" t="s">
        <v>4097</v>
      </c>
      <c r="AY401" s="3" t="s">
        <v>4098</v>
      </c>
      <c r="AZ401" s="3" t="s">
        <v>4099</v>
      </c>
      <c r="BA401" s="3" t="s">
        <v>4099</v>
      </c>
      <c r="BB401" s="3" t="s">
        <v>4100</v>
      </c>
      <c r="BC401" s="3" t="s">
        <v>78</v>
      </c>
      <c r="BD401" s="3" t="s">
        <v>79</v>
      </c>
      <c r="BE401" s="3" t="s">
        <v>4101</v>
      </c>
      <c r="BF401" s="3" t="s">
        <v>4100</v>
      </c>
      <c r="BG401" s="3" t="s">
        <v>4102</v>
      </c>
    </row>
    <row r="402" spans="1:59" ht="58" x14ac:dyDescent="0.35">
      <c r="A402" s="2" t="s">
        <v>59</v>
      </c>
      <c r="B402" s="2" t="s">
        <v>94</v>
      </c>
      <c r="C402" s="2" t="s">
        <v>4103</v>
      </c>
      <c r="D402" s="2" t="s">
        <v>4104</v>
      </c>
      <c r="E402" s="2" t="s">
        <v>4105</v>
      </c>
      <c r="G402" s="3" t="s">
        <v>64</v>
      </c>
      <c r="I402" s="3" t="s">
        <v>64</v>
      </c>
      <c r="J402" s="3" t="s">
        <v>64</v>
      </c>
      <c r="K402" s="3" t="s">
        <v>65</v>
      </c>
      <c r="L402" s="2" t="s">
        <v>4106</v>
      </c>
      <c r="M402" s="2" t="s">
        <v>4107</v>
      </c>
      <c r="N402" s="3" t="s">
        <v>136</v>
      </c>
      <c r="P402" s="3" t="s">
        <v>69</v>
      </c>
      <c r="Q402" s="2" t="s">
        <v>1996</v>
      </c>
      <c r="R402" s="3" t="s">
        <v>70</v>
      </c>
      <c r="S402" s="4">
        <v>5</v>
      </c>
      <c r="T402" s="4">
        <v>5</v>
      </c>
      <c r="U402" s="5" t="s">
        <v>4108</v>
      </c>
      <c r="V402" s="5" t="s">
        <v>4108</v>
      </c>
      <c r="W402" s="5" t="s">
        <v>72</v>
      </c>
      <c r="X402" s="5" t="s">
        <v>72</v>
      </c>
      <c r="Y402" s="4">
        <v>350</v>
      </c>
      <c r="Z402" s="4">
        <v>19</v>
      </c>
      <c r="AA402" s="4">
        <v>19</v>
      </c>
      <c r="AB402" s="4">
        <v>2</v>
      </c>
      <c r="AC402" s="4">
        <v>2</v>
      </c>
      <c r="AD402" s="4">
        <v>87</v>
      </c>
      <c r="AE402" s="4">
        <v>87</v>
      </c>
      <c r="AF402" s="4">
        <v>0</v>
      </c>
      <c r="AG402" s="4">
        <v>0</v>
      </c>
      <c r="AH402" s="4">
        <v>78</v>
      </c>
      <c r="AI402" s="4">
        <v>78</v>
      </c>
      <c r="AJ402" s="4">
        <v>10</v>
      </c>
      <c r="AK402" s="4">
        <v>10</v>
      </c>
      <c r="AL402" s="4">
        <v>44</v>
      </c>
      <c r="AM402" s="4">
        <v>44</v>
      </c>
      <c r="AN402" s="4">
        <v>0</v>
      </c>
      <c r="AO402" s="4">
        <v>0</v>
      </c>
      <c r="AP402" s="4">
        <v>14</v>
      </c>
      <c r="AQ402" s="4">
        <v>14</v>
      </c>
      <c r="AR402" s="3" t="s">
        <v>64</v>
      </c>
      <c r="AS402" s="3" t="s">
        <v>64</v>
      </c>
      <c r="AT402" s="3" t="s">
        <v>73</v>
      </c>
      <c r="AU402" s="6" t="str">
        <f>HYPERLINK("http://catalog.hathitrust.org/Record/004171231","HathiTrust Record")</f>
        <v>HathiTrust Record</v>
      </c>
      <c r="AV402" s="6" t="str">
        <f>HYPERLINK("http://mcgill.on.worldcat.org/oclc/44516530","Catalog Record")</f>
        <v>Catalog Record</v>
      </c>
      <c r="AW402" s="6" t="str">
        <f>HYPERLINK("http://www.worldcat.org/oclc/44516530","WorldCat Record")</f>
        <v>WorldCat Record</v>
      </c>
      <c r="AX402" s="3" t="s">
        <v>4109</v>
      </c>
      <c r="AY402" s="3" t="s">
        <v>4110</v>
      </c>
      <c r="AZ402" s="3" t="s">
        <v>4111</v>
      </c>
      <c r="BA402" s="3" t="s">
        <v>4111</v>
      </c>
      <c r="BB402" s="3" t="s">
        <v>4112</v>
      </c>
      <c r="BC402" s="3" t="s">
        <v>78</v>
      </c>
      <c r="BD402" s="3" t="s">
        <v>79</v>
      </c>
      <c r="BE402" s="3" t="s">
        <v>4113</v>
      </c>
      <c r="BF402" s="3" t="s">
        <v>4112</v>
      </c>
      <c r="BG402" s="3" t="s">
        <v>4114</v>
      </c>
    </row>
    <row r="403" spans="1:59" ht="58" x14ac:dyDescent="0.35">
      <c r="A403" s="2" t="s">
        <v>59</v>
      </c>
      <c r="B403" s="2" t="s">
        <v>94</v>
      </c>
      <c r="C403" s="2" t="s">
        <v>4115</v>
      </c>
      <c r="D403" s="2" t="s">
        <v>4116</v>
      </c>
      <c r="E403" s="2" t="s">
        <v>4117</v>
      </c>
      <c r="G403" s="3" t="s">
        <v>64</v>
      </c>
      <c r="I403" s="3" t="s">
        <v>64</v>
      </c>
      <c r="J403" s="3" t="s">
        <v>64</v>
      </c>
      <c r="K403" s="3" t="s">
        <v>65</v>
      </c>
      <c r="L403" s="2" t="s">
        <v>4118</v>
      </c>
      <c r="M403" s="2" t="s">
        <v>4119</v>
      </c>
      <c r="N403" s="3" t="s">
        <v>407</v>
      </c>
      <c r="P403" s="3" t="s">
        <v>69</v>
      </c>
      <c r="Q403" s="2" t="s">
        <v>4120</v>
      </c>
      <c r="R403" s="3" t="s">
        <v>70</v>
      </c>
      <c r="S403" s="4">
        <v>22</v>
      </c>
      <c r="T403" s="4">
        <v>22</v>
      </c>
      <c r="U403" s="5" t="s">
        <v>4121</v>
      </c>
      <c r="V403" s="5" t="s">
        <v>4121</v>
      </c>
      <c r="W403" s="5" t="s">
        <v>72</v>
      </c>
      <c r="X403" s="5" t="s">
        <v>72</v>
      </c>
      <c r="Y403" s="4">
        <v>326</v>
      </c>
      <c r="Z403" s="4">
        <v>24</v>
      </c>
      <c r="AA403" s="4">
        <v>25</v>
      </c>
      <c r="AB403" s="4">
        <v>2</v>
      </c>
      <c r="AC403" s="4">
        <v>3</v>
      </c>
      <c r="AD403" s="4">
        <v>97</v>
      </c>
      <c r="AE403" s="4">
        <v>99</v>
      </c>
      <c r="AF403" s="4">
        <v>1</v>
      </c>
      <c r="AG403" s="4">
        <v>2</v>
      </c>
      <c r="AH403" s="4">
        <v>87</v>
      </c>
      <c r="AI403" s="4">
        <v>88</v>
      </c>
      <c r="AJ403" s="4">
        <v>14</v>
      </c>
      <c r="AK403" s="4">
        <v>15</v>
      </c>
      <c r="AL403" s="4">
        <v>48</v>
      </c>
      <c r="AM403" s="4">
        <v>48</v>
      </c>
      <c r="AN403" s="4">
        <v>0</v>
      </c>
      <c r="AO403" s="4">
        <v>0</v>
      </c>
      <c r="AP403" s="4">
        <v>18</v>
      </c>
      <c r="AQ403" s="4">
        <v>19</v>
      </c>
      <c r="AR403" s="3" t="s">
        <v>64</v>
      </c>
      <c r="AS403" s="3" t="s">
        <v>64</v>
      </c>
      <c r="AT403" s="3" t="s">
        <v>73</v>
      </c>
      <c r="AU403" s="6" t="str">
        <f>HYPERLINK("http://catalog.hathitrust.org/Record/000665341","HathiTrust Record")</f>
        <v>HathiTrust Record</v>
      </c>
      <c r="AV403" s="6" t="str">
        <f>HYPERLINK("http://mcgill.on.worldcat.org/oclc/11533555","Catalog Record")</f>
        <v>Catalog Record</v>
      </c>
      <c r="AW403" s="6" t="str">
        <f>HYPERLINK("http://www.worldcat.org/oclc/11533555","WorldCat Record")</f>
        <v>WorldCat Record</v>
      </c>
      <c r="AX403" s="3" t="s">
        <v>4122</v>
      </c>
      <c r="AY403" s="3" t="s">
        <v>4123</v>
      </c>
      <c r="AZ403" s="3" t="s">
        <v>4124</v>
      </c>
      <c r="BA403" s="3" t="s">
        <v>4124</v>
      </c>
      <c r="BB403" s="3" t="s">
        <v>4125</v>
      </c>
      <c r="BC403" s="3" t="s">
        <v>78</v>
      </c>
      <c r="BD403" s="3" t="s">
        <v>79</v>
      </c>
      <c r="BE403" s="3" t="s">
        <v>4126</v>
      </c>
      <c r="BF403" s="3" t="s">
        <v>4125</v>
      </c>
      <c r="BG403" s="3" t="s">
        <v>4127</v>
      </c>
    </row>
    <row r="404" spans="1:59" ht="58" x14ac:dyDescent="0.35">
      <c r="A404" s="2" t="s">
        <v>59</v>
      </c>
      <c r="B404" s="2" t="s">
        <v>94</v>
      </c>
      <c r="C404" s="2" t="s">
        <v>4128</v>
      </c>
      <c r="D404" s="2" t="s">
        <v>4129</v>
      </c>
      <c r="E404" s="2" t="s">
        <v>4130</v>
      </c>
      <c r="G404" s="3" t="s">
        <v>64</v>
      </c>
      <c r="I404" s="3" t="s">
        <v>64</v>
      </c>
      <c r="J404" s="3" t="s">
        <v>64</v>
      </c>
      <c r="K404" s="3" t="s">
        <v>65</v>
      </c>
      <c r="L404" s="2" t="s">
        <v>4131</v>
      </c>
      <c r="M404" s="2" t="s">
        <v>4132</v>
      </c>
      <c r="N404" s="3" t="s">
        <v>87</v>
      </c>
      <c r="P404" s="3" t="s">
        <v>69</v>
      </c>
      <c r="Q404" s="2" t="s">
        <v>4133</v>
      </c>
      <c r="R404" s="3" t="s">
        <v>70</v>
      </c>
      <c r="S404" s="4">
        <v>0</v>
      </c>
      <c r="T404" s="4">
        <v>0</v>
      </c>
      <c r="W404" s="5" t="s">
        <v>72</v>
      </c>
      <c r="X404" s="5" t="s">
        <v>72</v>
      </c>
      <c r="Y404" s="4">
        <v>17</v>
      </c>
      <c r="Z404" s="4">
        <v>1</v>
      </c>
      <c r="AA404" s="4">
        <v>1</v>
      </c>
      <c r="AB404" s="4">
        <v>1</v>
      </c>
      <c r="AC404" s="4">
        <v>1</v>
      </c>
      <c r="AD404" s="4">
        <v>12</v>
      </c>
      <c r="AE404" s="4">
        <v>12</v>
      </c>
      <c r="AF404" s="4">
        <v>0</v>
      </c>
      <c r="AG404" s="4">
        <v>0</v>
      </c>
      <c r="AH404" s="4">
        <v>11</v>
      </c>
      <c r="AI404" s="4">
        <v>11</v>
      </c>
      <c r="AJ404" s="4">
        <v>0</v>
      </c>
      <c r="AK404" s="4">
        <v>0</v>
      </c>
      <c r="AL404" s="4">
        <v>11</v>
      </c>
      <c r="AM404" s="4">
        <v>11</v>
      </c>
      <c r="AN404" s="4">
        <v>0</v>
      </c>
      <c r="AO404" s="4">
        <v>0</v>
      </c>
      <c r="AP404" s="4">
        <v>0</v>
      </c>
      <c r="AQ404" s="4">
        <v>0</v>
      </c>
      <c r="AR404" s="3" t="s">
        <v>64</v>
      </c>
      <c r="AS404" s="3" t="s">
        <v>64</v>
      </c>
      <c r="AT404" s="3" t="s">
        <v>64</v>
      </c>
      <c r="AV404" s="6" t="str">
        <f>HYPERLINK("http://mcgill.on.worldcat.org/oclc/918888148","Catalog Record")</f>
        <v>Catalog Record</v>
      </c>
      <c r="AW404" s="6" t="str">
        <f>HYPERLINK("http://www.worldcat.org/oclc/918888148","WorldCat Record")</f>
        <v>WorldCat Record</v>
      </c>
      <c r="AX404" s="3" t="s">
        <v>4134</v>
      </c>
      <c r="AY404" s="3" t="s">
        <v>4135</v>
      </c>
      <c r="AZ404" s="3" t="s">
        <v>4136</v>
      </c>
      <c r="BA404" s="3" t="s">
        <v>4136</v>
      </c>
      <c r="BB404" s="3" t="s">
        <v>4137</v>
      </c>
      <c r="BC404" s="3" t="s">
        <v>78</v>
      </c>
      <c r="BD404" s="3" t="s">
        <v>79</v>
      </c>
      <c r="BE404" s="3" t="s">
        <v>4138</v>
      </c>
      <c r="BF404" s="3" t="s">
        <v>4137</v>
      </c>
      <c r="BG404" s="3" t="s">
        <v>4139</v>
      </c>
    </row>
    <row r="405" spans="1:59" ht="58" x14ac:dyDescent="0.35">
      <c r="A405" s="2" t="s">
        <v>59</v>
      </c>
      <c r="B405" s="2" t="s">
        <v>94</v>
      </c>
      <c r="C405" s="2" t="s">
        <v>4140</v>
      </c>
      <c r="D405" s="2" t="s">
        <v>4141</v>
      </c>
      <c r="E405" s="2" t="s">
        <v>4142</v>
      </c>
      <c r="G405" s="3" t="s">
        <v>64</v>
      </c>
      <c r="I405" s="3" t="s">
        <v>64</v>
      </c>
      <c r="J405" s="3" t="s">
        <v>64</v>
      </c>
      <c r="K405" s="3" t="s">
        <v>65</v>
      </c>
      <c r="L405" s="2" t="s">
        <v>4143</v>
      </c>
      <c r="M405" s="2" t="s">
        <v>4144</v>
      </c>
      <c r="N405" s="3" t="s">
        <v>861</v>
      </c>
      <c r="P405" s="3" t="s">
        <v>69</v>
      </c>
      <c r="Q405" s="2" t="s">
        <v>4145</v>
      </c>
      <c r="R405" s="3" t="s">
        <v>70</v>
      </c>
      <c r="S405" s="4">
        <v>8</v>
      </c>
      <c r="T405" s="4">
        <v>8</v>
      </c>
      <c r="U405" s="5" t="s">
        <v>4146</v>
      </c>
      <c r="V405" s="5" t="s">
        <v>4146</v>
      </c>
      <c r="W405" s="5" t="s">
        <v>72</v>
      </c>
      <c r="X405" s="5" t="s">
        <v>72</v>
      </c>
      <c r="Y405" s="4">
        <v>156</v>
      </c>
      <c r="Z405" s="4">
        <v>16</v>
      </c>
      <c r="AA405" s="4">
        <v>16</v>
      </c>
      <c r="AB405" s="4">
        <v>1</v>
      </c>
      <c r="AC405" s="4">
        <v>1</v>
      </c>
      <c r="AD405" s="4">
        <v>83</v>
      </c>
      <c r="AE405" s="4">
        <v>83</v>
      </c>
      <c r="AF405" s="4">
        <v>0</v>
      </c>
      <c r="AG405" s="4">
        <v>0</v>
      </c>
      <c r="AH405" s="4">
        <v>75</v>
      </c>
      <c r="AI405" s="4">
        <v>75</v>
      </c>
      <c r="AJ405" s="4">
        <v>10</v>
      </c>
      <c r="AK405" s="4">
        <v>10</v>
      </c>
      <c r="AL405" s="4">
        <v>47</v>
      </c>
      <c r="AM405" s="4">
        <v>47</v>
      </c>
      <c r="AN405" s="4">
        <v>0</v>
      </c>
      <c r="AO405" s="4">
        <v>0</v>
      </c>
      <c r="AP405" s="4">
        <v>14</v>
      </c>
      <c r="AQ405" s="4">
        <v>14</v>
      </c>
      <c r="AR405" s="3" t="s">
        <v>64</v>
      </c>
      <c r="AS405" s="3" t="s">
        <v>64</v>
      </c>
      <c r="AT405" s="3" t="s">
        <v>73</v>
      </c>
      <c r="AU405" s="6" t="str">
        <f>HYPERLINK("http://catalog.hathitrust.org/Record/004718078","HathiTrust Record")</f>
        <v>HathiTrust Record</v>
      </c>
      <c r="AV405" s="6" t="str">
        <f>HYPERLINK("http://mcgill.on.worldcat.org/oclc/56367567","Catalog Record")</f>
        <v>Catalog Record</v>
      </c>
      <c r="AW405" s="6" t="str">
        <f>HYPERLINK("http://www.worldcat.org/oclc/56367567","WorldCat Record")</f>
        <v>WorldCat Record</v>
      </c>
      <c r="AX405" s="3" t="s">
        <v>4147</v>
      </c>
      <c r="AY405" s="3" t="s">
        <v>4148</v>
      </c>
      <c r="AZ405" s="3" t="s">
        <v>4149</v>
      </c>
      <c r="BA405" s="3" t="s">
        <v>4149</v>
      </c>
      <c r="BB405" s="3" t="s">
        <v>4150</v>
      </c>
      <c r="BC405" s="3" t="s">
        <v>78</v>
      </c>
      <c r="BD405" s="3" t="s">
        <v>79</v>
      </c>
      <c r="BE405" s="3" t="s">
        <v>4151</v>
      </c>
      <c r="BF405" s="3" t="s">
        <v>4150</v>
      </c>
      <c r="BG405" s="3" t="s">
        <v>4152</v>
      </c>
    </row>
    <row r="406" spans="1:59" ht="58" x14ac:dyDescent="0.35">
      <c r="A406" s="2" t="s">
        <v>59</v>
      </c>
      <c r="B406" s="2" t="s">
        <v>94</v>
      </c>
      <c r="C406" s="2" t="s">
        <v>4153</v>
      </c>
      <c r="D406" s="2" t="s">
        <v>4154</v>
      </c>
      <c r="E406" s="2" t="s">
        <v>4155</v>
      </c>
      <c r="G406" s="3" t="s">
        <v>64</v>
      </c>
      <c r="I406" s="3" t="s">
        <v>64</v>
      </c>
      <c r="J406" s="3" t="s">
        <v>64</v>
      </c>
      <c r="K406" s="3" t="s">
        <v>65</v>
      </c>
      <c r="L406" s="2" t="s">
        <v>4156</v>
      </c>
      <c r="M406" s="2" t="s">
        <v>4157</v>
      </c>
      <c r="N406" s="3" t="s">
        <v>1029</v>
      </c>
      <c r="P406" s="3" t="s">
        <v>69</v>
      </c>
      <c r="R406" s="3" t="s">
        <v>70</v>
      </c>
      <c r="S406" s="4">
        <v>2</v>
      </c>
      <c r="T406" s="4">
        <v>2</v>
      </c>
      <c r="U406" s="5" t="s">
        <v>4146</v>
      </c>
      <c r="V406" s="5" t="s">
        <v>4146</v>
      </c>
      <c r="W406" s="5" t="s">
        <v>72</v>
      </c>
      <c r="X406" s="5" t="s">
        <v>72</v>
      </c>
      <c r="Y406" s="4">
        <v>140</v>
      </c>
      <c r="Z406" s="4">
        <v>11</v>
      </c>
      <c r="AA406" s="4">
        <v>12</v>
      </c>
      <c r="AB406" s="4">
        <v>1</v>
      </c>
      <c r="AC406" s="4">
        <v>2</v>
      </c>
      <c r="AD406" s="4">
        <v>55</v>
      </c>
      <c r="AE406" s="4">
        <v>56</v>
      </c>
      <c r="AF406" s="4">
        <v>0</v>
      </c>
      <c r="AG406" s="4">
        <v>1</v>
      </c>
      <c r="AH406" s="4">
        <v>50</v>
      </c>
      <c r="AI406" s="4">
        <v>51</v>
      </c>
      <c r="AJ406" s="4">
        <v>8</v>
      </c>
      <c r="AK406" s="4">
        <v>9</v>
      </c>
      <c r="AL406" s="4">
        <v>36</v>
      </c>
      <c r="AM406" s="4">
        <v>36</v>
      </c>
      <c r="AN406" s="4">
        <v>0</v>
      </c>
      <c r="AO406" s="4">
        <v>0</v>
      </c>
      <c r="AP406" s="4">
        <v>8</v>
      </c>
      <c r="AQ406" s="4">
        <v>9</v>
      </c>
      <c r="AR406" s="3" t="s">
        <v>64</v>
      </c>
      <c r="AS406" s="3" t="s">
        <v>64</v>
      </c>
      <c r="AT406" s="3" t="s">
        <v>64</v>
      </c>
      <c r="AV406" s="6" t="str">
        <f>HYPERLINK("http://mcgill.on.worldcat.org/oclc/267169792","Catalog Record")</f>
        <v>Catalog Record</v>
      </c>
      <c r="AW406" s="6" t="str">
        <f>HYPERLINK("http://www.worldcat.org/oclc/267169792","WorldCat Record")</f>
        <v>WorldCat Record</v>
      </c>
      <c r="AX406" s="3" t="s">
        <v>4158</v>
      </c>
      <c r="AY406" s="3" t="s">
        <v>4159</v>
      </c>
      <c r="AZ406" s="3" t="s">
        <v>4160</v>
      </c>
      <c r="BA406" s="3" t="s">
        <v>4160</v>
      </c>
      <c r="BB406" s="3" t="s">
        <v>4161</v>
      </c>
      <c r="BC406" s="3" t="s">
        <v>78</v>
      </c>
      <c r="BD406" s="3" t="s">
        <v>79</v>
      </c>
      <c r="BE406" s="3" t="s">
        <v>4162</v>
      </c>
      <c r="BF406" s="3" t="s">
        <v>4161</v>
      </c>
      <c r="BG406" s="3" t="s">
        <v>4163</v>
      </c>
    </row>
    <row r="407" spans="1:59" ht="58" x14ac:dyDescent="0.35">
      <c r="A407" s="2" t="s">
        <v>59</v>
      </c>
      <c r="B407" s="2" t="s">
        <v>94</v>
      </c>
      <c r="C407" s="2" t="s">
        <v>4164</v>
      </c>
      <c r="D407" s="2" t="s">
        <v>4165</v>
      </c>
      <c r="E407" s="2" t="s">
        <v>4166</v>
      </c>
      <c r="G407" s="3" t="s">
        <v>64</v>
      </c>
      <c r="I407" s="3" t="s">
        <v>64</v>
      </c>
      <c r="J407" s="3" t="s">
        <v>64</v>
      </c>
      <c r="K407" s="3" t="s">
        <v>65</v>
      </c>
      <c r="L407" s="2" t="s">
        <v>4167</v>
      </c>
      <c r="M407" s="2" t="s">
        <v>4168</v>
      </c>
      <c r="N407" s="3" t="s">
        <v>136</v>
      </c>
      <c r="P407" s="3" t="s">
        <v>69</v>
      </c>
      <c r="R407" s="3" t="s">
        <v>70</v>
      </c>
      <c r="S407" s="4">
        <v>2</v>
      </c>
      <c r="T407" s="4">
        <v>2</v>
      </c>
      <c r="U407" s="5" t="s">
        <v>1737</v>
      </c>
      <c r="V407" s="5" t="s">
        <v>1737</v>
      </c>
      <c r="W407" s="5" t="s">
        <v>72</v>
      </c>
      <c r="X407" s="5" t="s">
        <v>72</v>
      </c>
      <c r="Y407" s="4">
        <v>43</v>
      </c>
      <c r="Z407" s="4">
        <v>5</v>
      </c>
      <c r="AA407" s="4">
        <v>5</v>
      </c>
      <c r="AB407" s="4">
        <v>1</v>
      </c>
      <c r="AC407" s="4">
        <v>1</v>
      </c>
      <c r="AD407" s="4">
        <v>26</v>
      </c>
      <c r="AE407" s="4">
        <v>26</v>
      </c>
      <c r="AF407" s="4">
        <v>0</v>
      </c>
      <c r="AG407" s="4">
        <v>0</v>
      </c>
      <c r="AH407" s="4">
        <v>26</v>
      </c>
      <c r="AI407" s="4">
        <v>26</v>
      </c>
      <c r="AJ407" s="4">
        <v>3</v>
      </c>
      <c r="AK407" s="4">
        <v>3</v>
      </c>
      <c r="AL407" s="4">
        <v>20</v>
      </c>
      <c r="AM407" s="4">
        <v>20</v>
      </c>
      <c r="AN407" s="4">
        <v>0</v>
      </c>
      <c r="AO407" s="4">
        <v>0</v>
      </c>
      <c r="AP407" s="4">
        <v>3</v>
      </c>
      <c r="AQ407" s="4">
        <v>3</v>
      </c>
      <c r="AR407" s="3" t="s">
        <v>64</v>
      </c>
      <c r="AS407" s="3" t="s">
        <v>64</v>
      </c>
      <c r="AT407" s="3" t="s">
        <v>73</v>
      </c>
      <c r="AU407" s="6" t="str">
        <f>HYPERLINK("http://catalog.hathitrust.org/Record/003539280","HathiTrust Record")</f>
        <v>HathiTrust Record</v>
      </c>
      <c r="AV407" s="6" t="str">
        <f>HYPERLINK("http://mcgill.on.worldcat.org/oclc/44413581","Catalog Record")</f>
        <v>Catalog Record</v>
      </c>
      <c r="AW407" s="6" t="str">
        <f>HYPERLINK("http://www.worldcat.org/oclc/44413581","WorldCat Record")</f>
        <v>WorldCat Record</v>
      </c>
      <c r="AX407" s="3" t="s">
        <v>4169</v>
      </c>
      <c r="AY407" s="3" t="s">
        <v>4170</v>
      </c>
      <c r="AZ407" s="3" t="s">
        <v>4171</v>
      </c>
      <c r="BA407" s="3" t="s">
        <v>4171</v>
      </c>
      <c r="BB407" s="3" t="s">
        <v>4172</v>
      </c>
      <c r="BC407" s="3" t="s">
        <v>78</v>
      </c>
      <c r="BD407" s="3" t="s">
        <v>79</v>
      </c>
      <c r="BE407" s="3" t="s">
        <v>4173</v>
      </c>
      <c r="BF407" s="3" t="s">
        <v>4172</v>
      </c>
      <c r="BG407" s="3" t="s">
        <v>4174</v>
      </c>
    </row>
    <row r="408" spans="1:59" ht="58" x14ac:dyDescent="0.35">
      <c r="A408" s="2" t="s">
        <v>59</v>
      </c>
      <c r="B408" s="2" t="s">
        <v>94</v>
      </c>
      <c r="C408" s="2" t="s">
        <v>4175</v>
      </c>
      <c r="D408" s="2" t="s">
        <v>4176</v>
      </c>
      <c r="E408" s="2" t="s">
        <v>4177</v>
      </c>
      <c r="G408" s="3" t="s">
        <v>64</v>
      </c>
      <c r="I408" s="3" t="s">
        <v>64</v>
      </c>
      <c r="J408" s="3" t="s">
        <v>64</v>
      </c>
      <c r="K408" s="3" t="s">
        <v>65</v>
      </c>
      <c r="L408" s="2" t="s">
        <v>4178</v>
      </c>
      <c r="M408" s="2" t="s">
        <v>4179</v>
      </c>
      <c r="N408" s="3" t="s">
        <v>473</v>
      </c>
      <c r="O408" s="2" t="s">
        <v>1983</v>
      </c>
      <c r="P408" s="3" t="s">
        <v>69</v>
      </c>
      <c r="Q408" s="2" t="s">
        <v>4180</v>
      </c>
      <c r="R408" s="3" t="s">
        <v>70</v>
      </c>
      <c r="S408" s="4">
        <v>2</v>
      </c>
      <c r="T408" s="4">
        <v>2</v>
      </c>
      <c r="U408" s="5" t="s">
        <v>4181</v>
      </c>
      <c r="V408" s="5" t="s">
        <v>4181</v>
      </c>
      <c r="W408" s="5" t="s">
        <v>72</v>
      </c>
      <c r="X408" s="5" t="s">
        <v>72</v>
      </c>
      <c r="Y408" s="4">
        <v>75</v>
      </c>
      <c r="Z408" s="4">
        <v>9</v>
      </c>
      <c r="AA408" s="4">
        <v>9</v>
      </c>
      <c r="AB408" s="4">
        <v>2</v>
      </c>
      <c r="AC408" s="4">
        <v>2</v>
      </c>
      <c r="AD408" s="4">
        <v>10</v>
      </c>
      <c r="AE408" s="4">
        <v>11</v>
      </c>
      <c r="AF408" s="4">
        <v>0</v>
      </c>
      <c r="AG408" s="4">
        <v>0</v>
      </c>
      <c r="AH408" s="4">
        <v>10</v>
      </c>
      <c r="AI408" s="4">
        <v>11</v>
      </c>
      <c r="AJ408" s="4">
        <v>1</v>
      </c>
      <c r="AK408" s="4">
        <v>1</v>
      </c>
      <c r="AL408" s="4">
        <v>5</v>
      </c>
      <c r="AM408" s="4">
        <v>5</v>
      </c>
      <c r="AN408" s="4">
        <v>0</v>
      </c>
      <c r="AO408" s="4">
        <v>0</v>
      </c>
      <c r="AP408" s="4">
        <v>1</v>
      </c>
      <c r="AQ408" s="4">
        <v>1</v>
      </c>
      <c r="AR408" s="3" t="s">
        <v>64</v>
      </c>
      <c r="AS408" s="3" t="s">
        <v>64</v>
      </c>
      <c r="AT408" s="3" t="s">
        <v>73</v>
      </c>
      <c r="AU408" s="6" t="str">
        <f>HYPERLINK("http://catalog.hathitrust.org/Record/101873166","HathiTrust Record")</f>
        <v>HathiTrust Record</v>
      </c>
      <c r="AV408" s="6" t="str">
        <f>HYPERLINK("http://mcgill.on.worldcat.org/oclc/34741902","Catalog Record")</f>
        <v>Catalog Record</v>
      </c>
      <c r="AW408" s="6" t="str">
        <f>HYPERLINK("http://www.worldcat.org/oclc/34741902","WorldCat Record")</f>
        <v>WorldCat Record</v>
      </c>
      <c r="AX408" s="3" t="s">
        <v>4182</v>
      </c>
      <c r="AY408" s="3" t="s">
        <v>4183</v>
      </c>
      <c r="AZ408" s="3" t="s">
        <v>4184</v>
      </c>
      <c r="BA408" s="3" t="s">
        <v>4184</v>
      </c>
      <c r="BB408" s="3" t="s">
        <v>4185</v>
      </c>
      <c r="BC408" s="3" t="s">
        <v>78</v>
      </c>
      <c r="BD408" s="3" t="s">
        <v>79</v>
      </c>
      <c r="BE408" s="3" t="s">
        <v>4186</v>
      </c>
      <c r="BF408" s="3" t="s">
        <v>4185</v>
      </c>
      <c r="BG408" s="3" t="s">
        <v>4187</v>
      </c>
    </row>
    <row r="409" spans="1:59" ht="58" x14ac:dyDescent="0.35">
      <c r="A409" s="2" t="s">
        <v>59</v>
      </c>
      <c r="B409" s="2" t="s">
        <v>94</v>
      </c>
      <c r="C409" s="2" t="s">
        <v>4188</v>
      </c>
      <c r="D409" s="2" t="s">
        <v>4189</v>
      </c>
      <c r="E409" s="2" t="s">
        <v>4190</v>
      </c>
      <c r="G409" s="3" t="s">
        <v>64</v>
      </c>
      <c r="I409" s="3" t="s">
        <v>64</v>
      </c>
      <c r="J409" s="3" t="s">
        <v>64</v>
      </c>
      <c r="K409" s="3" t="s">
        <v>65</v>
      </c>
      <c r="L409" s="2" t="s">
        <v>4191</v>
      </c>
      <c r="M409" s="2" t="s">
        <v>4192</v>
      </c>
      <c r="N409" s="3" t="s">
        <v>214</v>
      </c>
      <c r="P409" s="3" t="s">
        <v>69</v>
      </c>
      <c r="Q409" s="2" t="s">
        <v>4193</v>
      </c>
      <c r="R409" s="3" t="s">
        <v>70</v>
      </c>
      <c r="S409" s="4">
        <v>1</v>
      </c>
      <c r="T409" s="4">
        <v>1</v>
      </c>
      <c r="U409" s="5" t="s">
        <v>4194</v>
      </c>
      <c r="V409" s="5" t="s">
        <v>4194</v>
      </c>
      <c r="W409" s="5" t="s">
        <v>4195</v>
      </c>
      <c r="X409" s="5" t="s">
        <v>4195</v>
      </c>
      <c r="Y409" s="4">
        <v>6</v>
      </c>
      <c r="Z409" s="4">
        <v>1</v>
      </c>
      <c r="AA409" s="4">
        <v>1</v>
      </c>
      <c r="AB409" s="4">
        <v>1</v>
      </c>
      <c r="AC409" s="4">
        <v>1</v>
      </c>
      <c r="AD409" s="4">
        <v>3</v>
      </c>
      <c r="AE409" s="4">
        <v>3</v>
      </c>
      <c r="AF409" s="4">
        <v>0</v>
      </c>
      <c r="AG409" s="4">
        <v>0</v>
      </c>
      <c r="AH409" s="4">
        <v>3</v>
      </c>
      <c r="AI409" s="4">
        <v>3</v>
      </c>
      <c r="AJ409" s="4">
        <v>0</v>
      </c>
      <c r="AK409" s="4">
        <v>0</v>
      </c>
      <c r="AL409" s="4">
        <v>2</v>
      </c>
      <c r="AM409" s="4">
        <v>2</v>
      </c>
      <c r="AN409" s="4">
        <v>0</v>
      </c>
      <c r="AO409" s="4">
        <v>0</v>
      </c>
      <c r="AP409" s="4">
        <v>0</v>
      </c>
      <c r="AQ409" s="4">
        <v>0</v>
      </c>
      <c r="AR409" s="3" t="s">
        <v>64</v>
      </c>
      <c r="AS409" s="3" t="s">
        <v>64</v>
      </c>
      <c r="AT409" s="3" t="s">
        <v>64</v>
      </c>
      <c r="AV409" s="6" t="str">
        <f>HYPERLINK("http://mcgill.on.worldcat.org/oclc/855672079","Catalog Record")</f>
        <v>Catalog Record</v>
      </c>
      <c r="AW409" s="6" t="str">
        <f>HYPERLINK("http://www.worldcat.org/oclc/855672079","WorldCat Record")</f>
        <v>WorldCat Record</v>
      </c>
      <c r="AX409" s="3" t="s">
        <v>4196</v>
      </c>
      <c r="AY409" s="3" t="s">
        <v>4197</v>
      </c>
      <c r="AZ409" s="3" t="s">
        <v>4198</v>
      </c>
      <c r="BA409" s="3" t="s">
        <v>4198</v>
      </c>
      <c r="BB409" s="3" t="s">
        <v>4199</v>
      </c>
      <c r="BC409" s="3" t="s">
        <v>78</v>
      </c>
      <c r="BD409" s="3" t="s">
        <v>79</v>
      </c>
      <c r="BF409" s="3" t="s">
        <v>4199</v>
      </c>
      <c r="BG409" s="3" t="s">
        <v>4200</v>
      </c>
    </row>
    <row r="410" spans="1:59" ht="58" x14ac:dyDescent="0.35">
      <c r="A410" s="2" t="s">
        <v>59</v>
      </c>
      <c r="B410" s="2" t="s">
        <v>94</v>
      </c>
      <c r="C410" s="2" t="s">
        <v>4201</v>
      </c>
      <c r="D410" s="2" t="s">
        <v>4202</v>
      </c>
      <c r="E410" s="2" t="s">
        <v>4203</v>
      </c>
      <c r="G410" s="3" t="s">
        <v>64</v>
      </c>
      <c r="I410" s="3" t="s">
        <v>64</v>
      </c>
      <c r="J410" s="3" t="s">
        <v>64</v>
      </c>
      <c r="K410" s="3" t="s">
        <v>65</v>
      </c>
      <c r="L410" s="2" t="s">
        <v>4204</v>
      </c>
      <c r="M410" s="2" t="s">
        <v>4205</v>
      </c>
      <c r="N410" s="3" t="s">
        <v>252</v>
      </c>
      <c r="P410" s="3" t="s">
        <v>202</v>
      </c>
      <c r="R410" s="3" t="s">
        <v>70</v>
      </c>
      <c r="S410" s="4">
        <v>1</v>
      </c>
      <c r="T410" s="4">
        <v>1</v>
      </c>
      <c r="U410" s="5" t="s">
        <v>4206</v>
      </c>
      <c r="V410" s="5" t="s">
        <v>4206</v>
      </c>
      <c r="W410" s="5" t="s">
        <v>72</v>
      </c>
      <c r="X410" s="5" t="s">
        <v>72</v>
      </c>
      <c r="Y410" s="4">
        <v>72</v>
      </c>
      <c r="Z410" s="4">
        <v>6</v>
      </c>
      <c r="AA410" s="4">
        <v>6</v>
      </c>
      <c r="AB410" s="4">
        <v>1</v>
      </c>
      <c r="AC410" s="4">
        <v>1</v>
      </c>
      <c r="AD410" s="4">
        <v>52</v>
      </c>
      <c r="AE410" s="4">
        <v>53</v>
      </c>
      <c r="AF410" s="4">
        <v>0</v>
      </c>
      <c r="AG410" s="4">
        <v>0</v>
      </c>
      <c r="AH410" s="4">
        <v>51</v>
      </c>
      <c r="AI410" s="4">
        <v>51</v>
      </c>
      <c r="AJ410" s="4">
        <v>5</v>
      </c>
      <c r="AK410" s="4">
        <v>5</v>
      </c>
      <c r="AL410" s="4">
        <v>34</v>
      </c>
      <c r="AM410" s="4">
        <v>35</v>
      </c>
      <c r="AN410" s="4">
        <v>0</v>
      </c>
      <c r="AO410" s="4">
        <v>0</v>
      </c>
      <c r="AP410" s="4">
        <v>5</v>
      </c>
      <c r="AQ410" s="4">
        <v>5</v>
      </c>
      <c r="AR410" s="3" t="s">
        <v>64</v>
      </c>
      <c r="AS410" s="3" t="s">
        <v>64</v>
      </c>
      <c r="AT410" s="3" t="s">
        <v>73</v>
      </c>
      <c r="AU410" s="6" t="str">
        <f>HYPERLINK("http://catalog.hathitrust.org/Record/001047049","HathiTrust Record")</f>
        <v>HathiTrust Record</v>
      </c>
      <c r="AV410" s="6" t="str">
        <f>HYPERLINK("http://mcgill.on.worldcat.org/oclc/1079748","Catalog Record")</f>
        <v>Catalog Record</v>
      </c>
      <c r="AW410" s="6" t="str">
        <f>HYPERLINK("http://www.worldcat.org/oclc/1079748","WorldCat Record")</f>
        <v>WorldCat Record</v>
      </c>
      <c r="AX410" s="3" t="s">
        <v>4207</v>
      </c>
      <c r="AY410" s="3" t="s">
        <v>4208</v>
      </c>
      <c r="AZ410" s="3" t="s">
        <v>4209</v>
      </c>
      <c r="BA410" s="3" t="s">
        <v>4209</v>
      </c>
      <c r="BB410" s="3" t="s">
        <v>4210</v>
      </c>
      <c r="BC410" s="3" t="s">
        <v>78</v>
      </c>
      <c r="BD410" s="3" t="s">
        <v>79</v>
      </c>
      <c r="BF410" s="3" t="s">
        <v>4210</v>
      </c>
      <c r="BG410" s="3" t="s">
        <v>4211</v>
      </c>
    </row>
    <row r="411" spans="1:59" ht="72.5" x14ac:dyDescent="0.35">
      <c r="A411" s="2" t="s">
        <v>59</v>
      </c>
      <c r="B411" s="2" t="s">
        <v>94</v>
      </c>
      <c r="C411" s="2" t="s">
        <v>4212</v>
      </c>
      <c r="D411" s="2" t="s">
        <v>4213</v>
      </c>
      <c r="E411" s="2" t="s">
        <v>4214</v>
      </c>
      <c r="G411" s="3" t="s">
        <v>64</v>
      </c>
      <c r="I411" s="3" t="s">
        <v>73</v>
      </c>
      <c r="J411" s="3" t="s">
        <v>64</v>
      </c>
      <c r="K411" s="3" t="s">
        <v>65</v>
      </c>
      <c r="M411" s="2" t="s">
        <v>4215</v>
      </c>
      <c r="N411" s="3" t="s">
        <v>422</v>
      </c>
      <c r="P411" s="3" t="s">
        <v>69</v>
      </c>
      <c r="Q411" s="2" t="s">
        <v>4216</v>
      </c>
      <c r="R411" s="3" t="s">
        <v>70</v>
      </c>
      <c r="S411" s="4">
        <v>1</v>
      </c>
      <c r="T411" s="4">
        <v>5</v>
      </c>
      <c r="U411" s="5" t="s">
        <v>4217</v>
      </c>
      <c r="V411" s="5" t="s">
        <v>4218</v>
      </c>
      <c r="W411" s="5" t="s">
        <v>72</v>
      </c>
      <c r="X411" s="5" t="s">
        <v>72</v>
      </c>
      <c r="Y411" s="4">
        <v>131</v>
      </c>
      <c r="Z411" s="4">
        <v>13</v>
      </c>
      <c r="AA411" s="4">
        <v>13</v>
      </c>
      <c r="AB411" s="4">
        <v>3</v>
      </c>
      <c r="AC411" s="4">
        <v>3</v>
      </c>
      <c r="AD411" s="4">
        <v>57</v>
      </c>
      <c r="AE411" s="4">
        <v>60</v>
      </c>
      <c r="AF411" s="4">
        <v>1</v>
      </c>
      <c r="AG411" s="4">
        <v>1</v>
      </c>
      <c r="AH411" s="4">
        <v>52</v>
      </c>
      <c r="AI411" s="4">
        <v>55</v>
      </c>
      <c r="AJ411" s="4">
        <v>7</v>
      </c>
      <c r="AK411" s="4">
        <v>7</v>
      </c>
      <c r="AL411" s="4">
        <v>36</v>
      </c>
      <c r="AM411" s="4">
        <v>38</v>
      </c>
      <c r="AN411" s="4">
        <v>0</v>
      </c>
      <c r="AO411" s="4">
        <v>0</v>
      </c>
      <c r="AP411" s="4">
        <v>9</v>
      </c>
      <c r="AQ411" s="4">
        <v>9</v>
      </c>
      <c r="AR411" s="3" t="s">
        <v>64</v>
      </c>
      <c r="AS411" s="3" t="s">
        <v>64</v>
      </c>
      <c r="AT411" s="3" t="s">
        <v>64</v>
      </c>
      <c r="AV411" s="6" t="str">
        <f>HYPERLINK("http://mcgill.on.worldcat.org/oclc/46929034","Catalog Record")</f>
        <v>Catalog Record</v>
      </c>
      <c r="AW411" s="6" t="str">
        <f>HYPERLINK("http://www.worldcat.org/oclc/46929034","WorldCat Record")</f>
        <v>WorldCat Record</v>
      </c>
      <c r="AX411" s="3" t="s">
        <v>4219</v>
      </c>
      <c r="AY411" s="3" t="s">
        <v>4220</v>
      </c>
      <c r="AZ411" s="3" t="s">
        <v>4221</v>
      </c>
      <c r="BA411" s="3" t="s">
        <v>4221</v>
      </c>
      <c r="BB411" s="3" t="s">
        <v>4222</v>
      </c>
      <c r="BC411" s="3" t="s">
        <v>78</v>
      </c>
      <c r="BD411" s="3" t="s">
        <v>79</v>
      </c>
      <c r="BE411" s="3" t="s">
        <v>4223</v>
      </c>
      <c r="BF411" s="3" t="s">
        <v>4222</v>
      </c>
      <c r="BG411" s="3" t="s">
        <v>4224</v>
      </c>
    </row>
    <row r="412" spans="1:59" ht="58" x14ac:dyDescent="0.35">
      <c r="A412" s="2" t="s">
        <v>59</v>
      </c>
      <c r="B412" s="2" t="s">
        <v>94</v>
      </c>
      <c r="C412" s="2" t="s">
        <v>4225</v>
      </c>
      <c r="D412" s="2" t="s">
        <v>4226</v>
      </c>
      <c r="E412" s="2" t="s">
        <v>4227</v>
      </c>
      <c r="G412" s="3" t="s">
        <v>64</v>
      </c>
      <c r="I412" s="3" t="s">
        <v>64</v>
      </c>
      <c r="J412" s="3" t="s">
        <v>64</v>
      </c>
      <c r="K412" s="3" t="s">
        <v>65</v>
      </c>
      <c r="M412" s="2" t="s">
        <v>4228</v>
      </c>
      <c r="N412" s="3" t="s">
        <v>1764</v>
      </c>
      <c r="P412" s="3" t="s">
        <v>69</v>
      </c>
      <c r="R412" s="3" t="s">
        <v>70</v>
      </c>
      <c r="S412" s="4">
        <v>14</v>
      </c>
      <c r="T412" s="4">
        <v>14</v>
      </c>
      <c r="U412" s="5" t="s">
        <v>1017</v>
      </c>
      <c r="V412" s="5" t="s">
        <v>1017</v>
      </c>
      <c r="W412" s="5" t="s">
        <v>72</v>
      </c>
      <c r="X412" s="5" t="s">
        <v>72</v>
      </c>
      <c r="Y412" s="4">
        <v>428</v>
      </c>
      <c r="Z412" s="4">
        <v>26</v>
      </c>
      <c r="AA412" s="4">
        <v>30</v>
      </c>
      <c r="AB412" s="4">
        <v>2</v>
      </c>
      <c r="AC412" s="4">
        <v>5</v>
      </c>
      <c r="AD412" s="4">
        <v>98</v>
      </c>
      <c r="AE412" s="4">
        <v>99</v>
      </c>
      <c r="AF412" s="4">
        <v>1</v>
      </c>
      <c r="AG412" s="4">
        <v>1</v>
      </c>
      <c r="AH412" s="4">
        <v>86</v>
      </c>
      <c r="AI412" s="4">
        <v>87</v>
      </c>
      <c r="AJ412" s="4">
        <v>16</v>
      </c>
      <c r="AK412" s="4">
        <v>17</v>
      </c>
      <c r="AL412" s="4">
        <v>47</v>
      </c>
      <c r="AM412" s="4">
        <v>47</v>
      </c>
      <c r="AN412" s="4">
        <v>0</v>
      </c>
      <c r="AO412" s="4">
        <v>0</v>
      </c>
      <c r="AP412" s="4">
        <v>22</v>
      </c>
      <c r="AQ412" s="4">
        <v>23</v>
      </c>
      <c r="AR412" s="3" t="s">
        <v>64</v>
      </c>
      <c r="AS412" s="3" t="s">
        <v>64</v>
      </c>
      <c r="AT412" s="3" t="s">
        <v>73</v>
      </c>
      <c r="AU412" s="6" t="str">
        <f>HYPERLINK("http://catalog.hathitrust.org/Record/000763732","HathiTrust Record")</f>
        <v>HathiTrust Record</v>
      </c>
      <c r="AV412" s="6" t="str">
        <f>HYPERLINK("http://mcgill.on.worldcat.org/oclc/7975264","Catalog Record")</f>
        <v>Catalog Record</v>
      </c>
      <c r="AW412" s="6" t="str">
        <f>HYPERLINK("http://www.worldcat.org/oclc/7975264","WorldCat Record")</f>
        <v>WorldCat Record</v>
      </c>
      <c r="AX412" s="3" t="s">
        <v>4229</v>
      </c>
      <c r="AY412" s="3" t="s">
        <v>4230</v>
      </c>
      <c r="AZ412" s="3" t="s">
        <v>4231</v>
      </c>
      <c r="BA412" s="3" t="s">
        <v>4231</v>
      </c>
      <c r="BB412" s="3" t="s">
        <v>4232</v>
      </c>
      <c r="BC412" s="3" t="s">
        <v>78</v>
      </c>
      <c r="BD412" s="3" t="s">
        <v>79</v>
      </c>
      <c r="BE412" s="3" t="s">
        <v>4233</v>
      </c>
      <c r="BF412" s="3" t="s">
        <v>4232</v>
      </c>
      <c r="BG412" s="3" t="s">
        <v>4234</v>
      </c>
    </row>
    <row r="413" spans="1:59" ht="58" x14ac:dyDescent="0.35">
      <c r="A413" s="2" t="s">
        <v>59</v>
      </c>
      <c r="B413" s="2" t="s">
        <v>94</v>
      </c>
      <c r="C413" s="2" t="s">
        <v>4235</v>
      </c>
      <c r="D413" s="2" t="s">
        <v>4236</v>
      </c>
      <c r="E413" s="2" t="s">
        <v>4237</v>
      </c>
      <c r="G413" s="3" t="s">
        <v>64</v>
      </c>
      <c r="I413" s="3" t="s">
        <v>64</v>
      </c>
      <c r="J413" s="3" t="s">
        <v>64</v>
      </c>
      <c r="K413" s="3" t="s">
        <v>65</v>
      </c>
      <c r="L413" s="2" t="s">
        <v>4238</v>
      </c>
      <c r="M413" s="2" t="s">
        <v>4239</v>
      </c>
      <c r="N413" s="3" t="s">
        <v>214</v>
      </c>
      <c r="P413" s="3" t="s">
        <v>69</v>
      </c>
      <c r="R413" s="3" t="s">
        <v>70</v>
      </c>
      <c r="S413" s="4">
        <v>3</v>
      </c>
      <c r="T413" s="4">
        <v>3</v>
      </c>
      <c r="U413" s="5" t="s">
        <v>4240</v>
      </c>
      <c r="V413" s="5" t="s">
        <v>4240</v>
      </c>
      <c r="W413" s="5" t="s">
        <v>72</v>
      </c>
      <c r="X413" s="5" t="s">
        <v>72</v>
      </c>
      <c r="Y413" s="4">
        <v>271</v>
      </c>
      <c r="Z413" s="4">
        <v>19</v>
      </c>
      <c r="AA413" s="4">
        <v>26</v>
      </c>
      <c r="AB413" s="4">
        <v>1</v>
      </c>
      <c r="AC413" s="4">
        <v>5</v>
      </c>
      <c r="AD413" s="4">
        <v>70</v>
      </c>
      <c r="AE413" s="4">
        <v>89</v>
      </c>
      <c r="AF413" s="4">
        <v>0</v>
      </c>
      <c r="AG413" s="4">
        <v>2</v>
      </c>
      <c r="AH413" s="4">
        <v>62</v>
      </c>
      <c r="AI413" s="4">
        <v>79</v>
      </c>
      <c r="AJ413" s="4">
        <v>12</v>
      </c>
      <c r="AK413" s="4">
        <v>16</v>
      </c>
      <c r="AL413" s="4">
        <v>38</v>
      </c>
      <c r="AM413" s="4">
        <v>44</v>
      </c>
      <c r="AN413" s="4">
        <v>0</v>
      </c>
      <c r="AO413" s="4">
        <v>0</v>
      </c>
      <c r="AP413" s="4">
        <v>14</v>
      </c>
      <c r="AQ413" s="4">
        <v>18</v>
      </c>
      <c r="AR413" s="3" t="s">
        <v>64</v>
      </c>
      <c r="AS413" s="3" t="s">
        <v>64</v>
      </c>
      <c r="AT413" s="3" t="s">
        <v>64</v>
      </c>
      <c r="AV413" s="6" t="str">
        <f>HYPERLINK("http://mcgill.on.worldcat.org/oclc/535491426","Catalog Record")</f>
        <v>Catalog Record</v>
      </c>
      <c r="AW413" s="6" t="str">
        <f>HYPERLINK("http://www.worldcat.org/oclc/535491426","WorldCat Record")</f>
        <v>WorldCat Record</v>
      </c>
      <c r="AX413" s="3" t="s">
        <v>4241</v>
      </c>
      <c r="AY413" s="3" t="s">
        <v>4242</v>
      </c>
      <c r="AZ413" s="3" t="s">
        <v>4243</v>
      </c>
      <c r="BA413" s="3" t="s">
        <v>4243</v>
      </c>
      <c r="BB413" s="3" t="s">
        <v>4244</v>
      </c>
      <c r="BC413" s="3" t="s">
        <v>78</v>
      </c>
      <c r="BD413" s="3" t="s">
        <v>79</v>
      </c>
      <c r="BE413" s="3" t="s">
        <v>4245</v>
      </c>
      <c r="BF413" s="3" t="s">
        <v>4244</v>
      </c>
      <c r="BG413" s="3" t="s">
        <v>4246</v>
      </c>
    </row>
    <row r="414" spans="1:59" ht="58" x14ac:dyDescent="0.35">
      <c r="A414" s="2" t="s">
        <v>59</v>
      </c>
      <c r="B414" s="2" t="s">
        <v>94</v>
      </c>
      <c r="C414" s="2" t="s">
        <v>4247</v>
      </c>
      <c r="D414" s="2" t="s">
        <v>4248</v>
      </c>
      <c r="E414" s="2" t="s">
        <v>4249</v>
      </c>
      <c r="G414" s="3" t="s">
        <v>64</v>
      </c>
      <c r="I414" s="3" t="s">
        <v>64</v>
      </c>
      <c r="J414" s="3" t="s">
        <v>64</v>
      </c>
      <c r="K414" s="3" t="s">
        <v>65</v>
      </c>
      <c r="L414" s="2" t="s">
        <v>4250</v>
      </c>
      <c r="M414" s="2" t="s">
        <v>4251</v>
      </c>
      <c r="N414" s="3" t="s">
        <v>499</v>
      </c>
      <c r="P414" s="3" t="s">
        <v>69</v>
      </c>
      <c r="R414" s="3" t="s">
        <v>70</v>
      </c>
      <c r="S414" s="4">
        <v>10</v>
      </c>
      <c r="T414" s="4">
        <v>10</v>
      </c>
      <c r="U414" s="5" t="s">
        <v>4252</v>
      </c>
      <c r="V414" s="5" t="s">
        <v>4252</v>
      </c>
      <c r="W414" s="5" t="s">
        <v>72</v>
      </c>
      <c r="X414" s="5" t="s">
        <v>72</v>
      </c>
      <c r="Y414" s="4">
        <v>1119</v>
      </c>
      <c r="Z414" s="4">
        <v>35</v>
      </c>
      <c r="AA414" s="4">
        <v>41</v>
      </c>
      <c r="AB414" s="4">
        <v>2</v>
      </c>
      <c r="AC414" s="4">
        <v>3</v>
      </c>
      <c r="AD414" s="4">
        <v>89</v>
      </c>
      <c r="AE414" s="4">
        <v>95</v>
      </c>
      <c r="AF414" s="4">
        <v>0</v>
      </c>
      <c r="AG414" s="4">
        <v>0</v>
      </c>
      <c r="AH414" s="4">
        <v>83</v>
      </c>
      <c r="AI414" s="4">
        <v>88</v>
      </c>
      <c r="AJ414" s="4">
        <v>11</v>
      </c>
      <c r="AK414" s="4">
        <v>11</v>
      </c>
      <c r="AL414" s="4">
        <v>43</v>
      </c>
      <c r="AM414" s="4">
        <v>46</v>
      </c>
      <c r="AN414" s="4">
        <v>0</v>
      </c>
      <c r="AO414" s="4">
        <v>0</v>
      </c>
      <c r="AP414" s="4">
        <v>11</v>
      </c>
      <c r="AQ414" s="4">
        <v>13</v>
      </c>
      <c r="AR414" s="3" t="s">
        <v>64</v>
      </c>
      <c r="AS414" s="3" t="s">
        <v>64</v>
      </c>
      <c r="AT414" s="3" t="s">
        <v>64</v>
      </c>
      <c r="AV414" s="6" t="str">
        <f>HYPERLINK("http://mcgill.on.worldcat.org/oclc/57039411","Catalog Record")</f>
        <v>Catalog Record</v>
      </c>
      <c r="AW414" s="6" t="str">
        <f>HYPERLINK("http://www.worldcat.org/oclc/57039411","WorldCat Record")</f>
        <v>WorldCat Record</v>
      </c>
      <c r="AX414" s="3" t="s">
        <v>4253</v>
      </c>
      <c r="AY414" s="3" t="s">
        <v>4254</v>
      </c>
      <c r="AZ414" s="3" t="s">
        <v>4255</v>
      </c>
      <c r="BA414" s="3" t="s">
        <v>4255</v>
      </c>
      <c r="BB414" s="3" t="s">
        <v>4256</v>
      </c>
      <c r="BC414" s="3" t="s">
        <v>78</v>
      </c>
      <c r="BD414" s="3" t="s">
        <v>79</v>
      </c>
      <c r="BE414" s="3" t="s">
        <v>4257</v>
      </c>
      <c r="BF414" s="3" t="s">
        <v>4256</v>
      </c>
      <c r="BG414" s="3" t="s">
        <v>4258</v>
      </c>
    </row>
    <row r="415" spans="1:59" ht="58" x14ac:dyDescent="0.35">
      <c r="A415" s="2" t="s">
        <v>59</v>
      </c>
      <c r="B415" s="2" t="s">
        <v>94</v>
      </c>
      <c r="C415" s="2" t="s">
        <v>4259</v>
      </c>
      <c r="D415" s="2" t="s">
        <v>4260</v>
      </c>
      <c r="E415" s="2" t="s">
        <v>4261</v>
      </c>
      <c r="G415" s="3" t="s">
        <v>64</v>
      </c>
      <c r="H415" s="3" t="s">
        <v>2292</v>
      </c>
      <c r="I415" s="3" t="s">
        <v>64</v>
      </c>
      <c r="J415" s="3" t="s">
        <v>64</v>
      </c>
      <c r="K415" s="3" t="s">
        <v>65</v>
      </c>
      <c r="L415" s="2" t="s">
        <v>4262</v>
      </c>
      <c r="M415" s="2" t="s">
        <v>4263</v>
      </c>
      <c r="N415" s="3" t="s">
        <v>4264</v>
      </c>
      <c r="P415" s="3" t="s">
        <v>69</v>
      </c>
      <c r="R415" s="3" t="s">
        <v>70</v>
      </c>
      <c r="S415" s="4">
        <v>0</v>
      </c>
      <c r="T415" s="4">
        <v>0</v>
      </c>
      <c r="W415" s="5" t="s">
        <v>1156</v>
      </c>
      <c r="X415" s="5" t="s">
        <v>1156</v>
      </c>
      <c r="Y415" s="4">
        <v>181</v>
      </c>
      <c r="Z415" s="4">
        <v>4</v>
      </c>
      <c r="AA415" s="4">
        <v>71</v>
      </c>
      <c r="AB415" s="4">
        <v>1</v>
      </c>
      <c r="AC415" s="4">
        <v>14</v>
      </c>
      <c r="AD415" s="4">
        <v>39</v>
      </c>
      <c r="AE415" s="4">
        <v>99</v>
      </c>
      <c r="AF415" s="4">
        <v>0</v>
      </c>
      <c r="AG415" s="4">
        <v>8</v>
      </c>
      <c r="AH415" s="4">
        <v>37</v>
      </c>
      <c r="AI415" s="4">
        <v>68</v>
      </c>
      <c r="AJ415" s="4">
        <v>2</v>
      </c>
      <c r="AK415" s="4">
        <v>18</v>
      </c>
      <c r="AL415" s="4">
        <v>23</v>
      </c>
      <c r="AM415" s="4">
        <v>36</v>
      </c>
      <c r="AN415" s="4">
        <v>0</v>
      </c>
      <c r="AO415" s="4">
        <v>0</v>
      </c>
      <c r="AP415" s="4">
        <v>2</v>
      </c>
      <c r="AQ415" s="4">
        <v>37</v>
      </c>
      <c r="AR415" s="3" t="s">
        <v>64</v>
      </c>
      <c r="AS415" s="3" t="s">
        <v>64</v>
      </c>
      <c r="AT415" s="3" t="s">
        <v>64</v>
      </c>
      <c r="AV415" s="6" t="str">
        <f>HYPERLINK("http://mcgill.on.worldcat.org/oclc/1029204900","Catalog Record")</f>
        <v>Catalog Record</v>
      </c>
      <c r="AW415" s="6" t="str">
        <f>HYPERLINK("http://www.worldcat.org/oclc/1029204900","WorldCat Record")</f>
        <v>WorldCat Record</v>
      </c>
      <c r="AX415" s="3" t="s">
        <v>4265</v>
      </c>
      <c r="AY415" s="3" t="s">
        <v>4266</v>
      </c>
      <c r="AZ415" s="3" t="s">
        <v>4267</v>
      </c>
      <c r="BA415" s="3" t="s">
        <v>4267</v>
      </c>
      <c r="BB415" s="3" t="s">
        <v>4268</v>
      </c>
      <c r="BC415" s="3" t="s">
        <v>78</v>
      </c>
      <c r="BD415" s="3" t="s">
        <v>79</v>
      </c>
      <c r="BE415" s="3" t="s">
        <v>4269</v>
      </c>
      <c r="BF415" s="3" t="s">
        <v>4268</v>
      </c>
      <c r="BG415" s="3" t="s">
        <v>4270</v>
      </c>
    </row>
    <row r="416" spans="1:59" ht="58" x14ac:dyDescent="0.35">
      <c r="A416" s="2" t="s">
        <v>59</v>
      </c>
      <c r="B416" s="2" t="s">
        <v>94</v>
      </c>
      <c r="C416" s="2" t="s">
        <v>4271</v>
      </c>
      <c r="D416" s="2" t="s">
        <v>4272</v>
      </c>
      <c r="E416" s="2" t="s">
        <v>4273</v>
      </c>
      <c r="G416" s="3" t="s">
        <v>64</v>
      </c>
      <c r="I416" s="3" t="s">
        <v>64</v>
      </c>
      <c r="J416" s="3" t="s">
        <v>64</v>
      </c>
      <c r="K416" s="3" t="s">
        <v>65</v>
      </c>
      <c r="L416" s="2" t="s">
        <v>4274</v>
      </c>
      <c r="M416" s="2" t="s">
        <v>4275</v>
      </c>
      <c r="N416" s="3" t="s">
        <v>328</v>
      </c>
      <c r="O416" s="2" t="s">
        <v>1294</v>
      </c>
      <c r="P416" s="3" t="s">
        <v>69</v>
      </c>
      <c r="R416" s="3" t="s">
        <v>70</v>
      </c>
      <c r="S416" s="4">
        <v>0</v>
      </c>
      <c r="T416" s="4">
        <v>0</v>
      </c>
      <c r="W416" s="5" t="s">
        <v>72</v>
      </c>
      <c r="X416" s="5" t="s">
        <v>72</v>
      </c>
      <c r="Y416" s="4">
        <v>60</v>
      </c>
      <c r="Z416" s="4">
        <v>3</v>
      </c>
      <c r="AA416" s="4">
        <v>19</v>
      </c>
      <c r="AB416" s="4">
        <v>1</v>
      </c>
      <c r="AC416" s="4">
        <v>3</v>
      </c>
      <c r="AD416" s="4">
        <v>31</v>
      </c>
      <c r="AE416" s="4">
        <v>65</v>
      </c>
      <c r="AF416" s="4">
        <v>0</v>
      </c>
      <c r="AG416" s="4">
        <v>0</v>
      </c>
      <c r="AH416" s="4">
        <v>28</v>
      </c>
      <c r="AI416" s="4">
        <v>56</v>
      </c>
      <c r="AJ416" s="4">
        <v>1</v>
      </c>
      <c r="AK416" s="4">
        <v>5</v>
      </c>
      <c r="AL416" s="4">
        <v>21</v>
      </c>
      <c r="AM416" s="4">
        <v>31</v>
      </c>
      <c r="AN416" s="4">
        <v>0</v>
      </c>
      <c r="AO416" s="4">
        <v>0</v>
      </c>
      <c r="AP416" s="4">
        <v>1</v>
      </c>
      <c r="AQ416" s="4">
        <v>10</v>
      </c>
      <c r="AR416" s="3" t="s">
        <v>64</v>
      </c>
      <c r="AS416" s="3" t="s">
        <v>64</v>
      </c>
      <c r="AT416" s="3" t="s">
        <v>64</v>
      </c>
      <c r="AV416" s="6" t="str">
        <f>HYPERLINK("http://mcgill.on.worldcat.org/oclc/713189564","Catalog Record")</f>
        <v>Catalog Record</v>
      </c>
      <c r="AW416" s="6" t="str">
        <f>HYPERLINK("http://www.worldcat.org/oclc/713189564","WorldCat Record")</f>
        <v>WorldCat Record</v>
      </c>
      <c r="AX416" s="3" t="s">
        <v>4276</v>
      </c>
      <c r="AY416" s="3" t="s">
        <v>4277</v>
      </c>
      <c r="AZ416" s="3" t="s">
        <v>4278</v>
      </c>
      <c r="BA416" s="3" t="s">
        <v>4278</v>
      </c>
      <c r="BB416" s="3" t="s">
        <v>4279</v>
      </c>
      <c r="BC416" s="3" t="s">
        <v>78</v>
      </c>
      <c r="BD416" s="3" t="s">
        <v>79</v>
      </c>
      <c r="BE416" s="3" t="s">
        <v>4280</v>
      </c>
      <c r="BF416" s="3" t="s">
        <v>4279</v>
      </c>
      <c r="BG416" s="3" t="s">
        <v>4281</v>
      </c>
    </row>
    <row r="417" spans="1:59" ht="58" x14ac:dyDescent="0.35">
      <c r="A417" s="2" t="s">
        <v>59</v>
      </c>
      <c r="B417" s="2" t="s">
        <v>94</v>
      </c>
      <c r="C417" s="2" t="s">
        <v>4282</v>
      </c>
      <c r="D417" s="2" t="s">
        <v>4283</v>
      </c>
      <c r="E417" s="2" t="s">
        <v>4284</v>
      </c>
      <c r="G417" s="3" t="s">
        <v>64</v>
      </c>
      <c r="I417" s="3" t="s">
        <v>64</v>
      </c>
      <c r="J417" s="3" t="s">
        <v>64</v>
      </c>
      <c r="K417" s="3" t="s">
        <v>65</v>
      </c>
      <c r="L417" s="2" t="s">
        <v>4285</v>
      </c>
      <c r="M417" s="2" t="s">
        <v>4286</v>
      </c>
      <c r="N417" s="3" t="s">
        <v>1813</v>
      </c>
      <c r="P417" s="3" t="s">
        <v>69</v>
      </c>
      <c r="Q417" s="2" t="s">
        <v>4287</v>
      </c>
      <c r="R417" s="3" t="s">
        <v>70</v>
      </c>
      <c r="S417" s="4">
        <v>0</v>
      </c>
      <c r="T417" s="4">
        <v>0</v>
      </c>
      <c r="W417" s="5" t="s">
        <v>72</v>
      </c>
      <c r="X417" s="5" t="s">
        <v>72</v>
      </c>
      <c r="Y417" s="4">
        <v>65</v>
      </c>
      <c r="Z417" s="4">
        <v>29</v>
      </c>
      <c r="AA417" s="4">
        <v>48</v>
      </c>
      <c r="AB417" s="4">
        <v>2</v>
      </c>
      <c r="AC417" s="4">
        <v>10</v>
      </c>
      <c r="AD417" s="4">
        <v>35</v>
      </c>
      <c r="AE417" s="4">
        <v>50</v>
      </c>
      <c r="AF417" s="4">
        <v>1</v>
      </c>
      <c r="AG417" s="4">
        <v>5</v>
      </c>
      <c r="AH417" s="4">
        <v>26</v>
      </c>
      <c r="AI417" s="4">
        <v>28</v>
      </c>
      <c r="AJ417" s="4">
        <v>12</v>
      </c>
      <c r="AK417" s="4">
        <v>20</v>
      </c>
      <c r="AL417" s="4">
        <v>13</v>
      </c>
      <c r="AM417" s="4">
        <v>13</v>
      </c>
      <c r="AN417" s="4">
        <v>0</v>
      </c>
      <c r="AO417" s="4">
        <v>0</v>
      </c>
      <c r="AP417" s="4">
        <v>12</v>
      </c>
      <c r="AQ417" s="4">
        <v>26</v>
      </c>
      <c r="AR417" s="3" t="s">
        <v>73</v>
      </c>
      <c r="AS417" s="3" t="s">
        <v>64</v>
      </c>
      <c r="AT417" s="3" t="s">
        <v>64</v>
      </c>
      <c r="AV417" s="6" t="str">
        <f>HYPERLINK("http://mcgill.on.worldcat.org/oclc/945781932","Catalog Record")</f>
        <v>Catalog Record</v>
      </c>
      <c r="AW417" s="6" t="str">
        <f>HYPERLINK("http://www.worldcat.org/oclc/945781932","WorldCat Record")</f>
        <v>WorldCat Record</v>
      </c>
      <c r="AX417" s="3" t="s">
        <v>4288</v>
      </c>
      <c r="AY417" s="3" t="s">
        <v>4289</v>
      </c>
      <c r="AZ417" s="3" t="s">
        <v>4290</v>
      </c>
      <c r="BA417" s="3" t="s">
        <v>4290</v>
      </c>
      <c r="BB417" s="3" t="s">
        <v>4291</v>
      </c>
      <c r="BC417" s="3" t="s">
        <v>78</v>
      </c>
      <c r="BD417" s="3" t="s">
        <v>79</v>
      </c>
      <c r="BE417" s="3" t="s">
        <v>4292</v>
      </c>
      <c r="BF417" s="3" t="s">
        <v>4291</v>
      </c>
      <c r="BG417" s="3" t="s">
        <v>4293</v>
      </c>
    </row>
    <row r="418" spans="1:59" ht="58" x14ac:dyDescent="0.35">
      <c r="A418" s="2" t="s">
        <v>59</v>
      </c>
      <c r="B418" s="2" t="s">
        <v>94</v>
      </c>
      <c r="C418" s="2" t="s">
        <v>4294</v>
      </c>
      <c r="D418" s="2" t="s">
        <v>4295</v>
      </c>
      <c r="E418" s="2" t="s">
        <v>4296</v>
      </c>
      <c r="G418" s="3" t="s">
        <v>64</v>
      </c>
      <c r="I418" s="3" t="s">
        <v>64</v>
      </c>
      <c r="J418" s="3" t="s">
        <v>64</v>
      </c>
      <c r="K418" s="3" t="s">
        <v>65</v>
      </c>
      <c r="M418" s="2" t="s">
        <v>4297</v>
      </c>
      <c r="N418" s="3" t="s">
        <v>538</v>
      </c>
      <c r="P418" s="3" t="s">
        <v>69</v>
      </c>
      <c r="R418" s="3" t="s">
        <v>70</v>
      </c>
      <c r="S418" s="4">
        <v>4</v>
      </c>
      <c r="T418" s="4">
        <v>4</v>
      </c>
      <c r="U418" s="5" t="s">
        <v>4298</v>
      </c>
      <c r="V418" s="5" t="s">
        <v>4298</v>
      </c>
      <c r="W418" s="5" t="s">
        <v>72</v>
      </c>
      <c r="X418" s="5" t="s">
        <v>72</v>
      </c>
      <c r="Y418" s="4">
        <v>25</v>
      </c>
      <c r="Z418" s="4">
        <v>17</v>
      </c>
      <c r="AA418" s="4">
        <v>35</v>
      </c>
      <c r="AB418" s="4">
        <v>2</v>
      </c>
      <c r="AC418" s="4">
        <v>7</v>
      </c>
      <c r="AD418" s="4">
        <v>10</v>
      </c>
      <c r="AE418" s="4">
        <v>19</v>
      </c>
      <c r="AF418" s="4">
        <v>0</v>
      </c>
      <c r="AG418" s="4">
        <v>3</v>
      </c>
      <c r="AH418" s="4">
        <v>5</v>
      </c>
      <c r="AI418" s="4">
        <v>7</v>
      </c>
      <c r="AJ418" s="4">
        <v>5</v>
      </c>
      <c r="AK418" s="4">
        <v>9</v>
      </c>
      <c r="AL418" s="4">
        <v>0</v>
      </c>
      <c r="AM418" s="4">
        <v>0</v>
      </c>
      <c r="AN418" s="4">
        <v>0</v>
      </c>
      <c r="AO418" s="4">
        <v>0</v>
      </c>
      <c r="AP418" s="4">
        <v>10</v>
      </c>
      <c r="AQ418" s="4">
        <v>18</v>
      </c>
      <c r="AR418" s="3" t="s">
        <v>73</v>
      </c>
      <c r="AS418" s="3" t="s">
        <v>64</v>
      </c>
      <c r="AT418" s="3" t="s">
        <v>64</v>
      </c>
      <c r="AV418" s="6" t="str">
        <f>HYPERLINK("http://mcgill.on.worldcat.org/oclc/85898201","Catalog Record")</f>
        <v>Catalog Record</v>
      </c>
      <c r="AW418" s="6" t="str">
        <f>HYPERLINK("http://www.worldcat.org/oclc/85898201","WorldCat Record")</f>
        <v>WorldCat Record</v>
      </c>
      <c r="AX418" s="3" t="s">
        <v>4299</v>
      </c>
      <c r="AY418" s="3" t="s">
        <v>4300</v>
      </c>
      <c r="AZ418" s="3" t="s">
        <v>4301</v>
      </c>
      <c r="BA418" s="3" t="s">
        <v>4301</v>
      </c>
      <c r="BB418" s="3" t="s">
        <v>4302</v>
      </c>
      <c r="BC418" s="3" t="s">
        <v>78</v>
      </c>
      <c r="BD418" s="3" t="s">
        <v>79</v>
      </c>
      <c r="BE418" s="3" t="s">
        <v>4303</v>
      </c>
      <c r="BF418" s="3" t="s">
        <v>4302</v>
      </c>
      <c r="BG418" s="3" t="s">
        <v>4304</v>
      </c>
    </row>
    <row r="419" spans="1:59" ht="116" x14ac:dyDescent="0.35">
      <c r="A419" s="2" t="s">
        <v>59</v>
      </c>
      <c r="B419" s="2" t="s">
        <v>3778</v>
      </c>
      <c r="C419" s="2" t="s">
        <v>4305</v>
      </c>
      <c r="D419" s="2" t="s">
        <v>4306</v>
      </c>
      <c r="E419" s="2" t="s">
        <v>4307</v>
      </c>
      <c r="F419" s="3" t="s">
        <v>388</v>
      </c>
      <c r="G419" s="3" t="s">
        <v>73</v>
      </c>
      <c r="I419" s="3" t="s">
        <v>64</v>
      </c>
      <c r="J419" s="3" t="s">
        <v>64</v>
      </c>
      <c r="K419" s="3" t="s">
        <v>65</v>
      </c>
      <c r="M419" s="2" t="s">
        <v>4308</v>
      </c>
      <c r="N419" s="3" t="s">
        <v>705</v>
      </c>
      <c r="O419" s="2" t="s">
        <v>3783</v>
      </c>
      <c r="P419" s="3" t="s">
        <v>3784</v>
      </c>
      <c r="R419" s="3" t="s">
        <v>70</v>
      </c>
      <c r="S419" s="4">
        <v>6</v>
      </c>
      <c r="T419" s="4">
        <v>11</v>
      </c>
      <c r="U419" s="5" t="s">
        <v>4309</v>
      </c>
      <c r="V419" s="5" t="s">
        <v>4309</v>
      </c>
      <c r="W419" s="5" t="s">
        <v>72</v>
      </c>
      <c r="X419" s="5" t="s">
        <v>72</v>
      </c>
      <c r="Y419" s="4">
        <v>21</v>
      </c>
      <c r="Z419" s="4">
        <v>4</v>
      </c>
      <c r="AA419" s="4">
        <v>4</v>
      </c>
      <c r="AB419" s="4">
        <v>1</v>
      </c>
      <c r="AC419" s="4">
        <v>1</v>
      </c>
      <c r="AD419" s="4">
        <v>14</v>
      </c>
      <c r="AE419" s="4">
        <v>14</v>
      </c>
      <c r="AF419" s="4">
        <v>0</v>
      </c>
      <c r="AG419" s="4">
        <v>0</v>
      </c>
      <c r="AH419" s="4">
        <v>13</v>
      </c>
      <c r="AI419" s="4">
        <v>13</v>
      </c>
      <c r="AJ419" s="4">
        <v>1</v>
      </c>
      <c r="AK419" s="4">
        <v>1</v>
      </c>
      <c r="AL419" s="4">
        <v>11</v>
      </c>
      <c r="AM419" s="4">
        <v>11</v>
      </c>
      <c r="AN419" s="4">
        <v>0</v>
      </c>
      <c r="AO419" s="4">
        <v>0</v>
      </c>
      <c r="AP419" s="4">
        <v>1</v>
      </c>
      <c r="AQ419" s="4">
        <v>1</v>
      </c>
      <c r="AR419" s="3" t="s">
        <v>64</v>
      </c>
      <c r="AS419" s="3" t="s">
        <v>64</v>
      </c>
      <c r="AT419" s="3" t="s">
        <v>64</v>
      </c>
      <c r="AV419" s="6" t="str">
        <f>HYPERLINK("http://mcgill.on.worldcat.org/oclc/39172950","Catalog Record")</f>
        <v>Catalog Record</v>
      </c>
      <c r="AW419" s="6" t="str">
        <f>HYPERLINK("http://www.worldcat.org/oclc/39172950","WorldCat Record")</f>
        <v>WorldCat Record</v>
      </c>
      <c r="AX419" s="3" t="s">
        <v>4310</v>
      </c>
      <c r="AY419" s="3" t="s">
        <v>4311</v>
      </c>
      <c r="AZ419" s="3" t="s">
        <v>4312</v>
      </c>
      <c r="BA419" s="3" t="s">
        <v>4312</v>
      </c>
      <c r="BB419" s="3" t="s">
        <v>4313</v>
      </c>
      <c r="BC419" s="3" t="s">
        <v>78</v>
      </c>
      <c r="BD419" s="3" t="s">
        <v>79</v>
      </c>
      <c r="BE419" s="3" t="s">
        <v>4314</v>
      </c>
      <c r="BF419" s="3" t="s">
        <v>4313</v>
      </c>
      <c r="BG419" s="3" t="s">
        <v>4315</v>
      </c>
    </row>
    <row r="420" spans="1:59" ht="116" x14ac:dyDescent="0.35">
      <c r="A420" s="2" t="s">
        <v>59</v>
      </c>
      <c r="B420" s="2" t="s">
        <v>3778</v>
      </c>
      <c r="C420" s="2" t="s">
        <v>4305</v>
      </c>
      <c r="D420" s="2" t="s">
        <v>4306</v>
      </c>
      <c r="E420" s="2" t="s">
        <v>4307</v>
      </c>
      <c r="F420" s="3" t="s">
        <v>399</v>
      </c>
      <c r="G420" s="3" t="s">
        <v>73</v>
      </c>
      <c r="I420" s="3" t="s">
        <v>64</v>
      </c>
      <c r="J420" s="3" t="s">
        <v>64</v>
      </c>
      <c r="K420" s="3" t="s">
        <v>65</v>
      </c>
      <c r="M420" s="2" t="s">
        <v>4308</v>
      </c>
      <c r="N420" s="3" t="s">
        <v>705</v>
      </c>
      <c r="O420" s="2" t="s">
        <v>3783</v>
      </c>
      <c r="P420" s="3" t="s">
        <v>3784</v>
      </c>
      <c r="R420" s="3" t="s">
        <v>70</v>
      </c>
      <c r="S420" s="4">
        <v>5</v>
      </c>
      <c r="T420" s="4">
        <v>11</v>
      </c>
      <c r="U420" s="5" t="s">
        <v>4316</v>
      </c>
      <c r="V420" s="5" t="s">
        <v>4309</v>
      </c>
      <c r="W420" s="5" t="s">
        <v>72</v>
      </c>
      <c r="X420" s="5" t="s">
        <v>72</v>
      </c>
      <c r="Y420" s="4">
        <v>21</v>
      </c>
      <c r="Z420" s="4">
        <v>4</v>
      </c>
      <c r="AA420" s="4">
        <v>4</v>
      </c>
      <c r="AB420" s="4">
        <v>1</v>
      </c>
      <c r="AC420" s="4">
        <v>1</v>
      </c>
      <c r="AD420" s="4">
        <v>14</v>
      </c>
      <c r="AE420" s="4">
        <v>14</v>
      </c>
      <c r="AF420" s="4">
        <v>0</v>
      </c>
      <c r="AG420" s="4">
        <v>0</v>
      </c>
      <c r="AH420" s="4">
        <v>13</v>
      </c>
      <c r="AI420" s="4">
        <v>13</v>
      </c>
      <c r="AJ420" s="4">
        <v>1</v>
      </c>
      <c r="AK420" s="4">
        <v>1</v>
      </c>
      <c r="AL420" s="4">
        <v>11</v>
      </c>
      <c r="AM420" s="4">
        <v>11</v>
      </c>
      <c r="AN420" s="4">
        <v>0</v>
      </c>
      <c r="AO420" s="4">
        <v>0</v>
      </c>
      <c r="AP420" s="4">
        <v>1</v>
      </c>
      <c r="AQ420" s="4">
        <v>1</v>
      </c>
      <c r="AR420" s="3" t="s">
        <v>64</v>
      </c>
      <c r="AS420" s="3" t="s">
        <v>64</v>
      </c>
      <c r="AT420" s="3" t="s">
        <v>64</v>
      </c>
      <c r="AV420" s="6" t="str">
        <f>HYPERLINK("http://mcgill.on.worldcat.org/oclc/39172950","Catalog Record")</f>
        <v>Catalog Record</v>
      </c>
      <c r="AW420" s="6" t="str">
        <f>HYPERLINK("http://www.worldcat.org/oclc/39172950","WorldCat Record")</f>
        <v>WorldCat Record</v>
      </c>
      <c r="AX420" s="3" t="s">
        <v>4310</v>
      </c>
      <c r="AY420" s="3" t="s">
        <v>4311</v>
      </c>
      <c r="AZ420" s="3" t="s">
        <v>4312</v>
      </c>
      <c r="BA420" s="3" t="s">
        <v>4312</v>
      </c>
      <c r="BB420" s="3" t="s">
        <v>4317</v>
      </c>
      <c r="BC420" s="3" t="s">
        <v>78</v>
      </c>
      <c r="BD420" s="3" t="s">
        <v>79</v>
      </c>
      <c r="BE420" s="3" t="s">
        <v>4314</v>
      </c>
      <c r="BF420" s="3" t="s">
        <v>4317</v>
      </c>
      <c r="BG420" s="3" t="s">
        <v>4318</v>
      </c>
    </row>
    <row r="421" spans="1:59" ht="58" x14ac:dyDescent="0.35">
      <c r="A421" s="2" t="s">
        <v>59</v>
      </c>
      <c r="B421" s="2" t="s">
        <v>94</v>
      </c>
      <c r="C421" s="2" t="s">
        <v>4319</v>
      </c>
      <c r="D421" s="2" t="s">
        <v>4320</v>
      </c>
      <c r="E421" s="2" t="s">
        <v>4321</v>
      </c>
      <c r="G421" s="3" t="s">
        <v>64</v>
      </c>
      <c r="I421" s="3" t="s">
        <v>64</v>
      </c>
      <c r="J421" s="3" t="s">
        <v>64</v>
      </c>
      <c r="K421" s="3" t="s">
        <v>65</v>
      </c>
      <c r="L421" s="2" t="s">
        <v>3435</v>
      </c>
      <c r="M421" s="2" t="s">
        <v>4322</v>
      </c>
      <c r="N421" s="3" t="s">
        <v>3085</v>
      </c>
      <c r="P421" s="3" t="s">
        <v>69</v>
      </c>
      <c r="R421" s="3" t="s">
        <v>70</v>
      </c>
      <c r="S421" s="4">
        <v>30</v>
      </c>
      <c r="T421" s="4">
        <v>30</v>
      </c>
      <c r="U421" s="5" t="s">
        <v>4323</v>
      </c>
      <c r="V421" s="5" t="s">
        <v>4323</v>
      </c>
      <c r="W421" s="5" t="s">
        <v>72</v>
      </c>
      <c r="X421" s="5" t="s">
        <v>72</v>
      </c>
      <c r="Y421" s="4">
        <v>235</v>
      </c>
      <c r="Z421" s="4">
        <v>26</v>
      </c>
      <c r="AA421" s="4">
        <v>50</v>
      </c>
      <c r="AB421" s="4">
        <v>2</v>
      </c>
      <c r="AC421" s="4">
        <v>5</v>
      </c>
      <c r="AD421" s="4">
        <v>56</v>
      </c>
      <c r="AE421" s="4">
        <v>125</v>
      </c>
      <c r="AF421" s="4">
        <v>1</v>
      </c>
      <c r="AG421" s="4">
        <v>2</v>
      </c>
      <c r="AH421" s="4">
        <v>47</v>
      </c>
      <c r="AI421" s="4">
        <v>104</v>
      </c>
      <c r="AJ421" s="4">
        <v>11</v>
      </c>
      <c r="AK421" s="4">
        <v>21</v>
      </c>
      <c r="AL421" s="4">
        <v>29</v>
      </c>
      <c r="AM421" s="4">
        <v>58</v>
      </c>
      <c r="AN421" s="4">
        <v>0</v>
      </c>
      <c r="AO421" s="4">
        <v>5</v>
      </c>
      <c r="AP421" s="4">
        <v>14</v>
      </c>
      <c r="AQ421" s="4">
        <v>29</v>
      </c>
      <c r="AR421" s="3" t="s">
        <v>64</v>
      </c>
      <c r="AS421" s="3" t="s">
        <v>64</v>
      </c>
      <c r="AT421" s="3" t="s">
        <v>73</v>
      </c>
      <c r="AU421" s="6" t="str">
        <f>HYPERLINK("http://catalog.hathitrust.org/Record/000573486","HathiTrust Record")</f>
        <v>HathiTrust Record</v>
      </c>
      <c r="AV421" s="6" t="str">
        <f>HYPERLINK("http://mcgill.on.worldcat.org/oclc/1329473","Catalog Record")</f>
        <v>Catalog Record</v>
      </c>
      <c r="AW421" s="6" t="str">
        <f>HYPERLINK("http://www.worldcat.org/oclc/1329473","WorldCat Record")</f>
        <v>WorldCat Record</v>
      </c>
      <c r="AX421" s="3" t="s">
        <v>4324</v>
      </c>
      <c r="AY421" s="3" t="s">
        <v>4325</v>
      </c>
      <c r="AZ421" s="3" t="s">
        <v>4326</v>
      </c>
      <c r="BA421" s="3" t="s">
        <v>4326</v>
      </c>
      <c r="BB421" s="3" t="s">
        <v>4327</v>
      </c>
      <c r="BC421" s="3" t="s">
        <v>78</v>
      </c>
      <c r="BD421" s="3" t="s">
        <v>79</v>
      </c>
      <c r="BF421" s="3" t="s">
        <v>4327</v>
      </c>
      <c r="BG421" s="3" t="s">
        <v>4328</v>
      </c>
    </row>
    <row r="422" spans="1:59" ht="58" x14ac:dyDescent="0.35">
      <c r="A422" s="2" t="s">
        <v>59</v>
      </c>
      <c r="B422" s="2" t="s">
        <v>94</v>
      </c>
      <c r="C422" s="2" t="s">
        <v>4329</v>
      </c>
      <c r="D422" s="2" t="s">
        <v>4330</v>
      </c>
      <c r="E422" s="2" t="s">
        <v>4331</v>
      </c>
      <c r="G422" s="3" t="s">
        <v>64</v>
      </c>
      <c r="I422" s="3" t="s">
        <v>64</v>
      </c>
      <c r="J422" s="3" t="s">
        <v>64</v>
      </c>
      <c r="K422" s="3" t="s">
        <v>65</v>
      </c>
      <c r="L422" s="2" t="s">
        <v>4332</v>
      </c>
      <c r="M422" s="2" t="s">
        <v>4333</v>
      </c>
      <c r="N422" s="3" t="s">
        <v>538</v>
      </c>
      <c r="P422" s="3" t="s">
        <v>69</v>
      </c>
      <c r="R422" s="3" t="s">
        <v>70</v>
      </c>
      <c r="S422" s="4">
        <v>3</v>
      </c>
      <c r="T422" s="4">
        <v>3</v>
      </c>
      <c r="U422" s="5" t="s">
        <v>4334</v>
      </c>
      <c r="V422" s="5" t="s">
        <v>4334</v>
      </c>
      <c r="W422" s="5" t="s">
        <v>72</v>
      </c>
      <c r="X422" s="5" t="s">
        <v>72</v>
      </c>
      <c r="Y422" s="4">
        <v>148</v>
      </c>
      <c r="Z422" s="4">
        <v>50</v>
      </c>
      <c r="AA422" s="4">
        <v>83</v>
      </c>
      <c r="AB422" s="4">
        <v>3</v>
      </c>
      <c r="AC422" s="4">
        <v>11</v>
      </c>
      <c r="AD422" s="4">
        <v>80</v>
      </c>
      <c r="AE422" s="4">
        <v>98</v>
      </c>
      <c r="AF422" s="4">
        <v>1</v>
      </c>
      <c r="AG422" s="4">
        <v>4</v>
      </c>
      <c r="AH422" s="4">
        <v>55</v>
      </c>
      <c r="AI422" s="4">
        <v>64</v>
      </c>
      <c r="AJ422" s="4">
        <v>22</v>
      </c>
      <c r="AK422" s="4">
        <v>24</v>
      </c>
      <c r="AL422" s="4">
        <v>25</v>
      </c>
      <c r="AM422" s="4">
        <v>30</v>
      </c>
      <c r="AN422" s="4">
        <v>0</v>
      </c>
      <c r="AO422" s="4">
        <v>0</v>
      </c>
      <c r="AP422" s="4">
        <v>33</v>
      </c>
      <c r="AQ422" s="4">
        <v>43</v>
      </c>
      <c r="AR422" s="3" t="s">
        <v>73</v>
      </c>
      <c r="AS422" s="3" t="s">
        <v>64</v>
      </c>
      <c r="AT422" s="3" t="s">
        <v>64</v>
      </c>
      <c r="AV422" s="6" t="str">
        <f>HYPERLINK("http://mcgill.on.worldcat.org/oclc/84989191","Catalog Record")</f>
        <v>Catalog Record</v>
      </c>
      <c r="AW422" s="6" t="str">
        <f>HYPERLINK("http://www.worldcat.org/oclc/84989191","WorldCat Record")</f>
        <v>WorldCat Record</v>
      </c>
      <c r="AX422" s="3" t="s">
        <v>4335</v>
      </c>
      <c r="AY422" s="3" t="s">
        <v>4336</v>
      </c>
      <c r="AZ422" s="3" t="s">
        <v>4337</v>
      </c>
      <c r="BA422" s="3" t="s">
        <v>4337</v>
      </c>
      <c r="BB422" s="3" t="s">
        <v>4338</v>
      </c>
      <c r="BC422" s="3" t="s">
        <v>78</v>
      </c>
      <c r="BD422" s="3" t="s">
        <v>79</v>
      </c>
      <c r="BE422" s="3" t="s">
        <v>4339</v>
      </c>
      <c r="BF422" s="3" t="s">
        <v>4338</v>
      </c>
      <c r="BG422" s="3" t="s">
        <v>4340</v>
      </c>
    </row>
    <row r="423" spans="1:59" ht="58" x14ac:dyDescent="0.35">
      <c r="A423" s="2" t="s">
        <v>59</v>
      </c>
      <c r="B423" s="2" t="s">
        <v>94</v>
      </c>
      <c r="C423" s="2" t="s">
        <v>4341</v>
      </c>
      <c r="D423" s="2" t="s">
        <v>4342</v>
      </c>
      <c r="E423" s="2" t="s">
        <v>4343</v>
      </c>
      <c r="G423" s="3" t="s">
        <v>64</v>
      </c>
      <c r="I423" s="3" t="s">
        <v>64</v>
      </c>
      <c r="J423" s="3" t="s">
        <v>64</v>
      </c>
      <c r="K423" s="3" t="s">
        <v>65</v>
      </c>
      <c r="L423" s="2" t="s">
        <v>4344</v>
      </c>
      <c r="M423" s="2" t="s">
        <v>4345</v>
      </c>
      <c r="N423" s="3" t="s">
        <v>1813</v>
      </c>
      <c r="O423" s="2" t="s">
        <v>525</v>
      </c>
      <c r="P423" s="3" t="s">
        <v>69</v>
      </c>
      <c r="R423" s="3" t="s">
        <v>70</v>
      </c>
      <c r="S423" s="4">
        <v>1</v>
      </c>
      <c r="T423" s="4">
        <v>1</v>
      </c>
      <c r="U423" s="5" t="s">
        <v>4346</v>
      </c>
      <c r="V423" s="5" t="s">
        <v>4346</v>
      </c>
      <c r="W423" s="5" t="s">
        <v>72</v>
      </c>
      <c r="X423" s="5" t="s">
        <v>72</v>
      </c>
      <c r="Y423" s="4">
        <v>29</v>
      </c>
      <c r="Z423" s="4">
        <v>14</v>
      </c>
      <c r="AA423" s="4">
        <v>22</v>
      </c>
      <c r="AB423" s="4">
        <v>2</v>
      </c>
      <c r="AC423" s="4">
        <v>4</v>
      </c>
      <c r="AD423" s="4">
        <v>10</v>
      </c>
      <c r="AE423" s="4">
        <v>10</v>
      </c>
      <c r="AF423" s="4">
        <v>0</v>
      </c>
      <c r="AG423" s="4">
        <v>0</v>
      </c>
      <c r="AH423" s="4">
        <v>7</v>
      </c>
      <c r="AI423" s="4">
        <v>7</v>
      </c>
      <c r="AJ423" s="4">
        <v>5</v>
      </c>
      <c r="AK423" s="4">
        <v>5</v>
      </c>
      <c r="AL423" s="4">
        <v>4</v>
      </c>
      <c r="AM423" s="4">
        <v>4</v>
      </c>
      <c r="AN423" s="4">
        <v>0</v>
      </c>
      <c r="AO423" s="4">
        <v>0</v>
      </c>
      <c r="AP423" s="4">
        <v>3</v>
      </c>
      <c r="AQ423" s="4">
        <v>3</v>
      </c>
      <c r="AR423" s="3" t="s">
        <v>73</v>
      </c>
      <c r="AS423" s="3" t="s">
        <v>64</v>
      </c>
      <c r="AT423" s="3" t="s">
        <v>64</v>
      </c>
      <c r="AV423" s="6" t="str">
        <f>HYPERLINK("http://mcgill.on.worldcat.org/oclc/962548512","Catalog Record")</f>
        <v>Catalog Record</v>
      </c>
      <c r="AW423" s="6" t="str">
        <f>HYPERLINK("http://www.worldcat.org/oclc/962548512","WorldCat Record")</f>
        <v>WorldCat Record</v>
      </c>
      <c r="AX423" s="3" t="s">
        <v>4347</v>
      </c>
      <c r="AY423" s="3" t="s">
        <v>4348</v>
      </c>
      <c r="AZ423" s="3" t="s">
        <v>4349</v>
      </c>
      <c r="BA423" s="3" t="s">
        <v>4349</v>
      </c>
      <c r="BB423" s="3" t="s">
        <v>4350</v>
      </c>
      <c r="BC423" s="3" t="s">
        <v>78</v>
      </c>
      <c r="BD423" s="3" t="s">
        <v>79</v>
      </c>
      <c r="BE423" s="3" t="s">
        <v>4351</v>
      </c>
      <c r="BF423" s="3" t="s">
        <v>4350</v>
      </c>
      <c r="BG423" s="3" t="s">
        <v>4352</v>
      </c>
    </row>
    <row r="424" spans="1:59" ht="58" x14ac:dyDescent="0.35">
      <c r="A424" s="2" t="s">
        <v>59</v>
      </c>
      <c r="B424" s="2" t="s">
        <v>94</v>
      </c>
      <c r="C424" s="2" t="s">
        <v>4353</v>
      </c>
      <c r="D424" s="2" t="s">
        <v>4354</v>
      </c>
      <c r="E424" s="2" t="s">
        <v>4355</v>
      </c>
      <c r="G424" s="3" t="s">
        <v>64</v>
      </c>
      <c r="I424" s="3" t="s">
        <v>64</v>
      </c>
      <c r="J424" s="3" t="s">
        <v>64</v>
      </c>
      <c r="K424" s="3" t="s">
        <v>65</v>
      </c>
      <c r="L424" s="2" t="s">
        <v>4356</v>
      </c>
      <c r="M424" s="2" t="s">
        <v>4357</v>
      </c>
      <c r="N424" s="3" t="s">
        <v>1029</v>
      </c>
      <c r="O424" s="2" t="s">
        <v>1294</v>
      </c>
      <c r="P424" s="3" t="s">
        <v>69</v>
      </c>
      <c r="R424" s="3" t="s">
        <v>70</v>
      </c>
      <c r="S424" s="4">
        <v>9</v>
      </c>
      <c r="T424" s="4">
        <v>9</v>
      </c>
      <c r="U424" s="5" t="s">
        <v>164</v>
      </c>
      <c r="V424" s="5" t="s">
        <v>164</v>
      </c>
      <c r="W424" s="5" t="s">
        <v>72</v>
      </c>
      <c r="X424" s="5" t="s">
        <v>72</v>
      </c>
      <c r="Y424" s="4">
        <v>155</v>
      </c>
      <c r="Z424" s="4">
        <v>116</v>
      </c>
      <c r="AA424" s="4">
        <v>121</v>
      </c>
      <c r="AB424" s="4">
        <v>7</v>
      </c>
      <c r="AC424" s="4">
        <v>8</v>
      </c>
      <c r="AD424" s="4">
        <v>43</v>
      </c>
      <c r="AE424" s="4">
        <v>47</v>
      </c>
      <c r="AF424" s="4">
        <v>1</v>
      </c>
      <c r="AG424" s="4">
        <v>1</v>
      </c>
      <c r="AH424" s="4">
        <v>21</v>
      </c>
      <c r="AI424" s="4">
        <v>24</v>
      </c>
      <c r="AJ424" s="4">
        <v>17</v>
      </c>
      <c r="AK424" s="4">
        <v>17</v>
      </c>
      <c r="AL424" s="4">
        <v>11</v>
      </c>
      <c r="AM424" s="4">
        <v>11</v>
      </c>
      <c r="AN424" s="4">
        <v>0</v>
      </c>
      <c r="AO424" s="4">
        <v>0</v>
      </c>
      <c r="AP424" s="4">
        <v>27</v>
      </c>
      <c r="AQ424" s="4">
        <v>29</v>
      </c>
      <c r="AR424" s="3" t="s">
        <v>73</v>
      </c>
      <c r="AS424" s="3" t="s">
        <v>64</v>
      </c>
      <c r="AT424" s="3" t="s">
        <v>64</v>
      </c>
      <c r="AV424" s="6" t="str">
        <f>HYPERLINK("http://mcgill.on.worldcat.org/oclc/426221895","Catalog Record")</f>
        <v>Catalog Record</v>
      </c>
      <c r="AW424" s="6" t="str">
        <f>HYPERLINK("http://www.worldcat.org/oclc/426221895","WorldCat Record")</f>
        <v>WorldCat Record</v>
      </c>
      <c r="AX424" s="3" t="s">
        <v>4358</v>
      </c>
      <c r="AY424" s="3" t="s">
        <v>4359</v>
      </c>
      <c r="AZ424" s="3" t="s">
        <v>4360</v>
      </c>
      <c r="BA424" s="3" t="s">
        <v>4360</v>
      </c>
      <c r="BB424" s="3" t="s">
        <v>4361</v>
      </c>
      <c r="BC424" s="3" t="s">
        <v>78</v>
      </c>
      <c r="BD424" s="3" t="s">
        <v>79</v>
      </c>
      <c r="BE424" s="3" t="s">
        <v>4362</v>
      </c>
      <c r="BF424" s="3" t="s">
        <v>4361</v>
      </c>
      <c r="BG424" s="3" t="s">
        <v>4363</v>
      </c>
    </row>
    <row r="425" spans="1:59" ht="58" x14ac:dyDescent="0.35">
      <c r="A425" s="2" t="s">
        <v>59</v>
      </c>
      <c r="B425" s="2" t="s">
        <v>94</v>
      </c>
      <c r="C425" s="2" t="s">
        <v>4364</v>
      </c>
      <c r="D425" s="2" t="s">
        <v>4365</v>
      </c>
      <c r="E425" s="2" t="s">
        <v>4366</v>
      </c>
      <c r="G425" s="3" t="s">
        <v>64</v>
      </c>
      <c r="I425" s="3" t="s">
        <v>64</v>
      </c>
      <c r="J425" s="3" t="s">
        <v>64</v>
      </c>
      <c r="K425" s="3" t="s">
        <v>65</v>
      </c>
      <c r="L425" s="2" t="s">
        <v>4367</v>
      </c>
      <c r="M425" s="2" t="s">
        <v>4368</v>
      </c>
      <c r="N425" s="3" t="s">
        <v>303</v>
      </c>
      <c r="P425" s="3" t="s">
        <v>69</v>
      </c>
      <c r="Q425" s="2" t="s">
        <v>4369</v>
      </c>
      <c r="R425" s="3" t="s">
        <v>70</v>
      </c>
      <c r="S425" s="4">
        <v>4</v>
      </c>
      <c r="T425" s="4">
        <v>4</v>
      </c>
      <c r="U425" s="5" t="s">
        <v>4370</v>
      </c>
      <c r="V425" s="5" t="s">
        <v>4370</v>
      </c>
      <c r="W425" s="5" t="s">
        <v>72</v>
      </c>
      <c r="X425" s="5" t="s">
        <v>72</v>
      </c>
      <c r="Y425" s="4">
        <v>36</v>
      </c>
      <c r="Z425" s="4">
        <v>18</v>
      </c>
      <c r="AA425" s="4">
        <v>34</v>
      </c>
      <c r="AB425" s="4">
        <v>2</v>
      </c>
      <c r="AC425" s="4">
        <v>4</v>
      </c>
      <c r="AD425" s="4">
        <v>12</v>
      </c>
      <c r="AE425" s="4">
        <v>26</v>
      </c>
      <c r="AF425" s="4">
        <v>0</v>
      </c>
      <c r="AG425" s="4">
        <v>1</v>
      </c>
      <c r="AH425" s="4">
        <v>11</v>
      </c>
      <c r="AI425" s="4">
        <v>19</v>
      </c>
      <c r="AJ425" s="4">
        <v>5</v>
      </c>
      <c r="AK425" s="4">
        <v>12</v>
      </c>
      <c r="AL425" s="4">
        <v>6</v>
      </c>
      <c r="AM425" s="4">
        <v>9</v>
      </c>
      <c r="AN425" s="4">
        <v>0</v>
      </c>
      <c r="AO425" s="4">
        <v>0</v>
      </c>
      <c r="AP425" s="4">
        <v>5</v>
      </c>
      <c r="AQ425" s="4">
        <v>14</v>
      </c>
      <c r="AR425" s="3" t="s">
        <v>64</v>
      </c>
      <c r="AS425" s="3" t="s">
        <v>64</v>
      </c>
      <c r="AT425" s="3" t="s">
        <v>64</v>
      </c>
      <c r="AV425" s="6" t="str">
        <f>HYPERLINK("http://mcgill.on.worldcat.org/oclc/32238674","Catalog Record")</f>
        <v>Catalog Record</v>
      </c>
      <c r="AW425" s="6" t="str">
        <f>HYPERLINK("http://www.worldcat.org/oclc/32238674","WorldCat Record")</f>
        <v>WorldCat Record</v>
      </c>
      <c r="AX425" s="3" t="s">
        <v>4371</v>
      </c>
      <c r="AY425" s="3" t="s">
        <v>4372</v>
      </c>
      <c r="AZ425" s="3" t="s">
        <v>4373</v>
      </c>
      <c r="BA425" s="3" t="s">
        <v>4373</v>
      </c>
      <c r="BB425" s="3" t="s">
        <v>4374</v>
      </c>
      <c r="BC425" s="3" t="s">
        <v>78</v>
      </c>
      <c r="BD425" s="3" t="s">
        <v>79</v>
      </c>
      <c r="BE425" s="3" t="s">
        <v>4375</v>
      </c>
      <c r="BF425" s="3" t="s">
        <v>4374</v>
      </c>
      <c r="BG425" s="3" t="s">
        <v>4376</v>
      </c>
    </row>
    <row r="426" spans="1:59" ht="58" x14ac:dyDescent="0.35">
      <c r="A426" s="2" t="s">
        <v>59</v>
      </c>
      <c r="B426" s="2" t="s">
        <v>94</v>
      </c>
      <c r="C426" s="2" t="s">
        <v>4377</v>
      </c>
      <c r="D426" s="2" t="s">
        <v>4378</v>
      </c>
      <c r="E426" s="2" t="s">
        <v>4379</v>
      </c>
      <c r="G426" s="3" t="s">
        <v>64</v>
      </c>
      <c r="I426" s="3" t="s">
        <v>64</v>
      </c>
      <c r="J426" s="3" t="s">
        <v>64</v>
      </c>
      <c r="K426" s="3" t="s">
        <v>65</v>
      </c>
      <c r="L426" s="2" t="s">
        <v>4380</v>
      </c>
      <c r="M426" s="2" t="s">
        <v>4381</v>
      </c>
      <c r="N426" s="3" t="s">
        <v>1813</v>
      </c>
      <c r="P426" s="3" t="s">
        <v>69</v>
      </c>
      <c r="R426" s="3" t="s">
        <v>70</v>
      </c>
      <c r="S426" s="4">
        <v>0</v>
      </c>
      <c r="T426" s="4">
        <v>0</v>
      </c>
      <c r="W426" s="5" t="s">
        <v>72</v>
      </c>
      <c r="X426" s="5" t="s">
        <v>72</v>
      </c>
      <c r="Y426" s="4">
        <v>5</v>
      </c>
      <c r="Z426" s="4">
        <v>4</v>
      </c>
      <c r="AA426" s="4">
        <v>5</v>
      </c>
      <c r="AB426" s="4">
        <v>1</v>
      </c>
      <c r="AC426" s="4">
        <v>1</v>
      </c>
      <c r="AD426" s="4">
        <v>1</v>
      </c>
      <c r="AE426" s="4">
        <v>2</v>
      </c>
      <c r="AF426" s="4">
        <v>0</v>
      </c>
      <c r="AG426" s="4">
        <v>0</v>
      </c>
      <c r="AH426" s="4">
        <v>1</v>
      </c>
      <c r="AI426" s="4">
        <v>1</v>
      </c>
      <c r="AJ426" s="4">
        <v>0</v>
      </c>
      <c r="AK426" s="4">
        <v>1</v>
      </c>
      <c r="AL426" s="4">
        <v>0</v>
      </c>
      <c r="AM426" s="4">
        <v>0</v>
      </c>
      <c r="AN426" s="4">
        <v>0</v>
      </c>
      <c r="AO426" s="4">
        <v>0</v>
      </c>
      <c r="AP426" s="4">
        <v>0</v>
      </c>
      <c r="AQ426" s="4">
        <v>1</v>
      </c>
      <c r="AR426" s="3" t="s">
        <v>73</v>
      </c>
      <c r="AS426" s="3" t="s">
        <v>64</v>
      </c>
      <c r="AT426" s="3" t="s">
        <v>64</v>
      </c>
      <c r="AV426" s="6" t="str">
        <f>HYPERLINK("http://mcgill.on.worldcat.org/oclc/956556285","Catalog Record")</f>
        <v>Catalog Record</v>
      </c>
      <c r="AW426" s="6" t="str">
        <f>HYPERLINK("http://www.worldcat.org/oclc/956556285","WorldCat Record")</f>
        <v>WorldCat Record</v>
      </c>
      <c r="AX426" s="3" t="s">
        <v>4382</v>
      </c>
      <c r="AY426" s="3" t="s">
        <v>4383</v>
      </c>
      <c r="AZ426" s="3" t="s">
        <v>4384</v>
      </c>
      <c r="BA426" s="3" t="s">
        <v>4384</v>
      </c>
      <c r="BB426" s="3" t="s">
        <v>4385</v>
      </c>
      <c r="BC426" s="3" t="s">
        <v>78</v>
      </c>
      <c r="BD426" s="3" t="s">
        <v>79</v>
      </c>
      <c r="BE426" s="3" t="s">
        <v>4386</v>
      </c>
      <c r="BF426" s="3" t="s">
        <v>4385</v>
      </c>
      <c r="BG426" s="3" t="s">
        <v>4387</v>
      </c>
    </row>
    <row r="427" spans="1:59" ht="58" x14ac:dyDescent="0.35">
      <c r="A427" s="2" t="s">
        <v>59</v>
      </c>
      <c r="B427" s="2" t="s">
        <v>94</v>
      </c>
      <c r="C427" s="2" t="s">
        <v>4388</v>
      </c>
      <c r="D427" s="2" t="s">
        <v>4389</v>
      </c>
      <c r="E427" s="2" t="s">
        <v>4390</v>
      </c>
      <c r="F427" s="3" t="s">
        <v>388</v>
      </c>
      <c r="G427" s="3" t="s">
        <v>73</v>
      </c>
      <c r="I427" s="3" t="s">
        <v>64</v>
      </c>
      <c r="J427" s="3" t="s">
        <v>64</v>
      </c>
      <c r="K427" s="3" t="s">
        <v>65</v>
      </c>
      <c r="L427" s="2" t="s">
        <v>4391</v>
      </c>
      <c r="M427" s="2" t="s">
        <v>4392</v>
      </c>
      <c r="N427" s="3" t="s">
        <v>2574</v>
      </c>
      <c r="P427" s="3" t="s">
        <v>69</v>
      </c>
      <c r="R427" s="3" t="s">
        <v>70</v>
      </c>
      <c r="S427" s="4">
        <v>4</v>
      </c>
      <c r="T427" s="4">
        <v>8</v>
      </c>
      <c r="U427" s="5" t="s">
        <v>4393</v>
      </c>
      <c r="V427" s="5" t="s">
        <v>4393</v>
      </c>
      <c r="W427" s="5" t="s">
        <v>72</v>
      </c>
      <c r="X427" s="5" t="s">
        <v>72</v>
      </c>
      <c r="Y427" s="4">
        <v>4</v>
      </c>
      <c r="Z427" s="4">
        <v>2</v>
      </c>
      <c r="AA427" s="4">
        <v>2</v>
      </c>
      <c r="AB427" s="4">
        <v>1</v>
      </c>
      <c r="AC427" s="4">
        <v>1</v>
      </c>
      <c r="AD427" s="4">
        <v>1</v>
      </c>
      <c r="AE427" s="4">
        <v>1</v>
      </c>
      <c r="AF427" s="4">
        <v>0</v>
      </c>
      <c r="AG427" s="4">
        <v>0</v>
      </c>
      <c r="AH427" s="4">
        <v>1</v>
      </c>
      <c r="AI427" s="4">
        <v>1</v>
      </c>
      <c r="AJ427" s="4">
        <v>0</v>
      </c>
      <c r="AK427" s="4">
        <v>0</v>
      </c>
      <c r="AL427" s="4">
        <v>1</v>
      </c>
      <c r="AM427" s="4">
        <v>1</v>
      </c>
      <c r="AN427" s="4">
        <v>0</v>
      </c>
      <c r="AO427" s="4">
        <v>0</v>
      </c>
      <c r="AP427" s="4">
        <v>0</v>
      </c>
      <c r="AQ427" s="4">
        <v>0</v>
      </c>
      <c r="AR427" s="3" t="s">
        <v>64</v>
      </c>
      <c r="AS427" s="3" t="s">
        <v>64</v>
      </c>
      <c r="AT427" s="3" t="s">
        <v>64</v>
      </c>
      <c r="AV427" s="6" t="str">
        <f>HYPERLINK("http://mcgill.on.worldcat.org/oclc/61605155","Catalog Record")</f>
        <v>Catalog Record</v>
      </c>
      <c r="AW427" s="6" t="str">
        <f>HYPERLINK("http://www.worldcat.org/oclc/61605155","WorldCat Record")</f>
        <v>WorldCat Record</v>
      </c>
      <c r="AX427" s="3" t="s">
        <v>4394</v>
      </c>
      <c r="AY427" s="3" t="s">
        <v>4395</v>
      </c>
      <c r="AZ427" s="3" t="s">
        <v>4396</v>
      </c>
      <c r="BA427" s="3" t="s">
        <v>4396</v>
      </c>
      <c r="BB427" s="3" t="s">
        <v>4397</v>
      </c>
      <c r="BC427" s="3" t="s">
        <v>78</v>
      </c>
      <c r="BD427" s="3" t="s">
        <v>79</v>
      </c>
      <c r="BF427" s="3" t="s">
        <v>4397</v>
      </c>
      <c r="BG427" s="3" t="s">
        <v>4398</v>
      </c>
    </row>
    <row r="428" spans="1:59" ht="58" x14ac:dyDescent="0.35">
      <c r="A428" s="2" t="s">
        <v>59</v>
      </c>
      <c r="B428" s="2" t="s">
        <v>94</v>
      </c>
      <c r="C428" s="2" t="s">
        <v>4388</v>
      </c>
      <c r="D428" s="2" t="s">
        <v>4389</v>
      </c>
      <c r="E428" s="2" t="s">
        <v>4390</v>
      </c>
      <c r="F428" s="3" t="s">
        <v>399</v>
      </c>
      <c r="G428" s="3" t="s">
        <v>73</v>
      </c>
      <c r="I428" s="3" t="s">
        <v>64</v>
      </c>
      <c r="J428" s="3" t="s">
        <v>64</v>
      </c>
      <c r="K428" s="3" t="s">
        <v>65</v>
      </c>
      <c r="L428" s="2" t="s">
        <v>4391</v>
      </c>
      <c r="M428" s="2" t="s">
        <v>4392</v>
      </c>
      <c r="N428" s="3" t="s">
        <v>2574</v>
      </c>
      <c r="P428" s="3" t="s">
        <v>69</v>
      </c>
      <c r="R428" s="3" t="s">
        <v>70</v>
      </c>
      <c r="S428" s="4">
        <v>4</v>
      </c>
      <c r="T428" s="4">
        <v>8</v>
      </c>
      <c r="U428" s="5" t="s">
        <v>4393</v>
      </c>
      <c r="V428" s="5" t="s">
        <v>4393</v>
      </c>
      <c r="W428" s="5" t="s">
        <v>72</v>
      </c>
      <c r="X428" s="5" t="s">
        <v>72</v>
      </c>
      <c r="Y428" s="4">
        <v>4</v>
      </c>
      <c r="Z428" s="4">
        <v>2</v>
      </c>
      <c r="AA428" s="4">
        <v>2</v>
      </c>
      <c r="AB428" s="4">
        <v>1</v>
      </c>
      <c r="AC428" s="4">
        <v>1</v>
      </c>
      <c r="AD428" s="4">
        <v>1</v>
      </c>
      <c r="AE428" s="4">
        <v>1</v>
      </c>
      <c r="AF428" s="4">
        <v>0</v>
      </c>
      <c r="AG428" s="4">
        <v>0</v>
      </c>
      <c r="AH428" s="4">
        <v>1</v>
      </c>
      <c r="AI428" s="4">
        <v>1</v>
      </c>
      <c r="AJ428" s="4">
        <v>0</v>
      </c>
      <c r="AK428" s="4">
        <v>0</v>
      </c>
      <c r="AL428" s="4">
        <v>1</v>
      </c>
      <c r="AM428" s="4">
        <v>1</v>
      </c>
      <c r="AN428" s="4">
        <v>0</v>
      </c>
      <c r="AO428" s="4">
        <v>0</v>
      </c>
      <c r="AP428" s="4">
        <v>0</v>
      </c>
      <c r="AQ428" s="4">
        <v>0</v>
      </c>
      <c r="AR428" s="3" t="s">
        <v>64</v>
      </c>
      <c r="AS428" s="3" t="s">
        <v>64</v>
      </c>
      <c r="AT428" s="3" t="s">
        <v>64</v>
      </c>
      <c r="AV428" s="6" t="str">
        <f>HYPERLINK("http://mcgill.on.worldcat.org/oclc/61605155","Catalog Record")</f>
        <v>Catalog Record</v>
      </c>
      <c r="AW428" s="6" t="str">
        <f>HYPERLINK("http://www.worldcat.org/oclc/61605155","WorldCat Record")</f>
        <v>WorldCat Record</v>
      </c>
      <c r="AX428" s="3" t="s">
        <v>4394</v>
      </c>
      <c r="AY428" s="3" t="s">
        <v>4395</v>
      </c>
      <c r="AZ428" s="3" t="s">
        <v>4396</v>
      </c>
      <c r="BA428" s="3" t="s">
        <v>4396</v>
      </c>
      <c r="BB428" s="3" t="s">
        <v>4399</v>
      </c>
      <c r="BC428" s="3" t="s">
        <v>78</v>
      </c>
      <c r="BD428" s="3" t="s">
        <v>79</v>
      </c>
      <c r="BF428" s="3" t="s">
        <v>4399</v>
      </c>
      <c r="BG428" s="3" t="s">
        <v>4400</v>
      </c>
    </row>
    <row r="429" spans="1:59" ht="58" x14ac:dyDescent="0.35">
      <c r="A429" s="2" t="s">
        <v>59</v>
      </c>
      <c r="B429" s="2" t="s">
        <v>94</v>
      </c>
      <c r="C429" s="2" t="s">
        <v>4401</v>
      </c>
      <c r="D429" s="2" t="s">
        <v>4402</v>
      </c>
      <c r="E429" s="2" t="s">
        <v>4403</v>
      </c>
      <c r="G429" s="3" t="s">
        <v>64</v>
      </c>
      <c r="I429" s="3" t="s">
        <v>64</v>
      </c>
      <c r="J429" s="3" t="s">
        <v>64</v>
      </c>
      <c r="K429" s="3" t="s">
        <v>65</v>
      </c>
      <c r="L429" s="2" t="s">
        <v>4404</v>
      </c>
      <c r="M429" s="2" t="s">
        <v>4405</v>
      </c>
      <c r="N429" s="3" t="s">
        <v>214</v>
      </c>
      <c r="P429" s="3" t="s">
        <v>69</v>
      </c>
      <c r="R429" s="3" t="s">
        <v>70</v>
      </c>
      <c r="S429" s="4">
        <v>0</v>
      </c>
      <c r="T429" s="4">
        <v>0</v>
      </c>
      <c r="W429" s="5" t="s">
        <v>72</v>
      </c>
      <c r="X429" s="5" t="s">
        <v>72</v>
      </c>
      <c r="Y429" s="4">
        <v>97</v>
      </c>
      <c r="Z429" s="4">
        <v>42</v>
      </c>
      <c r="AA429" s="4">
        <v>80</v>
      </c>
      <c r="AB429" s="4">
        <v>2</v>
      </c>
      <c r="AC429" s="4">
        <v>10</v>
      </c>
      <c r="AD429" s="4">
        <v>59</v>
      </c>
      <c r="AE429" s="4">
        <v>101</v>
      </c>
      <c r="AF429" s="4">
        <v>1</v>
      </c>
      <c r="AG429" s="4">
        <v>4</v>
      </c>
      <c r="AH429" s="4">
        <v>41</v>
      </c>
      <c r="AI429" s="4">
        <v>69</v>
      </c>
      <c r="AJ429" s="4">
        <v>21</v>
      </c>
      <c r="AK429" s="4">
        <v>25</v>
      </c>
      <c r="AL429" s="4">
        <v>23</v>
      </c>
      <c r="AM429" s="4">
        <v>35</v>
      </c>
      <c r="AN429" s="4">
        <v>0</v>
      </c>
      <c r="AO429" s="4">
        <v>0</v>
      </c>
      <c r="AP429" s="4">
        <v>25</v>
      </c>
      <c r="AQ429" s="4">
        <v>41</v>
      </c>
      <c r="AR429" s="3" t="s">
        <v>73</v>
      </c>
      <c r="AS429" s="3" t="s">
        <v>64</v>
      </c>
      <c r="AT429" s="3" t="s">
        <v>64</v>
      </c>
      <c r="AV429" s="6" t="str">
        <f>HYPERLINK("http://mcgill.on.worldcat.org/oclc/468102938","Catalog Record")</f>
        <v>Catalog Record</v>
      </c>
      <c r="AW429" s="6" t="str">
        <f>HYPERLINK("http://www.worldcat.org/oclc/468102938","WorldCat Record")</f>
        <v>WorldCat Record</v>
      </c>
      <c r="AX429" s="3" t="s">
        <v>4406</v>
      </c>
      <c r="AY429" s="3" t="s">
        <v>4407</v>
      </c>
      <c r="AZ429" s="3" t="s">
        <v>4408</v>
      </c>
      <c r="BA429" s="3" t="s">
        <v>4408</v>
      </c>
      <c r="BB429" s="3" t="s">
        <v>4409</v>
      </c>
      <c r="BC429" s="3" t="s">
        <v>78</v>
      </c>
      <c r="BD429" s="3" t="s">
        <v>79</v>
      </c>
      <c r="BE429" s="3" t="s">
        <v>4410</v>
      </c>
      <c r="BF429" s="3" t="s">
        <v>4409</v>
      </c>
      <c r="BG429" s="3" t="s">
        <v>4411</v>
      </c>
    </row>
    <row r="430" spans="1:59" ht="58" x14ac:dyDescent="0.35">
      <c r="A430" s="2" t="s">
        <v>59</v>
      </c>
      <c r="B430" s="2" t="s">
        <v>94</v>
      </c>
      <c r="C430" s="2" t="s">
        <v>4412</v>
      </c>
      <c r="D430" s="2" t="s">
        <v>4413</v>
      </c>
      <c r="E430" s="2" t="s">
        <v>4414</v>
      </c>
      <c r="G430" s="3" t="s">
        <v>64</v>
      </c>
      <c r="I430" s="3" t="s">
        <v>64</v>
      </c>
      <c r="J430" s="3" t="s">
        <v>64</v>
      </c>
      <c r="K430" s="3" t="s">
        <v>65</v>
      </c>
      <c r="L430" s="2" t="s">
        <v>4415</v>
      </c>
      <c r="M430" s="2" t="s">
        <v>4416</v>
      </c>
      <c r="N430" s="3" t="s">
        <v>252</v>
      </c>
      <c r="P430" s="3" t="s">
        <v>69</v>
      </c>
      <c r="Q430" s="2" t="s">
        <v>4417</v>
      </c>
      <c r="R430" s="3" t="s">
        <v>70</v>
      </c>
      <c r="S430" s="4">
        <v>11</v>
      </c>
      <c r="T430" s="4">
        <v>11</v>
      </c>
      <c r="U430" s="5" t="s">
        <v>4298</v>
      </c>
      <c r="V430" s="5" t="s">
        <v>4298</v>
      </c>
      <c r="W430" s="5" t="s">
        <v>72</v>
      </c>
      <c r="X430" s="5" t="s">
        <v>72</v>
      </c>
      <c r="Y430" s="4">
        <v>106</v>
      </c>
      <c r="Z430" s="4">
        <v>3</v>
      </c>
      <c r="AA430" s="4">
        <v>34</v>
      </c>
      <c r="AB430" s="4">
        <v>1</v>
      </c>
      <c r="AC430" s="4">
        <v>3</v>
      </c>
      <c r="AD430" s="4">
        <v>9</v>
      </c>
      <c r="AE430" s="4">
        <v>83</v>
      </c>
      <c r="AF430" s="4">
        <v>0</v>
      </c>
      <c r="AG430" s="4">
        <v>2</v>
      </c>
      <c r="AH430" s="4">
        <v>9</v>
      </c>
      <c r="AI430" s="4">
        <v>74</v>
      </c>
      <c r="AJ430" s="4">
        <v>2</v>
      </c>
      <c r="AK430" s="4">
        <v>18</v>
      </c>
      <c r="AL430" s="4">
        <v>3</v>
      </c>
      <c r="AM430" s="4">
        <v>33</v>
      </c>
      <c r="AN430" s="4">
        <v>0</v>
      </c>
      <c r="AO430" s="4">
        <v>0</v>
      </c>
      <c r="AP430" s="4">
        <v>2</v>
      </c>
      <c r="AQ430" s="4">
        <v>19</v>
      </c>
      <c r="AR430" s="3" t="s">
        <v>64</v>
      </c>
      <c r="AS430" s="3" t="s">
        <v>64</v>
      </c>
      <c r="AT430" s="3" t="s">
        <v>64</v>
      </c>
      <c r="AV430" s="6" t="str">
        <f>HYPERLINK("http://mcgill.on.worldcat.org/oclc/3437967","Catalog Record")</f>
        <v>Catalog Record</v>
      </c>
      <c r="AW430" s="6" t="str">
        <f>HYPERLINK("http://www.worldcat.org/oclc/3437967","WorldCat Record")</f>
        <v>WorldCat Record</v>
      </c>
      <c r="AX430" s="3" t="s">
        <v>4418</v>
      </c>
      <c r="AY430" s="3" t="s">
        <v>4419</v>
      </c>
      <c r="AZ430" s="3" t="s">
        <v>4420</v>
      </c>
      <c r="BA430" s="3" t="s">
        <v>4420</v>
      </c>
      <c r="BB430" s="3" t="s">
        <v>4421</v>
      </c>
      <c r="BC430" s="3" t="s">
        <v>78</v>
      </c>
      <c r="BD430" s="3" t="s">
        <v>79</v>
      </c>
      <c r="BE430" s="3" t="s">
        <v>4422</v>
      </c>
      <c r="BF430" s="3" t="s">
        <v>4421</v>
      </c>
      <c r="BG430" s="3" t="s">
        <v>4423</v>
      </c>
    </row>
    <row r="431" spans="1:59" ht="58" x14ac:dyDescent="0.35">
      <c r="A431" s="2" t="s">
        <v>59</v>
      </c>
      <c r="B431" s="2" t="s">
        <v>94</v>
      </c>
      <c r="C431" s="2" t="s">
        <v>4424</v>
      </c>
      <c r="D431" s="2" t="s">
        <v>4425</v>
      </c>
      <c r="E431" s="2" t="s">
        <v>4426</v>
      </c>
      <c r="G431" s="3" t="s">
        <v>64</v>
      </c>
      <c r="I431" s="3" t="s">
        <v>64</v>
      </c>
      <c r="J431" s="3" t="s">
        <v>64</v>
      </c>
      <c r="K431" s="3" t="s">
        <v>65</v>
      </c>
      <c r="L431" s="2" t="s">
        <v>4427</v>
      </c>
      <c r="M431" s="2" t="s">
        <v>4428</v>
      </c>
      <c r="N431" s="3" t="s">
        <v>1267</v>
      </c>
      <c r="P431" s="3" t="s">
        <v>69</v>
      </c>
      <c r="Q431" s="2" t="s">
        <v>4429</v>
      </c>
      <c r="R431" s="3" t="s">
        <v>70</v>
      </c>
      <c r="S431" s="4">
        <v>26</v>
      </c>
      <c r="T431" s="4">
        <v>26</v>
      </c>
      <c r="U431" s="5" t="s">
        <v>4430</v>
      </c>
      <c r="V431" s="5" t="s">
        <v>4430</v>
      </c>
      <c r="W431" s="5" t="s">
        <v>72</v>
      </c>
      <c r="X431" s="5" t="s">
        <v>72</v>
      </c>
      <c r="Y431" s="4">
        <v>597</v>
      </c>
      <c r="Z431" s="4">
        <v>30</v>
      </c>
      <c r="AA431" s="4">
        <v>33</v>
      </c>
      <c r="AB431" s="4">
        <v>4</v>
      </c>
      <c r="AC431" s="4">
        <v>6</v>
      </c>
      <c r="AD431" s="4">
        <v>91</v>
      </c>
      <c r="AE431" s="4">
        <v>100</v>
      </c>
      <c r="AF431" s="4">
        <v>2</v>
      </c>
      <c r="AG431" s="4">
        <v>3</v>
      </c>
      <c r="AH431" s="4">
        <v>73</v>
      </c>
      <c r="AI431" s="4">
        <v>81</v>
      </c>
      <c r="AJ431" s="4">
        <v>12</v>
      </c>
      <c r="AK431" s="4">
        <v>14</v>
      </c>
      <c r="AL431" s="4">
        <v>41</v>
      </c>
      <c r="AM431" s="4">
        <v>43</v>
      </c>
      <c r="AN431" s="4">
        <v>0</v>
      </c>
      <c r="AO431" s="4">
        <v>1</v>
      </c>
      <c r="AP431" s="4">
        <v>22</v>
      </c>
      <c r="AQ431" s="4">
        <v>23</v>
      </c>
      <c r="AR431" s="3" t="s">
        <v>64</v>
      </c>
      <c r="AS431" s="3" t="s">
        <v>64</v>
      </c>
      <c r="AT431" s="3" t="s">
        <v>64</v>
      </c>
      <c r="AV431" s="6" t="str">
        <f>HYPERLINK("http://mcgill.on.worldcat.org/oclc/167104","Catalog Record")</f>
        <v>Catalog Record</v>
      </c>
      <c r="AW431" s="6" t="str">
        <f>HYPERLINK("http://www.worldcat.org/oclc/167104","WorldCat Record")</f>
        <v>WorldCat Record</v>
      </c>
      <c r="AX431" s="3" t="s">
        <v>4431</v>
      </c>
      <c r="AY431" s="3" t="s">
        <v>4432</v>
      </c>
      <c r="AZ431" s="3" t="s">
        <v>4433</v>
      </c>
      <c r="BA431" s="3" t="s">
        <v>4433</v>
      </c>
      <c r="BB431" s="3" t="s">
        <v>4434</v>
      </c>
      <c r="BC431" s="3" t="s">
        <v>78</v>
      </c>
      <c r="BD431" s="3" t="s">
        <v>79</v>
      </c>
      <c r="BE431" s="3" t="s">
        <v>4435</v>
      </c>
      <c r="BF431" s="3" t="s">
        <v>4434</v>
      </c>
      <c r="BG431" s="3" t="s">
        <v>4436</v>
      </c>
    </row>
    <row r="432" spans="1:59" ht="58" x14ac:dyDescent="0.35">
      <c r="A432" s="2" t="s">
        <v>59</v>
      </c>
      <c r="B432" s="2" t="s">
        <v>94</v>
      </c>
      <c r="C432" s="2" t="s">
        <v>4437</v>
      </c>
      <c r="D432" s="2" t="s">
        <v>4438</v>
      </c>
      <c r="E432" s="2" t="s">
        <v>4439</v>
      </c>
      <c r="G432" s="3" t="s">
        <v>64</v>
      </c>
      <c r="I432" s="3" t="s">
        <v>64</v>
      </c>
      <c r="J432" s="3" t="s">
        <v>64</v>
      </c>
      <c r="K432" s="3" t="s">
        <v>65</v>
      </c>
      <c r="L432" s="2" t="s">
        <v>4440</v>
      </c>
      <c r="M432" s="2" t="s">
        <v>4441</v>
      </c>
      <c r="N432" s="3" t="s">
        <v>4442</v>
      </c>
      <c r="P432" s="3" t="s">
        <v>69</v>
      </c>
      <c r="R432" s="3" t="s">
        <v>70</v>
      </c>
      <c r="S432" s="4">
        <v>22</v>
      </c>
      <c r="T432" s="4">
        <v>22</v>
      </c>
      <c r="U432" s="5" t="s">
        <v>4443</v>
      </c>
      <c r="V432" s="5" t="s">
        <v>4443</v>
      </c>
      <c r="W432" s="5" t="s">
        <v>72</v>
      </c>
      <c r="X432" s="5" t="s">
        <v>72</v>
      </c>
      <c r="Y432" s="4">
        <v>342</v>
      </c>
      <c r="Z432" s="4">
        <v>45</v>
      </c>
      <c r="AA432" s="4">
        <v>50</v>
      </c>
      <c r="AB432" s="4">
        <v>4</v>
      </c>
      <c r="AC432" s="4">
        <v>7</v>
      </c>
      <c r="AD432" s="4">
        <v>60</v>
      </c>
      <c r="AE432" s="4">
        <v>68</v>
      </c>
      <c r="AF432" s="4">
        <v>2</v>
      </c>
      <c r="AG432" s="4">
        <v>4</v>
      </c>
      <c r="AH432" s="4">
        <v>38</v>
      </c>
      <c r="AI432" s="4">
        <v>43</v>
      </c>
      <c r="AJ432" s="4">
        <v>19</v>
      </c>
      <c r="AK432" s="4">
        <v>21</v>
      </c>
      <c r="AL432" s="4">
        <v>21</v>
      </c>
      <c r="AM432" s="4">
        <v>22</v>
      </c>
      <c r="AN432" s="4">
        <v>0</v>
      </c>
      <c r="AO432" s="4">
        <v>0</v>
      </c>
      <c r="AP432" s="4">
        <v>28</v>
      </c>
      <c r="AQ432" s="4">
        <v>31</v>
      </c>
      <c r="AR432" s="3" t="s">
        <v>64</v>
      </c>
      <c r="AS432" s="3" t="s">
        <v>64</v>
      </c>
      <c r="AT432" s="3" t="s">
        <v>64</v>
      </c>
      <c r="AV432" s="6" t="str">
        <f>HYPERLINK("http://mcgill.on.worldcat.org/oclc/627209","Catalog Record")</f>
        <v>Catalog Record</v>
      </c>
      <c r="AW432" s="6" t="str">
        <f>HYPERLINK("http://www.worldcat.org/oclc/627209","WorldCat Record")</f>
        <v>WorldCat Record</v>
      </c>
      <c r="AX432" s="3" t="s">
        <v>4444</v>
      </c>
      <c r="AY432" s="3" t="s">
        <v>4445</v>
      </c>
      <c r="AZ432" s="3" t="s">
        <v>4446</v>
      </c>
      <c r="BA432" s="3" t="s">
        <v>4446</v>
      </c>
      <c r="BB432" s="3" t="s">
        <v>4447</v>
      </c>
      <c r="BC432" s="3" t="s">
        <v>78</v>
      </c>
      <c r="BD432" s="3" t="s">
        <v>79</v>
      </c>
      <c r="BF432" s="3" t="s">
        <v>4447</v>
      </c>
      <c r="BG432" s="3" t="s">
        <v>4448</v>
      </c>
    </row>
    <row r="433" spans="1:59" ht="58" x14ac:dyDescent="0.35">
      <c r="A433" s="2" t="s">
        <v>59</v>
      </c>
      <c r="B433" s="2" t="s">
        <v>94</v>
      </c>
      <c r="C433" s="2" t="s">
        <v>4449</v>
      </c>
      <c r="D433" s="2" t="s">
        <v>4450</v>
      </c>
      <c r="E433" s="2" t="s">
        <v>4451</v>
      </c>
      <c r="G433" s="3" t="s">
        <v>64</v>
      </c>
      <c r="I433" s="3" t="s">
        <v>64</v>
      </c>
      <c r="J433" s="3" t="s">
        <v>64</v>
      </c>
      <c r="K433" s="3" t="s">
        <v>65</v>
      </c>
      <c r="M433" s="2" t="s">
        <v>4452</v>
      </c>
      <c r="N433" s="3" t="s">
        <v>872</v>
      </c>
      <c r="P433" s="3" t="s">
        <v>69</v>
      </c>
      <c r="Q433" s="2" t="s">
        <v>4453</v>
      </c>
      <c r="R433" s="3" t="s">
        <v>70</v>
      </c>
      <c r="S433" s="4">
        <v>3</v>
      </c>
      <c r="T433" s="4">
        <v>3</v>
      </c>
      <c r="U433" s="5" t="s">
        <v>4454</v>
      </c>
      <c r="V433" s="5" t="s">
        <v>4454</v>
      </c>
      <c r="W433" s="5" t="s">
        <v>72</v>
      </c>
      <c r="X433" s="5" t="s">
        <v>72</v>
      </c>
      <c r="Y433" s="4">
        <v>28</v>
      </c>
      <c r="Z433" s="4">
        <v>14</v>
      </c>
      <c r="AA433" s="4">
        <v>20</v>
      </c>
      <c r="AB433" s="4">
        <v>3</v>
      </c>
      <c r="AC433" s="4">
        <v>3</v>
      </c>
      <c r="AD433" s="4">
        <v>15</v>
      </c>
      <c r="AE433" s="4">
        <v>103</v>
      </c>
      <c r="AF433" s="4">
        <v>1</v>
      </c>
      <c r="AG433" s="4">
        <v>1</v>
      </c>
      <c r="AH433" s="4">
        <v>9</v>
      </c>
      <c r="AI433" s="4">
        <v>91</v>
      </c>
      <c r="AJ433" s="4">
        <v>6</v>
      </c>
      <c r="AK433" s="4">
        <v>12</v>
      </c>
      <c r="AL433" s="4">
        <v>5</v>
      </c>
      <c r="AM433" s="4">
        <v>50</v>
      </c>
      <c r="AN433" s="4">
        <v>0</v>
      </c>
      <c r="AO433" s="4">
        <v>5</v>
      </c>
      <c r="AP433" s="4">
        <v>10</v>
      </c>
      <c r="AQ433" s="4">
        <v>16</v>
      </c>
      <c r="AR433" s="3" t="s">
        <v>64</v>
      </c>
      <c r="AS433" s="3" t="s">
        <v>64</v>
      </c>
      <c r="AT433" s="3" t="s">
        <v>73</v>
      </c>
      <c r="AU433" s="6" t="str">
        <f>HYPERLINK("http://catalog.hathitrust.org/Record/004441576","HathiTrust Record")</f>
        <v>HathiTrust Record</v>
      </c>
      <c r="AV433" s="6" t="str">
        <f>HYPERLINK("http://mcgill.on.worldcat.org/oclc/222507405","Catalog Record")</f>
        <v>Catalog Record</v>
      </c>
      <c r="AW433" s="6" t="str">
        <f>HYPERLINK("http://www.worldcat.org/oclc/222507405","WorldCat Record")</f>
        <v>WorldCat Record</v>
      </c>
      <c r="AX433" s="3" t="s">
        <v>4455</v>
      </c>
      <c r="AY433" s="3" t="s">
        <v>4456</v>
      </c>
      <c r="AZ433" s="3" t="s">
        <v>4457</v>
      </c>
      <c r="BA433" s="3" t="s">
        <v>4457</v>
      </c>
      <c r="BB433" s="3" t="s">
        <v>4458</v>
      </c>
      <c r="BC433" s="3" t="s">
        <v>78</v>
      </c>
      <c r="BD433" s="3" t="s">
        <v>79</v>
      </c>
      <c r="BF433" s="3" t="s">
        <v>4458</v>
      </c>
      <c r="BG433" s="3" t="s">
        <v>4459</v>
      </c>
    </row>
    <row r="434" spans="1:59" ht="58" x14ac:dyDescent="0.35">
      <c r="A434" s="2" t="s">
        <v>59</v>
      </c>
      <c r="B434" s="2" t="s">
        <v>94</v>
      </c>
      <c r="C434" s="2" t="s">
        <v>4460</v>
      </c>
      <c r="D434" s="2" t="s">
        <v>4461</v>
      </c>
      <c r="E434" s="2" t="s">
        <v>4462</v>
      </c>
      <c r="G434" s="3" t="s">
        <v>64</v>
      </c>
      <c r="I434" s="3" t="s">
        <v>64</v>
      </c>
      <c r="J434" s="3" t="s">
        <v>64</v>
      </c>
      <c r="K434" s="3" t="s">
        <v>65</v>
      </c>
      <c r="L434" s="2" t="s">
        <v>4463</v>
      </c>
      <c r="M434" s="2" t="s">
        <v>4464</v>
      </c>
      <c r="N434" s="3" t="s">
        <v>87</v>
      </c>
      <c r="P434" s="3" t="s">
        <v>69</v>
      </c>
      <c r="R434" s="3" t="s">
        <v>70</v>
      </c>
      <c r="S434" s="4">
        <v>1</v>
      </c>
      <c r="T434" s="4">
        <v>1</v>
      </c>
      <c r="U434" s="5" t="s">
        <v>4465</v>
      </c>
      <c r="V434" s="5" t="s">
        <v>4465</v>
      </c>
      <c r="W434" s="5" t="s">
        <v>72</v>
      </c>
      <c r="X434" s="5" t="s">
        <v>72</v>
      </c>
      <c r="Y434" s="4">
        <v>59</v>
      </c>
      <c r="Z434" s="4">
        <v>21</v>
      </c>
      <c r="AA434" s="4">
        <v>115</v>
      </c>
      <c r="AB434" s="4">
        <v>1</v>
      </c>
      <c r="AC434" s="4">
        <v>16</v>
      </c>
      <c r="AD434" s="4">
        <v>40</v>
      </c>
      <c r="AE434" s="4">
        <v>112</v>
      </c>
      <c r="AF434" s="4">
        <v>0</v>
      </c>
      <c r="AG434" s="4">
        <v>8</v>
      </c>
      <c r="AH434" s="4">
        <v>28</v>
      </c>
      <c r="AI434" s="4">
        <v>66</v>
      </c>
      <c r="AJ434" s="4">
        <v>11</v>
      </c>
      <c r="AK434" s="4">
        <v>25</v>
      </c>
      <c r="AL434" s="4">
        <v>18</v>
      </c>
      <c r="AM434" s="4">
        <v>36</v>
      </c>
      <c r="AN434" s="4">
        <v>0</v>
      </c>
      <c r="AO434" s="4">
        <v>0</v>
      </c>
      <c r="AP434" s="4">
        <v>13</v>
      </c>
      <c r="AQ434" s="4">
        <v>50</v>
      </c>
      <c r="AR434" s="3" t="s">
        <v>73</v>
      </c>
      <c r="AS434" s="3" t="s">
        <v>64</v>
      </c>
      <c r="AT434" s="3" t="s">
        <v>64</v>
      </c>
      <c r="AV434" s="6" t="str">
        <f>HYPERLINK("http://mcgill.on.worldcat.org/oclc/908628824","Catalog Record")</f>
        <v>Catalog Record</v>
      </c>
      <c r="AW434" s="6" t="str">
        <f>HYPERLINK("http://www.worldcat.org/oclc/908628824","WorldCat Record")</f>
        <v>WorldCat Record</v>
      </c>
      <c r="AX434" s="3" t="s">
        <v>4466</v>
      </c>
      <c r="AY434" s="3" t="s">
        <v>4467</v>
      </c>
      <c r="AZ434" s="3" t="s">
        <v>4468</v>
      </c>
      <c r="BA434" s="3" t="s">
        <v>4468</v>
      </c>
      <c r="BB434" s="3" t="s">
        <v>4469</v>
      </c>
      <c r="BC434" s="3" t="s">
        <v>78</v>
      </c>
      <c r="BD434" s="3" t="s">
        <v>79</v>
      </c>
      <c r="BE434" s="3" t="s">
        <v>4470</v>
      </c>
      <c r="BF434" s="3" t="s">
        <v>4469</v>
      </c>
      <c r="BG434" s="3" t="s">
        <v>4471</v>
      </c>
    </row>
    <row r="435" spans="1:59" ht="58" x14ac:dyDescent="0.35">
      <c r="A435" s="2" t="s">
        <v>59</v>
      </c>
      <c r="B435" s="2" t="s">
        <v>94</v>
      </c>
      <c r="C435" s="2" t="s">
        <v>4472</v>
      </c>
      <c r="D435" s="2" t="s">
        <v>4473</v>
      </c>
      <c r="E435" s="2" t="s">
        <v>4474</v>
      </c>
      <c r="G435" s="3" t="s">
        <v>64</v>
      </c>
      <c r="I435" s="3" t="s">
        <v>64</v>
      </c>
      <c r="J435" s="3" t="s">
        <v>64</v>
      </c>
      <c r="K435" s="3" t="s">
        <v>65</v>
      </c>
      <c r="L435" s="2" t="s">
        <v>4475</v>
      </c>
      <c r="M435" s="2" t="s">
        <v>4476</v>
      </c>
      <c r="N435" s="3" t="s">
        <v>365</v>
      </c>
      <c r="O435" s="2" t="s">
        <v>4477</v>
      </c>
      <c r="P435" s="3" t="s">
        <v>69</v>
      </c>
      <c r="R435" s="3" t="s">
        <v>70</v>
      </c>
      <c r="S435" s="4">
        <v>7</v>
      </c>
      <c r="T435" s="4">
        <v>7</v>
      </c>
      <c r="U435" s="5" t="s">
        <v>4478</v>
      </c>
      <c r="V435" s="5" t="s">
        <v>4478</v>
      </c>
      <c r="W435" s="5" t="s">
        <v>72</v>
      </c>
      <c r="X435" s="5" t="s">
        <v>72</v>
      </c>
      <c r="Y435" s="4">
        <v>31</v>
      </c>
      <c r="Z435" s="4">
        <v>22</v>
      </c>
      <c r="AA435" s="4">
        <v>24</v>
      </c>
      <c r="AB435" s="4">
        <v>1</v>
      </c>
      <c r="AC435" s="4">
        <v>2</v>
      </c>
      <c r="AD435" s="4">
        <v>15</v>
      </c>
      <c r="AE435" s="4">
        <v>16</v>
      </c>
      <c r="AF435" s="4">
        <v>0</v>
      </c>
      <c r="AG435" s="4">
        <v>0</v>
      </c>
      <c r="AH435" s="4">
        <v>9</v>
      </c>
      <c r="AI435" s="4">
        <v>9</v>
      </c>
      <c r="AJ435" s="4">
        <v>11</v>
      </c>
      <c r="AK435" s="4">
        <v>11</v>
      </c>
      <c r="AL435" s="4">
        <v>2</v>
      </c>
      <c r="AM435" s="4">
        <v>2</v>
      </c>
      <c r="AN435" s="4">
        <v>0</v>
      </c>
      <c r="AO435" s="4">
        <v>0</v>
      </c>
      <c r="AP435" s="4">
        <v>11</v>
      </c>
      <c r="AQ435" s="4">
        <v>12</v>
      </c>
      <c r="AR435" s="3" t="s">
        <v>73</v>
      </c>
      <c r="AS435" s="3" t="s">
        <v>64</v>
      </c>
      <c r="AT435" s="3" t="s">
        <v>73</v>
      </c>
      <c r="AU435" s="6" t="str">
        <f>HYPERLINK("http://catalog.hathitrust.org/Record/007529331","HathiTrust Record")</f>
        <v>HathiTrust Record</v>
      </c>
      <c r="AV435" s="6" t="str">
        <f>HYPERLINK("http://mcgill.on.worldcat.org/oclc/14052642","Catalog Record")</f>
        <v>Catalog Record</v>
      </c>
      <c r="AW435" s="6" t="str">
        <f>HYPERLINK("http://www.worldcat.org/oclc/14052642","WorldCat Record")</f>
        <v>WorldCat Record</v>
      </c>
      <c r="AX435" s="3" t="s">
        <v>4479</v>
      </c>
      <c r="AY435" s="3" t="s">
        <v>4480</v>
      </c>
      <c r="AZ435" s="3" t="s">
        <v>4481</v>
      </c>
      <c r="BA435" s="3" t="s">
        <v>4481</v>
      </c>
      <c r="BB435" s="3" t="s">
        <v>4482</v>
      </c>
      <c r="BC435" s="3" t="s">
        <v>78</v>
      </c>
      <c r="BD435" s="3" t="s">
        <v>79</v>
      </c>
      <c r="BE435" s="3" t="s">
        <v>4483</v>
      </c>
      <c r="BF435" s="3" t="s">
        <v>4482</v>
      </c>
      <c r="BG435" s="3" t="s">
        <v>4484</v>
      </c>
    </row>
    <row r="436" spans="1:59" ht="58" x14ac:dyDescent="0.35">
      <c r="A436" s="2" t="s">
        <v>59</v>
      </c>
      <c r="B436" s="2" t="s">
        <v>94</v>
      </c>
      <c r="C436" s="2" t="s">
        <v>4485</v>
      </c>
      <c r="D436" s="2" t="s">
        <v>4486</v>
      </c>
      <c r="E436" s="2" t="s">
        <v>4487</v>
      </c>
      <c r="G436" s="3" t="s">
        <v>64</v>
      </c>
      <c r="I436" s="3" t="s">
        <v>64</v>
      </c>
      <c r="J436" s="3" t="s">
        <v>73</v>
      </c>
      <c r="K436" s="3" t="s">
        <v>65</v>
      </c>
      <c r="L436" s="2" t="s">
        <v>4488</v>
      </c>
      <c r="M436" s="2" t="s">
        <v>4489</v>
      </c>
      <c r="N436" s="3" t="s">
        <v>4490</v>
      </c>
      <c r="P436" s="3" t="s">
        <v>69</v>
      </c>
      <c r="R436" s="3" t="s">
        <v>70</v>
      </c>
      <c r="S436" s="4">
        <v>13</v>
      </c>
      <c r="T436" s="4">
        <v>13</v>
      </c>
      <c r="U436" s="5" t="s">
        <v>4491</v>
      </c>
      <c r="V436" s="5" t="s">
        <v>4491</v>
      </c>
      <c r="W436" s="5" t="s">
        <v>72</v>
      </c>
      <c r="X436" s="5" t="s">
        <v>72</v>
      </c>
      <c r="Y436" s="4">
        <v>44</v>
      </c>
      <c r="Z436" s="4">
        <v>3</v>
      </c>
      <c r="AA436" s="4">
        <v>28</v>
      </c>
      <c r="AB436" s="4">
        <v>1</v>
      </c>
      <c r="AC436" s="4">
        <v>3</v>
      </c>
      <c r="AD436" s="4">
        <v>18</v>
      </c>
      <c r="AE436" s="4">
        <v>66</v>
      </c>
      <c r="AF436" s="4">
        <v>0</v>
      </c>
      <c r="AG436" s="4">
        <v>1</v>
      </c>
      <c r="AH436" s="4">
        <v>16</v>
      </c>
      <c r="AI436" s="4">
        <v>59</v>
      </c>
      <c r="AJ436" s="4">
        <v>2</v>
      </c>
      <c r="AK436" s="4">
        <v>8</v>
      </c>
      <c r="AL436" s="4">
        <v>15</v>
      </c>
      <c r="AM436" s="4">
        <v>34</v>
      </c>
      <c r="AN436" s="4">
        <v>0</v>
      </c>
      <c r="AO436" s="4">
        <v>0</v>
      </c>
      <c r="AP436" s="4">
        <v>2</v>
      </c>
      <c r="AQ436" s="4">
        <v>12</v>
      </c>
      <c r="AR436" s="3" t="s">
        <v>64</v>
      </c>
      <c r="AS436" s="3" t="s">
        <v>64</v>
      </c>
      <c r="AT436" s="3" t="s">
        <v>64</v>
      </c>
      <c r="AU436" s="6" t="str">
        <f>HYPERLINK("http://catalog.hathitrust.org/Record/006529616","HathiTrust Record")</f>
        <v>HathiTrust Record</v>
      </c>
      <c r="AV436" s="6" t="str">
        <f>HYPERLINK("http://mcgill.on.worldcat.org/oclc/4655480","Catalog Record")</f>
        <v>Catalog Record</v>
      </c>
      <c r="AW436" s="6" t="str">
        <f>HYPERLINK("http://www.worldcat.org/oclc/4655480","WorldCat Record")</f>
        <v>WorldCat Record</v>
      </c>
      <c r="AX436" s="3" t="s">
        <v>138</v>
      </c>
      <c r="AY436" s="3" t="s">
        <v>4492</v>
      </c>
      <c r="AZ436" s="3" t="s">
        <v>4493</v>
      </c>
      <c r="BA436" s="3" t="s">
        <v>4493</v>
      </c>
      <c r="BB436" s="3" t="s">
        <v>4494</v>
      </c>
      <c r="BC436" s="3" t="s">
        <v>78</v>
      </c>
      <c r="BD436" s="3" t="s">
        <v>79</v>
      </c>
      <c r="BF436" s="3" t="s">
        <v>4494</v>
      </c>
      <c r="BG436" s="3" t="s">
        <v>4495</v>
      </c>
    </row>
    <row r="437" spans="1:59" ht="72.5" x14ac:dyDescent="0.35">
      <c r="A437" s="2" t="s">
        <v>59</v>
      </c>
      <c r="B437" s="2" t="s">
        <v>94</v>
      </c>
      <c r="C437" s="2" t="s">
        <v>4496</v>
      </c>
      <c r="D437" s="2" t="s">
        <v>4497</v>
      </c>
      <c r="E437" s="2" t="s">
        <v>4498</v>
      </c>
      <c r="G437" s="3" t="s">
        <v>64</v>
      </c>
      <c r="I437" s="3" t="s">
        <v>64</v>
      </c>
      <c r="J437" s="3" t="s">
        <v>64</v>
      </c>
      <c r="K437" s="3" t="s">
        <v>65</v>
      </c>
      <c r="M437" s="2" t="s">
        <v>4499</v>
      </c>
      <c r="N437" s="3" t="s">
        <v>1813</v>
      </c>
      <c r="P437" s="3" t="s">
        <v>162</v>
      </c>
      <c r="Q437" s="2" t="s">
        <v>4500</v>
      </c>
      <c r="R437" s="3" t="s">
        <v>70</v>
      </c>
      <c r="S437" s="4">
        <v>2</v>
      </c>
      <c r="T437" s="4">
        <v>2</v>
      </c>
      <c r="U437" s="5" t="s">
        <v>4501</v>
      </c>
      <c r="V437" s="5" t="s">
        <v>4501</v>
      </c>
      <c r="W437" s="5" t="s">
        <v>72</v>
      </c>
      <c r="X437" s="5" t="s">
        <v>72</v>
      </c>
      <c r="Y437" s="4">
        <v>36</v>
      </c>
      <c r="Z437" s="4">
        <v>7</v>
      </c>
      <c r="AA437" s="4">
        <v>11</v>
      </c>
      <c r="AB437" s="4">
        <v>1</v>
      </c>
      <c r="AC437" s="4">
        <v>3</v>
      </c>
      <c r="AD437" s="4">
        <v>24</v>
      </c>
      <c r="AE437" s="4">
        <v>27</v>
      </c>
      <c r="AF437" s="4">
        <v>0</v>
      </c>
      <c r="AG437" s="4">
        <v>1</v>
      </c>
      <c r="AH437" s="4">
        <v>22</v>
      </c>
      <c r="AI437" s="4">
        <v>23</v>
      </c>
      <c r="AJ437" s="4">
        <v>5</v>
      </c>
      <c r="AK437" s="4">
        <v>7</v>
      </c>
      <c r="AL437" s="4">
        <v>14</v>
      </c>
      <c r="AM437" s="4">
        <v>14</v>
      </c>
      <c r="AN437" s="4">
        <v>0</v>
      </c>
      <c r="AO437" s="4">
        <v>0</v>
      </c>
      <c r="AP437" s="4">
        <v>5</v>
      </c>
      <c r="AQ437" s="4">
        <v>7</v>
      </c>
      <c r="AR437" s="3" t="s">
        <v>64</v>
      </c>
      <c r="AS437" s="3" t="s">
        <v>64</v>
      </c>
      <c r="AT437" s="3" t="s">
        <v>64</v>
      </c>
      <c r="AV437" s="6" t="str">
        <f>HYPERLINK("http://mcgill.on.worldcat.org/oclc/952800140","Catalog Record")</f>
        <v>Catalog Record</v>
      </c>
      <c r="AW437" s="6" t="str">
        <f>HYPERLINK("http://www.worldcat.org/oclc/952800140","WorldCat Record")</f>
        <v>WorldCat Record</v>
      </c>
      <c r="AX437" s="3" t="s">
        <v>4502</v>
      </c>
      <c r="AY437" s="3" t="s">
        <v>4503</v>
      </c>
      <c r="AZ437" s="3" t="s">
        <v>4504</v>
      </c>
      <c r="BA437" s="3" t="s">
        <v>4504</v>
      </c>
      <c r="BB437" s="3" t="s">
        <v>4505</v>
      </c>
      <c r="BC437" s="3" t="s">
        <v>78</v>
      </c>
      <c r="BD437" s="3" t="s">
        <v>414</v>
      </c>
      <c r="BE437" s="3" t="s">
        <v>4506</v>
      </c>
      <c r="BF437" s="3" t="s">
        <v>4505</v>
      </c>
      <c r="BG437" s="3" t="s">
        <v>4507</v>
      </c>
    </row>
    <row r="438" spans="1:59" ht="58" x14ac:dyDescent="0.35">
      <c r="A438" s="2" t="s">
        <v>59</v>
      </c>
      <c r="B438" s="2" t="s">
        <v>94</v>
      </c>
      <c r="C438" s="2" t="s">
        <v>4508</v>
      </c>
      <c r="D438" s="2" t="s">
        <v>4509</v>
      </c>
      <c r="E438" s="2" t="s">
        <v>4510</v>
      </c>
      <c r="G438" s="3" t="s">
        <v>64</v>
      </c>
      <c r="I438" s="3" t="s">
        <v>64</v>
      </c>
      <c r="J438" s="3" t="s">
        <v>64</v>
      </c>
      <c r="K438" s="3" t="s">
        <v>65</v>
      </c>
      <c r="L438" s="2" t="s">
        <v>4511</v>
      </c>
      <c r="M438" s="2" t="s">
        <v>4512</v>
      </c>
      <c r="N438" s="3" t="s">
        <v>4513</v>
      </c>
      <c r="P438" s="3" t="s">
        <v>69</v>
      </c>
      <c r="R438" s="3" t="s">
        <v>70</v>
      </c>
      <c r="S438" s="4">
        <v>3</v>
      </c>
      <c r="T438" s="4">
        <v>3</v>
      </c>
      <c r="U438" s="5" t="s">
        <v>4514</v>
      </c>
      <c r="V438" s="5" t="s">
        <v>4514</v>
      </c>
      <c r="W438" s="5" t="s">
        <v>72</v>
      </c>
      <c r="X438" s="5" t="s">
        <v>72</v>
      </c>
      <c r="Y438" s="4">
        <v>68</v>
      </c>
      <c r="Z438" s="4">
        <v>4</v>
      </c>
      <c r="AA438" s="4">
        <v>4</v>
      </c>
      <c r="AB438" s="4">
        <v>1</v>
      </c>
      <c r="AC438" s="4">
        <v>1</v>
      </c>
      <c r="AD438" s="4">
        <v>36</v>
      </c>
      <c r="AE438" s="4">
        <v>37</v>
      </c>
      <c r="AF438" s="4">
        <v>0</v>
      </c>
      <c r="AG438" s="4">
        <v>0</v>
      </c>
      <c r="AH438" s="4">
        <v>34</v>
      </c>
      <c r="AI438" s="4">
        <v>35</v>
      </c>
      <c r="AJ438" s="4">
        <v>3</v>
      </c>
      <c r="AK438" s="4">
        <v>3</v>
      </c>
      <c r="AL438" s="4">
        <v>20</v>
      </c>
      <c r="AM438" s="4">
        <v>20</v>
      </c>
      <c r="AN438" s="4">
        <v>0</v>
      </c>
      <c r="AO438" s="4">
        <v>0</v>
      </c>
      <c r="AP438" s="4">
        <v>3</v>
      </c>
      <c r="AQ438" s="4">
        <v>3</v>
      </c>
      <c r="AR438" s="3" t="s">
        <v>64</v>
      </c>
      <c r="AS438" s="3" t="s">
        <v>64</v>
      </c>
      <c r="AT438" s="3" t="s">
        <v>73</v>
      </c>
      <c r="AU438" s="6" t="str">
        <f>HYPERLINK("http://catalog.hathitrust.org/Record/001047124","HathiTrust Record")</f>
        <v>HathiTrust Record</v>
      </c>
      <c r="AV438" s="6" t="str">
        <f>HYPERLINK("http://mcgill.on.worldcat.org/oclc/8958741","Catalog Record")</f>
        <v>Catalog Record</v>
      </c>
      <c r="AW438" s="6" t="str">
        <f>HYPERLINK("http://www.worldcat.org/oclc/8958741","WorldCat Record")</f>
        <v>WorldCat Record</v>
      </c>
      <c r="AX438" s="3" t="s">
        <v>4515</v>
      </c>
      <c r="AY438" s="3" t="s">
        <v>4516</v>
      </c>
      <c r="AZ438" s="3" t="s">
        <v>4517</v>
      </c>
      <c r="BA438" s="3" t="s">
        <v>4517</v>
      </c>
      <c r="BB438" s="3" t="s">
        <v>4518</v>
      </c>
      <c r="BC438" s="3" t="s">
        <v>78</v>
      </c>
      <c r="BD438" s="3" t="s">
        <v>79</v>
      </c>
      <c r="BF438" s="3" t="s">
        <v>4518</v>
      </c>
      <c r="BG438" s="3" t="s">
        <v>4519</v>
      </c>
    </row>
    <row r="439" spans="1:59" ht="58" x14ac:dyDescent="0.35">
      <c r="A439" s="2" t="s">
        <v>59</v>
      </c>
      <c r="B439" s="2" t="s">
        <v>94</v>
      </c>
      <c r="C439" s="2" t="s">
        <v>4520</v>
      </c>
      <c r="D439" s="2" t="s">
        <v>4521</v>
      </c>
      <c r="E439" s="2" t="s">
        <v>4522</v>
      </c>
      <c r="F439" s="3" t="s">
        <v>388</v>
      </c>
      <c r="G439" s="3" t="s">
        <v>73</v>
      </c>
      <c r="I439" s="3" t="s">
        <v>64</v>
      </c>
      <c r="J439" s="3" t="s">
        <v>64</v>
      </c>
      <c r="K439" s="3" t="s">
        <v>65</v>
      </c>
      <c r="L439" s="2" t="s">
        <v>4523</v>
      </c>
      <c r="M439" s="2" t="s">
        <v>4524</v>
      </c>
      <c r="N439" s="3" t="s">
        <v>1645</v>
      </c>
      <c r="P439" s="3" t="s">
        <v>162</v>
      </c>
      <c r="R439" s="3" t="s">
        <v>70</v>
      </c>
      <c r="S439" s="4">
        <v>0</v>
      </c>
      <c r="T439" s="4">
        <v>0</v>
      </c>
      <c r="W439" s="5" t="s">
        <v>72</v>
      </c>
      <c r="X439" s="5" t="s">
        <v>72</v>
      </c>
      <c r="Y439" s="4">
        <v>3</v>
      </c>
      <c r="Z439" s="4">
        <v>1</v>
      </c>
      <c r="AA439" s="4">
        <v>1</v>
      </c>
      <c r="AB439" s="4">
        <v>1</v>
      </c>
      <c r="AC439" s="4">
        <v>1</v>
      </c>
      <c r="AD439" s="4">
        <v>0</v>
      </c>
      <c r="AE439" s="4">
        <v>1</v>
      </c>
      <c r="AF439" s="4">
        <v>0</v>
      </c>
      <c r="AG439" s="4">
        <v>0</v>
      </c>
      <c r="AH439" s="4">
        <v>0</v>
      </c>
      <c r="AI439" s="4">
        <v>1</v>
      </c>
      <c r="AJ439" s="4">
        <v>0</v>
      </c>
      <c r="AK439" s="4">
        <v>0</v>
      </c>
      <c r="AL439" s="4">
        <v>0</v>
      </c>
      <c r="AM439" s="4">
        <v>1</v>
      </c>
      <c r="AN439" s="4">
        <v>0</v>
      </c>
      <c r="AO439" s="4">
        <v>0</v>
      </c>
      <c r="AP439" s="4">
        <v>0</v>
      </c>
      <c r="AQ439" s="4">
        <v>0</v>
      </c>
      <c r="AR439" s="3" t="s">
        <v>64</v>
      </c>
      <c r="AS439" s="3" t="s">
        <v>64</v>
      </c>
      <c r="AT439" s="3" t="s">
        <v>64</v>
      </c>
      <c r="AV439" s="6" t="str">
        <f>HYPERLINK("http://mcgill.on.worldcat.org/oclc/978534883","Catalog Record")</f>
        <v>Catalog Record</v>
      </c>
      <c r="AW439" s="6" t="str">
        <f>HYPERLINK("http://www.worldcat.org/oclc/978534883","WorldCat Record")</f>
        <v>WorldCat Record</v>
      </c>
      <c r="AX439" s="3" t="s">
        <v>4525</v>
      </c>
      <c r="AY439" s="3" t="s">
        <v>4526</v>
      </c>
      <c r="AZ439" s="3" t="s">
        <v>4527</v>
      </c>
      <c r="BA439" s="3" t="s">
        <v>4527</v>
      </c>
      <c r="BB439" s="3" t="s">
        <v>4528</v>
      </c>
      <c r="BC439" s="3" t="s">
        <v>78</v>
      </c>
      <c r="BD439" s="3" t="s">
        <v>79</v>
      </c>
      <c r="BE439" s="3" t="s">
        <v>4529</v>
      </c>
      <c r="BF439" s="3" t="s">
        <v>4528</v>
      </c>
      <c r="BG439" s="3" t="s">
        <v>4530</v>
      </c>
    </row>
    <row r="440" spans="1:59" ht="72.5" x14ac:dyDescent="0.35">
      <c r="A440" s="2" t="s">
        <v>59</v>
      </c>
      <c r="B440" s="2" t="s">
        <v>94</v>
      </c>
      <c r="C440" s="2" t="s">
        <v>4531</v>
      </c>
      <c r="D440" s="2" t="s">
        <v>4532</v>
      </c>
      <c r="E440" s="2" t="s">
        <v>4533</v>
      </c>
      <c r="F440" s="3" t="s">
        <v>399</v>
      </c>
      <c r="G440" s="3" t="s">
        <v>73</v>
      </c>
      <c r="I440" s="3" t="s">
        <v>64</v>
      </c>
      <c r="J440" s="3" t="s">
        <v>64</v>
      </c>
      <c r="K440" s="3" t="s">
        <v>65</v>
      </c>
      <c r="L440" s="2" t="s">
        <v>4523</v>
      </c>
      <c r="M440" s="2" t="s">
        <v>4534</v>
      </c>
      <c r="N440" s="3" t="s">
        <v>4535</v>
      </c>
      <c r="P440" s="3" t="s">
        <v>162</v>
      </c>
      <c r="R440" s="3" t="s">
        <v>70</v>
      </c>
      <c r="S440" s="4">
        <v>0</v>
      </c>
      <c r="T440" s="4">
        <v>0</v>
      </c>
      <c r="W440" s="5" t="s">
        <v>72</v>
      </c>
      <c r="X440" s="5" t="s">
        <v>72</v>
      </c>
      <c r="Y440" s="4">
        <v>1</v>
      </c>
      <c r="Z440" s="4">
        <v>1</v>
      </c>
      <c r="AA440" s="4">
        <v>17</v>
      </c>
      <c r="AB440" s="4">
        <v>1</v>
      </c>
      <c r="AC440" s="4">
        <v>3</v>
      </c>
      <c r="AD440" s="4">
        <v>0</v>
      </c>
      <c r="AE440" s="4">
        <v>46</v>
      </c>
      <c r="AF440" s="4">
        <v>0</v>
      </c>
      <c r="AG440" s="4">
        <v>1</v>
      </c>
      <c r="AH440" s="4">
        <v>0</v>
      </c>
      <c r="AI440" s="4">
        <v>43</v>
      </c>
      <c r="AJ440" s="4">
        <v>0</v>
      </c>
      <c r="AK440" s="4">
        <v>11</v>
      </c>
      <c r="AL440" s="4">
        <v>0</v>
      </c>
      <c r="AM440" s="4">
        <v>16</v>
      </c>
      <c r="AN440" s="4">
        <v>0</v>
      </c>
      <c r="AO440" s="4">
        <v>0</v>
      </c>
      <c r="AP440" s="4">
        <v>0</v>
      </c>
      <c r="AQ440" s="4">
        <v>12</v>
      </c>
      <c r="AR440" s="3" t="s">
        <v>64</v>
      </c>
      <c r="AS440" s="3" t="s">
        <v>64</v>
      </c>
      <c r="AT440" s="3" t="s">
        <v>64</v>
      </c>
      <c r="AV440" s="6" t="str">
        <f>HYPERLINK("http://mcgill.on.worldcat.org/oclc/1023656988","Catalog Record")</f>
        <v>Catalog Record</v>
      </c>
      <c r="AW440" s="6" t="str">
        <f>HYPERLINK("http://www.worldcat.org/oclc/1023656988","WorldCat Record")</f>
        <v>WorldCat Record</v>
      </c>
      <c r="AX440" s="3" t="s">
        <v>4536</v>
      </c>
      <c r="AY440" s="3" t="s">
        <v>4537</v>
      </c>
      <c r="AZ440" s="3" t="s">
        <v>4538</v>
      </c>
      <c r="BA440" s="3" t="s">
        <v>4538</v>
      </c>
      <c r="BB440" s="3" t="s">
        <v>4539</v>
      </c>
      <c r="BC440" s="3" t="s">
        <v>78</v>
      </c>
      <c r="BD440" s="3" t="s">
        <v>79</v>
      </c>
      <c r="BE440" s="3" t="s">
        <v>4540</v>
      </c>
      <c r="BF440" s="3" t="s">
        <v>4539</v>
      </c>
      <c r="BG440" s="3" t="s">
        <v>4541</v>
      </c>
    </row>
    <row r="441" spans="1:59" ht="58" x14ac:dyDescent="0.35">
      <c r="A441" s="2" t="s">
        <v>59</v>
      </c>
      <c r="B441" s="2" t="s">
        <v>94</v>
      </c>
      <c r="C441" s="2" t="s">
        <v>4542</v>
      </c>
      <c r="D441" s="2" t="s">
        <v>4543</v>
      </c>
      <c r="E441" s="2" t="s">
        <v>4544</v>
      </c>
      <c r="G441" s="3" t="s">
        <v>64</v>
      </c>
      <c r="I441" s="3" t="s">
        <v>64</v>
      </c>
      <c r="J441" s="3" t="s">
        <v>64</v>
      </c>
      <c r="K441" s="3" t="s">
        <v>65</v>
      </c>
      <c r="L441" s="2" t="s">
        <v>4545</v>
      </c>
      <c r="M441" s="2" t="s">
        <v>4546</v>
      </c>
      <c r="N441" s="3" t="s">
        <v>422</v>
      </c>
      <c r="P441" s="3" t="s">
        <v>4547</v>
      </c>
      <c r="Q441" s="2" t="s">
        <v>4548</v>
      </c>
      <c r="R441" s="3" t="s">
        <v>70</v>
      </c>
      <c r="S441" s="4">
        <v>2</v>
      </c>
      <c r="T441" s="4">
        <v>2</v>
      </c>
      <c r="U441" s="5" t="s">
        <v>4549</v>
      </c>
      <c r="V441" s="5" t="s">
        <v>4549</v>
      </c>
      <c r="W441" s="5" t="s">
        <v>72</v>
      </c>
      <c r="X441" s="5" t="s">
        <v>72</v>
      </c>
      <c r="Y441" s="4">
        <v>62</v>
      </c>
      <c r="Z441" s="4">
        <v>4</v>
      </c>
      <c r="AA441" s="4">
        <v>4</v>
      </c>
      <c r="AB441" s="4">
        <v>1</v>
      </c>
      <c r="AC441" s="4">
        <v>1</v>
      </c>
      <c r="AD441" s="4">
        <v>31</v>
      </c>
      <c r="AE441" s="4">
        <v>31</v>
      </c>
      <c r="AF441" s="4">
        <v>0</v>
      </c>
      <c r="AG441" s="4">
        <v>0</v>
      </c>
      <c r="AH441" s="4">
        <v>30</v>
      </c>
      <c r="AI441" s="4">
        <v>30</v>
      </c>
      <c r="AJ441" s="4">
        <v>2</v>
      </c>
      <c r="AK441" s="4">
        <v>2</v>
      </c>
      <c r="AL441" s="4">
        <v>23</v>
      </c>
      <c r="AM441" s="4">
        <v>23</v>
      </c>
      <c r="AN441" s="4">
        <v>5</v>
      </c>
      <c r="AO441" s="4">
        <v>5</v>
      </c>
      <c r="AP441" s="4">
        <v>2</v>
      </c>
      <c r="AQ441" s="4">
        <v>2</v>
      </c>
      <c r="AR441" s="3" t="s">
        <v>64</v>
      </c>
      <c r="AS441" s="3" t="s">
        <v>64</v>
      </c>
      <c r="AT441" s="3" t="s">
        <v>73</v>
      </c>
      <c r="AU441" s="6" t="str">
        <f>HYPERLINK("http://catalog.hathitrust.org/Record/003795422","HathiTrust Record")</f>
        <v>HathiTrust Record</v>
      </c>
      <c r="AV441" s="6" t="str">
        <f>HYPERLINK("http://mcgill.on.worldcat.org/oclc/54056177","Catalog Record")</f>
        <v>Catalog Record</v>
      </c>
      <c r="AW441" s="6" t="str">
        <f>HYPERLINK("http://www.worldcat.org/oclc/54056177","WorldCat Record")</f>
        <v>WorldCat Record</v>
      </c>
      <c r="AX441" s="3" t="s">
        <v>4550</v>
      </c>
      <c r="AY441" s="3" t="s">
        <v>4551</v>
      </c>
      <c r="AZ441" s="3" t="s">
        <v>4552</v>
      </c>
      <c r="BA441" s="3" t="s">
        <v>4552</v>
      </c>
      <c r="BB441" s="3" t="s">
        <v>4553</v>
      </c>
      <c r="BC441" s="3" t="s">
        <v>78</v>
      </c>
      <c r="BD441" s="3" t="s">
        <v>79</v>
      </c>
      <c r="BE441" s="3" t="s">
        <v>4554</v>
      </c>
      <c r="BF441" s="3" t="s">
        <v>4553</v>
      </c>
      <c r="BG441" s="3" t="s">
        <v>4555</v>
      </c>
    </row>
    <row r="442" spans="1:59" ht="72.5" x14ac:dyDescent="0.35">
      <c r="A442" s="2" t="s">
        <v>59</v>
      </c>
      <c r="B442" s="2" t="s">
        <v>94</v>
      </c>
      <c r="C442" s="2" t="s">
        <v>4556</v>
      </c>
      <c r="D442" s="2" t="s">
        <v>4557</v>
      </c>
      <c r="E442" s="2" t="s">
        <v>4558</v>
      </c>
      <c r="G442" s="3" t="s">
        <v>64</v>
      </c>
      <c r="I442" s="3" t="s">
        <v>73</v>
      </c>
      <c r="J442" s="3" t="s">
        <v>64</v>
      </c>
      <c r="K442" s="3" t="s">
        <v>65</v>
      </c>
      <c r="L442" s="2" t="s">
        <v>4559</v>
      </c>
      <c r="M442" s="2" t="s">
        <v>4560</v>
      </c>
      <c r="N442" s="3" t="s">
        <v>303</v>
      </c>
      <c r="O442" s="2" t="s">
        <v>1294</v>
      </c>
      <c r="P442" s="3" t="s">
        <v>69</v>
      </c>
      <c r="Q442" s="2" t="s">
        <v>4561</v>
      </c>
      <c r="R442" s="3" t="s">
        <v>70</v>
      </c>
      <c r="S442" s="4">
        <v>61</v>
      </c>
      <c r="T442" s="4">
        <v>84</v>
      </c>
      <c r="U442" s="5" t="s">
        <v>1984</v>
      </c>
      <c r="V442" s="5" t="s">
        <v>1984</v>
      </c>
      <c r="W442" s="5" t="s">
        <v>72</v>
      </c>
      <c r="X442" s="5" t="s">
        <v>72</v>
      </c>
      <c r="Y442" s="4">
        <v>287</v>
      </c>
      <c r="Z442" s="4">
        <v>12</v>
      </c>
      <c r="AA442" s="4">
        <v>85</v>
      </c>
      <c r="AB442" s="4">
        <v>1</v>
      </c>
      <c r="AC442" s="4">
        <v>11</v>
      </c>
      <c r="AD442" s="4">
        <v>35</v>
      </c>
      <c r="AE442" s="4">
        <v>141</v>
      </c>
      <c r="AF442" s="4">
        <v>0</v>
      </c>
      <c r="AG442" s="4">
        <v>5</v>
      </c>
      <c r="AH442" s="4">
        <v>34</v>
      </c>
      <c r="AI442" s="4">
        <v>109</v>
      </c>
      <c r="AJ442" s="4">
        <v>5</v>
      </c>
      <c r="AK442" s="4">
        <v>20</v>
      </c>
      <c r="AL442" s="4">
        <v>19</v>
      </c>
      <c r="AM442" s="4">
        <v>57</v>
      </c>
      <c r="AN442" s="4">
        <v>0</v>
      </c>
      <c r="AO442" s="4">
        <v>5</v>
      </c>
      <c r="AP442" s="4">
        <v>5</v>
      </c>
      <c r="AQ442" s="4">
        <v>36</v>
      </c>
      <c r="AR442" s="3" t="s">
        <v>64</v>
      </c>
      <c r="AS442" s="3" t="s">
        <v>64</v>
      </c>
      <c r="AT442" s="3" t="s">
        <v>73</v>
      </c>
      <c r="AU442" s="6" t="str">
        <f>HYPERLINK("http://catalog.hathitrust.org/Record/002650309","HathiTrust Record")</f>
        <v>HathiTrust Record</v>
      </c>
      <c r="AV442" s="6" t="str">
        <f>HYPERLINK("http://mcgill.on.worldcat.org/oclc/27035331","Catalog Record")</f>
        <v>Catalog Record</v>
      </c>
      <c r="AW442" s="6" t="str">
        <f>HYPERLINK("http://www.worldcat.org/oclc/27035331","WorldCat Record")</f>
        <v>WorldCat Record</v>
      </c>
      <c r="AX442" s="3" t="s">
        <v>4562</v>
      </c>
      <c r="AY442" s="3" t="s">
        <v>4563</v>
      </c>
      <c r="AZ442" s="3" t="s">
        <v>4564</v>
      </c>
      <c r="BA442" s="3" t="s">
        <v>4564</v>
      </c>
      <c r="BB442" s="3" t="s">
        <v>4565</v>
      </c>
      <c r="BC442" s="3" t="s">
        <v>78</v>
      </c>
      <c r="BD442" s="3" t="s">
        <v>79</v>
      </c>
      <c r="BE442" s="3" t="s">
        <v>4566</v>
      </c>
      <c r="BF442" s="3" t="s">
        <v>4565</v>
      </c>
      <c r="BG442" s="3" t="s">
        <v>4567</v>
      </c>
    </row>
    <row r="443" spans="1:59" ht="72.5" x14ac:dyDescent="0.35">
      <c r="A443" s="2" t="s">
        <v>59</v>
      </c>
      <c r="B443" s="2" t="s">
        <v>94</v>
      </c>
      <c r="C443" s="2" t="s">
        <v>4556</v>
      </c>
      <c r="D443" s="2" t="s">
        <v>4557</v>
      </c>
      <c r="E443" s="2" t="s">
        <v>4558</v>
      </c>
      <c r="G443" s="3" t="s">
        <v>64</v>
      </c>
      <c r="I443" s="3" t="s">
        <v>73</v>
      </c>
      <c r="J443" s="3" t="s">
        <v>64</v>
      </c>
      <c r="K443" s="3" t="s">
        <v>65</v>
      </c>
      <c r="L443" s="2" t="s">
        <v>4559</v>
      </c>
      <c r="M443" s="2" t="s">
        <v>4560</v>
      </c>
      <c r="N443" s="3" t="s">
        <v>303</v>
      </c>
      <c r="O443" s="2" t="s">
        <v>1294</v>
      </c>
      <c r="P443" s="3" t="s">
        <v>69</v>
      </c>
      <c r="Q443" s="2" t="s">
        <v>4561</v>
      </c>
      <c r="R443" s="3" t="s">
        <v>70</v>
      </c>
      <c r="S443" s="4">
        <v>23</v>
      </c>
      <c r="T443" s="4">
        <v>84</v>
      </c>
      <c r="U443" s="5" t="s">
        <v>4568</v>
      </c>
      <c r="V443" s="5" t="s">
        <v>1984</v>
      </c>
      <c r="W443" s="5" t="s">
        <v>72</v>
      </c>
      <c r="X443" s="5" t="s">
        <v>72</v>
      </c>
      <c r="Y443" s="4">
        <v>287</v>
      </c>
      <c r="Z443" s="4">
        <v>12</v>
      </c>
      <c r="AA443" s="4">
        <v>85</v>
      </c>
      <c r="AB443" s="4">
        <v>1</v>
      </c>
      <c r="AC443" s="4">
        <v>11</v>
      </c>
      <c r="AD443" s="4">
        <v>35</v>
      </c>
      <c r="AE443" s="4">
        <v>141</v>
      </c>
      <c r="AF443" s="4">
        <v>0</v>
      </c>
      <c r="AG443" s="4">
        <v>5</v>
      </c>
      <c r="AH443" s="4">
        <v>34</v>
      </c>
      <c r="AI443" s="4">
        <v>109</v>
      </c>
      <c r="AJ443" s="4">
        <v>5</v>
      </c>
      <c r="AK443" s="4">
        <v>20</v>
      </c>
      <c r="AL443" s="4">
        <v>19</v>
      </c>
      <c r="AM443" s="4">
        <v>57</v>
      </c>
      <c r="AN443" s="4">
        <v>0</v>
      </c>
      <c r="AO443" s="4">
        <v>5</v>
      </c>
      <c r="AP443" s="4">
        <v>5</v>
      </c>
      <c r="AQ443" s="4">
        <v>36</v>
      </c>
      <c r="AR443" s="3" t="s">
        <v>64</v>
      </c>
      <c r="AS443" s="3" t="s">
        <v>64</v>
      </c>
      <c r="AT443" s="3" t="s">
        <v>73</v>
      </c>
      <c r="AU443" s="6" t="str">
        <f>HYPERLINK("http://catalog.hathitrust.org/Record/002650309","HathiTrust Record")</f>
        <v>HathiTrust Record</v>
      </c>
      <c r="AV443" s="6" t="str">
        <f>HYPERLINK("http://mcgill.on.worldcat.org/oclc/27035331","Catalog Record")</f>
        <v>Catalog Record</v>
      </c>
      <c r="AW443" s="6" t="str">
        <f>HYPERLINK("http://www.worldcat.org/oclc/27035331","WorldCat Record")</f>
        <v>WorldCat Record</v>
      </c>
      <c r="AX443" s="3" t="s">
        <v>4562</v>
      </c>
      <c r="AY443" s="3" t="s">
        <v>4563</v>
      </c>
      <c r="AZ443" s="3" t="s">
        <v>4564</v>
      </c>
      <c r="BA443" s="3" t="s">
        <v>4564</v>
      </c>
      <c r="BB443" s="3" t="s">
        <v>4569</v>
      </c>
      <c r="BC443" s="3" t="s">
        <v>78</v>
      </c>
      <c r="BD443" s="3" t="s">
        <v>414</v>
      </c>
      <c r="BE443" s="3" t="s">
        <v>4566</v>
      </c>
      <c r="BF443" s="3" t="s">
        <v>4569</v>
      </c>
      <c r="BG443" s="3" t="s">
        <v>4570</v>
      </c>
    </row>
    <row r="444" spans="1:59" ht="58" x14ac:dyDescent="0.35">
      <c r="A444" s="2" t="s">
        <v>59</v>
      </c>
      <c r="B444" s="2" t="s">
        <v>94</v>
      </c>
      <c r="C444" s="2" t="s">
        <v>4571</v>
      </c>
      <c r="D444" s="2" t="s">
        <v>4572</v>
      </c>
      <c r="E444" s="2" t="s">
        <v>4573</v>
      </c>
      <c r="G444" s="3" t="s">
        <v>64</v>
      </c>
      <c r="I444" s="3" t="s">
        <v>64</v>
      </c>
      <c r="J444" s="3" t="s">
        <v>64</v>
      </c>
      <c r="K444" s="3" t="s">
        <v>65</v>
      </c>
      <c r="L444" s="2" t="s">
        <v>4574</v>
      </c>
      <c r="M444" s="2" t="s">
        <v>4575</v>
      </c>
      <c r="N444" s="3" t="s">
        <v>719</v>
      </c>
      <c r="P444" s="3" t="s">
        <v>69</v>
      </c>
      <c r="Q444" s="2" t="s">
        <v>4576</v>
      </c>
      <c r="R444" s="3" t="s">
        <v>70</v>
      </c>
      <c r="S444" s="4">
        <v>3</v>
      </c>
      <c r="T444" s="4">
        <v>3</v>
      </c>
      <c r="U444" s="5" t="s">
        <v>4577</v>
      </c>
      <c r="V444" s="5" t="s">
        <v>4577</v>
      </c>
      <c r="W444" s="5" t="s">
        <v>72</v>
      </c>
      <c r="X444" s="5" t="s">
        <v>72</v>
      </c>
      <c r="Y444" s="4">
        <v>344</v>
      </c>
      <c r="Z444" s="4">
        <v>30</v>
      </c>
      <c r="AA444" s="4">
        <v>30</v>
      </c>
      <c r="AB444" s="4">
        <v>2</v>
      </c>
      <c r="AC444" s="4">
        <v>2</v>
      </c>
      <c r="AD444" s="4">
        <v>113</v>
      </c>
      <c r="AE444" s="4">
        <v>114</v>
      </c>
      <c r="AF444" s="4">
        <v>1</v>
      </c>
      <c r="AG444" s="4">
        <v>1</v>
      </c>
      <c r="AH444" s="4">
        <v>98</v>
      </c>
      <c r="AI444" s="4">
        <v>98</v>
      </c>
      <c r="AJ444" s="4">
        <v>18</v>
      </c>
      <c r="AK444" s="4">
        <v>18</v>
      </c>
      <c r="AL444" s="4">
        <v>54</v>
      </c>
      <c r="AM444" s="4">
        <v>55</v>
      </c>
      <c r="AN444" s="4">
        <v>0</v>
      </c>
      <c r="AO444" s="4">
        <v>0</v>
      </c>
      <c r="AP444" s="4">
        <v>23</v>
      </c>
      <c r="AQ444" s="4">
        <v>23</v>
      </c>
      <c r="AR444" s="3" t="s">
        <v>64</v>
      </c>
      <c r="AS444" s="3" t="s">
        <v>64</v>
      </c>
      <c r="AT444" s="3" t="s">
        <v>73</v>
      </c>
      <c r="AU444" s="6" t="str">
        <f>HYPERLINK("http://catalog.hathitrust.org/Record/000245863","HathiTrust Record")</f>
        <v>HathiTrust Record</v>
      </c>
      <c r="AV444" s="6" t="str">
        <f>HYPERLINK("http://mcgill.on.worldcat.org/oclc/9575024","Catalog Record")</f>
        <v>Catalog Record</v>
      </c>
      <c r="AW444" s="6" t="str">
        <f>HYPERLINK("http://www.worldcat.org/oclc/9575024","WorldCat Record")</f>
        <v>WorldCat Record</v>
      </c>
      <c r="AX444" s="3" t="s">
        <v>4578</v>
      </c>
      <c r="AY444" s="3" t="s">
        <v>4579</v>
      </c>
      <c r="AZ444" s="3" t="s">
        <v>4580</v>
      </c>
      <c r="BA444" s="3" t="s">
        <v>4580</v>
      </c>
      <c r="BB444" s="3" t="s">
        <v>4581</v>
      </c>
      <c r="BC444" s="3" t="s">
        <v>78</v>
      </c>
      <c r="BD444" s="3" t="s">
        <v>79</v>
      </c>
      <c r="BE444" s="3" t="s">
        <v>4582</v>
      </c>
      <c r="BF444" s="3" t="s">
        <v>4581</v>
      </c>
      <c r="BG444" s="3" t="s">
        <v>4583</v>
      </c>
    </row>
    <row r="445" spans="1:59" ht="58" x14ac:dyDescent="0.35">
      <c r="A445" s="2" t="s">
        <v>59</v>
      </c>
      <c r="B445" s="2" t="s">
        <v>94</v>
      </c>
      <c r="C445" s="2" t="s">
        <v>4584</v>
      </c>
      <c r="D445" s="2" t="s">
        <v>4585</v>
      </c>
      <c r="E445" s="2" t="s">
        <v>4586</v>
      </c>
      <c r="G445" s="3" t="s">
        <v>64</v>
      </c>
      <c r="I445" s="3" t="s">
        <v>64</v>
      </c>
      <c r="J445" s="3" t="s">
        <v>64</v>
      </c>
      <c r="K445" s="3" t="s">
        <v>65</v>
      </c>
      <c r="L445" s="2" t="s">
        <v>4587</v>
      </c>
      <c r="M445" s="2" t="s">
        <v>4588</v>
      </c>
      <c r="N445" s="3" t="s">
        <v>1530</v>
      </c>
      <c r="P445" s="3" t="s">
        <v>69</v>
      </c>
      <c r="R445" s="3" t="s">
        <v>70</v>
      </c>
      <c r="S445" s="4">
        <v>46</v>
      </c>
      <c r="T445" s="4">
        <v>46</v>
      </c>
      <c r="U445" s="5" t="s">
        <v>4589</v>
      </c>
      <c r="V445" s="5" t="s">
        <v>4589</v>
      </c>
      <c r="W445" s="5" t="s">
        <v>72</v>
      </c>
      <c r="X445" s="5" t="s">
        <v>72</v>
      </c>
      <c r="Y445" s="4">
        <v>284</v>
      </c>
      <c r="Z445" s="4">
        <v>12</v>
      </c>
      <c r="AA445" s="4">
        <v>12</v>
      </c>
      <c r="AB445" s="4">
        <v>1</v>
      </c>
      <c r="AC445" s="4">
        <v>1</v>
      </c>
      <c r="AD445" s="4">
        <v>37</v>
      </c>
      <c r="AE445" s="4">
        <v>37</v>
      </c>
      <c r="AF445" s="4">
        <v>0</v>
      </c>
      <c r="AG445" s="4">
        <v>0</v>
      </c>
      <c r="AH445" s="4">
        <v>35</v>
      </c>
      <c r="AI445" s="4">
        <v>35</v>
      </c>
      <c r="AJ445" s="4">
        <v>5</v>
      </c>
      <c r="AK445" s="4">
        <v>5</v>
      </c>
      <c r="AL445" s="4">
        <v>20</v>
      </c>
      <c r="AM445" s="4">
        <v>20</v>
      </c>
      <c r="AN445" s="4">
        <v>0</v>
      </c>
      <c r="AO445" s="4">
        <v>0</v>
      </c>
      <c r="AP445" s="4">
        <v>5</v>
      </c>
      <c r="AQ445" s="4">
        <v>5</v>
      </c>
      <c r="AR445" s="3" t="s">
        <v>64</v>
      </c>
      <c r="AS445" s="3" t="s">
        <v>64</v>
      </c>
      <c r="AT445" s="3" t="s">
        <v>64</v>
      </c>
      <c r="AV445" s="6" t="str">
        <f>HYPERLINK("http://mcgill.on.worldcat.org/oclc/49679570","Catalog Record")</f>
        <v>Catalog Record</v>
      </c>
      <c r="AW445" s="6" t="str">
        <f>HYPERLINK("http://www.worldcat.org/oclc/49679570","WorldCat Record")</f>
        <v>WorldCat Record</v>
      </c>
      <c r="AX445" s="3" t="s">
        <v>4590</v>
      </c>
      <c r="AY445" s="3" t="s">
        <v>4591</v>
      </c>
      <c r="AZ445" s="3" t="s">
        <v>4592</v>
      </c>
      <c r="BA445" s="3" t="s">
        <v>4592</v>
      </c>
      <c r="BB445" s="3" t="s">
        <v>4593</v>
      </c>
      <c r="BC445" s="3" t="s">
        <v>78</v>
      </c>
      <c r="BD445" s="3" t="s">
        <v>414</v>
      </c>
      <c r="BE445" s="3" t="s">
        <v>4594</v>
      </c>
      <c r="BF445" s="3" t="s">
        <v>4593</v>
      </c>
      <c r="BG445" s="3" t="s">
        <v>4595</v>
      </c>
    </row>
    <row r="446" spans="1:59" ht="58" x14ac:dyDescent="0.35">
      <c r="A446" s="2" t="s">
        <v>59</v>
      </c>
      <c r="B446" s="2" t="s">
        <v>94</v>
      </c>
      <c r="C446" s="2" t="s">
        <v>4596</v>
      </c>
      <c r="D446" s="2" t="s">
        <v>4597</v>
      </c>
      <c r="E446" s="2" t="s">
        <v>4598</v>
      </c>
      <c r="G446" s="3" t="s">
        <v>64</v>
      </c>
      <c r="I446" s="3" t="s">
        <v>64</v>
      </c>
      <c r="J446" s="3" t="s">
        <v>64</v>
      </c>
      <c r="K446" s="3" t="s">
        <v>65</v>
      </c>
      <c r="L446" s="2" t="s">
        <v>4599</v>
      </c>
      <c r="M446" s="2" t="s">
        <v>4600</v>
      </c>
      <c r="N446" s="3" t="s">
        <v>705</v>
      </c>
      <c r="P446" s="3" t="s">
        <v>69</v>
      </c>
      <c r="Q446" s="2" t="s">
        <v>4601</v>
      </c>
      <c r="R446" s="3" t="s">
        <v>70</v>
      </c>
      <c r="S446" s="4">
        <v>25</v>
      </c>
      <c r="T446" s="4">
        <v>25</v>
      </c>
      <c r="U446" s="5" t="s">
        <v>1333</v>
      </c>
      <c r="V446" s="5" t="s">
        <v>1333</v>
      </c>
      <c r="W446" s="5" t="s">
        <v>72</v>
      </c>
      <c r="X446" s="5" t="s">
        <v>72</v>
      </c>
      <c r="Y446" s="4">
        <v>212</v>
      </c>
      <c r="Z446" s="4">
        <v>18</v>
      </c>
      <c r="AA446" s="4">
        <v>18</v>
      </c>
      <c r="AB446" s="4">
        <v>1</v>
      </c>
      <c r="AC446" s="4">
        <v>1</v>
      </c>
      <c r="AD446" s="4">
        <v>48</v>
      </c>
      <c r="AE446" s="4">
        <v>48</v>
      </c>
      <c r="AF446" s="4">
        <v>0</v>
      </c>
      <c r="AG446" s="4">
        <v>0</v>
      </c>
      <c r="AH446" s="4">
        <v>45</v>
      </c>
      <c r="AI446" s="4">
        <v>45</v>
      </c>
      <c r="AJ446" s="4">
        <v>6</v>
      </c>
      <c r="AK446" s="4">
        <v>6</v>
      </c>
      <c r="AL446" s="4">
        <v>24</v>
      </c>
      <c r="AM446" s="4">
        <v>24</v>
      </c>
      <c r="AN446" s="4">
        <v>0</v>
      </c>
      <c r="AO446" s="4">
        <v>0</v>
      </c>
      <c r="AP446" s="4">
        <v>8</v>
      </c>
      <c r="AQ446" s="4">
        <v>8</v>
      </c>
      <c r="AR446" s="3" t="s">
        <v>64</v>
      </c>
      <c r="AS446" s="3" t="s">
        <v>64</v>
      </c>
      <c r="AT446" s="3" t="s">
        <v>73</v>
      </c>
      <c r="AU446" s="6" t="str">
        <f>HYPERLINK("http://catalog.hathitrust.org/Record/003083433","HathiTrust Record")</f>
        <v>HathiTrust Record</v>
      </c>
      <c r="AV446" s="6" t="str">
        <f>HYPERLINK("http://mcgill.on.worldcat.org/oclc/33971695","Catalog Record")</f>
        <v>Catalog Record</v>
      </c>
      <c r="AW446" s="6" t="str">
        <f>HYPERLINK("http://www.worldcat.org/oclc/33971695","WorldCat Record")</f>
        <v>WorldCat Record</v>
      </c>
      <c r="AX446" s="3" t="s">
        <v>4602</v>
      </c>
      <c r="AY446" s="3" t="s">
        <v>4603</v>
      </c>
      <c r="AZ446" s="3" t="s">
        <v>4604</v>
      </c>
      <c r="BA446" s="3" t="s">
        <v>4604</v>
      </c>
      <c r="BB446" s="3" t="s">
        <v>4605</v>
      </c>
      <c r="BC446" s="3" t="s">
        <v>78</v>
      </c>
      <c r="BD446" s="3" t="s">
        <v>79</v>
      </c>
      <c r="BE446" s="3" t="s">
        <v>4606</v>
      </c>
      <c r="BF446" s="3" t="s">
        <v>4605</v>
      </c>
      <c r="BG446" s="3" t="s">
        <v>4607</v>
      </c>
    </row>
    <row r="447" spans="1:59" ht="72.5" x14ac:dyDescent="0.35">
      <c r="A447" s="2" t="s">
        <v>59</v>
      </c>
      <c r="B447" s="2" t="s">
        <v>94</v>
      </c>
      <c r="C447" s="2" t="s">
        <v>4608</v>
      </c>
      <c r="D447" s="2" t="s">
        <v>4609</v>
      </c>
      <c r="E447" s="2" t="s">
        <v>4610</v>
      </c>
      <c r="G447" s="3" t="s">
        <v>64</v>
      </c>
      <c r="I447" s="3" t="s">
        <v>64</v>
      </c>
      <c r="J447" s="3" t="s">
        <v>73</v>
      </c>
      <c r="K447" s="3" t="s">
        <v>65</v>
      </c>
      <c r="L447" s="2" t="s">
        <v>4599</v>
      </c>
      <c r="M447" s="2" t="s">
        <v>4611</v>
      </c>
      <c r="N447" s="3" t="s">
        <v>651</v>
      </c>
      <c r="P447" s="3" t="s">
        <v>69</v>
      </c>
      <c r="Q447" s="2" t="s">
        <v>4612</v>
      </c>
      <c r="R447" s="3" t="s">
        <v>70</v>
      </c>
      <c r="S447" s="4">
        <v>10</v>
      </c>
      <c r="T447" s="4">
        <v>10</v>
      </c>
      <c r="U447" s="5" t="s">
        <v>2154</v>
      </c>
      <c r="V447" s="5" t="s">
        <v>2154</v>
      </c>
      <c r="W447" s="5" t="s">
        <v>72</v>
      </c>
      <c r="X447" s="5" t="s">
        <v>72</v>
      </c>
      <c r="Y447" s="4">
        <v>192</v>
      </c>
      <c r="Z447" s="4">
        <v>10</v>
      </c>
      <c r="AA447" s="4">
        <v>32</v>
      </c>
      <c r="AB447" s="4">
        <v>1</v>
      </c>
      <c r="AC447" s="4">
        <v>4</v>
      </c>
      <c r="AD447" s="4">
        <v>57</v>
      </c>
      <c r="AE447" s="4">
        <v>99</v>
      </c>
      <c r="AF447" s="4">
        <v>0</v>
      </c>
      <c r="AG447" s="4">
        <v>2</v>
      </c>
      <c r="AH447" s="4">
        <v>48</v>
      </c>
      <c r="AI447" s="4">
        <v>85</v>
      </c>
      <c r="AJ447" s="4">
        <v>5</v>
      </c>
      <c r="AK447" s="4">
        <v>10</v>
      </c>
      <c r="AL447" s="4">
        <v>33</v>
      </c>
      <c r="AM447" s="4">
        <v>51</v>
      </c>
      <c r="AN447" s="4">
        <v>0</v>
      </c>
      <c r="AO447" s="4">
        <v>0</v>
      </c>
      <c r="AP447" s="4">
        <v>8</v>
      </c>
      <c r="AQ447" s="4">
        <v>14</v>
      </c>
      <c r="AR447" s="3" t="s">
        <v>64</v>
      </c>
      <c r="AS447" s="3" t="s">
        <v>64</v>
      </c>
      <c r="AT447" s="3" t="s">
        <v>64</v>
      </c>
      <c r="AV447" s="6" t="str">
        <f>HYPERLINK("http://mcgill.on.worldcat.org/oclc/50693153","Catalog Record")</f>
        <v>Catalog Record</v>
      </c>
      <c r="AW447" s="6" t="str">
        <f>HYPERLINK("http://www.worldcat.org/oclc/50693153","WorldCat Record")</f>
        <v>WorldCat Record</v>
      </c>
      <c r="AX447" s="3" t="s">
        <v>4613</v>
      </c>
      <c r="AY447" s="3" t="s">
        <v>4614</v>
      </c>
      <c r="AZ447" s="3" t="s">
        <v>4615</v>
      </c>
      <c r="BA447" s="3" t="s">
        <v>4615</v>
      </c>
      <c r="BB447" s="3" t="s">
        <v>4616</v>
      </c>
      <c r="BC447" s="3" t="s">
        <v>78</v>
      </c>
      <c r="BD447" s="3" t="s">
        <v>79</v>
      </c>
      <c r="BE447" s="3" t="s">
        <v>4617</v>
      </c>
      <c r="BF447" s="3" t="s">
        <v>4616</v>
      </c>
      <c r="BG447" s="3" t="s">
        <v>4618</v>
      </c>
    </row>
    <row r="448" spans="1:59" ht="116" x14ac:dyDescent="0.35">
      <c r="A448" s="2" t="s">
        <v>59</v>
      </c>
      <c r="B448" s="2" t="s">
        <v>3778</v>
      </c>
      <c r="C448" s="2" t="s">
        <v>4619</v>
      </c>
      <c r="D448" s="2" t="s">
        <v>4620</v>
      </c>
      <c r="E448" s="2" t="s">
        <v>4621</v>
      </c>
      <c r="F448" s="3" t="s">
        <v>3858</v>
      </c>
      <c r="G448" s="3" t="s">
        <v>73</v>
      </c>
      <c r="H448" s="3" t="s">
        <v>2292</v>
      </c>
      <c r="I448" s="3" t="s">
        <v>64</v>
      </c>
      <c r="J448" s="3" t="s">
        <v>73</v>
      </c>
      <c r="K448" s="3" t="s">
        <v>65</v>
      </c>
      <c r="L448" s="2" t="s">
        <v>4622</v>
      </c>
      <c r="M448" s="2" t="s">
        <v>4623</v>
      </c>
      <c r="N448" s="3" t="s">
        <v>87</v>
      </c>
      <c r="O448" s="2" t="s">
        <v>4624</v>
      </c>
      <c r="P448" s="3" t="s">
        <v>3784</v>
      </c>
      <c r="R448" s="3" t="s">
        <v>70</v>
      </c>
      <c r="S448" s="4">
        <v>0</v>
      </c>
      <c r="T448" s="4">
        <v>0</v>
      </c>
      <c r="W448" s="5" t="s">
        <v>4625</v>
      </c>
      <c r="X448" s="5" t="s">
        <v>4625</v>
      </c>
      <c r="Y448" s="4">
        <v>6</v>
      </c>
      <c r="Z448" s="4">
        <v>1</v>
      </c>
      <c r="AA448" s="4">
        <v>22</v>
      </c>
      <c r="AB448" s="4">
        <v>1</v>
      </c>
      <c r="AC448" s="4">
        <v>3</v>
      </c>
      <c r="AD448" s="4">
        <v>5</v>
      </c>
      <c r="AE448" s="4">
        <v>76</v>
      </c>
      <c r="AF448" s="4">
        <v>0</v>
      </c>
      <c r="AG448" s="4">
        <v>1</v>
      </c>
      <c r="AH448" s="4">
        <v>5</v>
      </c>
      <c r="AI448" s="4">
        <v>68</v>
      </c>
      <c r="AJ448" s="4">
        <v>0</v>
      </c>
      <c r="AK448" s="4">
        <v>8</v>
      </c>
      <c r="AL448" s="4">
        <v>5</v>
      </c>
      <c r="AM448" s="4">
        <v>49</v>
      </c>
      <c r="AN448" s="4">
        <v>0</v>
      </c>
      <c r="AO448" s="4">
        <v>0</v>
      </c>
      <c r="AP448" s="4">
        <v>0</v>
      </c>
      <c r="AQ448" s="4">
        <v>8</v>
      </c>
      <c r="AR448" s="3" t="s">
        <v>64</v>
      </c>
      <c r="AS448" s="3" t="s">
        <v>64</v>
      </c>
      <c r="AT448" s="3" t="s">
        <v>64</v>
      </c>
      <c r="AV448" s="6" t="str">
        <f t="shared" ref="AV448:AV453" si="6">HYPERLINK("http://mcgill.on.worldcat.org/oclc/1126541233","Catalog Record")</f>
        <v>Catalog Record</v>
      </c>
      <c r="AW448" s="6" t="str">
        <f t="shared" ref="AW448:AW453" si="7">HYPERLINK("http://www.worldcat.org/oclc/1126541233","WorldCat Record")</f>
        <v>WorldCat Record</v>
      </c>
      <c r="AX448" s="3" t="s">
        <v>4626</v>
      </c>
      <c r="AY448" s="3" t="s">
        <v>4627</v>
      </c>
      <c r="AZ448" s="3" t="s">
        <v>4628</v>
      </c>
      <c r="BA448" s="3" t="s">
        <v>4628</v>
      </c>
      <c r="BB448" s="3" t="s">
        <v>4629</v>
      </c>
      <c r="BC448" s="3" t="s">
        <v>78</v>
      </c>
      <c r="BD448" s="3" t="s">
        <v>4630</v>
      </c>
      <c r="BE448" s="3" t="s">
        <v>4631</v>
      </c>
      <c r="BF448" s="3" t="s">
        <v>4629</v>
      </c>
      <c r="BG448" s="3" t="s">
        <v>4632</v>
      </c>
    </row>
    <row r="449" spans="1:59" ht="116" x14ac:dyDescent="0.35">
      <c r="A449" s="2" t="s">
        <v>59</v>
      </c>
      <c r="B449" s="2" t="s">
        <v>3778</v>
      </c>
      <c r="C449" s="2" t="s">
        <v>4619</v>
      </c>
      <c r="D449" s="2" t="s">
        <v>4620</v>
      </c>
      <c r="E449" s="2" t="s">
        <v>4621</v>
      </c>
      <c r="F449" s="3" t="s">
        <v>3653</v>
      </c>
      <c r="G449" s="3" t="s">
        <v>73</v>
      </c>
      <c r="H449" s="3" t="s">
        <v>2292</v>
      </c>
      <c r="I449" s="3" t="s">
        <v>64</v>
      </c>
      <c r="J449" s="3" t="s">
        <v>73</v>
      </c>
      <c r="K449" s="3" t="s">
        <v>65</v>
      </c>
      <c r="L449" s="2" t="s">
        <v>4622</v>
      </c>
      <c r="M449" s="2" t="s">
        <v>4623</v>
      </c>
      <c r="N449" s="3" t="s">
        <v>87</v>
      </c>
      <c r="O449" s="2" t="s">
        <v>4624</v>
      </c>
      <c r="P449" s="3" t="s">
        <v>3784</v>
      </c>
      <c r="R449" s="3" t="s">
        <v>70</v>
      </c>
      <c r="S449" s="4">
        <v>0</v>
      </c>
      <c r="T449" s="4">
        <v>0</v>
      </c>
      <c r="W449" s="5" t="s">
        <v>4625</v>
      </c>
      <c r="X449" s="5" t="s">
        <v>4625</v>
      </c>
      <c r="Y449" s="4">
        <v>6</v>
      </c>
      <c r="Z449" s="4">
        <v>1</v>
      </c>
      <c r="AA449" s="4">
        <v>22</v>
      </c>
      <c r="AB449" s="4">
        <v>1</v>
      </c>
      <c r="AC449" s="4">
        <v>3</v>
      </c>
      <c r="AD449" s="4">
        <v>5</v>
      </c>
      <c r="AE449" s="4">
        <v>76</v>
      </c>
      <c r="AF449" s="4">
        <v>0</v>
      </c>
      <c r="AG449" s="4">
        <v>1</v>
      </c>
      <c r="AH449" s="4">
        <v>5</v>
      </c>
      <c r="AI449" s="4">
        <v>68</v>
      </c>
      <c r="AJ449" s="4">
        <v>0</v>
      </c>
      <c r="AK449" s="4">
        <v>8</v>
      </c>
      <c r="AL449" s="4">
        <v>5</v>
      </c>
      <c r="AM449" s="4">
        <v>49</v>
      </c>
      <c r="AN449" s="4">
        <v>0</v>
      </c>
      <c r="AO449" s="4">
        <v>0</v>
      </c>
      <c r="AP449" s="4">
        <v>0</v>
      </c>
      <c r="AQ449" s="4">
        <v>8</v>
      </c>
      <c r="AR449" s="3" t="s">
        <v>64</v>
      </c>
      <c r="AS449" s="3" t="s">
        <v>64</v>
      </c>
      <c r="AT449" s="3" t="s">
        <v>64</v>
      </c>
      <c r="AV449" s="6" t="str">
        <f t="shared" si="6"/>
        <v>Catalog Record</v>
      </c>
      <c r="AW449" s="6" t="str">
        <f t="shared" si="7"/>
        <v>WorldCat Record</v>
      </c>
      <c r="AX449" s="3" t="s">
        <v>4626</v>
      </c>
      <c r="AY449" s="3" t="s">
        <v>4627</v>
      </c>
      <c r="AZ449" s="3" t="s">
        <v>4628</v>
      </c>
      <c r="BA449" s="3" t="s">
        <v>4628</v>
      </c>
      <c r="BB449" s="3" t="s">
        <v>4633</v>
      </c>
      <c r="BC449" s="3" t="s">
        <v>78</v>
      </c>
      <c r="BD449" s="3" t="s">
        <v>4630</v>
      </c>
      <c r="BE449" s="3" t="s">
        <v>4631</v>
      </c>
      <c r="BF449" s="3" t="s">
        <v>4633</v>
      </c>
      <c r="BG449" s="3" t="s">
        <v>4634</v>
      </c>
    </row>
    <row r="450" spans="1:59" ht="116" x14ac:dyDescent="0.35">
      <c r="A450" s="2" t="s">
        <v>59</v>
      </c>
      <c r="B450" s="2" t="s">
        <v>3778</v>
      </c>
      <c r="C450" s="2" t="s">
        <v>4619</v>
      </c>
      <c r="D450" s="2" t="s">
        <v>4620</v>
      </c>
      <c r="E450" s="2" t="s">
        <v>4621</v>
      </c>
      <c r="F450" s="3" t="s">
        <v>3861</v>
      </c>
      <c r="G450" s="3" t="s">
        <v>73</v>
      </c>
      <c r="H450" s="3" t="s">
        <v>2292</v>
      </c>
      <c r="I450" s="3" t="s">
        <v>64</v>
      </c>
      <c r="J450" s="3" t="s">
        <v>73</v>
      </c>
      <c r="K450" s="3" t="s">
        <v>65</v>
      </c>
      <c r="L450" s="2" t="s">
        <v>4622</v>
      </c>
      <c r="M450" s="2" t="s">
        <v>4623</v>
      </c>
      <c r="N450" s="3" t="s">
        <v>87</v>
      </c>
      <c r="O450" s="2" t="s">
        <v>4624</v>
      </c>
      <c r="P450" s="3" t="s">
        <v>3784</v>
      </c>
      <c r="R450" s="3" t="s">
        <v>70</v>
      </c>
      <c r="S450" s="4">
        <v>0</v>
      </c>
      <c r="T450" s="4">
        <v>0</v>
      </c>
      <c r="W450" s="5" t="s">
        <v>4625</v>
      </c>
      <c r="X450" s="5" t="s">
        <v>4625</v>
      </c>
      <c r="Y450" s="4">
        <v>6</v>
      </c>
      <c r="Z450" s="4">
        <v>1</v>
      </c>
      <c r="AA450" s="4">
        <v>22</v>
      </c>
      <c r="AB450" s="4">
        <v>1</v>
      </c>
      <c r="AC450" s="4">
        <v>3</v>
      </c>
      <c r="AD450" s="4">
        <v>5</v>
      </c>
      <c r="AE450" s="4">
        <v>76</v>
      </c>
      <c r="AF450" s="4">
        <v>0</v>
      </c>
      <c r="AG450" s="4">
        <v>1</v>
      </c>
      <c r="AH450" s="4">
        <v>5</v>
      </c>
      <c r="AI450" s="4">
        <v>68</v>
      </c>
      <c r="AJ450" s="4">
        <v>0</v>
      </c>
      <c r="AK450" s="4">
        <v>8</v>
      </c>
      <c r="AL450" s="4">
        <v>5</v>
      </c>
      <c r="AM450" s="4">
        <v>49</v>
      </c>
      <c r="AN450" s="4">
        <v>0</v>
      </c>
      <c r="AO450" s="4">
        <v>0</v>
      </c>
      <c r="AP450" s="4">
        <v>0</v>
      </c>
      <c r="AQ450" s="4">
        <v>8</v>
      </c>
      <c r="AR450" s="3" t="s">
        <v>64</v>
      </c>
      <c r="AS450" s="3" t="s">
        <v>64</v>
      </c>
      <c r="AT450" s="3" t="s">
        <v>64</v>
      </c>
      <c r="AV450" s="6" t="str">
        <f t="shared" si="6"/>
        <v>Catalog Record</v>
      </c>
      <c r="AW450" s="6" t="str">
        <f t="shared" si="7"/>
        <v>WorldCat Record</v>
      </c>
      <c r="AX450" s="3" t="s">
        <v>4626</v>
      </c>
      <c r="AY450" s="3" t="s">
        <v>4627</v>
      </c>
      <c r="AZ450" s="3" t="s">
        <v>4628</v>
      </c>
      <c r="BA450" s="3" t="s">
        <v>4628</v>
      </c>
      <c r="BB450" s="3" t="s">
        <v>4635</v>
      </c>
      <c r="BC450" s="3" t="s">
        <v>78</v>
      </c>
      <c r="BD450" s="3" t="s">
        <v>79</v>
      </c>
      <c r="BE450" s="3" t="s">
        <v>4631</v>
      </c>
      <c r="BF450" s="3" t="s">
        <v>4635</v>
      </c>
      <c r="BG450" s="3" t="s">
        <v>4636</v>
      </c>
    </row>
    <row r="451" spans="1:59" ht="116" x14ac:dyDescent="0.35">
      <c r="A451" s="2" t="s">
        <v>59</v>
      </c>
      <c r="B451" s="2" t="s">
        <v>3778</v>
      </c>
      <c r="C451" s="2" t="s">
        <v>4619</v>
      </c>
      <c r="D451" s="2" t="s">
        <v>4620</v>
      </c>
      <c r="E451" s="2" t="s">
        <v>4621</v>
      </c>
      <c r="F451" s="3" t="s">
        <v>3660</v>
      </c>
      <c r="G451" s="3" t="s">
        <v>73</v>
      </c>
      <c r="H451" s="3" t="s">
        <v>2292</v>
      </c>
      <c r="I451" s="3" t="s">
        <v>64</v>
      </c>
      <c r="J451" s="3" t="s">
        <v>73</v>
      </c>
      <c r="K451" s="3" t="s">
        <v>65</v>
      </c>
      <c r="L451" s="2" t="s">
        <v>4622</v>
      </c>
      <c r="M451" s="2" t="s">
        <v>4623</v>
      </c>
      <c r="N451" s="3" t="s">
        <v>87</v>
      </c>
      <c r="O451" s="2" t="s">
        <v>4624</v>
      </c>
      <c r="P451" s="3" t="s">
        <v>3784</v>
      </c>
      <c r="R451" s="3" t="s">
        <v>70</v>
      </c>
      <c r="S451" s="4">
        <v>0</v>
      </c>
      <c r="T451" s="4">
        <v>0</v>
      </c>
      <c r="W451" s="5" t="s">
        <v>4625</v>
      </c>
      <c r="X451" s="5" t="s">
        <v>4625</v>
      </c>
      <c r="Y451" s="4">
        <v>6</v>
      </c>
      <c r="Z451" s="4">
        <v>1</v>
      </c>
      <c r="AA451" s="4">
        <v>22</v>
      </c>
      <c r="AB451" s="4">
        <v>1</v>
      </c>
      <c r="AC451" s="4">
        <v>3</v>
      </c>
      <c r="AD451" s="4">
        <v>5</v>
      </c>
      <c r="AE451" s="4">
        <v>76</v>
      </c>
      <c r="AF451" s="4">
        <v>0</v>
      </c>
      <c r="AG451" s="4">
        <v>1</v>
      </c>
      <c r="AH451" s="4">
        <v>5</v>
      </c>
      <c r="AI451" s="4">
        <v>68</v>
      </c>
      <c r="AJ451" s="4">
        <v>0</v>
      </c>
      <c r="AK451" s="4">
        <v>8</v>
      </c>
      <c r="AL451" s="4">
        <v>5</v>
      </c>
      <c r="AM451" s="4">
        <v>49</v>
      </c>
      <c r="AN451" s="4">
        <v>0</v>
      </c>
      <c r="AO451" s="4">
        <v>0</v>
      </c>
      <c r="AP451" s="4">
        <v>0</v>
      </c>
      <c r="AQ451" s="4">
        <v>8</v>
      </c>
      <c r="AR451" s="3" t="s">
        <v>64</v>
      </c>
      <c r="AS451" s="3" t="s">
        <v>64</v>
      </c>
      <c r="AT451" s="3" t="s">
        <v>64</v>
      </c>
      <c r="AV451" s="6" t="str">
        <f t="shared" si="6"/>
        <v>Catalog Record</v>
      </c>
      <c r="AW451" s="6" t="str">
        <f t="shared" si="7"/>
        <v>WorldCat Record</v>
      </c>
      <c r="AX451" s="3" t="s">
        <v>4626</v>
      </c>
      <c r="AY451" s="3" t="s">
        <v>4627</v>
      </c>
      <c r="AZ451" s="3" t="s">
        <v>4628</v>
      </c>
      <c r="BA451" s="3" t="s">
        <v>4628</v>
      </c>
      <c r="BB451" s="3" t="s">
        <v>4637</v>
      </c>
      <c r="BC451" s="3" t="s">
        <v>78</v>
      </c>
      <c r="BD451" s="3" t="s">
        <v>4630</v>
      </c>
      <c r="BE451" s="3" t="s">
        <v>4631</v>
      </c>
      <c r="BF451" s="3" t="s">
        <v>4637</v>
      </c>
      <c r="BG451" s="3" t="s">
        <v>4638</v>
      </c>
    </row>
    <row r="452" spans="1:59" ht="116" x14ac:dyDescent="0.35">
      <c r="A452" s="2" t="s">
        <v>59</v>
      </c>
      <c r="B452" s="2" t="s">
        <v>3778</v>
      </c>
      <c r="C452" s="2" t="s">
        <v>4619</v>
      </c>
      <c r="D452" s="2" t="s">
        <v>4620</v>
      </c>
      <c r="E452" s="2" t="s">
        <v>4621</v>
      </c>
      <c r="F452" s="3" t="s">
        <v>399</v>
      </c>
      <c r="G452" s="3" t="s">
        <v>73</v>
      </c>
      <c r="H452" s="3" t="s">
        <v>2292</v>
      </c>
      <c r="I452" s="3" t="s">
        <v>64</v>
      </c>
      <c r="J452" s="3" t="s">
        <v>73</v>
      </c>
      <c r="K452" s="3" t="s">
        <v>65</v>
      </c>
      <c r="L452" s="2" t="s">
        <v>4622</v>
      </c>
      <c r="M452" s="2" t="s">
        <v>4623</v>
      </c>
      <c r="N452" s="3" t="s">
        <v>87</v>
      </c>
      <c r="O452" s="2" t="s">
        <v>4624</v>
      </c>
      <c r="P452" s="3" t="s">
        <v>3784</v>
      </c>
      <c r="R452" s="3" t="s">
        <v>70</v>
      </c>
      <c r="S452" s="4">
        <v>0</v>
      </c>
      <c r="T452" s="4">
        <v>0</v>
      </c>
      <c r="W452" s="5" t="s">
        <v>4625</v>
      </c>
      <c r="X452" s="5" t="s">
        <v>4625</v>
      </c>
      <c r="Y452" s="4">
        <v>6</v>
      </c>
      <c r="Z452" s="4">
        <v>1</v>
      </c>
      <c r="AA452" s="4">
        <v>22</v>
      </c>
      <c r="AB452" s="4">
        <v>1</v>
      </c>
      <c r="AC452" s="4">
        <v>3</v>
      </c>
      <c r="AD452" s="4">
        <v>5</v>
      </c>
      <c r="AE452" s="4">
        <v>76</v>
      </c>
      <c r="AF452" s="4">
        <v>0</v>
      </c>
      <c r="AG452" s="4">
        <v>1</v>
      </c>
      <c r="AH452" s="4">
        <v>5</v>
      </c>
      <c r="AI452" s="4">
        <v>68</v>
      </c>
      <c r="AJ452" s="4">
        <v>0</v>
      </c>
      <c r="AK452" s="4">
        <v>8</v>
      </c>
      <c r="AL452" s="4">
        <v>5</v>
      </c>
      <c r="AM452" s="4">
        <v>49</v>
      </c>
      <c r="AN452" s="4">
        <v>0</v>
      </c>
      <c r="AO452" s="4">
        <v>0</v>
      </c>
      <c r="AP452" s="4">
        <v>0</v>
      </c>
      <c r="AQ452" s="4">
        <v>8</v>
      </c>
      <c r="AR452" s="3" t="s">
        <v>64</v>
      </c>
      <c r="AS452" s="3" t="s">
        <v>64</v>
      </c>
      <c r="AT452" s="3" t="s">
        <v>64</v>
      </c>
      <c r="AV452" s="6" t="str">
        <f t="shared" si="6"/>
        <v>Catalog Record</v>
      </c>
      <c r="AW452" s="6" t="str">
        <f t="shared" si="7"/>
        <v>WorldCat Record</v>
      </c>
      <c r="AX452" s="3" t="s">
        <v>4626</v>
      </c>
      <c r="AY452" s="3" t="s">
        <v>4627</v>
      </c>
      <c r="AZ452" s="3" t="s">
        <v>4628</v>
      </c>
      <c r="BA452" s="3" t="s">
        <v>4628</v>
      </c>
      <c r="BB452" s="3" t="s">
        <v>4639</v>
      </c>
      <c r="BC452" s="3" t="s">
        <v>78</v>
      </c>
      <c r="BD452" s="3" t="s">
        <v>4630</v>
      </c>
      <c r="BE452" s="3" t="s">
        <v>4631</v>
      </c>
      <c r="BF452" s="3" t="s">
        <v>4639</v>
      </c>
      <c r="BG452" s="3" t="s">
        <v>4640</v>
      </c>
    </row>
    <row r="453" spans="1:59" ht="116" x14ac:dyDescent="0.35">
      <c r="A453" s="2" t="s">
        <v>59</v>
      </c>
      <c r="B453" s="2" t="s">
        <v>3778</v>
      </c>
      <c r="C453" s="2" t="s">
        <v>4619</v>
      </c>
      <c r="D453" s="2" t="s">
        <v>4620</v>
      </c>
      <c r="E453" s="2" t="s">
        <v>4621</v>
      </c>
      <c r="F453" s="3" t="s">
        <v>388</v>
      </c>
      <c r="G453" s="3" t="s">
        <v>73</v>
      </c>
      <c r="H453" s="3" t="s">
        <v>2292</v>
      </c>
      <c r="I453" s="3" t="s">
        <v>64</v>
      </c>
      <c r="J453" s="3" t="s">
        <v>73</v>
      </c>
      <c r="K453" s="3" t="s">
        <v>65</v>
      </c>
      <c r="L453" s="2" t="s">
        <v>4622</v>
      </c>
      <c r="M453" s="2" t="s">
        <v>4623</v>
      </c>
      <c r="N453" s="3" t="s">
        <v>87</v>
      </c>
      <c r="O453" s="2" t="s">
        <v>4624</v>
      </c>
      <c r="P453" s="3" t="s">
        <v>3784</v>
      </c>
      <c r="R453" s="3" t="s">
        <v>70</v>
      </c>
      <c r="S453" s="4">
        <v>0</v>
      </c>
      <c r="T453" s="4">
        <v>0</v>
      </c>
      <c r="W453" s="5" t="s">
        <v>4625</v>
      </c>
      <c r="X453" s="5" t="s">
        <v>4625</v>
      </c>
      <c r="Y453" s="4">
        <v>6</v>
      </c>
      <c r="Z453" s="4">
        <v>1</v>
      </c>
      <c r="AA453" s="4">
        <v>22</v>
      </c>
      <c r="AB453" s="4">
        <v>1</v>
      </c>
      <c r="AC453" s="4">
        <v>3</v>
      </c>
      <c r="AD453" s="4">
        <v>5</v>
      </c>
      <c r="AE453" s="4">
        <v>76</v>
      </c>
      <c r="AF453" s="4">
        <v>0</v>
      </c>
      <c r="AG453" s="4">
        <v>1</v>
      </c>
      <c r="AH453" s="4">
        <v>5</v>
      </c>
      <c r="AI453" s="4">
        <v>68</v>
      </c>
      <c r="AJ453" s="4">
        <v>0</v>
      </c>
      <c r="AK453" s="4">
        <v>8</v>
      </c>
      <c r="AL453" s="4">
        <v>5</v>
      </c>
      <c r="AM453" s="4">
        <v>49</v>
      </c>
      <c r="AN453" s="4">
        <v>0</v>
      </c>
      <c r="AO453" s="4">
        <v>0</v>
      </c>
      <c r="AP453" s="4">
        <v>0</v>
      </c>
      <c r="AQ453" s="4">
        <v>8</v>
      </c>
      <c r="AR453" s="3" t="s">
        <v>64</v>
      </c>
      <c r="AS453" s="3" t="s">
        <v>64</v>
      </c>
      <c r="AT453" s="3" t="s">
        <v>64</v>
      </c>
      <c r="AV453" s="6" t="str">
        <f t="shared" si="6"/>
        <v>Catalog Record</v>
      </c>
      <c r="AW453" s="6" t="str">
        <f t="shared" si="7"/>
        <v>WorldCat Record</v>
      </c>
      <c r="AX453" s="3" t="s">
        <v>4626</v>
      </c>
      <c r="AY453" s="3" t="s">
        <v>4627</v>
      </c>
      <c r="AZ453" s="3" t="s">
        <v>4628</v>
      </c>
      <c r="BA453" s="3" t="s">
        <v>4628</v>
      </c>
      <c r="BB453" s="3" t="s">
        <v>4641</v>
      </c>
      <c r="BC453" s="3" t="s">
        <v>78</v>
      </c>
      <c r="BD453" s="3" t="s">
        <v>4630</v>
      </c>
      <c r="BE453" s="3" t="s">
        <v>4631</v>
      </c>
      <c r="BF453" s="3" t="s">
        <v>4641</v>
      </c>
      <c r="BG453" s="3" t="s">
        <v>4642</v>
      </c>
    </row>
    <row r="454" spans="1:59" ht="72.5" x14ac:dyDescent="0.35">
      <c r="A454" s="2" t="s">
        <v>59</v>
      </c>
      <c r="B454" s="2" t="s">
        <v>94</v>
      </c>
      <c r="C454" s="2" t="s">
        <v>4643</v>
      </c>
      <c r="D454" s="2" t="s">
        <v>4644</v>
      </c>
      <c r="E454" s="2" t="s">
        <v>4645</v>
      </c>
      <c r="G454" s="3" t="s">
        <v>64</v>
      </c>
      <c r="I454" s="3" t="s">
        <v>73</v>
      </c>
      <c r="J454" s="3" t="s">
        <v>73</v>
      </c>
      <c r="K454" s="3" t="s">
        <v>65</v>
      </c>
      <c r="L454" s="2" t="s">
        <v>4587</v>
      </c>
      <c r="M454" s="2" t="s">
        <v>4646</v>
      </c>
      <c r="N454" s="3" t="s">
        <v>303</v>
      </c>
      <c r="O454" s="2" t="s">
        <v>1294</v>
      </c>
      <c r="P454" s="3" t="s">
        <v>69</v>
      </c>
      <c r="Q454" s="2" t="s">
        <v>4647</v>
      </c>
      <c r="R454" s="3" t="s">
        <v>70</v>
      </c>
      <c r="S454" s="4">
        <v>46</v>
      </c>
      <c r="T454" s="4">
        <v>114</v>
      </c>
      <c r="U454" s="5" t="s">
        <v>4648</v>
      </c>
      <c r="V454" s="5" t="s">
        <v>4649</v>
      </c>
      <c r="W454" s="5" t="s">
        <v>72</v>
      </c>
      <c r="X454" s="5" t="s">
        <v>72</v>
      </c>
      <c r="Y454" s="4">
        <v>566</v>
      </c>
      <c r="Z454" s="4">
        <v>19</v>
      </c>
      <c r="AA454" s="4">
        <v>189</v>
      </c>
      <c r="AB454" s="4">
        <v>1</v>
      </c>
      <c r="AC454" s="4">
        <v>25</v>
      </c>
      <c r="AD454" s="4">
        <v>65</v>
      </c>
      <c r="AE454" s="4">
        <v>163</v>
      </c>
      <c r="AF454" s="4">
        <v>0</v>
      </c>
      <c r="AG454" s="4">
        <v>9</v>
      </c>
      <c r="AH454" s="4">
        <v>60</v>
      </c>
      <c r="AI454" s="4">
        <v>116</v>
      </c>
      <c r="AJ454" s="4">
        <v>7</v>
      </c>
      <c r="AK454" s="4">
        <v>29</v>
      </c>
      <c r="AL454" s="4">
        <v>32</v>
      </c>
      <c r="AM454" s="4">
        <v>62</v>
      </c>
      <c r="AN454" s="4">
        <v>0</v>
      </c>
      <c r="AO454" s="4">
        <v>0</v>
      </c>
      <c r="AP454" s="4">
        <v>9</v>
      </c>
      <c r="AQ454" s="4">
        <v>53</v>
      </c>
      <c r="AR454" s="3" t="s">
        <v>64</v>
      </c>
      <c r="AS454" s="3" t="s">
        <v>64</v>
      </c>
      <c r="AT454" s="3" t="s">
        <v>64</v>
      </c>
      <c r="AV454" s="6" t="str">
        <f>HYPERLINK("http://mcgill.on.worldcat.org/oclc/26929968","Catalog Record")</f>
        <v>Catalog Record</v>
      </c>
      <c r="AW454" s="6" t="str">
        <f>HYPERLINK("http://www.worldcat.org/oclc/26929968","WorldCat Record")</f>
        <v>WorldCat Record</v>
      </c>
      <c r="AX454" s="3" t="s">
        <v>4650</v>
      </c>
      <c r="AY454" s="3" t="s">
        <v>4651</v>
      </c>
      <c r="AZ454" s="3" t="s">
        <v>4652</v>
      </c>
      <c r="BA454" s="3" t="s">
        <v>4652</v>
      </c>
      <c r="BB454" s="3" t="s">
        <v>4653</v>
      </c>
      <c r="BC454" s="3" t="s">
        <v>78</v>
      </c>
      <c r="BD454" s="3" t="s">
        <v>3776</v>
      </c>
      <c r="BE454" s="3" t="s">
        <v>4654</v>
      </c>
      <c r="BF454" s="3" t="s">
        <v>4653</v>
      </c>
      <c r="BG454" s="3" t="s">
        <v>4655</v>
      </c>
    </row>
    <row r="455" spans="1:59" ht="72.5" x14ac:dyDescent="0.35">
      <c r="A455" s="2" t="s">
        <v>59</v>
      </c>
      <c r="B455" s="2" t="s">
        <v>94</v>
      </c>
      <c r="C455" s="2" t="s">
        <v>4643</v>
      </c>
      <c r="D455" s="2" t="s">
        <v>4644</v>
      </c>
      <c r="E455" s="2" t="s">
        <v>4645</v>
      </c>
      <c r="G455" s="3" t="s">
        <v>64</v>
      </c>
      <c r="I455" s="3" t="s">
        <v>73</v>
      </c>
      <c r="J455" s="3" t="s">
        <v>73</v>
      </c>
      <c r="K455" s="3" t="s">
        <v>65</v>
      </c>
      <c r="L455" s="2" t="s">
        <v>4587</v>
      </c>
      <c r="M455" s="2" t="s">
        <v>4646</v>
      </c>
      <c r="N455" s="3" t="s">
        <v>303</v>
      </c>
      <c r="O455" s="2" t="s">
        <v>1294</v>
      </c>
      <c r="P455" s="3" t="s">
        <v>69</v>
      </c>
      <c r="Q455" s="2" t="s">
        <v>4647</v>
      </c>
      <c r="R455" s="3" t="s">
        <v>70</v>
      </c>
      <c r="S455" s="4">
        <v>68</v>
      </c>
      <c r="T455" s="4">
        <v>114</v>
      </c>
      <c r="U455" s="5" t="s">
        <v>4649</v>
      </c>
      <c r="V455" s="5" t="s">
        <v>4649</v>
      </c>
      <c r="W455" s="5" t="s">
        <v>72</v>
      </c>
      <c r="X455" s="5" t="s">
        <v>72</v>
      </c>
      <c r="Y455" s="4">
        <v>566</v>
      </c>
      <c r="Z455" s="4">
        <v>19</v>
      </c>
      <c r="AA455" s="4">
        <v>189</v>
      </c>
      <c r="AB455" s="4">
        <v>1</v>
      </c>
      <c r="AC455" s="4">
        <v>25</v>
      </c>
      <c r="AD455" s="4">
        <v>65</v>
      </c>
      <c r="AE455" s="4">
        <v>163</v>
      </c>
      <c r="AF455" s="4">
        <v>0</v>
      </c>
      <c r="AG455" s="4">
        <v>9</v>
      </c>
      <c r="AH455" s="4">
        <v>60</v>
      </c>
      <c r="AI455" s="4">
        <v>116</v>
      </c>
      <c r="AJ455" s="4">
        <v>7</v>
      </c>
      <c r="AK455" s="4">
        <v>29</v>
      </c>
      <c r="AL455" s="4">
        <v>32</v>
      </c>
      <c r="AM455" s="4">
        <v>62</v>
      </c>
      <c r="AN455" s="4">
        <v>0</v>
      </c>
      <c r="AO455" s="4">
        <v>0</v>
      </c>
      <c r="AP455" s="4">
        <v>9</v>
      </c>
      <c r="AQ455" s="4">
        <v>53</v>
      </c>
      <c r="AR455" s="3" t="s">
        <v>64</v>
      </c>
      <c r="AS455" s="3" t="s">
        <v>64</v>
      </c>
      <c r="AT455" s="3" t="s">
        <v>64</v>
      </c>
      <c r="AV455" s="6" t="str">
        <f>HYPERLINK("http://mcgill.on.worldcat.org/oclc/26929968","Catalog Record")</f>
        <v>Catalog Record</v>
      </c>
      <c r="AW455" s="6" t="str">
        <f>HYPERLINK("http://www.worldcat.org/oclc/26929968","WorldCat Record")</f>
        <v>WorldCat Record</v>
      </c>
      <c r="AX455" s="3" t="s">
        <v>4650</v>
      </c>
      <c r="AY455" s="3" t="s">
        <v>4651</v>
      </c>
      <c r="AZ455" s="3" t="s">
        <v>4652</v>
      </c>
      <c r="BA455" s="3" t="s">
        <v>4652</v>
      </c>
      <c r="BB455" s="3" t="s">
        <v>4656</v>
      </c>
      <c r="BC455" s="3" t="s">
        <v>78</v>
      </c>
      <c r="BD455" s="3" t="s">
        <v>79</v>
      </c>
      <c r="BE455" s="3" t="s">
        <v>4654</v>
      </c>
      <c r="BF455" s="3" t="s">
        <v>4656</v>
      </c>
      <c r="BG455" s="3" t="s">
        <v>4657</v>
      </c>
    </row>
    <row r="456" spans="1:59" ht="58" x14ac:dyDescent="0.35">
      <c r="A456" s="2" t="s">
        <v>59</v>
      </c>
      <c r="B456" s="2" t="s">
        <v>94</v>
      </c>
      <c r="C456" s="2" t="s">
        <v>4658</v>
      </c>
      <c r="D456" s="2" t="s">
        <v>4659</v>
      </c>
      <c r="E456" s="2" t="s">
        <v>4660</v>
      </c>
      <c r="G456" s="3" t="s">
        <v>64</v>
      </c>
      <c r="I456" s="3" t="s">
        <v>64</v>
      </c>
      <c r="J456" s="3" t="s">
        <v>64</v>
      </c>
      <c r="K456" s="3" t="s">
        <v>65</v>
      </c>
      <c r="L456" s="2" t="s">
        <v>4587</v>
      </c>
      <c r="M456" s="2" t="s">
        <v>4661</v>
      </c>
      <c r="N456" s="3" t="s">
        <v>422</v>
      </c>
      <c r="P456" s="3" t="s">
        <v>69</v>
      </c>
      <c r="R456" s="3" t="s">
        <v>70</v>
      </c>
      <c r="S456" s="4">
        <v>2</v>
      </c>
      <c r="T456" s="4">
        <v>2</v>
      </c>
      <c r="U456" s="5" t="s">
        <v>4662</v>
      </c>
      <c r="V456" s="5" t="s">
        <v>4662</v>
      </c>
      <c r="W456" s="5" t="s">
        <v>72</v>
      </c>
      <c r="X456" s="5" t="s">
        <v>72</v>
      </c>
      <c r="Y456" s="4">
        <v>508</v>
      </c>
      <c r="Z456" s="4">
        <v>10</v>
      </c>
      <c r="AA456" s="4">
        <v>14</v>
      </c>
      <c r="AB456" s="4">
        <v>2</v>
      </c>
      <c r="AC456" s="4">
        <v>4</v>
      </c>
      <c r="AD456" s="4">
        <v>53</v>
      </c>
      <c r="AE456" s="4">
        <v>56</v>
      </c>
      <c r="AF456" s="4">
        <v>0</v>
      </c>
      <c r="AG456" s="4">
        <v>0</v>
      </c>
      <c r="AH456" s="4">
        <v>50</v>
      </c>
      <c r="AI456" s="4">
        <v>53</v>
      </c>
      <c r="AJ456" s="4">
        <v>0</v>
      </c>
      <c r="AK456" s="4">
        <v>0</v>
      </c>
      <c r="AL456" s="4">
        <v>33</v>
      </c>
      <c r="AM456" s="4">
        <v>34</v>
      </c>
      <c r="AN456" s="4">
        <v>0</v>
      </c>
      <c r="AO456" s="4">
        <v>0</v>
      </c>
      <c r="AP456" s="4">
        <v>1</v>
      </c>
      <c r="AQ456" s="4">
        <v>1</v>
      </c>
      <c r="AR456" s="3" t="s">
        <v>64</v>
      </c>
      <c r="AS456" s="3" t="s">
        <v>64</v>
      </c>
      <c r="AT456" s="3" t="s">
        <v>73</v>
      </c>
      <c r="AU456" s="6" t="str">
        <f>HYPERLINK("http://catalog.hathitrust.org/Record/004140178","HathiTrust Record")</f>
        <v>HathiTrust Record</v>
      </c>
      <c r="AV456" s="6" t="str">
        <f>HYPERLINK("http://mcgill.on.worldcat.org/oclc/44579045","Catalog Record")</f>
        <v>Catalog Record</v>
      </c>
      <c r="AW456" s="6" t="str">
        <f>HYPERLINK("http://www.worldcat.org/oclc/44579045","WorldCat Record")</f>
        <v>WorldCat Record</v>
      </c>
      <c r="AX456" s="3" t="s">
        <v>4663</v>
      </c>
      <c r="AY456" s="3" t="s">
        <v>4664</v>
      </c>
      <c r="AZ456" s="3" t="s">
        <v>4665</v>
      </c>
      <c r="BA456" s="3" t="s">
        <v>4665</v>
      </c>
      <c r="BB456" s="3" t="s">
        <v>4666</v>
      </c>
      <c r="BC456" s="3" t="s">
        <v>78</v>
      </c>
      <c r="BD456" s="3" t="s">
        <v>79</v>
      </c>
      <c r="BE456" s="3" t="s">
        <v>4667</v>
      </c>
      <c r="BF456" s="3" t="s">
        <v>4666</v>
      </c>
      <c r="BG456" s="3" t="s">
        <v>4668</v>
      </c>
    </row>
    <row r="457" spans="1:59" ht="58" x14ac:dyDescent="0.35">
      <c r="A457" s="2" t="s">
        <v>59</v>
      </c>
      <c r="B457" s="2" t="s">
        <v>94</v>
      </c>
      <c r="C457" s="2" t="s">
        <v>4669</v>
      </c>
      <c r="D457" s="2" t="s">
        <v>4670</v>
      </c>
      <c r="E457" s="2" t="s">
        <v>4671</v>
      </c>
      <c r="G457" s="3" t="s">
        <v>64</v>
      </c>
      <c r="I457" s="3" t="s">
        <v>64</v>
      </c>
      <c r="J457" s="3" t="s">
        <v>64</v>
      </c>
      <c r="K457" s="3" t="s">
        <v>65</v>
      </c>
      <c r="L457" s="2" t="s">
        <v>4587</v>
      </c>
      <c r="M457" s="2" t="s">
        <v>4672</v>
      </c>
      <c r="N457" s="3" t="s">
        <v>68</v>
      </c>
      <c r="P457" s="3" t="s">
        <v>69</v>
      </c>
      <c r="R457" s="3" t="s">
        <v>70</v>
      </c>
      <c r="S457" s="4">
        <v>43</v>
      </c>
      <c r="T457" s="4">
        <v>43</v>
      </c>
      <c r="U457" s="5" t="s">
        <v>3333</v>
      </c>
      <c r="V457" s="5" t="s">
        <v>3333</v>
      </c>
      <c r="W457" s="5" t="s">
        <v>72</v>
      </c>
      <c r="X457" s="5" t="s">
        <v>72</v>
      </c>
      <c r="Y457" s="4">
        <v>11</v>
      </c>
      <c r="Z457" s="4">
        <v>9</v>
      </c>
      <c r="AA457" s="4">
        <v>9</v>
      </c>
      <c r="AB457" s="4">
        <v>1</v>
      </c>
      <c r="AC457" s="4">
        <v>1</v>
      </c>
      <c r="AD457" s="4">
        <v>4</v>
      </c>
      <c r="AE457" s="4">
        <v>4</v>
      </c>
      <c r="AF457" s="4">
        <v>0</v>
      </c>
      <c r="AG457" s="4">
        <v>0</v>
      </c>
      <c r="AH457" s="4">
        <v>0</v>
      </c>
      <c r="AI457" s="4">
        <v>0</v>
      </c>
      <c r="AJ457" s="4">
        <v>2</v>
      </c>
      <c r="AK457" s="4">
        <v>2</v>
      </c>
      <c r="AL457" s="4">
        <v>0</v>
      </c>
      <c r="AM457" s="4">
        <v>0</v>
      </c>
      <c r="AN457" s="4">
        <v>0</v>
      </c>
      <c r="AO457" s="4">
        <v>0</v>
      </c>
      <c r="AP457" s="4">
        <v>3</v>
      </c>
      <c r="AQ457" s="4">
        <v>3</v>
      </c>
      <c r="AR457" s="3" t="s">
        <v>73</v>
      </c>
      <c r="AS457" s="3" t="s">
        <v>64</v>
      </c>
      <c r="AT457" s="3" t="s">
        <v>64</v>
      </c>
      <c r="AV457" s="6" t="str">
        <f>HYPERLINK("http://mcgill.on.worldcat.org/oclc/67400175","Catalog Record")</f>
        <v>Catalog Record</v>
      </c>
      <c r="AW457" s="6" t="str">
        <f>HYPERLINK("http://www.worldcat.org/oclc/67400175","WorldCat Record")</f>
        <v>WorldCat Record</v>
      </c>
      <c r="AX457" s="3" t="s">
        <v>4673</v>
      </c>
      <c r="AY457" s="3" t="s">
        <v>4674</v>
      </c>
      <c r="AZ457" s="3" t="s">
        <v>4675</v>
      </c>
      <c r="BA457" s="3" t="s">
        <v>4675</v>
      </c>
      <c r="BB457" s="3" t="s">
        <v>4676</v>
      </c>
      <c r="BC457" s="3" t="s">
        <v>78</v>
      </c>
      <c r="BD457" s="3" t="s">
        <v>79</v>
      </c>
      <c r="BE457" s="3" t="s">
        <v>4677</v>
      </c>
      <c r="BF457" s="3" t="s">
        <v>4676</v>
      </c>
      <c r="BG457" s="3" t="s">
        <v>4678</v>
      </c>
    </row>
    <row r="458" spans="1:59" ht="58" x14ac:dyDescent="0.35">
      <c r="A458" s="2" t="s">
        <v>59</v>
      </c>
      <c r="B458" s="2" t="s">
        <v>94</v>
      </c>
      <c r="C458" s="2" t="s">
        <v>4679</v>
      </c>
      <c r="D458" s="2" t="s">
        <v>4680</v>
      </c>
      <c r="E458" s="2" t="s">
        <v>4681</v>
      </c>
      <c r="G458" s="3" t="s">
        <v>64</v>
      </c>
      <c r="I458" s="3" t="s">
        <v>64</v>
      </c>
      <c r="J458" s="3" t="s">
        <v>73</v>
      </c>
      <c r="K458" s="3" t="s">
        <v>65</v>
      </c>
      <c r="L458" s="2" t="s">
        <v>4587</v>
      </c>
      <c r="M458" s="2" t="s">
        <v>4682</v>
      </c>
      <c r="N458" s="3" t="s">
        <v>538</v>
      </c>
      <c r="P458" s="3" t="s">
        <v>69</v>
      </c>
      <c r="Q458" s="2" t="s">
        <v>4683</v>
      </c>
      <c r="R458" s="3" t="s">
        <v>70</v>
      </c>
      <c r="S458" s="4">
        <v>25</v>
      </c>
      <c r="T458" s="4">
        <v>25</v>
      </c>
      <c r="U458" s="5" t="s">
        <v>4684</v>
      </c>
      <c r="V458" s="5" t="s">
        <v>4684</v>
      </c>
      <c r="W458" s="5" t="s">
        <v>4685</v>
      </c>
      <c r="X458" s="5" t="s">
        <v>4685</v>
      </c>
      <c r="Y458" s="4">
        <v>288</v>
      </c>
      <c r="Z458" s="4">
        <v>14</v>
      </c>
      <c r="AA458" s="4">
        <v>189</v>
      </c>
      <c r="AB458" s="4">
        <v>2</v>
      </c>
      <c r="AC458" s="4">
        <v>25</v>
      </c>
      <c r="AD458" s="4">
        <v>61</v>
      </c>
      <c r="AE458" s="4">
        <v>163</v>
      </c>
      <c r="AF458" s="4">
        <v>0</v>
      </c>
      <c r="AG458" s="4">
        <v>9</v>
      </c>
      <c r="AH458" s="4">
        <v>57</v>
      </c>
      <c r="AI458" s="4">
        <v>116</v>
      </c>
      <c r="AJ458" s="4">
        <v>7</v>
      </c>
      <c r="AK458" s="4">
        <v>29</v>
      </c>
      <c r="AL458" s="4">
        <v>35</v>
      </c>
      <c r="AM458" s="4">
        <v>62</v>
      </c>
      <c r="AN458" s="4">
        <v>0</v>
      </c>
      <c r="AO458" s="4">
        <v>15</v>
      </c>
      <c r="AP458" s="4">
        <v>7</v>
      </c>
      <c r="AQ458" s="4">
        <v>53</v>
      </c>
      <c r="AR458" s="3" t="s">
        <v>64</v>
      </c>
      <c r="AS458" s="3" t="s">
        <v>64</v>
      </c>
      <c r="AT458" s="3" t="s">
        <v>64</v>
      </c>
      <c r="AV458" s="6" t="str">
        <f>HYPERLINK("http://mcgill.on.worldcat.org/oclc/137325042","Catalog Record")</f>
        <v>Catalog Record</v>
      </c>
      <c r="AW458" s="6" t="str">
        <f>HYPERLINK("http://www.worldcat.org/oclc/137325042","WorldCat Record")</f>
        <v>WorldCat Record</v>
      </c>
      <c r="AX458" s="3" t="s">
        <v>4650</v>
      </c>
      <c r="AY458" s="3" t="s">
        <v>4686</v>
      </c>
      <c r="AZ458" s="3" t="s">
        <v>4687</v>
      </c>
      <c r="BA458" s="3" t="s">
        <v>4687</v>
      </c>
      <c r="BB458" s="3" t="s">
        <v>4688</v>
      </c>
      <c r="BC458" s="3" t="s">
        <v>78</v>
      </c>
      <c r="BD458" s="3" t="s">
        <v>414</v>
      </c>
      <c r="BE458" s="3" t="s">
        <v>4689</v>
      </c>
      <c r="BF458" s="3" t="s">
        <v>4688</v>
      </c>
      <c r="BG458" s="3" t="s">
        <v>4690</v>
      </c>
    </row>
    <row r="459" spans="1:59" ht="58" x14ac:dyDescent="0.35">
      <c r="A459" s="2" t="s">
        <v>59</v>
      </c>
      <c r="B459" s="2" t="s">
        <v>94</v>
      </c>
      <c r="C459" s="2" t="s">
        <v>4691</v>
      </c>
      <c r="D459" s="2" t="s">
        <v>4692</v>
      </c>
      <c r="E459" s="2" t="s">
        <v>4693</v>
      </c>
      <c r="G459" s="3" t="s">
        <v>64</v>
      </c>
      <c r="I459" s="3" t="s">
        <v>64</v>
      </c>
      <c r="J459" s="3" t="s">
        <v>64</v>
      </c>
      <c r="K459" s="3" t="s">
        <v>65</v>
      </c>
      <c r="L459" s="2" t="s">
        <v>4694</v>
      </c>
      <c r="M459" s="2" t="s">
        <v>4695</v>
      </c>
      <c r="N459" s="3" t="s">
        <v>214</v>
      </c>
      <c r="O459" s="2" t="s">
        <v>525</v>
      </c>
      <c r="P459" s="3" t="s">
        <v>69</v>
      </c>
      <c r="Q459" s="2" t="s">
        <v>4696</v>
      </c>
      <c r="R459" s="3" t="s">
        <v>70</v>
      </c>
      <c r="S459" s="4">
        <v>2</v>
      </c>
      <c r="T459" s="4">
        <v>2</v>
      </c>
      <c r="U459" s="5" t="s">
        <v>2760</v>
      </c>
      <c r="V459" s="5" t="s">
        <v>2760</v>
      </c>
      <c r="W459" s="5" t="s">
        <v>72</v>
      </c>
      <c r="X459" s="5" t="s">
        <v>72</v>
      </c>
      <c r="Y459" s="4">
        <v>32</v>
      </c>
      <c r="Z459" s="4">
        <v>2</v>
      </c>
      <c r="AA459" s="4">
        <v>2</v>
      </c>
      <c r="AB459" s="4">
        <v>1</v>
      </c>
      <c r="AC459" s="4">
        <v>1</v>
      </c>
      <c r="AD459" s="4">
        <v>11</v>
      </c>
      <c r="AE459" s="4">
        <v>11</v>
      </c>
      <c r="AF459" s="4">
        <v>0</v>
      </c>
      <c r="AG459" s="4">
        <v>0</v>
      </c>
      <c r="AH459" s="4">
        <v>10</v>
      </c>
      <c r="AI459" s="4">
        <v>10</v>
      </c>
      <c r="AJ459" s="4">
        <v>1</v>
      </c>
      <c r="AK459" s="4">
        <v>1</v>
      </c>
      <c r="AL459" s="4">
        <v>6</v>
      </c>
      <c r="AM459" s="4">
        <v>6</v>
      </c>
      <c r="AN459" s="4">
        <v>0</v>
      </c>
      <c r="AO459" s="4">
        <v>0</v>
      </c>
      <c r="AP459" s="4">
        <v>1</v>
      </c>
      <c r="AQ459" s="4">
        <v>1</v>
      </c>
      <c r="AR459" s="3" t="s">
        <v>64</v>
      </c>
      <c r="AS459" s="3" t="s">
        <v>64</v>
      </c>
      <c r="AT459" s="3" t="s">
        <v>64</v>
      </c>
      <c r="AV459" s="6" t="str">
        <f>HYPERLINK("http://mcgill.on.worldcat.org/oclc/770366099","Catalog Record")</f>
        <v>Catalog Record</v>
      </c>
      <c r="AW459" s="6" t="str">
        <f>HYPERLINK("http://www.worldcat.org/oclc/770366099","WorldCat Record")</f>
        <v>WorldCat Record</v>
      </c>
      <c r="AX459" s="3" t="s">
        <v>4697</v>
      </c>
      <c r="AY459" s="3" t="s">
        <v>4698</v>
      </c>
      <c r="AZ459" s="3" t="s">
        <v>4699</v>
      </c>
      <c r="BA459" s="3" t="s">
        <v>4699</v>
      </c>
      <c r="BB459" s="3" t="s">
        <v>4700</v>
      </c>
      <c r="BC459" s="3" t="s">
        <v>78</v>
      </c>
      <c r="BD459" s="3" t="s">
        <v>79</v>
      </c>
      <c r="BE459" s="3" t="s">
        <v>4701</v>
      </c>
      <c r="BF459" s="3" t="s">
        <v>4700</v>
      </c>
      <c r="BG459" s="3" t="s">
        <v>4702</v>
      </c>
    </row>
    <row r="460" spans="1:59" ht="58" x14ac:dyDescent="0.35">
      <c r="A460" s="2" t="s">
        <v>59</v>
      </c>
      <c r="B460" s="2" t="s">
        <v>94</v>
      </c>
      <c r="C460" s="2" t="s">
        <v>4703</v>
      </c>
      <c r="D460" s="2" t="s">
        <v>4704</v>
      </c>
      <c r="E460" s="2" t="s">
        <v>4705</v>
      </c>
      <c r="G460" s="3" t="s">
        <v>64</v>
      </c>
      <c r="I460" s="3" t="s">
        <v>64</v>
      </c>
      <c r="J460" s="3" t="s">
        <v>73</v>
      </c>
      <c r="K460" s="3" t="s">
        <v>65</v>
      </c>
      <c r="L460" s="2" t="s">
        <v>4587</v>
      </c>
      <c r="M460" s="2" t="s">
        <v>4706</v>
      </c>
      <c r="N460" s="3" t="s">
        <v>377</v>
      </c>
      <c r="P460" s="3" t="s">
        <v>69</v>
      </c>
      <c r="R460" s="3" t="s">
        <v>70</v>
      </c>
      <c r="S460" s="4">
        <v>22</v>
      </c>
      <c r="T460" s="4">
        <v>22</v>
      </c>
      <c r="U460" s="5" t="s">
        <v>4707</v>
      </c>
      <c r="V460" s="5" t="s">
        <v>4707</v>
      </c>
      <c r="W460" s="5" t="s">
        <v>72</v>
      </c>
      <c r="X460" s="5" t="s">
        <v>72</v>
      </c>
      <c r="Y460" s="4">
        <v>47</v>
      </c>
      <c r="Z460" s="4">
        <v>2</v>
      </c>
      <c r="AA460" s="4">
        <v>189</v>
      </c>
      <c r="AB460" s="4">
        <v>1</v>
      </c>
      <c r="AC460" s="4">
        <v>25</v>
      </c>
      <c r="AD460" s="4">
        <v>8</v>
      </c>
      <c r="AE460" s="4">
        <v>163</v>
      </c>
      <c r="AF460" s="4">
        <v>0</v>
      </c>
      <c r="AG460" s="4">
        <v>9</v>
      </c>
      <c r="AH460" s="4">
        <v>8</v>
      </c>
      <c r="AI460" s="4">
        <v>116</v>
      </c>
      <c r="AJ460" s="4">
        <v>1</v>
      </c>
      <c r="AK460" s="4">
        <v>29</v>
      </c>
      <c r="AL460" s="4">
        <v>6</v>
      </c>
      <c r="AM460" s="4">
        <v>62</v>
      </c>
      <c r="AN460" s="4">
        <v>0</v>
      </c>
      <c r="AO460" s="4">
        <v>15</v>
      </c>
      <c r="AP460" s="4">
        <v>1</v>
      </c>
      <c r="AQ460" s="4">
        <v>53</v>
      </c>
      <c r="AR460" s="3" t="s">
        <v>64</v>
      </c>
      <c r="AS460" s="3" t="s">
        <v>64</v>
      </c>
      <c r="AT460" s="3" t="s">
        <v>64</v>
      </c>
      <c r="AV460" s="6" t="str">
        <f>HYPERLINK("http://mcgill.on.worldcat.org/oclc/778327363","Catalog Record")</f>
        <v>Catalog Record</v>
      </c>
      <c r="AW460" s="6" t="str">
        <f>HYPERLINK("http://www.worldcat.org/oclc/778327363","WorldCat Record")</f>
        <v>WorldCat Record</v>
      </c>
      <c r="AX460" s="3" t="s">
        <v>4650</v>
      </c>
      <c r="AY460" s="3" t="s">
        <v>4708</v>
      </c>
      <c r="AZ460" s="3" t="s">
        <v>4709</v>
      </c>
      <c r="BA460" s="3" t="s">
        <v>4709</v>
      </c>
      <c r="BB460" s="3" t="s">
        <v>4710</v>
      </c>
      <c r="BC460" s="3" t="s">
        <v>78</v>
      </c>
      <c r="BD460" s="3" t="s">
        <v>414</v>
      </c>
      <c r="BE460" s="3" t="s">
        <v>4711</v>
      </c>
      <c r="BF460" s="3" t="s">
        <v>4710</v>
      </c>
      <c r="BG460" s="3" t="s">
        <v>4712</v>
      </c>
    </row>
    <row r="461" spans="1:59" ht="116" x14ac:dyDescent="0.35">
      <c r="A461" s="2" t="s">
        <v>59</v>
      </c>
      <c r="B461" s="2" t="s">
        <v>3778</v>
      </c>
      <c r="C461" s="2" t="s">
        <v>4713</v>
      </c>
      <c r="D461" s="2" t="s">
        <v>4714</v>
      </c>
      <c r="E461" s="2" t="s">
        <v>4715</v>
      </c>
      <c r="G461" s="3" t="s">
        <v>64</v>
      </c>
      <c r="I461" s="3" t="s">
        <v>64</v>
      </c>
      <c r="J461" s="3" t="s">
        <v>64</v>
      </c>
      <c r="K461" s="3" t="s">
        <v>65</v>
      </c>
      <c r="L461" s="2" t="s">
        <v>4622</v>
      </c>
      <c r="M461" s="2" t="s">
        <v>4716</v>
      </c>
      <c r="N461" s="3" t="s">
        <v>1813</v>
      </c>
      <c r="O461" s="2" t="s">
        <v>4717</v>
      </c>
      <c r="P461" s="3" t="s">
        <v>3784</v>
      </c>
      <c r="R461" s="3" t="s">
        <v>70</v>
      </c>
      <c r="S461" s="4">
        <v>0</v>
      </c>
      <c r="T461" s="4">
        <v>0</v>
      </c>
      <c r="W461" s="5" t="s">
        <v>72</v>
      </c>
      <c r="X461" s="5" t="s">
        <v>72</v>
      </c>
      <c r="Y461" s="4">
        <v>19</v>
      </c>
      <c r="Z461" s="4">
        <v>1</v>
      </c>
      <c r="AA461" s="4">
        <v>1</v>
      </c>
      <c r="AB461" s="4">
        <v>1</v>
      </c>
      <c r="AC461" s="4">
        <v>1</v>
      </c>
      <c r="AD461" s="4">
        <v>1</v>
      </c>
      <c r="AE461" s="4">
        <v>1</v>
      </c>
      <c r="AF461" s="4">
        <v>0</v>
      </c>
      <c r="AG461" s="4">
        <v>0</v>
      </c>
      <c r="AH461" s="4">
        <v>1</v>
      </c>
      <c r="AI461" s="4">
        <v>1</v>
      </c>
      <c r="AJ461" s="4">
        <v>0</v>
      </c>
      <c r="AK461" s="4">
        <v>0</v>
      </c>
      <c r="AL461" s="4">
        <v>1</v>
      </c>
      <c r="AM461" s="4">
        <v>1</v>
      </c>
      <c r="AN461" s="4">
        <v>0</v>
      </c>
      <c r="AO461" s="4">
        <v>0</v>
      </c>
      <c r="AP461" s="4">
        <v>0</v>
      </c>
      <c r="AQ461" s="4">
        <v>0</v>
      </c>
      <c r="AR461" s="3" t="s">
        <v>64</v>
      </c>
      <c r="AS461" s="3" t="s">
        <v>64</v>
      </c>
      <c r="AT461" s="3" t="s">
        <v>64</v>
      </c>
      <c r="AV461" s="6" t="str">
        <f>HYPERLINK("http://mcgill.on.worldcat.org/oclc/965308697","Catalog Record")</f>
        <v>Catalog Record</v>
      </c>
      <c r="AW461" s="6" t="str">
        <f>HYPERLINK("http://www.worldcat.org/oclc/965308697","WorldCat Record")</f>
        <v>WorldCat Record</v>
      </c>
      <c r="AX461" s="3" t="s">
        <v>4718</v>
      </c>
      <c r="AY461" s="3" t="s">
        <v>4719</v>
      </c>
      <c r="AZ461" s="3" t="s">
        <v>4720</v>
      </c>
      <c r="BA461" s="3" t="s">
        <v>4720</v>
      </c>
      <c r="BB461" s="3" t="s">
        <v>4721</v>
      </c>
      <c r="BC461" s="3" t="s">
        <v>78</v>
      </c>
      <c r="BD461" s="3" t="s">
        <v>79</v>
      </c>
      <c r="BE461" s="3" t="s">
        <v>4722</v>
      </c>
      <c r="BF461" s="3" t="s">
        <v>4721</v>
      </c>
      <c r="BG461" s="3" t="s">
        <v>4723</v>
      </c>
    </row>
    <row r="462" spans="1:59" ht="116" x14ac:dyDescent="0.35">
      <c r="A462" s="2" t="s">
        <v>59</v>
      </c>
      <c r="B462" s="2" t="s">
        <v>3778</v>
      </c>
      <c r="C462" s="2" t="s">
        <v>4724</v>
      </c>
      <c r="D462" s="2" t="s">
        <v>4725</v>
      </c>
      <c r="E462" s="2" t="s">
        <v>4726</v>
      </c>
      <c r="G462" s="3" t="s">
        <v>64</v>
      </c>
      <c r="I462" s="3" t="s">
        <v>64</v>
      </c>
      <c r="J462" s="3" t="s">
        <v>64</v>
      </c>
      <c r="K462" s="3" t="s">
        <v>65</v>
      </c>
      <c r="L462" s="2" t="s">
        <v>4727</v>
      </c>
      <c r="M462" s="2" t="s">
        <v>4728</v>
      </c>
      <c r="N462" s="3" t="s">
        <v>68</v>
      </c>
      <c r="O462" s="2" t="s">
        <v>4729</v>
      </c>
      <c r="P462" s="3" t="s">
        <v>3784</v>
      </c>
      <c r="R462" s="3" t="s">
        <v>70</v>
      </c>
      <c r="S462" s="4">
        <v>3</v>
      </c>
      <c r="T462" s="4">
        <v>3</v>
      </c>
      <c r="U462" s="5" t="s">
        <v>4730</v>
      </c>
      <c r="V462" s="5" t="s">
        <v>4730</v>
      </c>
      <c r="W462" s="5" t="s">
        <v>72</v>
      </c>
      <c r="X462" s="5" t="s">
        <v>72</v>
      </c>
      <c r="Y462" s="4">
        <v>31</v>
      </c>
      <c r="Z462" s="4">
        <v>3</v>
      </c>
      <c r="AA462" s="4">
        <v>3</v>
      </c>
      <c r="AB462" s="4">
        <v>1</v>
      </c>
      <c r="AC462" s="4">
        <v>1</v>
      </c>
      <c r="AD462" s="4">
        <v>19</v>
      </c>
      <c r="AE462" s="4">
        <v>19</v>
      </c>
      <c r="AF462" s="4">
        <v>0</v>
      </c>
      <c r="AG462" s="4">
        <v>0</v>
      </c>
      <c r="AH462" s="4">
        <v>18</v>
      </c>
      <c r="AI462" s="4">
        <v>18</v>
      </c>
      <c r="AJ462" s="4">
        <v>1</v>
      </c>
      <c r="AK462" s="4">
        <v>1</v>
      </c>
      <c r="AL462" s="4">
        <v>14</v>
      </c>
      <c r="AM462" s="4">
        <v>14</v>
      </c>
      <c r="AN462" s="4">
        <v>0</v>
      </c>
      <c r="AO462" s="4">
        <v>0</v>
      </c>
      <c r="AP462" s="4">
        <v>1</v>
      </c>
      <c r="AQ462" s="4">
        <v>1</v>
      </c>
      <c r="AR462" s="3" t="s">
        <v>64</v>
      </c>
      <c r="AS462" s="3" t="s">
        <v>64</v>
      </c>
      <c r="AT462" s="3" t="s">
        <v>64</v>
      </c>
      <c r="AV462" s="6" t="str">
        <f>HYPERLINK("http://mcgill.on.worldcat.org/oclc/70248257","Catalog Record")</f>
        <v>Catalog Record</v>
      </c>
      <c r="AW462" s="6" t="str">
        <f>HYPERLINK("http://www.worldcat.org/oclc/70248257","WorldCat Record")</f>
        <v>WorldCat Record</v>
      </c>
      <c r="AX462" s="3" t="s">
        <v>4731</v>
      </c>
      <c r="AY462" s="3" t="s">
        <v>4732</v>
      </c>
      <c r="AZ462" s="3" t="s">
        <v>4733</v>
      </c>
      <c r="BA462" s="3" t="s">
        <v>4733</v>
      </c>
      <c r="BB462" s="3" t="s">
        <v>4734</v>
      </c>
      <c r="BC462" s="3" t="s">
        <v>78</v>
      </c>
      <c r="BD462" s="3" t="s">
        <v>79</v>
      </c>
      <c r="BE462" s="3" t="s">
        <v>4735</v>
      </c>
      <c r="BF462" s="3" t="s">
        <v>4734</v>
      </c>
      <c r="BG462" s="3" t="s">
        <v>4736</v>
      </c>
    </row>
    <row r="463" spans="1:59" ht="116" x14ac:dyDescent="0.35">
      <c r="A463" s="2" t="s">
        <v>59</v>
      </c>
      <c r="B463" s="2" t="s">
        <v>3778</v>
      </c>
      <c r="C463" s="2" t="s">
        <v>4737</v>
      </c>
      <c r="D463" s="2" t="s">
        <v>4738</v>
      </c>
      <c r="E463" s="2" t="s">
        <v>4739</v>
      </c>
      <c r="G463" s="3" t="s">
        <v>64</v>
      </c>
      <c r="I463" s="3" t="s">
        <v>64</v>
      </c>
      <c r="J463" s="3" t="s">
        <v>64</v>
      </c>
      <c r="K463" s="3" t="s">
        <v>65</v>
      </c>
      <c r="L463" s="2" t="s">
        <v>4727</v>
      </c>
      <c r="M463" s="2" t="s">
        <v>4740</v>
      </c>
      <c r="N463" s="3" t="s">
        <v>214</v>
      </c>
      <c r="O463" s="2" t="s">
        <v>3783</v>
      </c>
      <c r="P463" s="3" t="s">
        <v>3784</v>
      </c>
      <c r="Q463" s="2" t="s">
        <v>4741</v>
      </c>
      <c r="R463" s="3" t="s">
        <v>70</v>
      </c>
      <c r="S463" s="4">
        <v>1</v>
      </c>
      <c r="T463" s="4">
        <v>1</v>
      </c>
      <c r="U463" s="5" t="s">
        <v>4742</v>
      </c>
      <c r="V463" s="5" t="s">
        <v>4742</v>
      </c>
      <c r="W463" s="5" t="s">
        <v>72</v>
      </c>
      <c r="X463" s="5" t="s">
        <v>72</v>
      </c>
      <c r="Y463" s="4">
        <v>23</v>
      </c>
      <c r="Z463" s="4">
        <v>1</v>
      </c>
      <c r="AA463" s="4">
        <v>4</v>
      </c>
      <c r="AB463" s="4">
        <v>1</v>
      </c>
      <c r="AC463" s="4">
        <v>1</v>
      </c>
      <c r="AD463" s="4">
        <v>9</v>
      </c>
      <c r="AE463" s="4">
        <v>26</v>
      </c>
      <c r="AF463" s="4">
        <v>0</v>
      </c>
      <c r="AG463" s="4">
        <v>0</v>
      </c>
      <c r="AH463" s="4">
        <v>8</v>
      </c>
      <c r="AI463" s="4">
        <v>25</v>
      </c>
      <c r="AJ463" s="4">
        <v>0</v>
      </c>
      <c r="AK463" s="4">
        <v>2</v>
      </c>
      <c r="AL463" s="4">
        <v>8</v>
      </c>
      <c r="AM463" s="4">
        <v>22</v>
      </c>
      <c r="AN463" s="4">
        <v>0</v>
      </c>
      <c r="AO463" s="4">
        <v>0</v>
      </c>
      <c r="AP463" s="4">
        <v>0</v>
      </c>
      <c r="AQ463" s="4">
        <v>2</v>
      </c>
      <c r="AR463" s="3" t="s">
        <v>64</v>
      </c>
      <c r="AS463" s="3" t="s">
        <v>64</v>
      </c>
      <c r="AT463" s="3" t="s">
        <v>64</v>
      </c>
      <c r="AV463" s="6" t="str">
        <f>HYPERLINK("http://mcgill.on.worldcat.org/oclc/604530553","Catalog Record")</f>
        <v>Catalog Record</v>
      </c>
      <c r="AW463" s="6" t="str">
        <f>HYPERLINK("http://www.worldcat.org/oclc/604530553","WorldCat Record")</f>
        <v>WorldCat Record</v>
      </c>
      <c r="AX463" s="3" t="s">
        <v>4743</v>
      </c>
      <c r="AY463" s="3" t="s">
        <v>4744</v>
      </c>
      <c r="AZ463" s="3" t="s">
        <v>4745</v>
      </c>
      <c r="BA463" s="3" t="s">
        <v>4745</v>
      </c>
      <c r="BB463" s="3" t="s">
        <v>4746</v>
      </c>
      <c r="BC463" s="3" t="s">
        <v>78</v>
      </c>
      <c r="BD463" s="3" t="s">
        <v>79</v>
      </c>
      <c r="BE463" s="3" t="s">
        <v>4747</v>
      </c>
      <c r="BF463" s="3" t="s">
        <v>4746</v>
      </c>
      <c r="BG463" s="3" t="s">
        <v>4748</v>
      </c>
    </row>
    <row r="464" spans="1:59" ht="116" x14ac:dyDescent="0.35">
      <c r="A464" s="2" t="s">
        <v>59</v>
      </c>
      <c r="B464" s="2" t="s">
        <v>3778</v>
      </c>
      <c r="C464" s="2" t="s">
        <v>4749</v>
      </c>
      <c r="D464" s="2" t="s">
        <v>4750</v>
      </c>
      <c r="E464" s="2" t="s">
        <v>4751</v>
      </c>
      <c r="G464" s="3" t="s">
        <v>64</v>
      </c>
      <c r="I464" s="3" t="s">
        <v>64</v>
      </c>
      <c r="J464" s="3" t="s">
        <v>64</v>
      </c>
      <c r="K464" s="3" t="s">
        <v>65</v>
      </c>
      <c r="M464" s="2" t="s">
        <v>4752</v>
      </c>
      <c r="N464" s="3" t="s">
        <v>377</v>
      </c>
      <c r="P464" s="3" t="s">
        <v>3784</v>
      </c>
      <c r="Q464" s="2" t="s">
        <v>4753</v>
      </c>
      <c r="R464" s="3" t="s">
        <v>70</v>
      </c>
      <c r="S464" s="4">
        <v>0</v>
      </c>
      <c r="T464" s="4">
        <v>0</v>
      </c>
      <c r="W464" s="5" t="s">
        <v>72</v>
      </c>
      <c r="X464" s="5" t="s">
        <v>72</v>
      </c>
      <c r="Y464" s="4">
        <v>4</v>
      </c>
      <c r="Z464" s="4">
        <v>1</v>
      </c>
      <c r="AA464" s="4">
        <v>1</v>
      </c>
      <c r="AB464" s="4">
        <v>1</v>
      </c>
      <c r="AC464" s="4">
        <v>1</v>
      </c>
      <c r="AD464" s="4">
        <v>1</v>
      </c>
      <c r="AE464" s="4">
        <v>1</v>
      </c>
      <c r="AF464" s="4">
        <v>0</v>
      </c>
      <c r="AG464" s="4">
        <v>0</v>
      </c>
      <c r="AH464" s="4">
        <v>1</v>
      </c>
      <c r="AI464" s="4">
        <v>1</v>
      </c>
      <c r="AJ464" s="4">
        <v>0</v>
      </c>
      <c r="AK464" s="4">
        <v>0</v>
      </c>
      <c r="AL464" s="4">
        <v>1</v>
      </c>
      <c r="AM464" s="4">
        <v>1</v>
      </c>
      <c r="AN464" s="4">
        <v>0</v>
      </c>
      <c r="AO464" s="4">
        <v>0</v>
      </c>
      <c r="AP464" s="4">
        <v>0</v>
      </c>
      <c r="AQ464" s="4">
        <v>0</v>
      </c>
      <c r="AR464" s="3" t="s">
        <v>64</v>
      </c>
      <c r="AS464" s="3" t="s">
        <v>64</v>
      </c>
      <c r="AT464" s="3" t="s">
        <v>64</v>
      </c>
      <c r="AV464" s="6" t="str">
        <f>HYPERLINK("http://mcgill.on.worldcat.org/oclc/823375505","Catalog Record")</f>
        <v>Catalog Record</v>
      </c>
      <c r="AW464" s="6" t="str">
        <f>HYPERLINK("http://www.worldcat.org/oclc/823375505","WorldCat Record")</f>
        <v>WorldCat Record</v>
      </c>
      <c r="AX464" s="3" t="s">
        <v>4754</v>
      </c>
      <c r="AY464" s="3" t="s">
        <v>4755</v>
      </c>
      <c r="AZ464" s="3" t="s">
        <v>4756</v>
      </c>
      <c r="BA464" s="3" t="s">
        <v>4756</v>
      </c>
      <c r="BB464" s="3" t="s">
        <v>4757</v>
      </c>
      <c r="BC464" s="3" t="s">
        <v>78</v>
      </c>
      <c r="BD464" s="3" t="s">
        <v>79</v>
      </c>
      <c r="BE464" s="3" t="s">
        <v>4758</v>
      </c>
      <c r="BF464" s="3" t="s">
        <v>4757</v>
      </c>
      <c r="BG464" s="3" t="s">
        <v>4759</v>
      </c>
    </row>
    <row r="465" spans="1:59" ht="116" x14ac:dyDescent="0.35">
      <c r="A465" s="2" t="s">
        <v>59</v>
      </c>
      <c r="B465" s="2" t="s">
        <v>3778</v>
      </c>
      <c r="C465" s="2" t="s">
        <v>4760</v>
      </c>
      <c r="D465" s="2" t="s">
        <v>4761</v>
      </c>
      <c r="E465" s="2" t="s">
        <v>4762</v>
      </c>
      <c r="G465" s="3" t="s">
        <v>64</v>
      </c>
      <c r="I465" s="3" t="s">
        <v>64</v>
      </c>
      <c r="J465" s="3" t="s">
        <v>64</v>
      </c>
      <c r="K465" s="3" t="s">
        <v>65</v>
      </c>
      <c r="L465" s="2" t="s">
        <v>4763</v>
      </c>
      <c r="M465" s="2" t="s">
        <v>4764</v>
      </c>
      <c r="N465" s="3" t="s">
        <v>328</v>
      </c>
      <c r="O465" s="2" t="s">
        <v>4729</v>
      </c>
      <c r="P465" s="3" t="s">
        <v>3784</v>
      </c>
      <c r="R465" s="3" t="s">
        <v>70</v>
      </c>
      <c r="S465" s="4">
        <v>0</v>
      </c>
      <c r="T465" s="4">
        <v>0</v>
      </c>
      <c r="W465" s="5" t="s">
        <v>72</v>
      </c>
      <c r="X465" s="5" t="s">
        <v>72</v>
      </c>
      <c r="Y465" s="4">
        <v>16</v>
      </c>
      <c r="Z465" s="4">
        <v>3</v>
      </c>
      <c r="AA465" s="4">
        <v>3</v>
      </c>
      <c r="AB465" s="4">
        <v>1</v>
      </c>
      <c r="AC465" s="4">
        <v>1</v>
      </c>
      <c r="AD465" s="4">
        <v>10</v>
      </c>
      <c r="AE465" s="4">
        <v>10</v>
      </c>
      <c r="AF465" s="4">
        <v>0</v>
      </c>
      <c r="AG465" s="4">
        <v>0</v>
      </c>
      <c r="AH465" s="4">
        <v>10</v>
      </c>
      <c r="AI465" s="4">
        <v>10</v>
      </c>
      <c r="AJ465" s="4">
        <v>1</v>
      </c>
      <c r="AK465" s="4">
        <v>1</v>
      </c>
      <c r="AL465" s="4">
        <v>8</v>
      </c>
      <c r="AM465" s="4">
        <v>8</v>
      </c>
      <c r="AN465" s="4">
        <v>0</v>
      </c>
      <c r="AO465" s="4">
        <v>0</v>
      </c>
      <c r="AP465" s="4">
        <v>1</v>
      </c>
      <c r="AQ465" s="4">
        <v>1</v>
      </c>
      <c r="AR465" s="3" t="s">
        <v>64</v>
      </c>
      <c r="AS465" s="3" t="s">
        <v>64</v>
      </c>
      <c r="AT465" s="3" t="s">
        <v>64</v>
      </c>
      <c r="AV465" s="6" t="str">
        <f>HYPERLINK("http://mcgill.on.worldcat.org/oclc/712856032","Catalog Record")</f>
        <v>Catalog Record</v>
      </c>
      <c r="AW465" s="6" t="str">
        <f>HYPERLINK("http://www.worldcat.org/oclc/712856032","WorldCat Record")</f>
        <v>WorldCat Record</v>
      </c>
      <c r="AX465" s="3" t="s">
        <v>4765</v>
      </c>
      <c r="AY465" s="3" t="s">
        <v>4766</v>
      </c>
      <c r="AZ465" s="3" t="s">
        <v>4767</v>
      </c>
      <c r="BA465" s="3" t="s">
        <v>4767</v>
      </c>
      <c r="BB465" s="3" t="s">
        <v>4768</v>
      </c>
      <c r="BC465" s="3" t="s">
        <v>78</v>
      </c>
      <c r="BD465" s="3" t="s">
        <v>79</v>
      </c>
      <c r="BE465" s="3" t="s">
        <v>4769</v>
      </c>
      <c r="BF465" s="3" t="s">
        <v>4768</v>
      </c>
      <c r="BG465" s="3" t="s">
        <v>4770</v>
      </c>
    </row>
    <row r="466" spans="1:59" ht="58" x14ac:dyDescent="0.35">
      <c r="A466" s="2" t="s">
        <v>59</v>
      </c>
      <c r="B466" s="2" t="s">
        <v>94</v>
      </c>
      <c r="C466" s="2" t="s">
        <v>4771</v>
      </c>
      <c r="D466" s="2" t="s">
        <v>4772</v>
      </c>
      <c r="E466" s="2" t="s">
        <v>4773</v>
      </c>
      <c r="G466" s="3" t="s">
        <v>64</v>
      </c>
      <c r="I466" s="3" t="s">
        <v>64</v>
      </c>
      <c r="J466" s="3" t="s">
        <v>64</v>
      </c>
      <c r="K466" s="3" t="s">
        <v>65</v>
      </c>
      <c r="L466" s="2" t="s">
        <v>4774</v>
      </c>
      <c r="M466" s="2" t="s">
        <v>4775</v>
      </c>
      <c r="N466" s="3" t="s">
        <v>538</v>
      </c>
      <c r="O466" s="2" t="s">
        <v>3783</v>
      </c>
      <c r="P466" s="3" t="s">
        <v>69</v>
      </c>
      <c r="Q466" s="2" t="s">
        <v>4776</v>
      </c>
      <c r="R466" s="3" t="s">
        <v>70</v>
      </c>
      <c r="S466" s="4">
        <v>5</v>
      </c>
      <c r="T466" s="4">
        <v>5</v>
      </c>
      <c r="U466" s="5" t="s">
        <v>4777</v>
      </c>
      <c r="V466" s="5" t="s">
        <v>4777</v>
      </c>
      <c r="W466" s="5" t="s">
        <v>72</v>
      </c>
      <c r="X466" s="5" t="s">
        <v>72</v>
      </c>
      <c r="Y466" s="4">
        <v>60</v>
      </c>
      <c r="Z466" s="4">
        <v>5</v>
      </c>
      <c r="AA466" s="4">
        <v>5</v>
      </c>
      <c r="AB466" s="4">
        <v>1</v>
      </c>
      <c r="AC466" s="4">
        <v>1</v>
      </c>
      <c r="AD466" s="4">
        <v>12</v>
      </c>
      <c r="AE466" s="4">
        <v>12</v>
      </c>
      <c r="AF466" s="4">
        <v>0</v>
      </c>
      <c r="AG466" s="4">
        <v>0</v>
      </c>
      <c r="AH466" s="4">
        <v>10</v>
      </c>
      <c r="AI466" s="4">
        <v>10</v>
      </c>
      <c r="AJ466" s="4">
        <v>3</v>
      </c>
      <c r="AK466" s="4">
        <v>3</v>
      </c>
      <c r="AL466" s="4">
        <v>7</v>
      </c>
      <c r="AM466" s="4">
        <v>7</v>
      </c>
      <c r="AN466" s="4">
        <v>0</v>
      </c>
      <c r="AO466" s="4">
        <v>0</v>
      </c>
      <c r="AP466" s="4">
        <v>3</v>
      </c>
      <c r="AQ466" s="4">
        <v>3</v>
      </c>
      <c r="AR466" s="3" t="s">
        <v>64</v>
      </c>
      <c r="AS466" s="3" t="s">
        <v>64</v>
      </c>
      <c r="AT466" s="3" t="s">
        <v>64</v>
      </c>
      <c r="AV466" s="6" t="str">
        <f>HYPERLINK("http://mcgill.on.worldcat.org/oclc/180188398","Catalog Record")</f>
        <v>Catalog Record</v>
      </c>
      <c r="AW466" s="6" t="str">
        <f>HYPERLINK("http://www.worldcat.org/oclc/180188398","WorldCat Record")</f>
        <v>WorldCat Record</v>
      </c>
      <c r="AX466" s="3" t="s">
        <v>4778</v>
      </c>
      <c r="AY466" s="3" t="s">
        <v>4779</v>
      </c>
      <c r="AZ466" s="3" t="s">
        <v>4780</v>
      </c>
      <c r="BA466" s="3" t="s">
        <v>4780</v>
      </c>
      <c r="BB466" s="3" t="s">
        <v>4781</v>
      </c>
      <c r="BC466" s="3" t="s">
        <v>78</v>
      </c>
      <c r="BD466" s="3" t="s">
        <v>79</v>
      </c>
      <c r="BE466" s="3" t="s">
        <v>4782</v>
      </c>
      <c r="BF466" s="3" t="s">
        <v>4781</v>
      </c>
      <c r="BG466" s="3" t="s">
        <v>4783</v>
      </c>
    </row>
    <row r="467" spans="1:59" ht="116" x14ac:dyDescent="0.35">
      <c r="A467" s="2" t="s">
        <v>59</v>
      </c>
      <c r="B467" s="2" t="s">
        <v>3778</v>
      </c>
      <c r="C467" s="2" t="s">
        <v>4784</v>
      </c>
      <c r="D467" s="2" t="s">
        <v>4785</v>
      </c>
      <c r="E467" s="2" t="s">
        <v>4786</v>
      </c>
      <c r="G467" s="3" t="s">
        <v>64</v>
      </c>
      <c r="I467" s="3" t="s">
        <v>64</v>
      </c>
      <c r="J467" s="3" t="s">
        <v>64</v>
      </c>
      <c r="K467" s="3" t="s">
        <v>65</v>
      </c>
      <c r="L467" s="2" t="s">
        <v>4587</v>
      </c>
      <c r="M467" s="2" t="s">
        <v>4787</v>
      </c>
      <c r="N467" s="3" t="s">
        <v>651</v>
      </c>
      <c r="O467" s="2" t="s">
        <v>3783</v>
      </c>
      <c r="P467" s="3" t="s">
        <v>3784</v>
      </c>
      <c r="R467" s="3" t="s">
        <v>70</v>
      </c>
      <c r="S467" s="4">
        <v>6</v>
      </c>
      <c r="T467" s="4">
        <v>6</v>
      </c>
      <c r="U467" s="5" t="s">
        <v>4788</v>
      </c>
      <c r="V467" s="5" t="s">
        <v>4788</v>
      </c>
      <c r="W467" s="5" t="s">
        <v>72</v>
      </c>
      <c r="X467" s="5" t="s">
        <v>72</v>
      </c>
      <c r="Y467" s="4">
        <v>10</v>
      </c>
      <c r="Z467" s="4">
        <v>1</v>
      </c>
      <c r="AA467" s="4">
        <v>1</v>
      </c>
      <c r="AB467" s="4">
        <v>1</v>
      </c>
      <c r="AC467" s="4">
        <v>1</v>
      </c>
      <c r="AD467" s="4">
        <v>1</v>
      </c>
      <c r="AE467" s="4">
        <v>1</v>
      </c>
      <c r="AF467" s="4">
        <v>0</v>
      </c>
      <c r="AG467" s="4">
        <v>0</v>
      </c>
      <c r="AH467" s="4">
        <v>1</v>
      </c>
      <c r="AI467" s="4">
        <v>1</v>
      </c>
      <c r="AJ467" s="4">
        <v>0</v>
      </c>
      <c r="AK467" s="4">
        <v>0</v>
      </c>
      <c r="AL467" s="4">
        <v>0</v>
      </c>
      <c r="AM467" s="4">
        <v>0</v>
      </c>
      <c r="AN467" s="4">
        <v>0</v>
      </c>
      <c r="AO467" s="4">
        <v>0</v>
      </c>
      <c r="AP467" s="4">
        <v>0</v>
      </c>
      <c r="AQ467" s="4">
        <v>0</v>
      </c>
      <c r="AR467" s="3" t="s">
        <v>64</v>
      </c>
      <c r="AS467" s="3" t="s">
        <v>64</v>
      </c>
      <c r="AT467" s="3" t="s">
        <v>64</v>
      </c>
      <c r="AV467" s="6" t="str">
        <f>HYPERLINK("http://mcgill.on.worldcat.org/oclc/54487159","Catalog Record")</f>
        <v>Catalog Record</v>
      </c>
      <c r="AW467" s="6" t="str">
        <f>HYPERLINK("http://www.worldcat.org/oclc/54487159","WorldCat Record")</f>
        <v>WorldCat Record</v>
      </c>
      <c r="AX467" s="3" t="s">
        <v>4789</v>
      </c>
      <c r="AY467" s="3" t="s">
        <v>4790</v>
      </c>
      <c r="AZ467" s="3" t="s">
        <v>4791</v>
      </c>
      <c r="BA467" s="3" t="s">
        <v>4791</v>
      </c>
      <c r="BB467" s="3" t="s">
        <v>4792</v>
      </c>
      <c r="BC467" s="3" t="s">
        <v>78</v>
      </c>
      <c r="BD467" s="3" t="s">
        <v>79</v>
      </c>
      <c r="BE467" s="3" t="s">
        <v>4793</v>
      </c>
      <c r="BF467" s="3" t="s">
        <v>4792</v>
      </c>
      <c r="BG467" s="3" t="s">
        <v>4794</v>
      </c>
    </row>
    <row r="468" spans="1:59" ht="58" x14ac:dyDescent="0.35">
      <c r="A468" s="2" t="s">
        <v>59</v>
      </c>
      <c r="B468" s="2" t="s">
        <v>94</v>
      </c>
      <c r="C468" s="2" t="s">
        <v>4795</v>
      </c>
      <c r="D468" s="2" t="s">
        <v>4796</v>
      </c>
      <c r="E468" s="2" t="s">
        <v>4797</v>
      </c>
      <c r="G468" s="3" t="s">
        <v>64</v>
      </c>
      <c r="I468" s="3" t="s">
        <v>64</v>
      </c>
      <c r="J468" s="3" t="s">
        <v>73</v>
      </c>
      <c r="K468" s="3" t="s">
        <v>65</v>
      </c>
      <c r="L468" s="2" t="s">
        <v>4798</v>
      </c>
      <c r="M468" s="2" t="s">
        <v>4799</v>
      </c>
      <c r="N468" s="3" t="s">
        <v>705</v>
      </c>
      <c r="O468" s="2" t="s">
        <v>638</v>
      </c>
      <c r="P468" s="3" t="s">
        <v>69</v>
      </c>
      <c r="Q468" s="2" t="s">
        <v>4800</v>
      </c>
      <c r="R468" s="3" t="s">
        <v>70</v>
      </c>
      <c r="S468" s="4">
        <v>11</v>
      </c>
      <c r="T468" s="4">
        <v>11</v>
      </c>
      <c r="U468" s="5" t="s">
        <v>4801</v>
      </c>
      <c r="V468" s="5" t="s">
        <v>4801</v>
      </c>
      <c r="W468" s="5" t="s">
        <v>72</v>
      </c>
      <c r="X468" s="5" t="s">
        <v>72</v>
      </c>
      <c r="Y468" s="4">
        <v>201</v>
      </c>
      <c r="Z468" s="4">
        <v>9</v>
      </c>
      <c r="AA468" s="4">
        <v>41</v>
      </c>
      <c r="AB468" s="4">
        <v>2</v>
      </c>
      <c r="AC468" s="4">
        <v>5</v>
      </c>
      <c r="AD468" s="4">
        <v>46</v>
      </c>
      <c r="AE468" s="4">
        <v>128</v>
      </c>
      <c r="AF468" s="4">
        <v>0</v>
      </c>
      <c r="AG468" s="4">
        <v>2</v>
      </c>
      <c r="AH468" s="4">
        <v>43</v>
      </c>
      <c r="AI468" s="4">
        <v>105</v>
      </c>
      <c r="AJ468" s="4">
        <v>4</v>
      </c>
      <c r="AK468" s="4">
        <v>22</v>
      </c>
      <c r="AL468" s="4">
        <v>26</v>
      </c>
      <c r="AM468" s="4">
        <v>58</v>
      </c>
      <c r="AN468" s="4">
        <v>0</v>
      </c>
      <c r="AO468" s="4">
        <v>8</v>
      </c>
      <c r="AP468" s="4">
        <v>6</v>
      </c>
      <c r="AQ468" s="4">
        <v>31</v>
      </c>
      <c r="AR468" s="3" t="s">
        <v>64</v>
      </c>
      <c r="AS468" s="3" t="s">
        <v>64</v>
      </c>
      <c r="AT468" s="3" t="s">
        <v>64</v>
      </c>
      <c r="AV468" s="6" t="str">
        <f>HYPERLINK("http://mcgill.on.worldcat.org/oclc/36182380","Catalog Record")</f>
        <v>Catalog Record</v>
      </c>
      <c r="AW468" s="6" t="str">
        <f>HYPERLINK("http://www.worldcat.org/oclc/36182380","WorldCat Record")</f>
        <v>WorldCat Record</v>
      </c>
      <c r="AX468" s="3" t="s">
        <v>4802</v>
      </c>
      <c r="AY468" s="3" t="s">
        <v>4803</v>
      </c>
      <c r="AZ468" s="3" t="s">
        <v>4804</v>
      </c>
      <c r="BA468" s="3" t="s">
        <v>4804</v>
      </c>
      <c r="BB468" s="3" t="s">
        <v>4805</v>
      </c>
      <c r="BC468" s="3" t="s">
        <v>78</v>
      </c>
      <c r="BD468" s="3" t="s">
        <v>79</v>
      </c>
      <c r="BE468" s="3" t="s">
        <v>4806</v>
      </c>
      <c r="BF468" s="3" t="s">
        <v>4805</v>
      </c>
      <c r="BG468" s="3" t="s">
        <v>4807</v>
      </c>
    </row>
    <row r="469" spans="1:59" ht="116" x14ac:dyDescent="0.35">
      <c r="A469" s="2" t="s">
        <v>59</v>
      </c>
      <c r="B469" s="2" t="s">
        <v>3778</v>
      </c>
      <c r="C469" s="2" t="s">
        <v>4808</v>
      </c>
      <c r="D469" s="2" t="s">
        <v>4809</v>
      </c>
      <c r="E469" s="2" t="s">
        <v>4810</v>
      </c>
      <c r="G469" s="3" t="s">
        <v>64</v>
      </c>
      <c r="I469" s="3" t="s">
        <v>64</v>
      </c>
      <c r="J469" s="3" t="s">
        <v>64</v>
      </c>
      <c r="K469" s="3" t="s">
        <v>65</v>
      </c>
      <c r="L469" s="2" t="s">
        <v>4811</v>
      </c>
      <c r="M469" s="2" t="s">
        <v>4812</v>
      </c>
      <c r="N469" s="3" t="s">
        <v>303</v>
      </c>
      <c r="O469" s="2" t="s">
        <v>3783</v>
      </c>
      <c r="P469" s="3" t="s">
        <v>3784</v>
      </c>
      <c r="Q469" s="2" t="s">
        <v>4813</v>
      </c>
      <c r="R469" s="3" t="s">
        <v>70</v>
      </c>
      <c r="S469" s="4">
        <v>4</v>
      </c>
      <c r="T469" s="4">
        <v>4</v>
      </c>
      <c r="U469" s="5" t="s">
        <v>366</v>
      </c>
      <c r="V469" s="5" t="s">
        <v>366</v>
      </c>
      <c r="W469" s="5" t="s">
        <v>72</v>
      </c>
      <c r="X469" s="5" t="s">
        <v>72</v>
      </c>
      <c r="Y469" s="4">
        <v>42</v>
      </c>
      <c r="Z469" s="4">
        <v>6</v>
      </c>
      <c r="AA469" s="4">
        <v>6</v>
      </c>
      <c r="AB469" s="4">
        <v>1</v>
      </c>
      <c r="AC469" s="4">
        <v>1</v>
      </c>
      <c r="AD469" s="4">
        <v>20</v>
      </c>
      <c r="AE469" s="4">
        <v>20</v>
      </c>
      <c r="AF469" s="4">
        <v>0</v>
      </c>
      <c r="AG469" s="4">
        <v>0</v>
      </c>
      <c r="AH469" s="4">
        <v>18</v>
      </c>
      <c r="AI469" s="4">
        <v>18</v>
      </c>
      <c r="AJ469" s="4">
        <v>3</v>
      </c>
      <c r="AK469" s="4">
        <v>3</v>
      </c>
      <c r="AL469" s="4">
        <v>14</v>
      </c>
      <c r="AM469" s="4">
        <v>14</v>
      </c>
      <c r="AN469" s="4">
        <v>0</v>
      </c>
      <c r="AO469" s="4">
        <v>0</v>
      </c>
      <c r="AP469" s="4">
        <v>3</v>
      </c>
      <c r="AQ469" s="4">
        <v>3</v>
      </c>
      <c r="AR469" s="3" t="s">
        <v>64</v>
      </c>
      <c r="AS469" s="3" t="s">
        <v>64</v>
      </c>
      <c r="AT469" s="3" t="s">
        <v>73</v>
      </c>
      <c r="AU469" s="6" t="str">
        <f>HYPERLINK("http://catalog.hathitrust.org/Record/005035447","HathiTrust Record")</f>
        <v>HathiTrust Record</v>
      </c>
      <c r="AV469" s="6" t="str">
        <f>HYPERLINK("http://mcgill.on.worldcat.org/oclc/32120088","Catalog Record")</f>
        <v>Catalog Record</v>
      </c>
      <c r="AW469" s="6" t="str">
        <f>HYPERLINK("http://www.worldcat.org/oclc/32120088","WorldCat Record")</f>
        <v>WorldCat Record</v>
      </c>
      <c r="AX469" s="3" t="s">
        <v>4814</v>
      </c>
      <c r="AY469" s="3" t="s">
        <v>4815</v>
      </c>
      <c r="AZ469" s="3" t="s">
        <v>4816</v>
      </c>
      <c r="BA469" s="3" t="s">
        <v>4816</v>
      </c>
      <c r="BB469" s="3" t="s">
        <v>4817</v>
      </c>
      <c r="BC469" s="3" t="s">
        <v>78</v>
      </c>
      <c r="BD469" s="3" t="s">
        <v>79</v>
      </c>
      <c r="BE469" s="3" t="s">
        <v>4818</v>
      </c>
      <c r="BF469" s="3" t="s">
        <v>4817</v>
      </c>
      <c r="BG469" s="3" t="s">
        <v>4819</v>
      </c>
    </row>
    <row r="470" spans="1:59" ht="116" x14ac:dyDescent="0.35">
      <c r="A470" s="2" t="s">
        <v>59</v>
      </c>
      <c r="B470" s="2" t="s">
        <v>3778</v>
      </c>
      <c r="C470" s="2" t="s">
        <v>4820</v>
      </c>
      <c r="D470" s="2" t="s">
        <v>4821</v>
      </c>
      <c r="E470" s="2" t="s">
        <v>4822</v>
      </c>
      <c r="G470" s="3" t="s">
        <v>64</v>
      </c>
      <c r="I470" s="3" t="s">
        <v>64</v>
      </c>
      <c r="J470" s="3" t="s">
        <v>64</v>
      </c>
      <c r="K470" s="3" t="s">
        <v>65</v>
      </c>
      <c r="L470" s="2" t="s">
        <v>4823</v>
      </c>
      <c r="M470" s="2" t="s">
        <v>4824</v>
      </c>
      <c r="N470" s="3" t="s">
        <v>214</v>
      </c>
      <c r="O470" s="2" t="s">
        <v>4825</v>
      </c>
      <c r="P470" s="3" t="s">
        <v>3784</v>
      </c>
      <c r="Q470" s="2" t="s">
        <v>4826</v>
      </c>
      <c r="R470" s="3" t="s">
        <v>70</v>
      </c>
      <c r="S470" s="4">
        <v>0</v>
      </c>
      <c r="T470" s="4">
        <v>0</v>
      </c>
      <c r="W470" s="5" t="s">
        <v>72</v>
      </c>
      <c r="X470" s="5" t="s">
        <v>72</v>
      </c>
      <c r="Y470" s="4">
        <v>6</v>
      </c>
      <c r="Z470" s="4">
        <v>1</v>
      </c>
      <c r="AA470" s="4">
        <v>1</v>
      </c>
      <c r="AB470" s="4">
        <v>1</v>
      </c>
      <c r="AC470" s="4">
        <v>1</v>
      </c>
      <c r="AD470" s="4">
        <v>0</v>
      </c>
      <c r="AE470" s="4">
        <v>0</v>
      </c>
      <c r="AF470" s="4">
        <v>0</v>
      </c>
      <c r="AG470" s="4">
        <v>0</v>
      </c>
      <c r="AH470" s="4">
        <v>0</v>
      </c>
      <c r="AI470" s="4">
        <v>0</v>
      </c>
      <c r="AJ470" s="4">
        <v>0</v>
      </c>
      <c r="AK470" s="4">
        <v>0</v>
      </c>
      <c r="AL470" s="4">
        <v>0</v>
      </c>
      <c r="AM470" s="4">
        <v>0</v>
      </c>
      <c r="AN470" s="4">
        <v>0</v>
      </c>
      <c r="AO470" s="4">
        <v>0</v>
      </c>
      <c r="AP470" s="4">
        <v>0</v>
      </c>
      <c r="AQ470" s="4">
        <v>0</v>
      </c>
      <c r="AR470" s="3" t="s">
        <v>64</v>
      </c>
      <c r="AS470" s="3" t="s">
        <v>64</v>
      </c>
      <c r="AT470" s="3" t="s">
        <v>64</v>
      </c>
      <c r="AV470" s="6" t="str">
        <f>HYPERLINK("http://mcgill.on.worldcat.org/oclc/826863088","Catalog Record")</f>
        <v>Catalog Record</v>
      </c>
      <c r="AW470" s="6" t="str">
        <f>HYPERLINK("http://www.worldcat.org/oclc/826863088","WorldCat Record")</f>
        <v>WorldCat Record</v>
      </c>
      <c r="AX470" s="3" t="s">
        <v>4827</v>
      </c>
      <c r="AY470" s="3" t="s">
        <v>4828</v>
      </c>
      <c r="AZ470" s="3" t="s">
        <v>4829</v>
      </c>
      <c r="BA470" s="3" t="s">
        <v>4829</v>
      </c>
      <c r="BB470" s="3" t="s">
        <v>4830</v>
      </c>
      <c r="BC470" s="3" t="s">
        <v>78</v>
      </c>
      <c r="BD470" s="3" t="s">
        <v>79</v>
      </c>
      <c r="BE470" s="3" t="s">
        <v>4831</v>
      </c>
      <c r="BF470" s="3" t="s">
        <v>4830</v>
      </c>
      <c r="BG470" s="3" t="s">
        <v>4832</v>
      </c>
    </row>
    <row r="471" spans="1:59" ht="58" x14ac:dyDescent="0.35">
      <c r="A471" s="2" t="s">
        <v>59</v>
      </c>
      <c r="B471" s="2" t="s">
        <v>94</v>
      </c>
      <c r="C471" s="2" t="s">
        <v>4833</v>
      </c>
      <c r="D471" s="2" t="s">
        <v>4834</v>
      </c>
      <c r="E471" s="2" t="s">
        <v>4835</v>
      </c>
      <c r="G471" s="3" t="s">
        <v>64</v>
      </c>
      <c r="I471" s="3" t="s">
        <v>64</v>
      </c>
      <c r="J471" s="3" t="s">
        <v>64</v>
      </c>
      <c r="K471" s="3" t="s">
        <v>65</v>
      </c>
      <c r="L471" s="2" t="s">
        <v>4836</v>
      </c>
      <c r="M471" s="2" t="s">
        <v>4837</v>
      </c>
      <c r="N471" s="3" t="s">
        <v>4838</v>
      </c>
      <c r="P471" s="3" t="s">
        <v>162</v>
      </c>
      <c r="R471" s="3" t="s">
        <v>70</v>
      </c>
      <c r="S471" s="4">
        <v>2</v>
      </c>
      <c r="T471" s="4">
        <v>2</v>
      </c>
      <c r="U471" s="5" t="s">
        <v>1766</v>
      </c>
      <c r="V471" s="5" t="s">
        <v>1766</v>
      </c>
      <c r="W471" s="5" t="s">
        <v>72</v>
      </c>
      <c r="X471" s="5" t="s">
        <v>72</v>
      </c>
      <c r="Y471" s="4">
        <v>2</v>
      </c>
      <c r="Z471" s="4">
        <v>1</v>
      </c>
      <c r="AA471" s="4">
        <v>4</v>
      </c>
      <c r="AB471" s="4">
        <v>1</v>
      </c>
      <c r="AC471" s="4">
        <v>3</v>
      </c>
      <c r="AD471" s="4">
        <v>0</v>
      </c>
      <c r="AE471" s="4">
        <v>5</v>
      </c>
      <c r="AF471" s="4">
        <v>0</v>
      </c>
      <c r="AG471" s="4">
        <v>2</v>
      </c>
      <c r="AH471" s="4">
        <v>0</v>
      </c>
      <c r="AI471" s="4">
        <v>2</v>
      </c>
      <c r="AJ471" s="4">
        <v>0</v>
      </c>
      <c r="AK471" s="4">
        <v>2</v>
      </c>
      <c r="AL471" s="4">
        <v>0</v>
      </c>
      <c r="AM471" s="4">
        <v>1</v>
      </c>
      <c r="AN471" s="4">
        <v>0</v>
      </c>
      <c r="AO471" s="4">
        <v>0</v>
      </c>
      <c r="AP471" s="4">
        <v>0</v>
      </c>
      <c r="AQ471" s="4">
        <v>2</v>
      </c>
      <c r="AR471" s="3" t="s">
        <v>64</v>
      </c>
      <c r="AS471" s="3" t="s">
        <v>64</v>
      </c>
      <c r="AT471" s="3" t="s">
        <v>64</v>
      </c>
      <c r="AV471" s="6" t="str">
        <f>HYPERLINK("http://mcgill.on.worldcat.org/oclc/427556954","Catalog Record")</f>
        <v>Catalog Record</v>
      </c>
      <c r="AW471" s="6" t="str">
        <f>HYPERLINK("http://www.worldcat.org/oclc/427556954","WorldCat Record")</f>
        <v>WorldCat Record</v>
      </c>
      <c r="AX471" s="3" t="s">
        <v>4839</v>
      </c>
      <c r="AY471" s="3" t="s">
        <v>4840</v>
      </c>
      <c r="AZ471" s="3" t="s">
        <v>4841</v>
      </c>
      <c r="BA471" s="3" t="s">
        <v>4841</v>
      </c>
      <c r="BB471" s="3" t="s">
        <v>4842</v>
      </c>
      <c r="BC471" s="3" t="s">
        <v>78</v>
      </c>
      <c r="BD471" s="3" t="s">
        <v>79</v>
      </c>
      <c r="BF471" s="3" t="s">
        <v>4842</v>
      </c>
      <c r="BG471" s="3" t="s">
        <v>4843</v>
      </c>
    </row>
    <row r="472" spans="1:59" ht="72.5" x14ac:dyDescent="0.35">
      <c r="A472" s="2" t="s">
        <v>59</v>
      </c>
      <c r="B472" s="2" t="s">
        <v>94</v>
      </c>
      <c r="C472" s="2" t="s">
        <v>4844</v>
      </c>
      <c r="D472" s="2" t="s">
        <v>4845</v>
      </c>
      <c r="E472" s="2" t="s">
        <v>4846</v>
      </c>
      <c r="G472" s="3" t="s">
        <v>64</v>
      </c>
      <c r="I472" s="3" t="s">
        <v>64</v>
      </c>
      <c r="J472" s="3" t="s">
        <v>73</v>
      </c>
      <c r="K472" s="3" t="s">
        <v>4847</v>
      </c>
      <c r="L472" s="2" t="s">
        <v>4848</v>
      </c>
      <c r="M472" s="2" t="s">
        <v>4849</v>
      </c>
      <c r="N472" s="3" t="s">
        <v>4850</v>
      </c>
      <c r="P472" s="3" t="s">
        <v>69</v>
      </c>
      <c r="R472" s="3" t="s">
        <v>70</v>
      </c>
      <c r="S472" s="4">
        <v>6</v>
      </c>
      <c r="T472" s="4">
        <v>6</v>
      </c>
      <c r="U472" s="5" t="s">
        <v>2994</v>
      </c>
      <c r="V472" s="5" t="s">
        <v>2994</v>
      </c>
      <c r="W472" s="5" t="s">
        <v>72</v>
      </c>
      <c r="X472" s="5" t="s">
        <v>72</v>
      </c>
      <c r="Y472" s="4">
        <v>32</v>
      </c>
      <c r="Z472" s="4">
        <v>1</v>
      </c>
      <c r="AA472" s="4">
        <v>50</v>
      </c>
      <c r="AB472" s="4">
        <v>1</v>
      </c>
      <c r="AC472" s="4">
        <v>12</v>
      </c>
      <c r="AD472" s="4">
        <v>12</v>
      </c>
      <c r="AE472" s="4">
        <v>133</v>
      </c>
      <c r="AF472" s="4">
        <v>0</v>
      </c>
      <c r="AG472" s="4">
        <v>6</v>
      </c>
      <c r="AH472" s="4">
        <v>12</v>
      </c>
      <c r="AI472" s="4">
        <v>109</v>
      </c>
      <c r="AJ472" s="4">
        <v>0</v>
      </c>
      <c r="AK472" s="4">
        <v>23</v>
      </c>
      <c r="AL472" s="4">
        <v>11</v>
      </c>
      <c r="AM472" s="4">
        <v>58</v>
      </c>
      <c r="AN472" s="4">
        <v>0</v>
      </c>
      <c r="AO472" s="4">
        <v>1</v>
      </c>
      <c r="AP472" s="4">
        <v>0</v>
      </c>
      <c r="AQ472" s="4">
        <v>31</v>
      </c>
      <c r="AR472" s="3" t="s">
        <v>64</v>
      </c>
      <c r="AS472" s="3" t="s">
        <v>73</v>
      </c>
      <c r="AT472" s="3" t="s">
        <v>64</v>
      </c>
      <c r="AU472" s="6" t="str">
        <f>HYPERLINK("http://catalog.hathitrust.org/Record/001526263","HathiTrust Record")</f>
        <v>HathiTrust Record</v>
      </c>
      <c r="AV472" s="6" t="str">
        <f>HYPERLINK("http://mcgill.on.worldcat.org/oclc/7479815","Catalog Record")</f>
        <v>Catalog Record</v>
      </c>
      <c r="AW472" s="6" t="str">
        <f>HYPERLINK("http://www.worldcat.org/oclc/7479815","WorldCat Record")</f>
        <v>WorldCat Record</v>
      </c>
      <c r="AX472" s="3" t="s">
        <v>4851</v>
      </c>
      <c r="AY472" s="3" t="s">
        <v>4852</v>
      </c>
      <c r="AZ472" s="3" t="s">
        <v>4853</v>
      </c>
      <c r="BA472" s="3" t="s">
        <v>4853</v>
      </c>
      <c r="BB472" s="3" t="s">
        <v>4854</v>
      </c>
      <c r="BC472" s="3" t="s">
        <v>78</v>
      </c>
      <c r="BD472" s="3" t="s">
        <v>79</v>
      </c>
      <c r="BF472" s="3" t="s">
        <v>4854</v>
      </c>
      <c r="BG472" s="3" t="s">
        <v>4855</v>
      </c>
    </row>
    <row r="473" spans="1:59" ht="145" x14ac:dyDescent="0.35">
      <c r="A473" s="2" t="s">
        <v>59</v>
      </c>
      <c r="B473" s="2" t="s">
        <v>94</v>
      </c>
      <c r="C473" s="2" t="s">
        <v>4856</v>
      </c>
      <c r="D473" s="2" t="s">
        <v>4857</v>
      </c>
      <c r="E473" s="2" t="s">
        <v>4858</v>
      </c>
      <c r="F473" s="3" t="s">
        <v>4859</v>
      </c>
      <c r="G473" s="3" t="s">
        <v>73</v>
      </c>
      <c r="I473" s="3" t="s">
        <v>64</v>
      </c>
      <c r="J473" s="3" t="s">
        <v>73</v>
      </c>
      <c r="K473" s="3" t="s">
        <v>65</v>
      </c>
      <c r="L473" s="2" t="s">
        <v>4860</v>
      </c>
      <c r="M473" s="2" t="s">
        <v>4861</v>
      </c>
      <c r="N473" s="3" t="s">
        <v>4862</v>
      </c>
      <c r="O473" s="2" t="s">
        <v>4863</v>
      </c>
      <c r="P473" s="3" t="s">
        <v>69</v>
      </c>
      <c r="R473" s="3" t="s">
        <v>70</v>
      </c>
      <c r="S473" s="4">
        <v>6</v>
      </c>
      <c r="T473" s="4">
        <v>24</v>
      </c>
      <c r="U473" s="5" t="s">
        <v>3449</v>
      </c>
      <c r="V473" s="5" t="s">
        <v>3449</v>
      </c>
      <c r="W473" s="5" t="s">
        <v>72</v>
      </c>
      <c r="X473" s="5" t="s">
        <v>72</v>
      </c>
      <c r="Y473" s="4">
        <v>46</v>
      </c>
      <c r="Z473" s="4">
        <v>4</v>
      </c>
      <c r="AA473" s="4">
        <v>197</v>
      </c>
      <c r="AB473" s="4">
        <v>2</v>
      </c>
      <c r="AC473" s="4">
        <v>27</v>
      </c>
      <c r="AD473" s="4">
        <v>11</v>
      </c>
      <c r="AE473" s="4">
        <v>179</v>
      </c>
      <c r="AF473" s="4">
        <v>0</v>
      </c>
      <c r="AG473" s="4">
        <v>9</v>
      </c>
      <c r="AH473" s="4">
        <v>9</v>
      </c>
      <c r="AI473" s="4">
        <v>118</v>
      </c>
      <c r="AJ473" s="4">
        <v>1</v>
      </c>
      <c r="AK473" s="4">
        <v>30</v>
      </c>
      <c r="AL473" s="4">
        <v>6</v>
      </c>
      <c r="AM473" s="4">
        <v>64</v>
      </c>
      <c r="AN473" s="4">
        <v>0</v>
      </c>
      <c r="AO473" s="4">
        <v>10</v>
      </c>
      <c r="AP473" s="4">
        <v>1</v>
      </c>
      <c r="AQ473" s="4">
        <v>64</v>
      </c>
      <c r="AR473" s="3" t="s">
        <v>64</v>
      </c>
      <c r="AS473" s="3" t="s">
        <v>64</v>
      </c>
      <c r="AT473" s="3" t="s">
        <v>73</v>
      </c>
      <c r="AU473" s="6" t="str">
        <f>HYPERLINK("http://catalog.hathitrust.org/Record/003553270","HathiTrust Record")</f>
        <v>HathiTrust Record</v>
      </c>
      <c r="AV473" s="6" t="str">
        <f>HYPERLINK("http://mcgill.on.worldcat.org/oclc/4659198","Catalog Record")</f>
        <v>Catalog Record</v>
      </c>
      <c r="AW473" s="6" t="str">
        <f>HYPERLINK("http://www.worldcat.org/oclc/4659198","WorldCat Record")</f>
        <v>WorldCat Record</v>
      </c>
      <c r="AX473" s="3" t="s">
        <v>4864</v>
      </c>
      <c r="AY473" s="3" t="s">
        <v>4865</v>
      </c>
      <c r="AZ473" s="3" t="s">
        <v>4866</v>
      </c>
      <c r="BA473" s="3" t="s">
        <v>4866</v>
      </c>
      <c r="BB473" s="3" t="s">
        <v>4867</v>
      </c>
      <c r="BC473" s="3" t="s">
        <v>78</v>
      </c>
      <c r="BD473" s="3" t="s">
        <v>79</v>
      </c>
      <c r="BF473" s="3" t="s">
        <v>4867</v>
      </c>
      <c r="BG473" s="3" t="s">
        <v>4868</v>
      </c>
    </row>
    <row r="474" spans="1:59" ht="145" x14ac:dyDescent="0.35">
      <c r="A474" s="2" t="s">
        <v>59</v>
      </c>
      <c r="B474" s="2" t="s">
        <v>94</v>
      </c>
      <c r="C474" s="2" t="s">
        <v>4856</v>
      </c>
      <c r="D474" s="2" t="s">
        <v>4857</v>
      </c>
      <c r="E474" s="2" t="s">
        <v>4858</v>
      </c>
      <c r="F474" s="3" t="s">
        <v>4869</v>
      </c>
      <c r="G474" s="3" t="s">
        <v>73</v>
      </c>
      <c r="I474" s="3" t="s">
        <v>64</v>
      </c>
      <c r="J474" s="3" t="s">
        <v>73</v>
      </c>
      <c r="K474" s="3" t="s">
        <v>65</v>
      </c>
      <c r="L474" s="2" t="s">
        <v>4860</v>
      </c>
      <c r="M474" s="2" t="s">
        <v>4861</v>
      </c>
      <c r="N474" s="3" t="s">
        <v>4862</v>
      </c>
      <c r="O474" s="2" t="s">
        <v>4863</v>
      </c>
      <c r="P474" s="3" t="s">
        <v>69</v>
      </c>
      <c r="R474" s="3" t="s">
        <v>70</v>
      </c>
      <c r="S474" s="4">
        <v>7</v>
      </c>
      <c r="T474" s="4">
        <v>24</v>
      </c>
      <c r="U474" s="5" t="s">
        <v>3449</v>
      </c>
      <c r="V474" s="5" t="s">
        <v>3449</v>
      </c>
      <c r="W474" s="5" t="s">
        <v>72</v>
      </c>
      <c r="X474" s="5" t="s">
        <v>72</v>
      </c>
      <c r="Y474" s="4">
        <v>46</v>
      </c>
      <c r="Z474" s="4">
        <v>4</v>
      </c>
      <c r="AA474" s="4">
        <v>197</v>
      </c>
      <c r="AB474" s="4">
        <v>2</v>
      </c>
      <c r="AC474" s="4">
        <v>27</v>
      </c>
      <c r="AD474" s="4">
        <v>11</v>
      </c>
      <c r="AE474" s="4">
        <v>179</v>
      </c>
      <c r="AF474" s="4">
        <v>0</v>
      </c>
      <c r="AG474" s="4">
        <v>9</v>
      </c>
      <c r="AH474" s="4">
        <v>9</v>
      </c>
      <c r="AI474" s="4">
        <v>118</v>
      </c>
      <c r="AJ474" s="4">
        <v>1</v>
      </c>
      <c r="AK474" s="4">
        <v>30</v>
      </c>
      <c r="AL474" s="4">
        <v>6</v>
      </c>
      <c r="AM474" s="4">
        <v>64</v>
      </c>
      <c r="AN474" s="4">
        <v>0</v>
      </c>
      <c r="AO474" s="4">
        <v>10</v>
      </c>
      <c r="AP474" s="4">
        <v>1</v>
      </c>
      <c r="AQ474" s="4">
        <v>64</v>
      </c>
      <c r="AR474" s="3" t="s">
        <v>64</v>
      </c>
      <c r="AS474" s="3" t="s">
        <v>64</v>
      </c>
      <c r="AT474" s="3" t="s">
        <v>73</v>
      </c>
      <c r="AU474" s="6" t="str">
        <f>HYPERLINK("http://catalog.hathitrust.org/Record/003553270","HathiTrust Record")</f>
        <v>HathiTrust Record</v>
      </c>
      <c r="AV474" s="6" t="str">
        <f>HYPERLINK("http://mcgill.on.worldcat.org/oclc/4659198","Catalog Record")</f>
        <v>Catalog Record</v>
      </c>
      <c r="AW474" s="6" t="str">
        <f>HYPERLINK("http://www.worldcat.org/oclc/4659198","WorldCat Record")</f>
        <v>WorldCat Record</v>
      </c>
      <c r="AX474" s="3" t="s">
        <v>4864</v>
      </c>
      <c r="AY474" s="3" t="s">
        <v>4865</v>
      </c>
      <c r="AZ474" s="3" t="s">
        <v>4866</v>
      </c>
      <c r="BA474" s="3" t="s">
        <v>4866</v>
      </c>
      <c r="BB474" s="3" t="s">
        <v>4870</v>
      </c>
      <c r="BC474" s="3" t="s">
        <v>78</v>
      </c>
      <c r="BD474" s="3" t="s">
        <v>79</v>
      </c>
      <c r="BF474" s="3" t="s">
        <v>4870</v>
      </c>
      <c r="BG474" s="3" t="s">
        <v>4871</v>
      </c>
    </row>
    <row r="475" spans="1:59" ht="145" x14ac:dyDescent="0.35">
      <c r="A475" s="2" t="s">
        <v>59</v>
      </c>
      <c r="B475" s="2" t="s">
        <v>94</v>
      </c>
      <c r="C475" s="2" t="s">
        <v>4856</v>
      </c>
      <c r="D475" s="2" t="s">
        <v>4857</v>
      </c>
      <c r="E475" s="2" t="s">
        <v>4858</v>
      </c>
      <c r="F475" s="3" t="s">
        <v>4872</v>
      </c>
      <c r="G475" s="3" t="s">
        <v>73</v>
      </c>
      <c r="I475" s="3" t="s">
        <v>64</v>
      </c>
      <c r="J475" s="3" t="s">
        <v>73</v>
      </c>
      <c r="K475" s="3" t="s">
        <v>65</v>
      </c>
      <c r="L475" s="2" t="s">
        <v>4860</v>
      </c>
      <c r="M475" s="2" t="s">
        <v>4861</v>
      </c>
      <c r="N475" s="3" t="s">
        <v>4862</v>
      </c>
      <c r="O475" s="2" t="s">
        <v>4863</v>
      </c>
      <c r="P475" s="3" t="s">
        <v>69</v>
      </c>
      <c r="R475" s="3" t="s">
        <v>70</v>
      </c>
      <c r="S475" s="4">
        <v>11</v>
      </c>
      <c r="T475" s="4">
        <v>24</v>
      </c>
      <c r="U475" s="5" t="s">
        <v>3449</v>
      </c>
      <c r="V475" s="5" t="s">
        <v>3449</v>
      </c>
      <c r="W475" s="5" t="s">
        <v>72</v>
      </c>
      <c r="X475" s="5" t="s">
        <v>72</v>
      </c>
      <c r="Y475" s="4">
        <v>46</v>
      </c>
      <c r="Z475" s="4">
        <v>4</v>
      </c>
      <c r="AA475" s="4">
        <v>197</v>
      </c>
      <c r="AB475" s="4">
        <v>2</v>
      </c>
      <c r="AC475" s="4">
        <v>27</v>
      </c>
      <c r="AD475" s="4">
        <v>11</v>
      </c>
      <c r="AE475" s="4">
        <v>179</v>
      </c>
      <c r="AF475" s="4">
        <v>0</v>
      </c>
      <c r="AG475" s="4">
        <v>9</v>
      </c>
      <c r="AH475" s="4">
        <v>9</v>
      </c>
      <c r="AI475" s="4">
        <v>118</v>
      </c>
      <c r="AJ475" s="4">
        <v>1</v>
      </c>
      <c r="AK475" s="4">
        <v>30</v>
      </c>
      <c r="AL475" s="4">
        <v>6</v>
      </c>
      <c r="AM475" s="4">
        <v>64</v>
      </c>
      <c r="AN475" s="4">
        <v>0</v>
      </c>
      <c r="AO475" s="4">
        <v>10</v>
      </c>
      <c r="AP475" s="4">
        <v>1</v>
      </c>
      <c r="AQ475" s="4">
        <v>64</v>
      </c>
      <c r="AR475" s="3" t="s">
        <v>64</v>
      </c>
      <c r="AS475" s="3" t="s">
        <v>64</v>
      </c>
      <c r="AT475" s="3" t="s">
        <v>73</v>
      </c>
      <c r="AU475" s="6" t="str">
        <f>HYPERLINK("http://catalog.hathitrust.org/Record/003553270","HathiTrust Record")</f>
        <v>HathiTrust Record</v>
      </c>
      <c r="AV475" s="6" t="str">
        <f>HYPERLINK("http://mcgill.on.worldcat.org/oclc/4659198","Catalog Record")</f>
        <v>Catalog Record</v>
      </c>
      <c r="AW475" s="6" t="str">
        <f>HYPERLINK("http://www.worldcat.org/oclc/4659198","WorldCat Record")</f>
        <v>WorldCat Record</v>
      </c>
      <c r="AX475" s="3" t="s">
        <v>4864</v>
      </c>
      <c r="AY475" s="3" t="s">
        <v>4865</v>
      </c>
      <c r="AZ475" s="3" t="s">
        <v>4866</v>
      </c>
      <c r="BA475" s="3" t="s">
        <v>4866</v>
      </c>
      <c r="BB475" s="3" t="s">
        <v>4873</v>
      </c>
      <c r="BC475" s="3" t="s">
        <v>78</v>
      </c>
      <c r="BD475" s="3" t="s">
        <v>79</v>
      </c>
      <c r="BF475" s="3" t="s">
        <v>4873</v>
      </c>
      <c r="BG475" s="3" t="s">
        <v>4874</v>
      </c>
    </row>
    <row r="476" spans="1:59" ht="72.5" x14ac:dyDescent="0.35">
      <c r="A476" s="2" t="s">
        <v>59</v>
      </c>
      <c r="B476" s="2" t="s">
        <v>94</v>
      </c>
      <c r="C476" s="2" t="s">
        <v>4875</v>
      </c>
      <c r="D476" s="2" t="s">
        <v>4876</v>
      </c>
      <c r="E476" s="2" t="s">
        <v>4877</v>
      </c>
      <c r="G476" s="3" t="s">
        <v>64</v>
      </c>
      <c r="I476" s="3" t="s">
        <v>64</v>
      </c>
      <c r="J476" s="3" t="s">
        <v>73</v>
      </c>
      <c r="K476" s="3" t="s">
        <v>65</v>
      </c>
      <c r="L476" s="2" t="s">
        <v>4860</v>
      </c>
      <c r="M476" s="2" t="s">
        <v>4878</v>
      </c>
      <c r="N476" s="3" t="s">
        <v>2116</v>
      </c>
      <c r="P476" s="3" t="s">
        <v>69</v>
      </c>
      <c r="R476" s="3" t="s">
        <v>70</v>
      </c>
      <c r="S476" s="4">
        <v>173</v>
      </c>
      <c r="T476" s="4">
        <v>173</v>
      </c>
      <c r="U476" s="5" t="s">
        <v>4879</v>
      </c>
      <c r="V476" s="5" t="s">
        <v>4879</v>
      </c>
      <c r="W476" s="5" t="s">
        <v>72</v>
      </c>
      <c r="X476" s="5" t="s">
        <v>72</v>
      </c>
      <c r="Y476" s="4">
        <v>982</v>
      </c>
      <c r="Z476" s="4">
        <v>54</v>
      </c>
      <c r="AA476" s="4">
        <v>197</v>
      </c>
      <c r="AB476" s="4">
        <v>3</v>
      </c>
      <c r="AC476" s="4">
        <v>27</v>
      </c>
      <c r="AD476" s="4">
        <v>117</v>
      </c>
      <c r="AE476" s="4">
        <v>179</v>
      </c>
      <c r="AF476" s="4">
        <v>2</v>
      </c>
      <c r="AG476" s="4">
        <v>9</v>
      </c>
      <c r="AH476" s="4">
        <v>90</v>
      </c>
      <c r="AI476" s="4">
        <v>118</v>
      </c>
      <c r="AJ476" s="4">
        <v>19</v>
      </c>
      <c r="AK476" s="4">
        <v>30</v>
      </c>
      <c r="AL476" s="4">
        <v>52</v>
      </c>
      <c r="AM476" s="4">
        <v>64</v>
      </c>
      <c r="AN476" s="4">
        <v>0</v>
      </c>
      <c r="AO476" s="4">
        <v>10</v>
      </c>
      <c r="AP476" s="4">
        <v>31</v>
      </c>
      <c r="AQ476" s="4">
        <v>64</v>
      </c>
      <c r="AR476" s="3" t="s">
        <v>64</v>
      </c>
      <c r="AS476" s="3" t="s">
        <v>64</v>
      </c>
      <c r="AT476" s="3" t="s">
        <v>64</v>
      </c>
      <c r="AV476" s="6" t="str">
        <f>HYPERLINK("http://mcgill.on.worldcat.org/oclc/2428983","Catalog Record")</f>
        <v>Catalog Record</v>
      </c>
      <c r="AW476" s="6" t="str">
        <f>HYPERLINK("http://www.worldcat.org/oclc/2428983","WorldCat Record")</f>
        <v>WorldCat Record</v>
      </c>
      <c r="AX476" s="3" t="s">
        <v>4864</v>
      </c>
      <c r="AY476" s="3" t="s">
        <v>4880</v>
      </c>
      <c r="AZ476" s="3" t="s">
        <v>4881</v>
      </c>
      <c r="BA476" s="3" t="s">
        <v>4881</v>
      </c>
      <c r="BB476" s="3" t="s">
        <v>4882</v>
      </c>
      <c r="BC476" s="3" t="s">
        <v>78</v>
      </c>
      <c r="BD476" s="3" t="s">
        <v>414</v>
      </c>
      <c r="BE476" s="3" t="s">
        <v>4883</v>
      </c>
      <c r="BF476" s="3" t="s">
        <v>4882</v>
      </c>
      <c r="BG476" s="3" t="s">
        <v>4884</v>
      </c>
    </row>
    <row r="477" spans="1:59" ht="58" x14ac:dyDescent="0.35">
      <c r="A477" s="2" t="s">
        <v>59</v>
      </c>
      <c r="B477" s="2" t="s">
        <v>94</v>
      </c>
      <c r="C477" s="2" t="s">
        <v>4885</v>
      </c>
      <c r="D477" s="2" t="s">
        <v>4886</v>
      </c>
      <c r="E477" s="2" t="s">
        <v>4887</v>
      </c>
      <c r="G477" s="3" t="s">
        <v>64</v>
      </c>
      <c r="I477" s="3" t="s">
        <v>73</v>
      </c>
      <c r="J477" s="3" t="s">
        <v>64</v>
      </c>
      <c r="K477" s="3" t="s">
        <v>65</v>
      </c>
      <c r="L477" s="2" t="s">
        <v>4860</v>
      </c>
      <c r="M477" s="2" t="s">
        <v>4888</v>
      </c>
      <c r="N477" s="3" t="s">
        <v>2362</v>
      </c>
      <c r="P477" s="3" t="s">
        <v>69</v>
      </c>
      <c r="R477" s="3" t="s">
        <v>70</v>
      </c>
      <c r="S477" s="4">
        <v>23</v>
      </c>
      <c r="T477" s="4">
        <v>39</v>
      </c>
      <c r="U477" s="5" t="s">
        <v>1132</v>
      </c>
      <c r="V477" s="5" t="s">
        <v>1132</v>
      </c>
      <c r="W477" s="5" t="s">
        <v>72</v>
      </c>
      <c r="X477" s="5" t="s">
        <v>72</v>
      </c>
      <c r="Y477" s="4">
        <v>128</v>
      </c>
      <c r="Z477" s="4">
        <v>15</v>
      </c>
      <c r="AA477" s="4">
        <v>27</v>
      </c>
      <c r="AB477" s="4">
        <v>1</v>
      </c>
      <c r="AC477" s="4">
        <v>2</v>
      </c>
      <c r="AD477" s="4">
        <v>25</v>
      </c>
      <c r="AE477" s="4">
        <v>84</v>
      </c>
      <c r="AF477" s="4">
        <v>0</v>
      </c>
      <c r="AG477" s="4">
        <v>1</v>
      </c>
      <c r="AH477" s="4">
        <v>20</v>
      </c>
      <c r="AI477" s="4">
        <v>71</v>
      </c>
      <c r="AJ477" s="4">
        <v>6</v>
      </c>
      <c r="AK477" s="4">
        <v>14</v>
      </c>
      <c r="AL477" s="4">
        <v>12</v>
      </c>
      <c r="AM477" s="4">
        <v>40</v>
      </c>
      <c r="AN477" s="4">
        <v>0</v>
      </c>
      <c r="AO477" s="4">
        <v>0</v>
      </c>
      <c r="AP477" s="4">
        <v>7</v>
      </c>
      <c r="AQ477" s="4">
        <v>17</v>
      </c>
      <c r="AR477" s="3" t="s">
        <v>64</v>
      </c>
      <c r="AS477" s="3" t="s">
        <v>64</v>
      </c>
      <c r="AT477" s="3" t="s">
        <v>64</v>
      </c>
      <c r="AV477" s="6" t="str">
        <f>HYPERLINK("http://mcgill.on.worldcat.org/oclc/461378","Catalog Record")</f>
        <v>Catalog Record</v>
      </c>
      <c r="AW477" s="6" t="str">
        <f>HYPERLINK("http://www.worldcat.org/oclc/461378","WorldCat Record")</f>
        <v>WorldCat Record</v>
      </c>
      <c r="AX477" s="3" t="s">
        <v>4889</v>
      </c>
      <c r="AY477" s="3" t="s">
        <v>4890</v>
      </c>
      <c r="AZ477" s="3" t="s">
        <v>4891</v>
      </c>
      <c r="BA477" s="3" t="s">
        <v>4891</v>
      </c>
      <c r="BB477" s="3" t="s">
        <v>4892</v>
      </c>
      <c r="BC477" s="3" t="s">
        <v>78</v>
      </c>
      <c r="BD477" s="3" t="s">
        <v>79</v>
      </c>
      <c r="BF477" s="3" t="s">
        <v>4892</v>
      </c>
      <c r="BG477" s="3" t="s">
        <v>4893</v>
      </c>
    </row>
    <row r="478" spans="1:59" ht="58" x14ac:dyDescent="0.35">
      <c r="A478" s="2" t="s">
        <v>59</v>
      </c>
      <c r="B478" s="2" t="s">
        <v>94</v>
      </c>
      <c r="C478" s="2" t="s">
        <v>4885</v>
      </c>
      <c r="D478" s="2" t="s">
        <v>4886</v>
      </c>
      <c r="E478" s="2" t="s">
        <v>4887</v>
      </c>
      <c r="G478" s="3" t="s">
        <v>64</v>
      </c>
      <c r="I478" s="3" t="s">
        <v>73</v>
      </c>
      <c r="J478" s="3" t="s">
        <v>64</v>
      </c>
      <c r="K478" s="3" t="s">
        <v>65</v>
      </c>
      <c r="L478" s="2" t="s">
        <v>4860</v>
      </c>
      <c r="M478" s="2" t="s">
        <v>4888</v>
      </c>
      <c r="N478" s="3" t="s">
        <v>2362</v>
      </c>
      <c r="P478" s="3" t="s">
        <v>69</v>
      </c>
      <c r="R478" s="3" t="s">
        <v>70</v>
      </c>
      <c r="S478" s="4">
        <v>16</v>
      </c>
      <c r="T478" s="4">
        <v>39</v>
      </c>
      <c r="U478" s="5" t="s">
        <v>4894</v>
      </c>
      <c r="V478" s="5" t="s">
        <v>1132</v>
      </c>
      <c r="W478" s="5" t="s">
        <v>72</v>
      </c>
      <c r="X478" s="5" t="s">
        <v>72</v>
      </c>
      <c r="Y478" s="4">
        <v>128</v>
      </c>
      <c r="Z478" s="4">
        <v>15</v>
      </c>
      <c r="AA478" s="4">
        <v>27</v>
      </c>
      <c r="AB478" s="4">
        <v>1</v>
      </c>
      <c r="AC478" s="4">
        <v>2</v>
      </c>
      <c r="AD478" s="4">
        <v>25</v>
      </c>
      <c r="AE478" s="4">
        <v>84</v>
      </c>
      <c r="AF478" s="4">
        <v>0</v>
      </c>
      <c r="AG478" s="4">
        <v>1</v>
      </c>
      <c r="AH478" s="4">
        <v>20</v>
      </c>
      <c r="AI478" s="4">
        <v>71</v>
      </c>
      <c r="AJ478" s="4">
        <v>6</v>
      </c>
      <c r="AK478" s="4">
        <v>14</v>
      </c>
      <c r="AL478" s="4">
        <v>12</v>
      </c>
      <c r="AM478" s="4">
        <v>40</v>
      </c>
      <c r="AN478" s="4">
        <v>0</v>
      </c>
      <c r="AO478" s="4">
        <v>0</v>
      </c>
      <c r="AP478" s="4">
        <v>7</v>
      </c>
      <c r="AQ478" s="4">
        <v>17</v>
      </c>
      <c r="AR478" s="3" t="s">
        <v>64</v>
      </c>
      <c r="AS478" s="3" t="s">
        <v>64</v>
      </c>
      <c r="AT478" s="3" t="s">
        <v>64</v>
      </c>
      <c r="AV478" s="6" t="str">
        <f>HYPERLINK("http://mcgill.on.worldcat.org/oclc/461378","Catalog Record")</f>
        <v>Catalog Record</v>
      </c>
      <c r="AW478" s="6" t="str">
        <f>HYPERLINK("http://www.worldcat.org/oclc/461378","WorldCat Record")</f>
        <v>WorldCat Record</v>
      </c>
      <c r="AX478" s="3" t="s">
        <v>4889</v>
      </c>
      <c r="AY478" s="3" t="s">
        <v>4890</v>
      </c>
      <c r="AZ478" s="3" t="s">
        <v>4891</v>
      </c>
      <c r="BA478" s="3" t="s">
        <v>4891</v>
      </c>
      <c r="BB478" s="3" t="s">
        <v>4895</v>
      </c>
      <c r="BC478" s="3" t="s">
        <v>78</v>
      </c>
      <c r="BD478" s="3" t="s">
        <v>79</v>
      </c>
      <c r="BF478" s="3" t="s">
        <v>4895</v>
      </c>
      <c r="BG478" s="3" t="s">
        <v>4896</v>
      </c>
    </row>
    <row r="479" spans="1:59" ht="58" x14ac:dyDescent="0.35">
      <c r="A479" s="2" t="s">
        <v>59</v>
      </c>
      <c r="B479" s="2" t="s">
        <v>94</v>
      </c>
      <c r="C479" s="2" t="s">
        <v>4897</v>
      </c>
      <c r="D479" s="2" t="s">
        <v>4898</v>
      </c>
      <c r="E479" s="2" t="s">
        <v>4899</v>
      </c>
      <c r="G479" s="3" t="s">
        <v>64</v>
      </c>
      <c r="I479" s="3" t="s">
        <v>64</v>
      </c>
      <c r="J479" s="3" t="s">
        <v>64</v>
      </c>
      <c r="K479" s="3" t="s">
        <v>65</v>
      </c>
      <c r="L479" s="2" t="s">
        <v>4900</v>
      </c>
      <c r="M479" s="2" t="s">
        <v>4901</v>
      </c>
      <c r="N479" s="3" t="s">
        <v>1029</v>
      </c>
      <c r="P479" s="3" t="s">
        <v>69</v>
      </c>
      <c r="Q479" s="2" t="s">
        <v>4902</v>
      </c>
      <c r="R479" s="3" t="s">
        <v>70</v>
      </c>
      <c r="S479" s="4">
        <v>7</v>
      </c>
      <c r="T479" s="4">
        <v>7</v>
      </c>
      <c r="U479" s="5" t="s">
        <v>4903</v>
      </c>
      <c r="V479" s="5" t="s">
        <v>4903</v>
      </c>
      <c r="W479" s="5" t="s">
        <v>72</v>
      </c>
      <c r="X479" s="5" t="s">
        <v>72</v>
      </c>
      <c r="Y479" s="4">
        <v>155</v>
      </c>
      <c r="Z479" s="4">
        <v>14</v>
      </c>
      <c r="AA479" s="4">
        <v>22</v>
      </c>
      <c r="AB479" s="4">
        <v>2</v>
      </c>
      <c r="AC479" s="4">
        <v>6</v>
      </c>
      <c r="AD479" s="4">
        <v>57</v>
      </c>
      <c r="AE479" s="4">
        <v>64</v>
      </c>
      <c r="AF479" s="4">
        <v>0</v>
      </c>
      <c r="AG479" s="4">
        <v>1</v>
      </c>
      <c r="AH479" s="4">
        <v>52</v>
      </c>
      <c r="AI479" s="4">
        <v>55</v>
      </c>
      <c r="AJ479" s="4">
        <v>9</v>
      </c>
      <c r="AK479" s="4">
        <v>12</v>
      </c>
      <c r="AL479" s="4">
        <v>34</v>
      </c>
      <c r="AM479" s="4">
        <v>35</v>
      </c>
      <c r="AN479" s="4">
        <v>0</v>
      </c>
      <c r="AO479" s="4">
        <v>0</v>
      </c>
      <c r="AP479" s="4">
        <v>10</v>
      </c>
      <c r="AQ479" s="4">
        <v>14</v>
      </c>
      <c r="AR479" s="3" t="s">
        <v>64</v>
      </c>
      <c r="AS479" s="3" t="s">
        <v>64</v>
      </c>
      <c r="AT479" s="3" t="s">
        <v>64</v>
      </c>
      <c r="AV479" s="6" t="str">
        <f>HYPERLINK("http://mcgill.on.worldcat.org/oclc/237199489","Catalog Record")</f>
        <v>Catalog Record</v>
      </c>
      <c r="AW479" s="6" t="str">
        <f>HYPERLINK("http://www.worldcat.org/oclc/237199489","WorldCat Record")</f>
        <v>WorldCat Record</v>
      </c>
      <c r="AX479" s="3" t="s">
        <v>4904</v>
      </c>
      <c r="AY479" s="3" t="s">
        <v>4905</v>
      </c>
      <c r="AZ479" s="3" t="s">
        <v>4906</v>
      </c>
      <c r="BA479" s="3" t="s">
        <v>4906</v>
      </c>
      <c r="BB479" s="3" t="s">
        <v>4907</v>
      </c>
      <c r="BC479" s="3" t="s">
        <v>78</v>
      </c>
      <c r="BD479" s="3" t="s">
        <v>79</v>
      </c>
      <c r="BE479" s="3" t="s">
        <v>4908</v>
      </c>
      <c r="BF479" s="3" t="s">
        <v>4907</v>
      </c>
      <c r="BG479" s="3" t="s">
        <v>4909</v>
      </c>
    </row>
    <row r="480" spans="1:59" ht="58" x14ac:dyDescent="0.35">
      <c r="A480" s="2" t="s">
        <v>59</v>
      </c>
      <c r="B480" s="2" t="s">
        <v>94</v>
      </c>
      <c r="C480" s="2" t="s">
        <v>4910</v>
      </c>
      <c r="D480" s="2" t="s">
        <v>4911</v>
      </c>
      <c r="E480" s="2" t="s">
        <v>4912</v>
      </c>
      <c r="G480" s="3" t="s">
        <v>64</v>
      </c>
      <c r="I480" s="3" t="s">
        <v>64</v>
      </c>
      <c r="J480" s="3" t="s">
        <v>64</v>
      </c>
      <c r="K480" s="3" t="s">
        <v>65</v>
      </c>
      <c r="L480" s="2" t="s">
        <v>4913</v>
      </c>
      <c r="M480" s="2" t="s">
        <v>4914</v>
      </c>
      <c r="N480" s="3" t="s">
        <v>1764</v>
      </c>
      <c r="O480" s="2" t="s">
        <v>1294</v>
      </c>
      <c r="P480" s="3" t="s">
        <v>69</v>
      </c>
      <c r="R480" s="3" t="s">
        <v>70</v>
      </c>
      <c r="S480" s="4">
        <v>11</v>
      </c>
      <c r="T480" s="4">
        <v>11</v>
      </c>
      <c r="U480" s="5" t="s">
        <v>4915</v>
      </c>
      <c r="V480" s="5" t="s">
        <v>4915</v>
      </c>
      <c r="W480" s="5" t="s">
        <v>72</v>
      </c>
      <c r="X480" s="5" t="s">
        <v>72</v>
      </c>
      <c r="Y480" s="4">
        <v>529</v>
      </c>
      <c r="Z480" s="4">
        <v>23</v>
      </c>
      <c r="AA480" s="4">
        <v>36</v>
      </c>
      <c r="AB480" s="4">
        <v>1</v>
      </c>
      <c r="AC480" s="4">
        <v>5</v>
      </c>
      <c r="AD480" s="4">
        <v>71</v>
      </c>
      <c r="AE480" s="4">
        <v>109</v>
      </c>
      <c r="AF480" s="4">
        <v>0</v>
      </c>
      <c r="AG480" s="4">
        <v>3</v>
      </c>
      <c r="AH480" s="4">
        <v>62</v>
      </c>
      <c r="AI480" s="4">
        <v>94</v>
      </c>
      <c r="AJ480" s="4">
        <v>14</v>
      </c>
      <c r="AK480" s="4">
        <v>18</v>
      </c>
      <c r="AL480" s="4">
        <v>33</v>
      </c>
      <c r="AM480" s="4">
        <v>49</v>
      </c>
      <c r="AN480" s="4">
        <v>0</v>
      </c>
      <c r="AO480" s="4">
        <v>0</v>
      </c>
      <c r="AP480" s="4">
        <v>14</v>
      </c>
      <c r="AQ480" s="4">
        <v>20</v>
      </c>
      <c r="AR480" s="3" t="s">
        <v>64</v>
      </c>
      <c r="AS480" s="3" t="s">
        <v>64</v>
      </c>
      <c r="AT480" s="3" t="s">
        <v>73</v>
      </c>
      <c r="AU480" s="6" t="str">
        <f>HYPERLINK("http://catalog.hathitrust.org/Record/000305294","HathiTrust Record")</f>
        <v>HathiTrust Record</v>
      </c>
      <c r="AV480" s="6" t="str">
        <f>HYPERLINK("http://mcgill.on.worldcat.org/oclc/7875334","Catalog Record")</f>
        <v>Catalog Record</v>
      </c>
      <c r="AW480" s="6" t="str">
        <f>HYPERLINK("http://www.worldcat.org/oclc/7875334","WorldCat Record")</f>
        <v>WorldCat Record</v>
      </c>
      <c r="AX480" s="3" t="s">
        <v>4916</v>
      </c>
      <c r="AY480" s="3" t="s">
        <v>4917</v>
      </c>
      <c r="AZ480" s="3" t="s">
        <v>4918</v>
      </c>
      <c r="BA480" s="3" t="s">
        <v>4918</v>
      </c>
      <c r="BB480" s="3" t="s">
        <v>4919</v>
      </c>
      <c r="BC480" s="3" t="s">
        <v>78</v>
      </c>
      <c r="BD480" s="3" t="s">
        <v>79</v>
      </c>
      <c r="BE480" s="3" t="s">
        <v>4920</v>
      </c>
      <c r="BF480" s="3" t="s">
        <v>4919</v>
      </c>
      <c r="BG480" s="3" t="s">
        <v>4921</v>
      </c>
    </row>
    <row r="481" spans="1:59" ht="58" x14ac:dyDescent="0.35">
      <c r="A481" s="2" t="s">
        <v>59</v>
      </c>
      <c r="B481" s="2" t="s">
        <v>94</v>
      </c>
      <c r="C481" s="2" t="s">
        <v>4922</v>
      </c>
      <c r="D481" s="2" t="s">
        <v>4923</v>
      </c>
      <c r="E481" s="2" t="s">
        <v>4924</v>
      </c>
      <c r="G481" s="3" t="s">
        <v>64</v>
      </c>
      <c r="I481" s="3" t="s">
        <v>64</v>
      </c>
      <c r="J481" s="3" t="s">
        <v>64</v>
      </c>
      <c r="K481" s="3" t="s">
        <v>65</v>
      </c>
      <c r="L481" s="2" t="s">
        <v>3435</v>
      </c>
      <c r="M481" s="2" t="s">
        <v>4925</v>
      </c>
      <c r="N481" s="3" t="s">
        <v>4926</v>
      </c>
      <c r="P481" s="3" t="s">
        <v>69</v>
      </c>
      <c r="R481" s="3" t="s">
        <v>70</v>
      </c>
      <c r="S481" s="4">
        <v>7</v>
      </c>
      <c r="T481" s="4">
        <v>7</v>
      </c>
      <c r="U481" s="5" t="s">
        <v>4927</v>
      </c>
      <c r="V481" s="5" t="s">
        <v>4927</v>
      </c>
      <c r="W481" s="5" t="s">
        <v>72</v>
      </c>
      <c r="X481" s="5" t="s">
        <v>72</v>
      </c>
      <c r="Y481" s="4">
        <v>50</v>
      </c>
      <c r="Z481" s="4">
        <v>6</v>
      </c>
      <c r="AA481" s="4">
        <v>11</v>
      </c>
      <c r="AB481" s="4">
        <v>1</v>
      </c>
      <c r="AC481" s="4">
        <v>3</v>
      </c>
      <c r="AD481" s="4">
        <v>19</v>
      </c>
      <c r="AE481" s="4">
        <v>82</v>
      </c>
      <c r="AF481" s="4">
        <v>0</v>
      </c>
      <c r="AG481" s="4">
        <v>0</v>
      </c>
      <c r="AH481" s="4">
        <v>17</v>
      </c>
      <c r="AI481" s="4">
        <v>80</v>
      </c>
      <c r="AJ481" s="4">
        <v>3</v>
      </c>
      <c r="AK481" s="4">
        <v>6</v>
      </c>
      <c r="AL481" s="4">
        <v>12</v>
      </c>
      <c r="AM481" s="4">
        <v>41</v>
      </c>
      <c r="AN481" s="4">
        <v>0</v>
      </c>
      <c r="AO481" s="4">
        <v>0</v>
      </c>
      <c r="AP481" s="4">
        <v>4</v>
      </c>
      <c r="AQ481" s="4">
        <v>7</v>
      </c>
      <c r="AR481" s="3" t="s">
        <v>64</v>
      </c>
      <c r="AS481" s="3" t="s">
        <v>64</v>
      </c>
      <c r="AT481" s="3" t="s">
        <v>73</v>
      </c>
      <c r="AU481" s="6" t="str">
        <f>HYPERLINK("http://catalog.hathitrust.org/Record/006553622","HathiTrust Record")</f>
        <v>HathiTrust Record</v>
      </c>
      <c r="AV481" s="6" t="str">
        <f>HYPERLINK("http://mcgill.on.worldcat.org/oclc/17998189","Catalog Record")</f>
        <v>Catalog Record</v>
      </c>
      <c r="AW481" s="6" t="str">
        <f>HYPERLINK("http://www.worldcat.org/oclc/17998189","WorldCat Record")</f>
        <v>WorldCat Record</v>
      </c>
      <c r="AX481" s="3" t="s">
        <v>4928</v>
      </c>
      <c r="AY481" s="3" t="s">
        <v>4929</v>
      </c>
      <c r="AZ481" s="3" t="s">
        <v>4930</v>
      </c>
      <c r="BA481" s="3" t="s">
        <v>4930</v>
      </c>
      <c r="BB481" s="3" t="s">
        <v>4931</v>
      </c>
      <c r="BC481" s="3" t="s">
        <v>78</v>
      </c>
      <c r="BD481" s="3" t="s">
        <v>79</v>
      </c>
      <c r="BF481" s="3" t="s">
        <v>4931</v>
      </c>
      <c r="BG481" s="3" t="s">
        <v>4932</v>
      </c>
    </row>
    <row r="482" spans="1:59" ht="58" x14ac:dyDescent="0.35">
      <c r="A482" s="2" t="s">
        <v>59</v>
      </c>
      <c r="B482" s="2" t="s">
        <v>94</v>
      </c>
      <c r="C482" s="2" t="s">
        <v>4933</v>
      </c>
      <c r="D482" s="2" t="s">
        <v>4934</v>
      </c>
      <c r="E482" s="2" t="s">
        <v>4935</v>
      </c>
      <c r="G482" s="3" t="s">
        <v>64</v>
      </c>
      <c r="I482" s="3" t="s">
        <v>64</v>
      </c>
      <c r="J482" s="3" t="s">
        <v>64</v>
      </c>
      <c r="K482" s="3" t="s">
        <v>65</v>
      </c>
      <c r="L482" s="2" t="s">
        <v>4936</v>
      </c>
      <c r="M482" s="2" t="s">
        <v>4937</v>
      </c>
      <c r="N482" s="3" t="s">
        <v>538</v>
      </c>
      <c r="P482" s="3" t="s">
        <v>69</v>
      </c>
      <c r="R482" s="3" t="s">
        <v>70</v>
      </c>
      <c r="S482" s="4">
        <v>3</v>
      </c>
      <c r="T482" s="4">
        <v>3</v>
      </c>
      <c r="U482" s="5" t="s">
        <v>3364</v>
      </c>
      <c r="V482" s="5" t="s">
        <v>3364</v>
      </c>
      <c r="W482" s="5" t="s">
        <v>72</v>
      </c>
      <c r="X482" s="5" t="s">
        <v>72</v>
      </c>
      <c r="Y482" s="4">
        <v>31</v>
      </c>
      <c r="Z482" s="4">
        <v>3</v>
      </c>
      <c r="AA482" s="4">
        <v>32</v>
      </c>
      <c r="AB482" s="4">
        <v>1</v>
      </c>
      <c r="AC482" s="4">
        <v>4</v>
      </c>
      <c r="AD482" s="4">
        <v>9</v>
      </c>
      <c r="AE482" s="4">
        <v>104</v>
      </c>
      <c r="AF482" s="4">
        <v>0</v>
      </c>
      <c r="AG482" s="4">
        <v>1</v>
      </c>
      <c r="AH482" s="4">
        <v>8</v>
      </c>
      <c r="AI482" s="4">
        <v>93</v>
      </c>
      <c r="AJ482" s="4">
        <v>2</v>
      </c>
      <c r="AK482" s="4">
        <v>14</v>
      </c>
      <c r="AL482" s="4">
        <v>5</v>
      </c>
      <c r="AM482" s="4">
        <v>48</v>
      </c>
      <c r="AN482" s="4">
        <v>3</v>
      </c>
      <c r="AO482" s="4">
        <v>3</v>
      </c>
      <c r="AP482" s="4">
        <v>2</v>
      </c>
      <c r="AQ482" s="4">
        <v>20</v>
      </c>
      <c r="AR482" s="3" t="s">
        <v>64</v>
      </c>
      <c r="AS482" s="3" t="s">
        <v>64</v>
      </c>
      <c r="AT482" s="3" t="s">
        <v>73</v>
      </c>
      <c r="AU482" s="6" t="str">
        <f>HYPERLINK("http://catalog.hathitrust.org/Record/011227723","HathiTrust Record")</f>
        <v>HathiTrust Record</v>
      </c>
      <c r="AV482" s="6" t="str">
        <f>HYPERLINK("http://mcgill.on.worldcat.org/oclc/82473372","Catalog Record")</f>
        <v>Catalog Record</v>
      </c>
      <c r="AW482" s="6" t="str">
        <f>HYPERLINK("http://www.worldcat.org/oclc/82473372","WorldCat Record")</f>
        <v>WorldCat Record</v>
      </c>
      <c r="AX482" s="3" t="s">
        <v>4938</v>
      </c>
      <c r="AY482" s="3" t="s">
        <v>4939</v>
      </c>
      <c r="AZ482" s="3" t="s">
        <v>4940</v>
      </c>
      <c r="BA482" s="3" t="s">
        <v>4940</v>
      </c>
      <c r="BB482" s="3" t="s">
        <v>4941</v>
      </c>
      <c r="BC482" s="3" t="s">
        <v>78</v>
      </c>
      <c r="BD482" s="3" t="s">
        <v>79</v>
      </c>
      <c r="BE482" s="3" t="s">
        <v>4942</v>
      </c>
      <c r="BF482" s="3" t="s">
        <v>4941</v>
      </c>
      <c r="BG482" s="3" t="s">
        <v>4943</v>
      </c>
    </row>
    <row r="483" spans="1:59" ht="58" x14ac:dyDescent="0.35">
      <c r="A483" s="2" t="s">
        <v>59</v>
      </c>
      <c r="B483" s="2" t="s">
        <v>94</v>
      </c>
      <c r="C483" s="2" t="s">
        <v>4944</v>
      </c>
      <c r="D483" s="2" t="s">
        <v>4945</v>
      </c>
      <c r="E483" s="2" t="s">
        <v>4946</v>
      </c>
      <c r="G483" s="3" t="s">
        <v>64</v>
      </c>
      <c r="I483" s="3" t="s">
        <v>64</v>
      </c>
      <c r="J483" s="3" t="s">
        <v>73</v>
      </c>
      <c r="K483" s="3" t="s">
        <v>65</v>
      </c>
      <c r="L483" s="2" t="s">
        <v>4947</v>
      </c>
      <c r="M483" s="2" t="s">
        <v>4948</v>
      </c>
      <c r="N483" s="3" t="s">
        <v>4442</v>
      </c>
      <c r="P483" s="3" t="s">
        <v>69</v>
      </c>
      <c r="R483" s="3" t="s">
        <v>70</v>
      </c>
      <c r="S483" s="4">
        <v>2</v>
      </c>
      <c r="T483" s="4">
        <v>2</v>
      </c>
      <c r="U483" s="5" t="s">
        <v>4393</v>
      </c>
      <c r="V483" s="5" t="s">
        <v>4393</v>
      </c>
      <c r="W483" s="5" t="s">
        <v>72</v>
      </c>
      <c r="X483" s="5" t="s">
        <v>72</v>
      </c>
      <c r="Y483" s="4">
        <v>273</v>
      </c>
      <c r="Z483" s="4">
        <v>9</v>
      </c>
      <c r="AA483" s="4">
        <v>31</v>
      </c>
      <c r="AB483" s="4">
        <v>1</v>
      </c>
      <c r="AC483" s="4">
        <v>4</v>
      </c>
      <c r="AD483" s="4">
        <v>66</v>
      </c>
      <c r="AE483" s="4">
        <v>109</v>
      </c>
      <c r="AF483" s="4">
        <v>0</v>
      </c>
      <c r="AG483" s="4">
        <v>2</v>
      </c>
      <c r="AH483" s="4">
        <v>60</v>
      </c>
      <c r="AI483" s="4">
        <v>93</v>
      </c>
      <c r="AJ483" s="4">
        <v>4</v>
      </c>
      <c r="AK483" s="4">
        <v>19</v>
      </c>
      <c r="AL483" s="4">
        <v>38</v>
      </c>
      <c r="AM483" s="4">
        <v>50</v>
      </c>
      <c r="AN483" s="4">
        <v>0</v>
      </c>
      <c r="AO483" s="4">
        <v>0</v>
      </c>
      <c r="AP483" s="4">
        <v>6</v>
      </c>
      <c r="AQ483" s="4">
        <v>24</v>
      </c>
      <c r="AR483" s="3" t="s">
        <v>64</v>
      </c>
      <c r="AS483" s="3" t="s">
        <v>64</v>
      </c>
      <c r="AT483" s="3" t="s">
        <v>64</v>
      </c>
      <c r="AV483" s="6" t="str">
        <f>HYPERLINK("http://mcgill.on.worldcat.org/oclc/382384","Catalog Record")</f>
        <v>Catalog Record</v>
      </c>
      <c r="AW483" s="6" t="str">
        <f>HYPERLINK("http://www.worldcat.org/oclc/382384","WorldCat Record")</f>
        <v>WorldCat Record</v>
      </c>
      <c r="AX483" s="3" t="s">
        <v>4949</v>
      </c>
      <c r="AY483" s="3" t="s">
        <v>4950</v>
      </c>
      <c r="AZ483" s="3" t="s">
        <v>4951</v>
      </c>
      <c r="BA483" s="3" t="s">
        <v>4951</v>
      </c>
      <c r="BB483" s="3" t="s">
        <v>4952</v>
      </c>
      <c r="BC483" s="3" t="s">
        <v>78</v>
      </c>
      <c r="BD483" s="3" t="s">
        <v>79</v>
      </c>
      <c r="BF483" s="3" t="s">
        <v>4952</v>
      </c>
      <c r="BG483" s="3" t="s">
        <v>4953</v>
      </c>
    </row>
    <row r="484" spans="1:59" ht="58" x14ac:dyDescent="0.35">
      <c r="A484" s="2" t="s">
        <v>59</v>
      </c>
      <c r="B484" s="2" t="s">
        <v>94</v>
      </c>
      <c r="C484" s="2" t="s">
        <v>4954</v>
      </c>
      <c r="D484" s="2" t="s">
        <v>4955</v>
      </c>
      <c r="E484" s="2" t="s">
        <v>4956</v>
      </c>
      <c r="G484" s="3" t="s">
        <v>64</v>
      </c>
      <c r="I484" s="3" t="s">
        <v>64</v>
      </c>
      <c r="J484" s="3" t="s">
        <v>64</v>
      </c>
      <c r="K484" s="3" t="s">
        <v>65</v>
      </c>
      <c r="L484" s="2" t="s">
        <v>4957</v>
      </c>
      <c r="M484" s="2" t="s">
        <v>4958</v>
      </c>
      <c r="N484" s="3" t="s">
        <v>449</v>
      </c>
      <c r="P484" s="3" t="s">
        <v>69</v>
      </c>
      <c r="Q484" s="2" t="s">
        <v>1996</v>
      </c>
      <c r="R484" s="3" t="s">
        <v>70</v>
      </c>
      <c r="S484" s="4">
        <v>2</v>
      </c>
      <c r="T484" s="4">
        <v>2</v>
      </c>
      <c r="U484" s="5" t="s">
        <v>366</v>
      </c>
      <c r="V484" s="5" t="s">
        <v>366</v>
      </c>
      <c r="W484" s="5" t="s">
        <v>72</v>
      </c>
      <c r="X484" s="5" t="s">
        <v>72</v>
      </c>
      <c r="Y484" s="4">
        <v>245</v>
      </c>
      <c r="Z484" s="4">
        <v>14</v>
      </c>
      <c r="AA484" s="4">
        <v>14</v>
      </c>
      <c r="AB484" s="4">
        <v>1</v>
      </c>
      <c r="AC484" s="4">
        <v>1</v>
      </c>
      <c r="AD484" s="4">
        <v>68</v>
      </c>
      <c r="AE484" s="4">
        <v>68</v>
      </c>
      <c r="AF484" s="4">
        <v>0</v>
      </c>
      <c r="AG484" s="4">
        <v>0</v>
      </c>
      <c r="AH484" s="4">
        <v>62</v>
      </c>
      <c r="AI484" s="4">
        <v>62</v>
      </c>
      <c r="AJ484" s="4">
        <v>9</v>
      </c>
      <c r="AK484" s="4">
        <v>9</v>
      </c>
      <c r="AL484" s="4">
        <v>38</v>
      </c>
      <c r="AM484" s="4">
        <v>38</v>
      </c>
      <c r="AN484" s="4">
        <v>0</v>
      </c>
      <c r="AO484" s="4">
        <v>0</v>
      </c>
      <c r="AP484" s="4">
        <v>10</v>
      </c>
      <c r="AQ484" s="4">
        <v>10</v>
      </c>
      <c r="AR484" s="3" t="s">
        <v>64</v>
      </c>
      <c r="AS484" s="3" t="s">
        <v>64</v>
      </c>
      <c r="AT484" s="3" t="s">
        <v>64</v>
      </c>
      <c r="AV484" s="6" t="str">
        <f>HYPERLINK("http://mcgill.on.worldcat.org/oclc/213765799","Catalog Record")</f>
        <v>Catalog Record</v>
      </c>
      <c r="AW484" s="6" t="str">
        <f>HYPERLINK("http://www.worldcat.org/oclc/213765799","WorldCat Record")</f>
        <v>WorldCat Record</v>
      </c>
      <c r="AX484" s="3" t="s">
        <v>4959</v>
      </c>
      <c r="AY484" s="3" t="s">
        <v>4960</v>
      </c>
      <c r="AZ484" s="3" t="s">
        <v>4961</v>
      </c>
      <c r="BA484" s="3" t="s">
        <v>4961</v>
      </c>
      <c r="BB484" s="3" t="s">
        <v>4962</v>
      </c>
      <c r="BC484" s="3" t="s">
        <v>78</v>
      </c>
      <c r="BD484" s="3" t="s">
        <v>79</v>
      </c>
      <c r="BE484" s="3" t="s">
        <v>4963</v>
      </c>
      <c r="BF484" s="3" t="s">
        <v>4962</v>
      </c>
      <c r="BG484" s="3" t="s">
        <v>4964</v>
      </c>
    </row>
    <row r="485" spans="1:59" ht="116" x14ac:dyDescent="0.35">
      <c r="A485" s="2" t="s">
        <v>59</v>
      </c>
      <c r="B485" s="2" t="s">
        <v>3778</v>
      </c>
      <c r="C485" s="2" t="s">
        <v>4965</v>
      </c>
      <c r="D485" s="2" t="s">
        <v>4966</v>
      </c>
      <c r="E485" s="2" t="s">
        <v>4967</v>
      </c>
      <c r="G485" s="3" t="s">
        <v>64</v>
      </c>
      <c r="I485" s="3" t="s">
        <v>64</v>
      </c>
      <c r="J485" s="3" t="s">
        <v>73</v>
      </c>
      <c r="K485" s="3" t="s">
        <v>65</v>
      </c>
      <c r="L485" s="2" t="s">
        <v>4622</v>
      </c>
      <c r="M485" s="2" t="s">
        <v>4968</v>
      </c>
      <c r="N485" s="3" t="s">
        <v>4535</v>
      </c>
      <c r="O485" s="2" t="s">
        <v>3783</v>
      </c>
      <c r="P485" s="3" t="s">
        <v>3784</v>
      </c>
      <c r="Q485" s="2" t="s">
        <v>4969</v>
      </c>
      <c r="R485" s="3" t="s">
        <v>70</v>
      </c>
      <c r="S485" s="4">
        <v>2</v>
      </c>
      <c r="T485" s="4">
        <v>2</v>
      </c>
      <c r="U485" s="5" t="s">
        <v>4970</v>
      </c>
      <c r="V485" s="5" t="s">
        <v>4970</v>
      </c>
      <c r="W485" s="5" t="s">
        <v>72</v>
      </c>
      <c r="X485" s="5" t="s">
        <v>72</v>
      </c>
      <c r="Y485" s="4">
        <v>7</v>
      </c>
      <c r="Z485" s="4">
        <v>1</v>
      </c>
      <c r="AA485" s="4">
        <v>22</v>
      </c>
      <c r="AB485" s="4">
        <v>1</v>
      </c>
      <c r="AC485" s="4">
        <v>3</v>
      </c>
      <c r="AD485" s="4">
        <v>3</v>
      </c>
      <c r="AE485" s="4">
        <v>76</v>
      </c>
      <c r="AF485" s="4">
        <v>0</v>
      </c>
      <c r="AG485" s="4">
        <v>1</v>
      </c>
      <c r="AH485" s="4">
        <v>3</v>
      </c>
      <c r="AI485" s="4">
        <v>68</v>
      </c>
      <c r="AJ485" s="4">
        <v>0</v>
      </c>
      <c r="AK485" s="4">
        <v>8</v>
      </c>
      <c r="AL485" s="4">
        <v>3</v>
      </c>
      <c r="AM485" s="4">
        <v>49</v>
      </c>
      <c r="AN485" s="4">
        <v>0</v>
      </c>
      <c r="AO485" s="4">
        <v>0</v>
      </c>
      <c r="AP485" s="4">
        <v>0</v>
      </c>
      <c r="AQ485" s="4">
        <v>8</v>
      </c>
      <c r="AR485" s="3" t="s">
        <v>64</v>
      </c>
      <c r="AS485" s="3" t="s">
        <v>64</v>
      </c>
      <c r="AT485" s="3" t="s">
        <v>64</v>
      </c>
      <c r="AV485" s="6" t="str">
        <f>HYPERLINK("http://mcgill.on.worldcat.org/oclc/1083218885","Catalog Record")</f>
        <v>Catalog Record</v>
      </c>
      <c r="AW485" s="6" t="str">
        <f>HYPERLINK("http://www.worldcat.org/oclc/1083218885","WorldCat Record")</f>
        <v>WorldCat Record</v>
      </c>
      <c r="AX485" s="3" t="s">
        <v>4626</v>
      </c>
      <c r="AY485" s="3" t="s">
        <v>4971</v>
      </c>
      <c r="AZ485" s="3" t="s">
        <v>4972</v>
      </c>
      <c r="BA485" s="3" t="s">
        <v>4972</v>
      </c>
      <c r="BB485" s="3" t="s">
        <v>4973</v>
      </c>
      <c r="BC485" s="3" t="s">
        <v>78</v>
      </c>
      <c r="BD485" s="3" t="s">
        <v>79</v>
      </c>
      <c r="BE485" s="3" t="s">
        <v>4974</v>
      </c>
      <c r="BF485" s="3" t="s">
        <v>4973</v>
      </c>
      <c r="BG485" s="3" t="s">
        <v>4975</v>
      </c>
    </row>
    <row r="486" spans="1:59" ht="58" x14ac:dyDescent="0.35">
      <c r="A486" s="2" t="s">
        <v>59</v>
      </c>
      <c r="B486" s="2" t="s">
        <v>94</v>
      </c>
      <c r="C486" s="2" t="s">
        <v>4976</v>
      </c>
      <c r="D486" s="2" t="s">
        <v>4977</v>
      </c>
      <c r="E486" s="2" t="s">
        <v>4978</v>
      </c>
      <c r="G486" s="3" t="s">
        <v>64</v>
      </c>
      <c r="I486" s="3" t="s">
        <v>64</v>
      </c>
      <c r="J486" s="3" t="s">
        <v>64</v>
      </c>
      <c r="K486" s="3" t="s">
        <v>65</v>
      </c>
      <c r="L486" s="2" t="s">
        <v>4979</v>
      </c>
      <c r="M486" s="2" t="s">
        <v>4980</v>
      </c>
      <c r="N486" s="3" t="s">
        <v>112</v>
      </c>
      <c r="P486" s="3" t="s">
        <v>69</v>
      </c>
      <c r="R486" s="3" t="s">
        <v>70</v>
      </c>
      <c r="S486" s="4">
        <v>5</v>
      </c>
      <c r="T486" s="4">
        <v>5</v>
      </c>
      <c r="U486" s="5" t="s">
        <v>4981</v>
      </c>
      <c r="V486" s="5" t="s">
        <v>4981</v>
      </c>
      <c r="W486" s="5" t="s">
        <v>72</v>
      </c>
      <c r="X486" s="5" t="s">
        <v>72</v>
      </c>
      <c r="Y486" s="4">
        <v>475</v>
      </c>
      <c r="Z486" s="4">
        <v>14</v>
      </c>
      <c r="AA486" s="4">
        <v>31</v>
      </c>
      <c r="AB486" s="4">
        <v>2</v>
      </c>
      <c r="AC486" s="4">
        <v>6</v>
      </c>
      <c r="AD486" s="4">
        <v>98</v>
      </c>
      <c r="AE486" s="4">
        <v>120</v>
      </c>
      <c r="AF486" s="4">
        <v>0</v>
      </c>
      <c r="AG486" s="4">
        <v>4</v>
      </c>
      <c r="AH486" s="4">
        <v>89</v>
      </c>
      <c r="AI486" s="4">
        <v>101</v>
      </c>
      <c r="AJ486" s="4">
        <v>8</v>
      </c>
      <c r="AK486" s="4">
        <v>18</v>
      </c>
      <c r="AL486" s="4">
        <v>52</v>
      </c>
      <c r="AM486" s="4">
        <v>56</v>
      </c>
      <c r="AN486" s="4">
        <v>0</v>
      </c>
      <c r="AO486" s="4">
        <v>0</v>
      </c>
      <c r="AP486" s="4">
        <v>9</v>
      </c>
      <c r="AQ486" s="4">
        <v>23</v>
      </c>
      <c r="AR486" s="3" t="s">
        <v>64</v>
      </c>
      <c r="AS486" s="3" t="s">
        <v>64</v>
      </c>
      <c r="AT486" s="3" t="s">
        <v>64</v>
      </c>
      <c r="AU486" s="6" t="str">
        <f>HYPERLINK("http://catalog.hathitrust.org/Record/001047149","HathiTrust Record")</f>
        <v>HathiTrust Record</v>
      </c>
      <c r="AV486" s="6" t="str">
        <f>HYPERLINK("http://mcgill.on.worldcat.org/oclc/1250918","Catalog Record")</f>
        <v>Catalog Record</v>
      </c>
      <c r="AW486" s="6" t="str">
        <f>HYPERLINK("http://www.worldcat.org/oclc/1250918","WorldCat Record")</f>
        <v>WorldCat Record</v>
      </c>
      <c r="AX486" s="3" t="s">
        <v>4982</v>
      </c>
      <c r="AY486" s="3" t="s">
        <v>4983</v>
      </c>
      <c r="AZ486" s="3" t="s">
        <v>4984</v>
      </c>
      <c r="BA486" s="3" t="s">
        <v>4984</v>
      </c>
      <c r="BB486" s="3" t="s">
        <v>4985</v>
      </c>
      <c r="BC486" s="3" t="s">
        <v>78</v>
      </c>
      <c r="BD486" s="3" t="s">
        <v>79</v>
      </c>
      <c r="BF486" s="3" t="s">
        <v>4985</v>
      </c>
      <c r="BG486" s="3" t="s">
        <v>4986</v>
      </c>
    </row>
    <row r="487" spans="1:59" ht="58" x14ac:dyDescent="0.35">
      <c r="A487" s="2" t="s">
        <v>59</v>
      </c>
      <c r="B487" s="2" t="s">
        <v>94</v>
      </c>
      <c r="C487" s="2" t="s">
        <v>4987</v>
      </c>
      <c r="D487" s="2" t="s">
        <v>4988</v>
      </c>
      <c r="E487" s="2" t="s">
        <v>4989</v>
      </c>
      <c r="F487" s="3" t="s">
        <v>399</v>
      </c>
      <c r="G487" s="3" t="s">
        <v>73</v>
      </c>
      <c r="I487" s="3" t="s">
        <v>64</v>
      </c>
      <c r="J487" s="3" t="s">
        <v>64</v>
      </c>
      <c r="K487" s="3" t="s">
        <v>65</v>
      </c>
      <c r="M487" s="2" t="s">
        <v>4990</v>
      </c>
      <c r="N487" s="3" t="s">
        <v>136</v>
      </c>
      <c r="O487" s="2" t="s">
        <v>1294</v>
      </c>
      <c r="P487" s="3" t="s">
        <v>69</v>
      </c>
      <c r="R487" s="3" t="s">
        <v>70</v>
      </c>
      <c r="S487" s="4">
        <v>6</v>
      </c>
      <c r="T487" s="4">
        <v>15</v>
      </c>
      <c r="U487" s="5" t="s">
        <v>4991</v>
      </c>
      <c r="V487" s="5" t="s">
        <v>4991</v>
      </c>
      <c r="W487" s="5" t="s">
        <v>72</v>
      </c>
      <c r="X487" s="5" t="s">
        <v>72</v>
      </c>
      <c r="Y487" s="4">
        <v>132</v>
      </c>
      <c r="Z487" s="4">
        <v>1</v>
      </c>
      <c r="AA487" s="4">
        <v>1</v>
      </c>
      <c r="AB487" s="4">
        <v>1</v>
      </c>
      <c r="AC487" s="4">
        <v>1</v>
      </c>
      <c r="AD487" s="4">
        <v>44</v>
      </c>
      <c r="AE487" s="4">
        <v>44</v>
      </c>
      <c r="AF487" s="4">
        <v>0</v>
      </c>
      <c r="AG487" s="4">
        <v>0</v>
      </c>
      <c r="AH487" s="4">
        <v>43</v>
      </c>
      <c r="AI487" s="4">
        <v>43</v>
      </c>
      <c r="AJ487" s="4">
        <v>0</v>
      </c>
      <c r="AK487" s="4">
        <v>0</v>
      </c>
      <c r="AL487" s="4">
        <v>26</v>
      </c>
      <c r="AM487" s="4">
        <v>26</v>
      </c>
      <c r="AN487" s="4">
        <v>0</v>
      </c>
      <c r="AO487" s="4">
        <v>0</v>
      </c>
      <c r="AP487" s="4">
        <v>0</v>
      </c>
      <c r="AQ487" s="4">
        <v>0</v>
      </c>
      <c r="AR487" s="3" t="s">
        <v>64</v>
      </c>
      <c r="AS487" s="3" t="s">
        <v>64</v>
      </c>
      <c r="AT487" s="3" t="s">
        <v>73</v>
      </c>
      <c r="AU487" s="6" t="str">
        <f>HYPERLINK("http://catalog.hathitrust.org/Record/003546406","HathiTrust Record")</f>
        <v>HathiTrust Record</v>
      </c>
      <c r="AV487" s="6" t="str">
        <f>HYPERLINK("http://mcgill.on.worldcat.org/oclc/44018897","Catalog Record")</f>
        <v>Catalog Record</v>
      </c>
      <c r="AW487" s="6" t="str">
        <f>HYPERLINK("http://www.worldcat.org/oclc/44018897","WorldCat Record")</f>
        <v>WorldCat Record</v>
      </c>
      <c r="AX487" s="3" t="s">
        <v>4992</v>
      </c>
      <c r="AY487" s="3" t="s">
        <v>4993</v>
      </c>
      <c r="AZ487" s="3" t="s">
        <v>4994</v>
      </c>
      <c r="BA487" s="3" t="s">
        <v>4994</v>
      </c>
      <c r="BB487" s="3" t="s">
        <v>4995</v>
      </c>
      <c r="BC487" s="3" t="s">
        <v>78</v>
      </c>
      <c r="BD487" s="3" t="s">
        <v>79</v>
      </c>
      <c r="BE487" s="3" t="s">
        <v>4996</v>
      </c>
      <c r="BF487" s="3" t="s">
        <v>4995</v>
      </c>
      <c r="BG487" s="3" t="s">
        <v>4997</v>
      </c>
    </row>
    <row r="488" spans="1:59" ht="58" x14ac:dyDescent="0.35">
      <c r="A488" s="2" t="s">
        <v>59</v>
      </c>
      <c r="B488" s="2" t="s">
        <v>94</v>
      </c>
      <c r="C488" s="2" t="s">
        <v>4987</v>
      </c>
      <c r="D488" s="2" t="s">
        <v>4988</v>
      </c>
      <c r="E488" s="2" t="s">
        <v>4989</v>
      </c>
      <c r="F488" s="3" t="s">
        <v>550</v>
      </c>
      <c r="G488" s="3" t="s">
        <v>73</v>
      </c>
      <c r="I488" s="3" t="s">
        <v>64</v>
      </c>
      <c r="J488" s="3" t="s">
        <v>64</v>
      </c>
      <c r="K488" s="3" t="s">
        <v>65</v>
      </c>
      <c r="M488" s="2" t="s">
        <v>4990</v>
      </c>
      <c r="N488" s="3" t="s">
        <v>136</v>
      </c>
      <c r="O488" s="2" t="s">
        <v>1294</v>
      </c>
      <c r="P488" s="3" t="s">
        <v>69</v>
      </c>
      <c r="R488" s="3" t="s">
        <v>70</v>
      </c>
      <c r="S488" s="4">
        <v>9</v>
      </c>
      <c r="T488" s="4">
        <v>15</v>
      </c>
      <c r="U488" s="5" t="s">
        <v>4998</v>
      </c>
      <c r="V488" s="5" t="s">
        <v>4991</v>
      </c>
      <c r="W488" s="5" t="s">
        <v>72</v>
      </c>
      <c r="X488" s="5" t="s">
        <v>72</v>
      </c>
      <c r="Y488" s="4">
        <v>132</v>
      </c>
      <c r="Z488" s="4">
        <v>1</v>
      </c>
      <c r="AA488" s="4">
        <v>1</v>
      </c>
      <c r="AB488" s="4">
        <v>1</v>
      </c>
      <c r="AC488" s="4">
        <v>1</v>
      </c>
      <c r="AD488" s="4">
        <v>44</v>
      </c>
      <c r="AE488" s="4">
        <v>44</v>
      </c>
      <c r="AF488" s="4">
        <v>0</v>
      </c>
      <c r="AG488" s="4">
        <v>0</v>
      </c>
      <c r="AH488" s="4">
        <v>43</v>
      </c>
      <c r="AI488" s="4">
        <v>43</v>
      </c>
      <c r="AJ488" s="4">
        <v>0</v>
      </c>
      <c r="AK488" s="4">
        <v>0</v>
      </c>
      <c r="AL488" s="4">
        <v>26</v>
      </c>
      <c r="AM488" s="4">
        <v>26</v>
      </c>
      <c r="AN488" s="4">
        <v>0</v>
      </c>
      <c r="AO488" s="4">
        <v>0</v>
      </c>
      <c r="AP488" s="4">
        <v>0</v>
      </c>
      <c r="AQ488" s="4">
        <v>0</v>
      </c>
      <c r="AR488" s="3" t="s">
        <v>64</v>
      </c>
      <c r="AS488" s="3" t="s">
        <v>64</v>
      </c>
      <c r="AT488" s="3" t="s">
        <v>73</v>
      </c>
      <c r="AU488" s="6" t="str">
        <f>HYPERLINK("http://catalog.hathitrust.org/Record/003546406","HathiTrust Record")</f>
        <v>HathiTrust Record</v>
      </c>
      <c r="AV488" s="6" t="str">
        <f>HYPERLINK("http://mcgill.on.worldcat.org/oclc/44018897","Catalog Record")</f>
        <v>Catalog Record</v>
      </c>
      <c r="AW488" s="6" t="str">
        <f>HYPERLINK("http://www.worldcat.org/oclc/44018897","WorldCat Record")</f>
        <v>WorldCat Record</v>
      </c>
      <c r="AX488" s="3" t="s">
        <v>4992</v>
      </c>
      <c r="AY488" s="3" t="s">
        <v>4993</v>
      </c>
      <c r="AZ488" s="3" t="s">
        <v>4994</v>
      </c>
      <c r="BA488" s="3" t="s">
        <v>4994</v>
      </c>
      <c r="BB488" s="3" t="s">
        <v>4999</v>
      </c>
      <c r="BC488" s="3" t="s">
        <v>78</v>
      </c>
      <c r="BD488" s="3" t="s">
        <v>79</v>
      </c>
      <c r="BE488" s="3" t="s">
        <v>4996</v>
      </c>
      <c r="BF488" s="3" t="s">
        <v>4999</v>
      </c>
      <c r="BG488" s="3" t="s">
        <v>5000</v>
      </c>
    </row>
    <row r="489" spans="1:59" ht="58" x14ac:dyDescent="0.35">
      <c r="A489" s="2" t="s">
        <v>59</v>
      </c>
      <c r="B489" s="2" t="s">
        <v>94</v>
      </c>
      <c r="C489" s="2" t="s">
        <v>5001</v>
      </c>
      <c r="D489" s="2" t="s">
        <v>5002</v>
      </c>
      <c r="E489" s="2" t="s">
        <v>5003</v>
      </c>
      <c r="G489" s="3" t="s">
        <v>64</v>
      </c>
      <c r="I489" s="3" t="s">
        <v>64</v>
      </c>
      <c r="J489" s="3" t="s">
        <v>64</v>
      </c>
      <c r="K489" s="3" t="s">
        <v>65</v>
      </c>
      <c r="M489" s="2" t="s">
        <v>5004</v>
      </c>
      <c r="N489" s="3" t="s">
        <v>486</v>
      </c>
      <c r="P489" s="3" t="s">
        <v>69</v>
      </c>
      <c r="Q489" s="2" t="s">
        <v>5005</v>
      </c>
      <c r="R489" s="3" t="s">
        <v>70</v>
      </c>
      <c r="S489" s="4">
        <v>8</v>
      </c>
      <c r="T489" s="4">
        <v>8</v>
      </c>
      <c r="U489" s="5" t="s">
        <v>5006</v>
      </c>
      <c r="V489" s="5" t="s">
        <v>5006</v>
      </c>
      <c r="W489" s="5" t="s">
        <v>72</v>
      </c>
      <c r="X489" s="5" t="s">
        <v>72</v>
      </c>
      <c r="Y489" s="4">
        <v>283</v>
      </c>
      <c r="Z489" s="4">
        <v>13</v>
      </c>
      <c r="AA489" s="4">
        <v>15</v>
      </c>
      <c r="AB489" s="4">
        <v>1</v>
      </c>
      <c r="AC489" s="4">
        <v>3</v>
      </c>
      <c r="AD489" s="4">
        <v>82</v>
      </c>
      <c r="AE489" s="4">
        <v>84</v>
      </c>
      <c r="AF489" s="4">
        <v>0</v>
      </c>
      <c r="AG489" s="4">
        <v>2</v>
      </c>
      <c r="AH489" s="4">
        <v>80</v>
      </c>
      <c r="AI489" s="4">
        <v>81</v>
      </c>
      <c r="AJ489" s="4">
        <v>9</v>
      </c>
      <c r="AK489" s="4">
        <v>11</v>
      </c>
      <c r="AL489" s="4">
        <v>46</v>
      </c>
      <c r="AM489" s="4">
        <v>46</v>
      </c>
      <c r="AN489" s="4">
        <v>0</v>
      </c>
      <c r="AO489" s="4">
        <v>0</v>
      </c>
      <c r="AP489" s="4">
        <v>10</v>
      </c>
      <c r="AQ489" s="4">
        <v>11</v>
      </c>
      <c r="AR489" s="3" t="s">
        <v>64</v>
      </c>
      <c r="AS489" s="3" t="s">
        <v>64</v>
      </c>
      <c r="AT489" s="3" t="s">
        <v>64</v>
      </c>
      <c r="AV489" s="6" t="str">
        <f>HYPERLINK("http://mcgill.on.worldcat.org/oclc/6446654","Catalog Record")</f>
        <v>Catalog Record</v>
      </c>
      <c r="AW489" s="6" t="str">
        <f>HYPERLINK("http://www.worldcat.org/oclc/6446654","WorldCat Record")</f>
        <v>WorldCat Record</v>
      </c>
      <c r="AX489" s="3" t="s">
        <v>5007</v>
      </c>
      <c r="AY489" s="3" t="s">
        <v>5008</v>
      </c>
      <c r="AZ489" s="3" t="s">
        <v>5009</v>
      </c>
      <c r="BA489" s="3" t="s">
        <v>5009</v>
      </c>
      <c r="BB489" s="3" t="s">
        <v>5010</v>
      </c>
      <c r="BC489" s="3" t="s">
        <v>78</v>
      </c>
      <c r="BD489" s="3" t="s">
        <v>79</v>
      </c>
      <c r="BE489" s="3" t="s">
        <v>5011</v>
      </c>
      <c r="BF489" s="3" t="s">
        <v>5010</v>
      </c>
      <c r="BG489" s="3" t="s">
        <v>5012</v>
      </c>
    </row>
    <row r="490" spans="1:59" ht="58" x14ac:dyDescent="0.35">
      <c r="A490" s="2" t="s">
        <v>59</v>
      </c>
      <c r="B490" s="2" t="s">
        <v>94</v>
      </c>
      <c r="C490" s="2" t="s">
        <v>5013</v>
      </c>
      <c r="D490" s="2" t="s">
        <v>5014</v>
      </c>
      <c r="E490" s="2" t="s">
        <v>5015</v>
      </c>
      <c r="G490" s="3" t="s">
        <v>64</v>
      </c>
      <c r="I490" s="3" t="s">
        <v>64</v>
      </c>
      <c r="J490" s="3" t="s">
        <v>64</v>
      </c>
      <c r="K490" s="3" t="s">
        <v>65</v>
      </c>
      <c r="L490" s="2" t="s">
        <v>5016</v>
      </c>
      <c r="M490" s="2" t="s">
        <v>5017</v>
      </c>
      <c r="N490" s="3" t="s">
        <v>3563</v>
      </c>
      <c r="P490" s="3" t="s">
        <v>69</v>
      </c>
      <c r="R490" s="3" t="s">
        <v>70</v>
      </c>
      <c r="S490" s="4">
        <v>3</v>
      </c>
      <c r="T490" s="4">
        <v>3</v>
      </c>
      <c r="U490" s="5" t="s">
        <v>5018</v>
      </c>
      <c r="V490" s="5" t="s">
        <v>5018</v>
      </c>
      <c r="W490" s="5" t="s">
        <v>72</v>
      </c>
      <c r="X490" s="5" t="s">
        <v>72</v>
      </c>
      <c r="Y490" s="4">
        <v>91</v>
      </c>
      <c r="Z490" s="4">
        <v>4</v>
      </c>
      <c r="AA490" s="4">
        <v>7</v>
      </c>
      <c r="AB490" s="4">
        <v>1</v>
      </c>
      <c r="AC490" s="4">
        <v>1</v>
      </c>
      <c r="AD490" s="4">
        <v>43</v>
      </c>
      <c r="AE490" s="4">
        <v>55</v>
      </c>
      <c r="AF490" s="4">
        <v>0</v>
      </c>
      <c r="AG490" s="4">
        <v>0</v>
      </c>
      <c r="AH490" s="4">
        <v>40</v>
      </c>
      <c r="AI490" s="4">
        <v>51</v>
      </c>
      <c r="AJ490" s="4">
        <v>3</v>
      </c>
      <c r="AK490" s="4">
        <v>6</v>
      </c>
      <c r="AL490" s="4">
        <v>19</v>
      </c>
      <c r="AM490" s="4">
        <v>22</v>
      </c>
      <c r="AN490" s="4">
        <v>0</v>
      </c>
      <c r="AO490" s="4">
        <v>0</v>
      </c>
      <c r="AP490" s="4">
        <v>3</v>
      </c>
      <c r="AQ490" s="4">
        <v>6</v>
      </c>
      <c r="AR490" s="3" t="s">
        <v>64</v>
      </c>
      <c r="AS490" s="3" t="s">
        <v>64</v>
      </c>
      <c r="AT490" s="3" t="s">
        <v>64</v>
      </c>
      <c r="AV490" s="6" t="str">
        <f>HYPERLINK("http://mcgill.on.worldcat.org/oclc/26733453","Catalog Record")</f>
        <v>Catalog Record</v>
      </c>
      <c r="AW490" s="6" t="str">
        <f>HYPERLINK("http://www.worldcat.org/oclc/26733453","WorldCat Record")</f>
        <v>WorldCat Record</v>
      </c>
      <c r="AX490" s="3" t="s">
        <v>5019</v>
      </c>
      <c r="AY490" s="3" t="s">
        <v>5020</v>
      </c>
      <c r="AZ490" s="3" t="s">
        <v>5021</v>
      </c>
      <c r="BA490" s="3" t="s">
        <v>5021</v>
      </c>
      <c r="BB490" s="3" t="s">
        <v>5022</v>
      </c>
      <c r="BC490" s="3" t="s">
        <v>78</v>
      </c>
      <c r="BD490" s="3" t="s">
        <v>79</v>
      </c>
      <c r="BE490" s="3" t="s">
        <v>5023</v>
      </c>
      <c r="BF490" s="3" t="s">
        <v>5022</v>
      </c>
      <c r="BG490" s="3" t="s">
        <v>5024</v>
      </c>
    </row>
    <row r="491" spans="1:59" ht="58" x14ac:dyDescent="0.35">
      <c r="A491" s="2" t="s">
        <v>59</v>
      </c>
      <c r="B491" s="2" t="s">
        <v>94</v>
      </c>
      <c r="C491" s="2" t="s">
        <v>5025</v>
      </c>
      <c r="D491" s="2" t="s">
        <v>5026</v>
      </c>
      <c r="E491" s="2" t="s">
        <v>5027</v>
      </c>
      <c r="G491" s="3" t="s">
        <v>64</v>
      </c>
      <c r="I491" s="3" t="s">
        <v>73</v>
      </c>
      <c r="J491" s="3" t="s">
        <v>73</v>
      </c>
      <c r="K491" s="3" t="s">
        <v>65</v>
      </c>
      <c r="L491" s="2" t="s">
        <v>5028</v>
      </c>
      <c r="M491" s="2" t="s">
        <v>5029</v>
      </c>
      <c r="N491" s="3" t="s">
        <v>3411</v>
      </c>
      <c r="P491" s="3" t="s">
        <v>69</v>
      </c>
      <c r="R491" s="3" t="s">
        <v>70</v>
      </c>
      <c r="S491" s="4">
        <v>11</v>
      </c>
      <c r="T491" s="4">
        <v>77</v>
      </c>
      <c r="U491" s="5" t="s">
        <v>5030</v>
      </c>
      <c r="V491" s="5" t="s">
        <v>5031</v>
      </c>
      <c r="W491" s="5" t="s">
        <v>72</v>
      </c>
      <c r="X491" s="5" t="s">
        <v>72</v>
      </c>
      <c r="Y491" s="4">
        <v>980</v>
      </c>
      <c r="Z491" s="4">
        <v>57</v>
      </c>
      <c r="AA491" s="4">
        <v>72</v>
      </c>
      <c r="AB491" s="4">
        <v>3</v>
      </c>
      <c r="AC491" s="4">
        <v>10</v>
      </c>
      <c r="AD491" s="4">
        <v>135</v>
      </c>
      <c r="AE491" s="4">
        <v>151</v>
      </c>
      <c r="AF491" s="4">
        <v>1</v>
      </c>
      <c r="AG491" s="4">
        <v>4</v>
      </c>
      <c r="AH491" s="4">
        <v>105</v>
      </c>
      <c r="AI491" s="4">
        <v>112</v>
      </c>
      <c r="AJ491" s="4">
        <v>23</v>
      </c>
      <c r="AK491" s="4">
        <v>25</v>
      </c>
      <c r="AL491" s="4">
        <v>58</v>
      </c>
      <c r="AM491" s="4">
        <v>62</v>
      </c>
      <c r="AN491" s="4">
        <v>0</v>
      </c>
      <c r="AO491" s="4">
        <v>0</v>
      </c>
      <c r="AP491" s="4">
        <v>38</v>
      </c>
      <c r="AQ491" s="4">
        <v>44</v>
      </c>
      <c r="AR491" s="3" t="s">
        <v>64</v>
      </c>
      <c r="AS491" s="3" t="s">
        <v>64</v>
      </c>
      <c r="AT491" s="3" t="s">
        <v>64</v>
      </c>
      <c r="AV491" s="6" t="str">
        <f t="shared" ref="AV491:AV496" si="8">HYPERLINK("http://mcgill.on.worldcat.org/oclc/567721","Catalog Record")</f>
        <v>Catalog Record</v>
      </c>
      <c r="AW491" s="6" t="str">
        <f t="shared" ref="AW491:AW496" si="9">HYPERLINK("http://www.worldcat.org/oclc/567721","WorldCat Record")</f>
        <v>WorldCat Record</v>
      </c>
      <c r="AX491" s="3" t="s">
        <v>5032</v>
      </c>
      <c r="AY491" s="3" t="s">
        <v>5033</v>
      </c>
      <c r="AZ491" s="3" t="s">
        <v>5034</v>
      </c>
      <c r="BA491" s="3" t="s">
        <v>5034</v>
      </c>
      <c r="BB491" s="3" t="s">
        <v>5035</v>
      </c>
      <c r="BC491" s="3" t="s">
        <v>78</v>
      </c>
      <c r="BD491" s="3" t="s">
        <v>79</v>
      </c>
      <c r="BE491" s="3" t="s">
        <v>5036</v>
      </c>
      <c r="BF491" s="3" t="s">
        <v>5035</v>
      </c>
      <c r="BG491" s="3" t="s">
        <v>5037</v>
      </c>
    </row>
    <row r="492" spans="1:59" ht="58" x14ac:dyDescent="0.35">
      <c r="A492" s="2" t="s">
        <v>59</v>
      </c>
      <c r="B492" s="2" t="s">
        <v>94</v>
      </c>
      <c r="C492" s="2" t="s">
        <v>5025</v>
      </c>
      <c r="D492" s="2" t="s">
        <v>5026</v>
      </c>
      <c r="E492" s="2" t="s">
        <v>5027</v>
      </c>
      <c r="G492" s="3" t="s">
        <v>64</v>
      </c>
      <c r="I492" s="3" t="s">
        <v>73</v>
      </c>
      <c r="J492" s="3" t="s">
        <v>73</v>
      </c>
      <c r="K492" s="3" t="s">
        <v>65</v>
      </c>
      <c r="L492" s="2" t="s">
        <v>5028</v>
      </c>
      <c r="M492" s="2" t="s">
        <v>5029</v>
      </c>
      <c r="N492" s="3" t="s">
        <v>3411</v>
      </c>
      <c r="P492" s="3" t="s">
        <v>69</v>
      </c>
      <c r="R492" s="3" t="s">
        <v>70</v>
      </c>
      <c r="S492" s="4">
        <v>19</v>
      </c>
      <c r="T492" s="4">
        <v>77</v>
      </c>
      <c r="U492" s="5" t="s">
        <v>5038</v>
      </c>
      <c r="V492" s="5" t="s">
        <v>5031</v>
      </c>
      <c r="W492" s="5" t="s">
        <v>72</v>
      </c>
      <c r="X492" s="5" t="s">
        <v>72</v>
      </c>
      <c r="Y492" s="4">
        <v>980</v>
      </c>
      <c r="Z492" s="4">
        <v>57</v>
      </c>
      <c r="AA492" s="4">
        <v>72</v>
      </c>
      <c r="AB492" s="4">
        <v>3</v>
      </c>
      <c r="AC492" s="4">
        <v>10</v>
      </c>
      <c r="AD492" s="4">
        <v>135</v>
      </c>
      <c r="AE492" s="4">
        <v>151</v>
      </c>
      <c r="AF492" s="4">
        <v>1</v>
      </c>
      <c r="AG492" s="4">
        <v>4</v>
      </c>
      <c r="AH492" s="4">
        <v>105</v>
      </c>
      <c r="AI492" s="4">
        <v>112</v>
      </c>
      <c r="AJ492" s="4">
        <v>23</v>
      </c>
      <c r="AK492" s="4">
        <v>25</v>
      </c>
      <c r="AL492" s="4">
        <v>58</v>
      </c>
      <c r="AM492" s="4">
        <v>62</v>
      </c>
      <c r="AN492" s="4">
        <v>0</v>
      </c>
      <c r="AO492" s="4">
        <v>0</v>
      </c>
      <c r="AP492" s="4">
        <v>38</v>
      </c>
      <c r="AQ492" s="4">
        <v>44</v>
      </c>
      <c r="AR492" s="3" t="s">
        <v>64</v>
      </c>
      <c r="AS492" s="3" t="s">
        <v>64</v>
      </c>
      <c r="AT492" s="3" t="s">
        <v>64</v>
      </c>
      <c r="AV492" s="6" t="str">
        <f t="shared" si="8"/>
        <v>Catalog Record</v>
      </c>
      <c r="AW492" s="6" t="str">
        <f t="shared" si="9"/>
        <v>WorldCat Record</v>
      </c>
      <c r="AX492" s="3" t="s">
        <v>5032</v>
      </c>
      <c r="AY492" s="3" t="s">
        <v>5033</v>
      </c>
      <c r="AZ492" s="3" t="s">
        <v>5034</v>
      </c>
      <c r="BA492" s="3" t="s">
        <v>5034</v>
      </c>
      <c r="BB492" s="3" t="s">
        <v>5039</v>
      </c>
      <c r="BC492" s="3" t="s">
        <v>78</v>
      </c>
      <c r="BD492" s="3" t="s">
        <v>414</v>
      </c>
      <c r="BE492" s="3" t="s">
        <v>5036</v>
      </c>
      <c r="BF492" s="3" t="s">
        <v>5039</v>
      </c>
      <c r="BG492" s="3" t="s">
        <v>5040</v>
      </c>
    </row>
    <row r="493" spans="1:59" ht="58" x14ac:dyDescent="0.35">
      <c r="A493" s="2" t="s">
        <v>59</v>
      </c>
      <c r="B493" s="2" t="s">
        <v>94</v>
      </c>
      <c r="C493" s="2" t="s">
        <v>5025</v>
      </c>
      <c r="D493" s="2" t="s">
        <v>5026</v>
      </c>
      <c r="E493" s="2" t="s">
        <v>5027</v>
      </c>
      <c r="G493" s="3" t="s">
        <v>64</v>
      </c>
      <c r="I493" s="3" t="s">
        <v>73</v>
      </c>
      <c r="J493" s="3" t="s">
        <v>73</v>
      </c>
      <c r="K493" s="3" t="s">
        <v>65</v>
      </c>
      <c r="L493" s="2" t="s">
        <v>5028</v>
      </c>
      <c r="M493" s="2" t="s">
        <v>5029</v>
      </c>
      <c r="N493" s="3" t="s">
        <v>3411</v>
      </c>
      <c r="P493" s="3" t="s">
        <v>69</v>
      </c>
      <c r="R493" s="3" t="s">
        <v>70</v>
      </c>
      <c r="S493" s="4">
        <v>22</v>
      </c>
      <c r="T493" s="4">
        <v>77</v>
      </c>
      <c r="U493" s="5" t="s">
        <v>5031</v>
      </c>
      <c r="V493" s="5" t="s">
        <v>5031</v>
      </c>
      <c r="W493" s="5" t="s">
        <v>72</v>
      </c>
      <c r="X493" s="5" t="s">
        <v>72</v>
      </c>
      <c r="Y493" s="4">
        <v>980</v>
      </c>
      <c r="Z493" s="4">
        <v>57</v>
      </c>
      <c r="AA493" s="4">
        <v>72</v>
      </c>
      <c r="AB493" s="4">
        <v>3</v>
      </c>
      <c r="AC493" s="4">
        <v>10</v>
      </c>
      <c r="AD493" s="4">
        <v>135</v>
      </c>
      <c r="AE493" s="4">
        <v>151</v>
      </c>
      <c r="AF493" s="4">
        <v>1</v>
      </c>
      <c r="AG493" s="4">
        <v>4</v>
      </c>
      <c r="AH493" s="4">
        <v>105</v>
      </c>
      <c r="AI493" s="4">
        <v>112</v>
      </c>
      <c r="AJ493" s="4">
        <v>23</v>
      </c>
      <c r="AK493" s="4">
        <v>25</v>
      </c>
      <c r="AL493" s="4">
        <v>58</v>
      </c>
      <c r="AM493" s="4">
        <v>62</v>
      </c>
      <c r="AN493" s="4">
        <v>0</v>
      </c>
      <c r="AO493" s="4">
        <v>0</v>
      </c>
      <c r="AP493" s="4">
        <v>38</v>
      </c>
      <c r="AQ493" s="4">
        <v>44</v>
      </c>
      <c r="AR493" s="3" t="s">
        <v>64</v>
      </c>
      <c r="AS493" s="3" t="s">
        <v>64</v>
      </c>
      <c r="AT493" s="3" t="s">
        <v>64</v>
      </c>
      <c r="AV493" s="6" t="str">
        <f t="shared" si="8"/>
        <v>Catalog Record</v>
      </c>
      <c r="AW493" s="6" t="str">
        <f t="shared" si="9"/>
        <v>WorldCat Record</v>
      </c>
      <c r="AX493" s="3" t="s">
        <v>5032</v>
      </c>
      <c r="AY493" s="3" t="s">
        <v>5033</v>
      </c>
      <c r="AZ493" s="3" t="s">
        <v>5034</v>
      </c>
      <c r="BA493" s="3" t="s">
        <v>5034</v>
      </c>
      <c r="BB493" s="3" t="s">
        <v>5041</v>
      </c>
      <c r="BC493" s="3" t="s">
        <v>78</v>
      </c>
      <c r="BD493" s="3" t="s">
        <v>79</v>
      </c>
      <c r="BE493" s="3" t="s">
        <v>5036</v>
      </c>
      <c r="BF493" s="3" t="s">
        <v>5041</v>
      </c>
      <c r="BG493" s="3" t="s">
        <v>5042</v>
      </c>
    </row>
    <row r="494" spans="1:59" ht="58" x14ac:dyDescent="0.35">
      <c r="A494" s="2" t="s">
        <v>59</v>
      </c>
      <c r="B494" s="2" t="s">
        <v>94</v>
      </c>
      <c r="C494" s="2" t="s">
        <v>5025</v>
      </c>
      <c r="D494" s="2" t="s">
        <v>5026</v>
      </c>
      <c r="E494" s="2" t="s">
        <v>5027</v>
      </c>
      <c r="G494" s="3" t="s">
        <v>64</v>
      </c>
      <c r="I494" s="3" t="s">
        <v>73</v>
      </c>
      <c r="J494" s="3" t="s">
        <v>73</v>
      </c>
      <c r="K494" s="3" t="s">
        <v>65</v>
      </c>
      <c r="L494" s="2" t="s">
        <v>5028</v>
      </c>
      <c r="M494" s="2" t="s">
        <v>5029</v>
      </c>
      <c r="N494" s="3" t="s">
        <v>3411</v>
      </c>
      <c r="P494" s="3" t="s">
        <v>69</v>
      </c>
      <c r="R494" s="3" t="s">
        <v>70</v>
      </c>
      <c r="S494" s="4">
        <v>9</v>
      </c>
      <c r="T494" s="4">
        <v>77</v>
      </c>
      <c r="U494" s="5" t="s">
        <v>5043</v>
      </c>
      <c r="V494" s="5" t="s">
        <v>5031</v>
      </c>
      <c r="W494" s="5" t="s">
        <v>72</v>
      </c>
      <c r="X494" s="5" t="s">
        <v>72</v>
      </c>
      <c r="Y494" s="4">
        <v>980</v>
      </c>
      <c r="Z494" s="4">
        <v>57</v>
      </c>
      <c r="AA494" s="4">
        <v>72</v>
      </c>
      <c r="AB494" s="4">
        <v>3</v>
      </c>
      <c r="AC494" s="4">
        <v>10</v>
      </c>
      <c r="AD494" s="4">
        <v>135</v>
      </c>
      <c r="AE494" s="4">
        <v>151</v>
      </c>
      <c r="AF494" s="4">
        <v>1</v>
      </c>
      <c r="AG494" s="4">
        <v>4</v>
      </c>
      <c r="AH494" s="4">
        <v>105</v>
      </c>
      <c r="AI494" s="4">
        <v>112</v>
      </c>
      <c r="AJ494" s="4">
        <v>23</v>
      </c>
      <c r="AK494" s="4">
        <v>25</v>
      </c>
      <c r="AL494" s="4">
        <v>58</v>
      </c>
      <c r="AM494" s="4">
        <v>62</v>
      </c>
      <c r="AN494" s="4">
        <v>0</v>
      </c>
      <c r="AO494" s="4">
        <v>0</v>
      </c>
      <c r="AP494" s="4">
        <v>38</v>
      </c>
      <c r="AQ494" s="4">
        <v>44</v>
      </c>
      <c r="AR494" s="3" t="s">
        <v>64</v>
      </c>
      <c r="AS494" s="3" t="s">
        <v>64</v>
      </c>
      <c r="AT494" s="3" t="s">
        <v>64</v>
      </c>
      <c r="AV494" s="6" t="str">
        <f t="shared" si="8"/>
        <v>Catalog Record</v>
      </c>
      <c r="AW494" s="6" t="str">
        <f t="shared" si="9"/>
        <v>WorldCat Record</v>
      </c>
      <c r="AX494" s="3" t="s">
        <v>5032</v>
      </c>
      <c r="AY494" s="3" t="s">
        <v>5033</v>
      </c>
      <c r="AZ494" s="3" t="s">
        <v>5034</v>
      </c>
      <c r="BA494" s="3" t="s">
        <v>5034</v>
      </c>
      <c r="BB494" s="3" t="s">
        <v>5044</v>
      </c>
      <c r="BC494" s="3" t="s">
        <v>78</v>
      </c>
      <c r="BD494" s="3" t="s">
        <v>79</v>
      </c>
      <c r="BE494" s="3" t="s">
        <v>5036</v>
      </c>
      <c r="BF494" s="3" t="s">
        <v>5044</v>
      </c>
      <c r="BG494" s="3" t="s">
        <v>5045</v>
      </c>
    </row>
    <row r="495" spans="1:59" ht="58" x14ac:dyDescent="0.35">
      <c r="A495" s="2" t="s">
        <v>59</v>
      </c>
      <c r="B495" s="2" t="s">
        <v>94</v>
      </c>
      <c r="C495" s="2" t="s">
        <v>5025</v>
      </c>
      <c r="D495" s="2" t="s">
        <v>5026</v>
      </c>
      <c r="E495" s="2" t="s">
        <v>5027</v>
      </c>
      <c r="G495" s="3" t="s">
        <v>64</v>
      </c>
      <c r="I495" s="3" t="s">
        <v>73</v>
      </c>
      <c r="J495" s="3" t="s">
        <v>73</v>
      </c>
      <c r="K495" s="3" t="s">
        <v>65</v>
      </c>
      <c r="L495" s="2" t="s">
        <v>5028</v>
      </c>
      <c r="M495" s="2" t="s">
        <v>5029</v>
      </c>
      <c r="N495" s="3" t="s">
        <v>3411</v>
      </c>
      <c r="P495" s="3" t="s">
        <v>69</v>
      </c>
      <c r="R495" s="3" t="s">
        <v>70</v>
      </c>
      <c r="S495" s="4">
        <v>7</v>
      </c>
      <c r="T495" s="4">
        <v>77</v>
      </c>
      <c r="U495" s="5" t="s">
        <v>5046</v>
      </c>
      <c r="V495" s="5" t="s">
        <v>5031</v>
      </c>
      <c r="W495" s="5" t="s">
        <v>72</v>
      </c>
      <c r="X495" s="5" t="s">
        <v>72</v>
      </c>
      <c r="Y495" s="4">
        <v>980</v>
      </c>
      <c r="Z495" s="4">
        <v>57</v>
      </c>
      <c r="AA495" s="4">
        <v>72</v>
      </c>
      <c r="AB495" s="4">
        <v>3</v>
      </c>
      <c r="AC495" s="4">
        <v>10</v>
      </c>
      <c r="AD495" s="4">
        <v>135</v>
      </c>
      <c r="AE495" s="4">
        <v>151</v>
      </c>
      <c r="AF495" s="4">
        <v>1</v>
      </c>
      <c r="AG495" s="4">
        <v>4</v>
      </c>
      <c r="AH495" s="4">
        <v>105</v>
      </c>
      <c r="AI495" s="4">
        <v>112</v>
      </c>
      <c r="AJ495" s="4">
        <v>23</v>
      </c>
      <c r="AK495" s="4">
        <v>25</v>
      </c>
      <c r="AL495" s="4">
        <v>58</v>
      </c>
      <c r="AM495" s="4">
        <v>62</v>
      </c>
      <c r="AN495" s="4">
        <v>0</v>
      </c>
      <c r="AO495" s="4">
        <v>0</v>
      </c>
      <c r="AP495" s="4">
        <v>38</v>
      </c>
      <c r="AQ495" s="4">
        <v>44</v>
      </c>
      <c r="AR495" s="3" t="s">
        <v>64</v>
      </c>
      <c r="AS495" s="3" t="s">
        <v>64</v>
      </c>
      <c r="AT495" s="3" t="s">
        <v>64</v>
      </c>
      <c r="AV495" s="6" t="str">
        <f t="shared" si="8"/>
        <v>Catalog Record</v>
      </c>
      <c r="AW495" s="6" t="str">
        <f t="shared" si="9"/>
        <v>WorldCat Record</v>
      </c>
      <c r="AX495" s="3" t="s">
        <v>5032</v>
      </c>
      <c r="AY495" s="3" t="s">
        <v>5033</v>
      </c>
      <c r="AZ495" s="3" t="s">
        <v>5034</v>
      </c>
      <c r="BA495" s="3" t="s">
        <v>5034</v>
      </c>
      <c r="BB495" s="3" t="s">
        <v>5047</v>
      </c>
      <c r="BC495" s="3" t="s">
        <v>78</v>
      </c>
      <c r="BD495" s="3" t="s">
        <v>79</v>
      </c>
      <c r="BE495" s="3" t="s">
        <v>5036</v>
      </c>
      <c r="BF495" s="3" t="s">
        <v>5047</v>
      </c>
      <c r="BG495" s="3" t="s">
        <v>5048</v>
      </c>
    </row>
    <row r="496" spans="1:59" ht="58" x14ac:dyDescent="0.35">
      <c r="A496" s="2" t="s">
        <v>59</v>
      </c>
      <c r="B496" s="2" t="s">
        <v>94</v>
      </c>
      <c r="C496" s="2" t="s">
        <v>5025</v>
      </c>
      <c r="D496" s="2" t="s">
        <v>5026</v>
      </c>
      <c r="E496" s="2" t="s">
        <v>5027</v>
      </c>
      <c r="G496" s="3" t="s">
        <v>64</v>
      </c>
      <c r="I496" s="3" t="s">
        <v>73</v>
      </c>
      <c r="J496" s="3" t="s">
        <v>73</v>
      </c>
      <c r="K496" s="3" t="s">
        <v>65</v>
      </c>
      <c r="L496" s="2" t="s">
        <v>5028</v>
      </c>
      <c r="M496" s="2" t="s">
        <v>5029</v>
      </c>
      <c r="N496" s="3" t="s">
        <v>3411</v>
      </c>
      <c r="P496" s="3" t="s">
        <v>69</v>
      </c>
      <c r="R496" s="3" t="s">
        <v>70</v>
      </c>
      <c r="S496" s="4">
        <v>9</v>
      </c>
      <c r="T496" s="4">
        <v>77</v>
      </c>
      <c r="U496" s="5" t="s">
        <v>5049</v>
      </c>
      <c r="V496" s="5" t="s">
        <v>5031</v>
      </c>
      <c r="W496" s="5" t="s">
        <v>72</v>
      </c>
      <c r="X496" s="5" t="s">
        <v>72</v>
      </c>
      <c r="Y496" s="4">
        <v>980</v>
      </c>
      <c r="Z496" s="4">
        <v>57</v>
      </c>
      <c r="AA496" s="4">
        <v>72</v>
      </c>
      <c r="AB496" s="4">
        <v>3</v>
      </c>
      <c r="AC496" s="4">
        <v>10</v>
      </c>
      <c r="AD496" s="4">
        <v>135</v>
      </c>
      <c r="AE496" s="4">
        <v>151</v>
      </c>
      <c r="AF496" s="4">
        <v>1</v>
      </c>
      <c r="AG496" s="4">
        <v>4</v>
      </c>
      <c r="AH496" s="4">
        <v>105</v>
      </c>
      <c r="AI496" s="4">
        <v>112</v>
      </c>
      <c r="AJ496" s="4">
        <v>23</v>
      </c>
      <c r="AK496" s="4">
        <v>25</v>
      </c>
      <c r="AL496" s="4">
        <v>58</v>
      </c>
      <c r="AM496" s="4">
        <v>62</v>
      </c>
      <c r="AN496" s="4">
        <v>0</v>
      </c>
      <c r="AO496" s="4">
        <v>0</v>
      </c>
      <c r="AP496" s="4">
        <v>38</v>
      </c>
      <c r="AQ496" s="4">
        <v>44</v>
      </c>
      <c r="AR496" s="3" t="s">
        <v>64</v>
      </c>
      <c r="AS496" s="3" t="s">
        <v>64</v>
      </c>
      <c r="AT496" s="3" t="s">
        <v>64</v>
      </c>
      <c r="AV496" s="6" t="str">
        <f t="shared" si="8"/>
        <v>Catalog Record</v>
      </c>
      <c r="AW496" s="6" t="str">
        <f t="shared" si="9"/>
        <v>WorldCat Record</v>
      </c>
      <c r="AX496" s="3" t="s">
        <v>5032</v>
      </c>
      <c r="AY496" s="3" t="s">
        <v>5033</v>
      </c>
      <c r="AZ496" s="3" t="s">
        <v>5034</v>
      </c>
      <c r="BA496" s="3" t="s">
        <v>5034</v>
      </c>
      <c r="BB496" s="3" t="s">
        <v>5050</v>
      </c>
      <c r="BC496" s="3" t="s">
        <v>78</v>
      </c>
      <c r="BD496" s="3" t="s">
        <v>79</v>
      </c>
      <c r="BE496" s="3" t="s">
        <v>5036</v>
      </c>
      <c r="BF496" s="3" t="s">
        <v>5050</v>
      </c>
      <c r="BG496" s="3" t="s">
        <v>5051</v>
      </c>
    </row>
    <row r="497" spans="1:59" ht="58" x14ac:dyDescent="0.35">
      <c r="A497" s="2" t="s">
        <v>59</v>
      </c>
      <c r="B497" s="2" t="s">
        <v>94</v>
      </c>
      <c r="C497" s="2" t="s">
        <v>5052</v>
      </c>
      <c r="D497" s="2" t="s">
        <v>5053</v>
      </c>
      <c r="E497" s="2" t="s">
        <v>5054</v>
      </c>
      <c r="G497" s="3" t="s">
        <v>64</v>
      </c>
      <c r="I497" s="3" t="s">
        <v>64</v>
      </c>
      <c r="J497" s="3" t="s">
        <v>73</v>
      </c>
      <c r="K497" s="3" t="s">
        <v>65</v>
      </c>
      <c r="L497" s="2" t="s">
        <v>5028</v>
      </c>
      <c r="M497" s="2" t="s">
        <v>5055</v>
      </c>
      <c r="N497" s="3" t="s">
        <v>449</v>
      </c>
      <c r="P497" s="3" t="s">
        <v>69</v>
      </c>
      <c r="R497" s="3" t="s">
        <v>70</v>
      </c>
      <c r="S497" s="4">
        <v>7</v>
      </c>
      <c r="T497" s="4">
        <v>7</v>
      </c>
      <c r="U497" s="5" t="s">
        <v>5056</v>
      </c>
      <c r="V497" s="5" t="s">
        <v>5056</v>
      </c>
      <c r="W497" s="5" t="s">
        <v>72</v>
      </c>
      <c r="X497" s="5" t="s">
        <v>72</v>
      </c>
      <c r="Y497" s="4">
        <v>63</v>
      </c>
      <c r="Z497" s="4">
        <v>1</v>
      </c>
      <c r="AA497" s="4">
        <v>72</v>
      </c>
      <c r="AB497" s="4">
        <v>1</v>
      </c>
      <c r="AC497" s="4">
        <v>10</v>
      </c>
      <c r="AD497" s="4">
        <v>15</v>
      </c>
      <c r="AE497" s="4">
        <v>151</v>
      </c>
      <c r="AF497" s="4">
        <v>0</v>
      </c>
      <c r="AG497" s="4">
        <v>4</v>
      </c>
      <c r="AH497" s="4">
        <v>14</v>
      </c>
      <c r="AI497" s="4">
        <v>112</v>
      </c>
      <c r="AJ497" s="4">
        <v>0</v>
      </c>
      <c r="AK497" s="4">
        <v>25</v>
      </c>
      <c r="AL497" s="4">
        <v>12</v>
      </c>
      <c r="AM497" s="4">
        <v>62</v>
      </c>
      <c r="AN497" s="4">
        <v>0</v>
      </c>
      <c r="AO497" s="4">
        <v>0</v>
      </c>
      <c r="AP497" s="4">
        <v>0</v>
      </c>
      <c r="AQ497" s="4">
        <v>44</v>
      </c>
      <c r="AR497" s="3" t="s">
        <v>64</v>
      </c>
      <c r="AS497" s="3" t="s">
        <v>64</v>
      </c>
      <c r="AT497" s="3" t="s">
        <v>64</v>
      </c>
      <c r="AV497" s="6" t="str">
        <f>HYPERLINK("http://mcgill.on.worldcat.org/oclc/434611985","Catalog Record")</f>
        <v>Catalog Record</v>
      </c>
      <c r="AW497" s="6" t="str">
        <f>HYPERLINK("http://www.worldcat.org/oclc/434611985","WorldCat Record")</f>
        <v>WorldCat Record</v>
      </c>
      <c r="AX497" s="3" t="s">
        <v>5032</v>
      </c>
      <c r="AY497" s="3" t="s">
        <v>5057</v>
      </c>
      <c r="AZ497" s="3" t="s">
        <v>5058</v>
      </c>
      <c r="BA497" s="3" t="s">
        <v>5058</v>
      </c>
      <c r="BB497" s="3" t="s">
        <v>5059</v>
      </c>
      <c r="BC497" s="3" t="s">
        <v>78</v>
      </c>
      <c r="BD497" s="3" t="s">
        <v>414</v>
      </c>
      <c r="BE497" s="3" t="s">
        <v>5060</v>
      </c>
      <c r="BF497" s="3" t="s">
        <v>5059</v>
      </c>
      <c r="BG497" s="3" t="s">
        <v>5061</v>
      </c>
    </row>
    <row r="498" spans="1:59" ht="58" x14ac:dyDescent="0.35">
      <c r="A498" s="2" t="s">
        <v>59</v>
      </c>
      <c r="B498" s="2" t="s">
        <v>94</v>
      </c>
      <c r="C498" s="2" t="s">
        <v>5062</v>
      </c>
      <c r="D498" s="2" t="s">
        <v>5063</v>
      </c>
      <c r="E498" s="2" t="s">
        <v>5064</v>
      </c>
      <c r="G498" s="3" t="s">
        <v>64</v>
      </c>
      <c r="I498" s="3" t="s">
        <v>64</v>
      </c>
      <c r="J498" s="3" t="s">
        <v>64</v>
      </c>
      <c r="K498" s="3" t="s">
        <v>65</v>
      </c>
      <c r="L498" s="2" t="s">
        <v>5065</v>
      </c>
      <c r="M498" s="2" t="s">
        <v>5066</v>
      </c>
      <c r="N498" s="3" t="s">
        <v>175</v>
      </c>
      <c r="P498" s="3" t="s">
        <v>69</v>
      </c>
      <c r="R498" s="3" t="s">
        <v>70</v>
      </c>
      <c r="S498" s="4">
        <v>0</v>
      </c>
      <c r="T498" s="4">
        <v>0</v>
      </c>
      <c r="W498" s="5" t="s">
        <v>72</v>
      </c>
      <c r="X498" s="5" t="s">
        <v>72</v>
      </c>
      <c r="Y498" s="4">
        <v>67</v>
      </c>
      <c r="Z498" s="4">
        <v>3</v>
      </c>
      <c r="AA498" s="4">
        <v>5</v>
      </c>
      <c r="AB498" s="4">
        <v>1</v>
      </c>
      <c r="AC498" s="4">
        <v>1</v>
      </c>
      <c r="AD498" s="4">
        <v>40</v>
      </c>
      <c r="AE498" s="4">
        <v>46</v>
      </c>
      <c r="AF498" s="4">
        <v>0</v>
      </c>
      <c r="AG498" s="4">
        <v>0</v>
      </c>
      <c r="AH498" s="4">
        <v>39</v>
      </c>
      <c r="AI498" s="4">
        <v>44</v>
      </c>
      <c r="AJ498" s="4">
        <v>2</v>
      </c>
      <c r="AK498" s="4">
        <v>4</v>
      </c>
      <c r="AL498" s="4">
        <v>22</v>
      </c>
      <c r="AM498" s="4">
        <v>25</v>
      </c>
      <c r="AN498" s="4">
        <v>0</v>
      </c>
      <c r="AO498" s="4">
        <v>0</v>
      </c>
      <c r="AP498" s="4">
        <v>2</v>
      </c>
      <c r="AQ498" s="4">
        <v>4</v>
      </c>
      <c r="AR498" s="3" t="s">
        <v>64</v>
      </c>
      <c r="AS498" s="3" t="s">
        <v>64</v>
      </c>
      <c r="AT498" s="3" t="s">
        <v>64</v>
      </c>
      <c r="AV498" s="6" t="str">
        <f>HYPERLINK("http://mcgill.on.worldcat.org/oclc/873763153","Catalog Record")</f>
        <v>Catalog Record</v>
      </c>
      <c r="AW498" s="6" t="str">
        <f>HYPERLINK("http://www.worldcat.org/oclc/873763153","WorldCat Record")</f>
        <v>WorldCat Record</v>
      </c>
      <c r="AX498" s="3" t="s">
        <v>5067</v>
      </c>
      <c r="AY498" s="3" t="s">
        <v>5068</v>
      </c>
      <c r="AZ498" s="3" t="s">
        <v>5069</v>
      </c>
      <c r="BA498" s="3" t="s">
        <v>5069</v>
      </c>
      <c r="BB498" s="3" t="s">
        <v>5070</v>
      </c>
      <c r="BC498" s="3" t="s">
        <v>78</v>
      </c>
      <c r="BD498" s="3" t="s">
        <v>79</v>
      </c>
      <c r="BE498" s="3" t="s">
        <v>5071</v>
      </c>
      <c r="BF498" s="3" t="s">
        <v>5070</v>
      </c>
      <c r="BG498" s="3" t="s">
        <v>5072</v>
      </c>
    </row>
    <row r="499" spans="1:59" ht="58" x14ac:dyDescent="0.35">
      <c r="A499" s="2" t="s">
        <v>59</v>
      </c>
      <c r="B499" s="2" t="s">
        <v>94</v>
      </c>
      <c r="C499" s="2" t="s">
        <v>5073</v>
      </c>
      <c r="D499" s="2" t="s">
        <v>5074</v>
      </c>
      <c r="E499" s="2" t="s">
        <v>5075</v>
      </c>
      <c r="G499" s="3" t="s">
        <v>64</v>
      </c>
      <c r="I499" s="3" t="s">
        <v>64</v>
      </c>
      <c r="J499" s="3" t="s">
        <v>64</v>
      </c>
      <c r="K499" s="3" t="s">
        <v>65</v>
      </c>
      <c r="L499" s="2" t="s">
        <v>5076</v>
      </c>
      <c r="M499" s="2" t="s">
        <v>5077</v>
      </c>
      <c r="N499" s="3" t="s">
        <v>328</v>
      </c>
      <c r="P499" s="3" t="s">
        <v>69</v>
      </c>
      <c r="Q499" s="2" t="s">
        <v>5078</v>
      </c>
      <c r="R499" s="3" t="s">
        <v>70</v>
      </c>
      <c r="S499" s="4">
        <v>1</v>
      </c>
      <c r="T499" s="4">
        <v>1</v>
      </c>
      <c r="U499" s="5" t="s">
        <v>5079</v>
      </c>
      <c r="V499" s="5" t="s">
        <v>5079</v>
      </c>
      <c r="W499" s="5" t="s">
        <v>72</v>
      </c>
      <c r="X499" s="5" t="s">
        <v>72</v>
      </c>
      <c r="Y499" s="4">
        <v>85</v>
      </c>
      <c r="Z499" s="4">
        <v>4</v>
      </c>
      <c r="AA499" s="4">
        <v>4</v>
      </c>
      <c r="AB499" s="4">
        <v>1</v>
      </c>
      <c r="AC499" s="4">
        <v>1</v>
      </c>
      <c r="AD499" s="4">
        <v>44</v>
      </c>
      <c r="AE499" s="4">
        <v>47</v>
      </c>
      <c r="AF499" s="4">
        <v>0</v>
      </c>
      <c r="AG499" s="4">
        <v>0</v>
      </c>
      <c r="AH499" s="4">
        <v>43</v>
      </c>
      <c r="AI499" s="4">
        <v>46</v>
      </c>
      <c r="AJ499" s="4">
        <v>2</v>
      </c>
      <c r="AK499" s="4">
        <v>2</v>
      </c>
      <c r="AL499" s="4">
        <v>24</v>
      </c>
      <c r="AM499" s="4">
        <v>25</v>
      </c>
      <c r="AN499" s="4">
        <v>0</v>
      </c>
      <c r="AO499" s="4">
        <v>0</v>
      </c>
      <c r="AP499" s="4">
        <v>2</v>
      </c>
      <c r="AQ499" s="4">
        <v>2</v>
      </c>
      <c r="AR499" s="3" t="s">
        <v>64</v>
      </c>
      <c r="AS499" s="3" t="s">
        <v>64</v>
      </c>
      <c r="AT499" s="3" t="s">
        <v>64</v>
      </c>
      <c r="AV499" s="6" t="str">
        <f>HYPERLINK("http://mcgill.on.worldcat.org/oclc/709666439","Catalog Record")</f>
        <v>Catalog Record</v>
      </c>
      <c r="AW499" s="6" t="str">
        <f>HYPERLINK("http://www.worldcat.org/oclc/709666439","WorldCat Record")</f>
        <v>WorldCat Record</v>
      </c>
      <c r="AX499" s="3" t="s">
        <v>5080</v>
      </c>
      <c r="AY499" s="3" t="s">
        <v>5081</v>
      </c>
      <c r="AZ499" s="3" t="s">
        <v>5082</v>
      </c>
      <c r="BA499" s="3" t="s">
        <v>5082</v>
      </c>
      <c r="BB499" s="3" t="s">
        <v>5083</v>
      </c>
      <c r="BC499" s="3" t="s">
        <v>78</v>
      </c>
      <c r="BD499" s="3" t="s">
        <v>79</v>
      </c>
      <c r="BE499" s="3" t="s">
        <v>5084</v>
      </c>
      <c r="BF499" s="3" t="s">
        <v>5083</v>
      </c>
      <c r="BG499" s="3" t="s">
        <v>5085</v>
      </c>
    </row>
    <row r="500" spans="1:59" ht="58" x14ac:dyDescent="0.35">
      <c r="A500" s="2" t="s">
        <v>59</v>
      </c>
      <c r="B500" s="2" t="s">
        <v>94</v>
      </c>
      <c r="C500" s="2" t="s">
        <v>5086</v>
      </c>
      <c r="D500" s="2" t="s">
        <v>5087</v>
      </c>
      <c r="E500" s="2" t="s">
        <v>5088</v>
      </c>
      <c r="G500" s="3" t="s">
        <v>64</v>
      </c>
      <c r="I500" s="3" t="s">
        <v>64</v>
      </c>
      <c r="J500" s="3" t="s">
        <v>64</v>
      </c>
      <c r="K500" s="3" t="s">
        <v>65</v>
      </c>
      <c r="M500" s="2" t="s">
        <v>5089</v>
      </c>
      <c r="N500" s="3" t="s">
        <v>214</v>
      </c>
      <c r="P500" s="3" t="s">
        <v>69</v>
      </c>
      <c r="Q500" s="2" t="s">
        <v>5090</v>
      </c>
      <c r="R500" s="3" t="s">
        <v>70</v>
      </c>
      <c r="S500" s="4">
        <v>0</v>
      </c>
      <c r="T500" s="4">
        <v>0</v>
      </c>
      <c r="W500" s="5" t="s">
        <v>72</v>
      </c>
      <c r="X500" s="5" t="s">
        <v>72</v>
      </c>
      <c r="Y500" s="4">
        <v>102</v>
      </c>
      <c r="Z500" s="4">
        <v>8</v>
      </c>
      <c r="AA500" s="4">
        <v>11</v>
      </c>
      <c r="AB500" s="4">
        <v>1</v>
      </c>
      <c r="AC500" s="4">
        <v>1</v>
      </c>
      <c r="AD500" s="4">
        <v>57</v>
      </c>
      <c r="AE500" s="4">
        <v>63</v>
      </c>
      <c r="AF500" s="4">
        <v>0</v>
      </c>
      <c r="AG500" s="4">
        <v>0</v>
      </c>
      <c r="AH500" s="4">
        <v>54</v>
      </c>
      <c r="AI500" s="4">
        <v>59</v>
      </c>
      <c r="AJ500" s="4">
        <v>5</v>
      </c>
      <c r="AK500" s="4">
        <v>8</v>
      </c>
      <c r="AL500" s="4">
        <v>29</v>
      </c>
      <c r="AM500" s="4">
        <v>30</v>
      </c>
      <c r="AN500" s="4">
        <v>5</v>
      </c>
      <c r="AO500" s="4">
        <v>5</v>
      </c>
      <c r="AP500" s="4">
        <v>6</v>
      </c>
      <c r="AQ500" s="4">
        <v>9</v>
      </c>
      <c r="AR500" s="3" t="s">
        <v>64</v>
      </c>
      <c r="AS500" s="3" t="s">
        <v>64</v>
      </c>
      <c r="AT500" s="3" t="s">
        <v>73</v>
      </c>
      <c r="AU500" s="6" t="str">
        <f>HYPERLINK("http://catalog.hathitrust.org/Record/007918384","HathiTrust Record")</f>
        <v>HathiTrust Record</v>
      </c>
      <c r="AV500" s="6" t="str">
        <f>HYPERLINK("http://mcgill.on.worldcat.org/oclc/495597277","Catalog Record")</f>
        <v>Catalog Record</v>
      </c>
      <c r="AW500" s="6" t="str">
        <f>HYPERLINK("http://www.worldcat.org/oclc/495597277","WorldCat Record")</f>
        <v>WorldCat Record</v>
      </c>
      <c r="AX500" s="3" t="s">
        <v>5091</v>
      </c>
      <c r="AY500" s="3" t="s">
        <v>5092</v>
      </c>
      <c r="AZ500" s="3" t="s">
        <v>5093</v>
      </c>
      <c r="BA500" s="3" t="s">
        <v>5093</v>
      </c>
      <c r="BB500" s="3" t="s">
        <v>5094</v>
      </c>
      <c r="BC500" s="3" t="s">
        <v>78</v>
      </c>
      <c r="BD500" s="3" t="s">
        <v>79</v>
      </c>
      <c r="BE500" s="3" t="s">
        <v>5095</v>
      </c>
      <c r="BF500" s="3" t="s">
        <v>5094</v>
      </c>
      <c r="BG500" s="3" t="s">
        <v>5096</v>
      </c>
    </row>
    <row r="501" spans="1:59" ht="58" x14ac:dyDescent="0.35">
      <c r="A501" s="2" t="s">
        <v>59</v>
      </c>
      <c r="B501" s="2" t="s">
        <v>94</v>
      </c>
      <c r="C501" s="2" t="s">
        <v>5097</v>
      </c>
      <c r="D501" s="2" t="s">
        <v>5098</v>
      </c>
      <c r="E501" s="2" t="s">
        <v>5099</v>
      </c>
      <c r="G501" s="3" t="s">
        <v>64</v>
      </c>
      <c r="I501" s="3" t="s">
        <v>64</v>
      </c>
      <c r="J501" s="3" t="s">
        <v>64</v>
      </c>
      <c r="K501" s="3" t="s">
        <v>65</v>
      </c>
      <c r="M501" s="2" t="s">
        <v>5100</v>
      </c>
      <c r="N501" s="3" t="s">
        <v>328</v>
      </c>
      <c r="P501" s="3" t="s">
        <v>69</v>
      </c>
      <c r="Q501" s="2" t="s">
        <v>5101</v>
      </c>
      <c r="R501" s="3" t="s">
        <v>70</v>
      </c>
      <c r="S501" s="4">
        <v>0</v>
      </c>
      <c r="T501" s="4">
        <v>0</v>
      </c>
      <c r="W501" s="5" t="s">
        <v>72</v>
      </c>
      <c r="X501" s="5" t="s">
        <v>72</v>
      </c>
      <c r="Y501" s="4">
        <v>88</v>
      </c>
      <c r="Z501" s="4">
        <v>5</v>
      </c>
      <c r="AA501" s="4">
        <v>8</v>
      </c>
      <c r="AB501" s="4">
        <v>1</v>
      </c>
      <c r="AC501" s="4">
        <v>1</v>
      </c>
      <c r="AD501" s="4">
        <v>46</v>
      </c>
      <c r="AE501" s="4">
        <v>53</v>
      </c>
      <c r="AF501" s="4">
        <v>0</v>
      </c>
      <c r="AG501" s="4">
        <v>0</v>
      </c>
      <c r="AH501" s="4">
        <v>45</v>
      </c>
      <c r="AI501" s="4">
        <v>51</v>
      </c>
      <c r="AJ501" s="4">
        <v>3</v>
      </c>
      <c r="AK501" s="4">
        <v>6</v>
      </c>
      <c r="AL501" s="4">
        <v>25</v>
      </c>
      <c r="AM501" s="4">
        <v>27</v>
      </c>
      <c r="AN501" s="4">
        <v>0</v>
      </c>
      <c r="AO501" s="4">
        <v>0</v>
      </c>
      <c r="AP501" s="4">
        <v>3</v>
      </c>
      <c r="AQ501" s="4">
        <v>6</v>
      </c>
      <c r="AR501" s="3" t="s">
        <v>64</v>
      </c>
      <c r="AS501" s="3" t="s">
        <v>64</v>
      </c>
      <c r="AT501" s="3" t="s">
        <v>64</v>
      </c>
      <c r="AV501" s="6" t="str">
        <f>HYPERLINK("http://mcgill.on.worldcat.org/oclc/747099831","Catalog Record")</f>
        <v>Catalog Record</v>
      </c>
      <c r="AW501" s="6" t="str">
        <f>HYPERLINK("http://www.worldcat.org/oclc/747099831","WorldCat Record")</f>
        <v>WorldCat Record</v>
      </c>
      <c r="AX501" s="3" t="s">
        <v>5102</v>
      </c>
      <c r="AY501" s="3" t="s">
        <v>5103</v>
      </c>
      <c r="AZ501" s="3" t="s">
        <v>5104</v>
      </c>
      <c r="BA501" s="3" t="s">
        <v>5104</v>
      </c>
      <c r="BB501" s="3" t="s">
        <v>5105</v>
      </c>
      <c r="BC501" s="3" t="s">
        <v>78</v>
      </c>
      <c r="BD501" s="3" t="s">
        <v>79</v>
      </c>
      <c r="BE501" s="3" t="s">
        <v>5106</v>
      </c>
      <c r="BF501" s="3" t="s">
        <v>5105</v>
      </c>
      <c r="BG501" s="3" t="s">
        <v>5107</v>
      </c>
    </row>
    <row r="502" spans="1:59" ht="58" x14ac:dyDescent="0.35">
      <c r="A502" s="2" t="s">
        <v>59</v>
      </c>
      <c r="B502" s="2" t="s">
        <v>94</v>
      </c>
      <c r="C502" s="2" t="s">
        <v>5108</v>
      </c>
      <c r="D502" s="2" t="s">
        <v>5109</v>
      </c>
      <c r="E502" s="2" t="s">
        <v>5110</v>
      </c>
      <c r="G502" s="3" t="s">
        <v>64</v>
      </c>
      <c r="I502" s="3" t="s">
        <v>64</v>
      </c>
      <c r="J502" s="3" t="s">
        <v>64</v>
      </c>
      <c r="K502" s="3" t="s">
        <v>65</v>
      </c>
      <c r="L502" s="2" t="s">
        <v>5111</v>
      </c>
      <c r="M502" s="2" t="s">
        <v>2030</v>
      </c>
      <c r="N502" s="3" t="s">
        <v>524</v>
      </c>
      <c r="P502" s="3" t="s">
        <v>69</v>
      </c>
      <c r="R502" s="3" t="s">
        <v>70</v>
      </c>
      <c r="S502" s="4">
        <v>1</v>
      </c>
      <c r="T502" s="4">
        <v>1</v>
      </c>
      <c r="U502" s="5" t="s">
        <v>1724</v>
      </c>
      <c r="V502" s="5" t="s">
        <v>1724</v>
      </c>
      <c r="W502" s="5" t="s">
        <v>72</v>
      </c>
      <c r="X502" s="5" t="s">
        <v>72</v>
      </c>
      <c r="Y502" s="4">
        <v>69</v>
      </c>
      <c r="Z502" s="4">
        <v>3</v>
      </c>
      <c r="AA502" s="4">
        <v>104</v>
      </c>
      <c r="AB502" s="4">
        <v>1</v>
      </c>
      <c r="AC502" s="4">
        <v>17</v>
      </c>
      <c r="AD502" s="4">
        <v>39</v>
      </c>
      <c r="AE502" s="4">
        <v>128</v>
      </c>
      <c r="AF502" s="4">
        <v>0</v>
      </c>
      <c r="AG502" s="4">
        <v>8</v>
      </c>
      <c r="AH502" s="4">
        <v>39</v>
      </c>
      <c r="AI502" s="4">
        <v>87</v>
      </c>
      <c r="AJ502" s="4">
        <v>2</v>
      </c>
      <c r="AK502" s="4">
        <v>21</v>
      </c>
      <c r="AL502" s="4">
        <v>19</v>
      </c>
      <c r="AM502" s="4">
        <v>46</v>
      </c>
      <c r="AN502" s="4">
        <v>0</v>
      </c>
      <c r="AO502" s="4">
        <v>0</v>
      </c>
      <c r="AP502" s="4">
        <v>2</v>
      </c>
      <c r="AQ502" s="4">
        <v>44</v>
      </c>
      <c r="AR502" s="3" t="s">
        <v>64</v>
      </c>
      <c r="AS502" s="3" t="s">
        <v>64</v>
      </c>
      <c r="AT502" s="3" t="s">
        <v>64</v>
      </c>
      <c r="AV502" s="6" t="str">
        <f>HYPERLINK("http://mcgill.on.worldcat.org/oclc/841199221","Catalog Record")</f>
        <v>Catalog Record</v>
      </c>
      <c r="AW502" s="6" t="str">
        <f>HYPERLINK("http://www.worldcat.org/oclc/841199221","WorldCat Record")</f>
        <v>WorldCat Record</v>
      </c>
      <c r="AX502" s="3" t="s">
        <v>5112</v>
      </c>
      <c r="AY502" s="3" t="s">
        <v>5113</v>
      </c>
      <c r="AZ502" s="3" t="s">
        <v>5114</v>
      </c>
      <c r="BA502" s="3" t="s">
        <v>5114</v>
      </c>
      <c r="BB502" s="3" t="s">
        <v>5115</v>
      </c>
      <c r="BC502" s="3" t="s">
        <v>78</v>
      </c>
      <c r="BD502" s="3" t="s">
        <v>79</v>
      </c>
      <c r="BE502" s="3" t="s">
        <v>5116</v>
      </c>
      <c r="BF502" s="3" t="s">
        <v>5115</v>
      </c>
      <c r="BG502" s="3" t="s">
        <v>5117</v>
      </c>
    </row>
    <row r="503" spans="1:59" ht="58" x14ac:dyDescent="0.35">
      <c r="A503" s="2" t="s">
        <v>59</v>
      </c>
      <c r="B503" s="2" t="s">
        <v>94</v>
      </c>
      <c r="C503" s="2" t="s">
        <v>5118</v>
      </c>
      <c r="D503" s="2" t="s">
        <v>5119</v>
      </c>
      <c r="E503" s="2" t="s">
        <v>5120</v>
      </c>
      <c r="G503" s="3" t="s">
        <v>64</v>
      </c>
      <c r="I503" s="3" t="s">
        <v>64</v>
      </c>
      <c r="J503" s="3" t="s">
        <v>64</v>
      </c>
      <c r="K503" s="3" t="s">
        <v>65</v>
      </c>
      <c r="L503" s="2" t="s">
        <v>5121</v>
      </c>
      <c r="M503" s="2" t="s">
        <v>5122</v>
      </c>
      <c r="N503" s="3" t="s">
        <v>328</v>
      </c>
      <c r="P503" s="3" t="s">
        <v>69</v>
      </c>
      <c r="Q503" s="2" t="s">
        <v>5123</v>
      </c>
      <c r="R503" s="3" t="s">
        <v>70</v>
      </c>
      <c r="S503" s="4">
        <v>0</v>
      </c>
      <c r="T503" s="4">
        <v>0</v>
      </c>
      <c r="W503" s="5" t="s">
        <v>72</v>
      </c>
      <c r="X503" s="5" t="s">
        <v>72</v>
      </c>
      <c r="Y503" s="4">
        <v>123</v>
      </c>
      <c r="Z503" s="4">
        <v>5</v>
      </c>
      <c r="AA503" s="4">
        <v>9</v>
      </c>
      <c r="AB503" s="4">
        <v>1</v>
      </c>
      <c r="AC503" s="4">
        <v>3</v>
      </c>
      <c r="AD503" s="4">
        <v>47</v>
      </c>
      <c r="AE503" s="4">
        <v>51</v>
      </c>
      <c r="AF503" s="4">
        <v>0</v>
      </c>
      <c r="AG503" s="4">
        <v>0</v>
      </c>
      <c r="AH503" s="4">
        <v>46</v>
      </c>
      <c r="AI503" s="4">
        <v>49</v>
      </c>
      <c r="AJ503" s="4">
        <v>3</v>
      </c>
      <c r="AK503" s="4">
        <v>3</v>
      </c>
      <c r="AL503" s="4">
        <v>26</v>
      </c>
      <c r="AM503" s="4">
        <v>27</v>
      </c>
      <c r="AN503" s="4">
        <v>0</v>
      </c>
      <c r="AO503" s="4">
        <v>0</v>
      </c>
      <c r="AP503" s="4">
        <v>3</v>
      </c>
      <c r="AQ503" s="4">
        <v>4</v>
      </c>
      <c r="AR503" s="3" t="s">
        <v>64</v>
      </c>
      <c r="AS503" s="3" t="s">
        <v>64</v>
      </c>
      <c r="AT503" s="3" t="s">
        <v>64</v>
      </c>
      <c r="AV503" s="6" t="str">
        <f>HYPERLINK("http://mcgill.on.worldcat.org/oclc/656847722","Catalog Record")</f>
        <v>Catalog Record</v>
      </c>
      <c r="AW503" s="6" t="str">
        <f>HYPERLINK("http://www.worldcat.org/oclc/656847722","WorldCat Record")</f>
        <v>WorldCat Record</v>
      </c>
      <c r="AX503" s="3" t="s">
        <v>5124</v>
      </c>
      <c r="AY503" s="3" t="s">
        <v>5125</v>
      </c>
      <c r="AZ503" s="3" t="s">
        <v>5126</v>
      </c>
      <c r="BA503" s="3" t="s">
        <v>5126</v>
      </c>
      <c r="BB503" s="3" t="s">
        <v>5127</v>
      </c>
      <c r="BC503" s="3" t="s">
        <v>78</v>
      </c>
      <c r="BD503" s="3" t="s">
        <v>79</v>
      </c>
      <c r="BE503" s="3" t="s">
        <v>5128</v>
      </c>
      <c r="BF503" s="3" t="s">
        <v>5127</v>
      </c>
      <c r="BG503" s="3" t="s">
        <v>5129</v>
      </c>
    </row>
    <row r="504" spans="1:59" ht="58" x14ac:dyDescent="0.35">
      <c r="A504" s="2" t="s">
        <v>59</v>
      </c>
      <c r="B504" s="2" t="s">
        <v>94</v>
      </c>
      <c r="C504" s="2" t="s">
        <v>5130</v>
      </c>
      <c r="D504" s="2" t="s">
        <v>5131</v>
      </c>
      <c r="E504" s="2" t="s">
        <v>5132</v>
      </c>
      <c r="G504" s="3" t="s">
        <v>64</v>
      </c>
      <c r="I504" s="3" t="s">
        <v>64</v>
      </c>
      <c r="J504" s="3" t="s">
        <v>64</v>
      </c>
      <c r="K504" s="3" t="s">
        <v>65</v>
      </c>
      <c r="M504" s="2" t="s">
        <v>5133</v>
      </c>
      <c r="N504" s="3" t="s">
        <v>328</v>
      </c>
      <c r="P504" s="3" t="s">
        <v>69</v>
      </c>
      <c r="Q504" s="2" t="s">
        <v>5134</v>
      </c>
      <c r="R504" s="3" t="s">
        <v>70</v>
      </c>
      <c r="S504" s="4">
        <v>0</v>
      </c>
      <c r="T504" s="4">
        <v>0</v>
      </c>
      <c r="W504" s="5" t="s">
        <v>72</v>
      </c>
      <c r="X504" s="5" t="s">
        <v>72</v>
      </c>
      <c r="Y504" s="4">
        <v>90</v>
      </c>
      <c r="Z504" s="4">
        <v>5</v>
      </c>
      <c r="AA504" s="4">
        <v>7</v>
      </c>
      <c r="AB504" s="4">
        <v>1</v>
      </c>
      <c r="AC504" s="4">
        <v>1</v>
      </c>
      <c r="AD504" s="4">
        <v>49</v>
      </c>
      <c r="AE504" s="4">
        <v>55</v>
      </c>
      <c r="AF504" s="4">
        <v>0</v>
      </c>
      <c r="AG504" s="4">
        <v>0</v>
      </c>
      <c r="AH504" s="4">
        <v>48</v>
      </c>
      <c r="AI504" s="4">
        <v>54</v>
      </c>
      <c r="AJ504" s="4">
        <v>3</v>
      </c>
      <c r="AK504" s="4">
        <v>5</v>
      </c>
      <c r="AL504" s="4">
        <v>27</v>
      </c>
      <c r="AM504" s="4">
        <v>29</v>
      </c>
      <c r="AN504" s="4">
        <v>0</v>
      </c>
      <c r="AO504" s="4">
        <v>0</v>
      </c>
      <c r="AP504" s="4">
        <v>3</v>
      </c>
      <c r="AQ504" s="4">
        <v>5</v>
      </c>
      <c r="AR504" s="3" t="s">
        <v>64</v>
      </c>
      <c r="AS504" s="3" t="s">
        <v>64</v>
      </c>
      <c r="AT504" s="3" t="s">
        <v>64</v>
      </c>
      <c r="AV504" s="6" t="str">
        <f>HYPERLINK("http://mcgill.on.worldcat.org/oclc/712127581","Catalog Record")</f>
        <v>Catalog Record</v>
      </c>
      <c r="AW504" s="6" t="str">
        <f>HYPERLINK("http://www.worldcat.org/oclc/712127581","WorldCat Record")</f>
        <v>WorldCat Record</v>
      </c>
      <c r="AX504" s="3" t="s">
        <v>5135</v>
      </c>
      <c r="AY504" s="3" t="s">
        <v>5136</v>
      </c>
      <c r="AZ504" s="3" t="s">
        <v>5137</v>
      </c>
      <c r="BA504" s="3" t="s">
        <v>5137</v>
      </c>
      <c r="BB504" s="3" t="s">
        <v>5138</v>
      </c>
      <c r="BC504" s="3" t="s">
        <v>78</v>
      </c>
      <c r="BD504" s="3" t="s">
        <v>79</v>
      </c>
      <c r="BE504" s="3" t="s">
        <v>5139</v>
      </c>
      <c r="BF504" s="3" t="s">
        <v>5138</v>
      </c>
      <c r="BG504" s="3" t="s">
        <v>5140</v>
      </c>
    </row>
    <row r="505" spans="1:59" ht="72.5" x14ac:dyDescent="0.35">
      <c r="A505" s="2" t="s">
        <v>59</v>
      </c>
      <c r="B505" s="2" t="s">
        <v>94</v>
      </c>
      <c r="C505" s="2" t="s">
        <v>5141</v>
      </c>
      <c r="D505" s="2" t="s">
        <v>5142</v>
      </c>
      <c r="E505" s="2" t="s">
        <v>5143</v>
      </c>
      <c r="G505" s="3" t="s">
        <v>64</v>
      </c>
      <c r="I505" s="3" t="s">
        <v>64</v>
      </c>
      <c r="J505" s="3" t="s">
        <v>64</v>
      </c>
      <c r="K505" s="3" t="s">
        <v>65</v>
      </c>
      <c r="M505" s="2" t="s">
        <v>1723</v>
      </c>
      <c r="N505" s="3" t="s">
        <v>214</v>
      </c>
      <c r="O505" s="2" t="s">
        <v>1294</v>
      </c>
      <c r="P505" s="3" t="s">
        <v>69</v>
      </c>
      <c r="R505" s="3" t="s">
        <v>70</v>
      </c>
      <c r="S505" s="4">
        <v>5</v>
      </c>
      <c r="T505" s="4">
        <v>5</v>
      </c>
      <c r="U505" s="5" t="s">
        <v>5144</v>
      </c>
      <c r="V505" s="5" t="s">
        <v>5144</v>
      </c>
      <c r="W505" s="5" t="s">
        <v>72</v>
      </c>
      <c r="X505" s="5" t="s">
        <v>72</v>
      </c>
      <c r="Y505" s="4">
        <v>164</v>
      </c>
      <c r="Z505" s="4">
        <v>21</v>
      </c>
      <c r="AA505" s="4">
        <v>34</v>
      </c>
      <c r="AB505" s="4">
        <v>2</v>
      </c>
      <c r="AC505" s="4">
        <v>7</v>
      </c>
      <c r="AD505" s="4">
        <v>58</v>
      </c>
      <c r="AE505" s="4">
        <v>76</v>
      </c>
      <c r="AF505" s="4">
        <v>1</v>
      </c>
      <c r="AG505" s="4">
        <v>3</v>
      </c>
      <c r="AH505" s="4">
        <v>49</v>
      </c>
      <c r="AI505" s="4">
        <v>64</v>
      </c>
      <c r="AJ505" s="4">
        <v>14</v>
      </c>
      <c r="AK505" s="4">
        <v>18</v>
      </c>
      <c r="AL505" s="4">
        <v>28</v>
      </c>
      <c r="AM505" s="4">
        <v>36</v>
      </c>
      <c r="AN505" s="4">
        <v>0</v>
      </c>
      <c r="AO505" s="4">
        <v>0</v>
      </c>
      <c r="AP505" s="4">
        <v>16</v>
      </c>
      <c r="AQ505" s="4">
        <v>21</v>
      </c>
      <c r="AR505" s="3" t="s">
        <v>64</v>
      </c>
      <c r="AS505" s="3" t="s">
        <v>64</v>
      </c>
      <c r="AT505" s="3" t="s">
        <v>64</v>
      </c>
      <c r="AV505" s="6" t="str">
        <f>HYPERLINK("http://mcgill.on.worldcat.org/oclc/383817699","Catalog Record")</f>
        <v>Catalog Record</v>
      </c>
      <c r="AW505" s="6" t="str">
        <f>HYPERLINK("http://www.worldcat.org/oclc/383817699","WorldCat Record")</f>
        <v>WorldCat Record</v>
      </c>
      <c r="AX505" s="3" t="s">
        <v>5145</v>
      </c>
      <c r="AY505" s="3" t="s">
        <v>5146</v>
      </c>
      <c r="AZ505" s="3" t="s">
        <v>5147</v>
      </c>
      <c r="BA505" s="3" t="s">
        <v>5147</v>
      </c>
      <c r="BB505" s="3" t="s">
        <v>5148</v>
      </c>
      <c r="BC505" s="3" t="s">
        <v>78</v>
      </c>
      <c r="BD505" s="3" t="s">
        <v>79</v>
      </c>
      <c r="BE505" s="3" t="s">
        <v>5149</v>
      </c>
      <c r="BF505" s="3" t="s">
        <v>5148</v>
      </c>
      <c r="BG505" s="3" t="s">
        <v>5150</v>
      </c>
    </row>
    <row r="506" spans="1:59" ht="58" x14ac:dyDescent="0.35">
      <c r="A506" s="2" t="s">
        <v>59</v>
      </c>
      <c r="B506" s="2" t="s">
        <v>94</v>
      </c>
      <c r="C506" s="2" t="s">
        <v>5151</v>
      </c>
      <c r="D506" s="2" t="s">
        <v>5152</v>
      </c>
      <c r="E506" s="2" t="s">
        <v>5153</v>
      </c>
      <c r="G506" s="3" t="s">
        <v>64</v>
      </c>
      <c r="I506" s="3" t="s">
        <v>64</v>
      </c>
      <c r="J506" s="3" t="s">
        <v>64</v>
      </c>
      <c r="K506" s="3" t="s">
        <v>65</v>
      </c>
      <c r="L506" s="2" t="s">
        <v>5154</v>
      </c>
      <c r="M506" s="2" t="s">
        <v>5155</v>
      </c>
      <c r="N506" s="3" t="s">
        <v>689</v>
      </c>
      <c r="P506" s="3" t="s">
        <v>69</v>
      </c>
      <c r="R506" s="3" t="s">
        <v>70</v>
      </c>
      <c r="S506" s="4">
        <v>28</v>
      </c>
      <c r="T506" s="4">
        <v>28</v>
      </c>
      <c r="U506" s="5" t="s">
        <v>5144</v>
      </c>
      <c r="V506" s="5" t="s">
        <v>5144</v>
      </c>
      <c r="W506" s="5" t="s">
        <v>72</v>
      </c>
      <c r="X506" s="5" t="s">
        <v>72</v>
      </c>
      <c r="Y506" s="4">
        <v>340</v>
      </c>
      <c r="Z506" s="4">
        <v>24</v>
      </c>
      <c r="AA506" s="4">
        <v>29</v>
      </c>
      <c r="AB506" s="4">
        <v>1</v>
      </c>
      <c r="AC506" s="4">
        <v>2</v>
      </c>
      <c r="AD506" s="4">
        <v>94</v>
      </c>
      <c r="AE506" s="4">
        <v>106</v>
      </c>
      <c r="AF506" s="4">
        <v>0</v>
      </c>
      <c r="AG506" s="4">
        <v>1</v>
      </c>
      <c r="AH506" s="4">
        <v>83</v>
      </c>
      <c r="AI506" s="4">
        <v>89</v>
      </c>
      <c r="AJ506" s="4">
        <v>13</v>
      </c>
      <c r="AK506" s="4">
        <v>14</v>
      </c>
      <c r="AL506" s="4">
        <v>50</v>
      </c>
      <c r="AM506" s="4">
        <v>53</v>
      </c>
      <c r="AN506" s="4">
        <v>0</v>
      </c>
      <c r="AO506" s="4">
        <v>0</v>
      </c>
      <c r="AP506" s="4">
        <v>19</v>
      </c>
      <c r="AQ506" s="4">
        <v>24</v>
      </c>
      <c r="AR506" s="3" t="s">
        <v>64</v>
      </c>
      <c r="AS506" s="3" t="s">
        <v>64</v>
      </c>
      <c r="AT506" s="3" t="s">
        <v>73</v>
      </c>
      <c r="AU506" s="6" t="str">
        <f>HYPERLINK("http://catalog.hathitrust.org/Record/002481667","HathiTrust Record")</f>
        <v>HathiTrust Record</v>
      </c>
      <c r="AV506" s="6" t="str">
        <f>HYPERLINK("http://mcgill.on.worldcat.org/oclc/21761266","Catalog Record")</f>
        <v>Catalog Record</v>
      </c>
      <c r="AW506" s="6" t="str">
        <f>HYPERLINK("http://www.worldcat.org/oclc/21761266","WorldCat Record")</f>
        <v>WorldCat Record</v>
      </c>
      <c r="AX506" s="3" t="s">
        <v>5156</v>
      </c>
      <c r="AY506" s="3" t="s">
        <v>5157</v>
      </c>
      <c r="AZ506" s="3" t="s">
        <v>5158</v>
      </c>
      <c r="BA506" s="3" t="s">
        <v>5158</v>
      </c>
      <c r="BB506" s="3" t="s">
        <v>5159</v>
      </c>
      <c r="BC506" s="3" t="s">
        <v>78</v>
      </c>
      <c r="BD506" s="3" t="s">
        <v>79</v>
      </c>
      <c r="BE506" s="3" t="s">
        <v>5160</v>
      </c>
      <c r="BF506" s="3" t="s">
        <v>5159</v>
      </c>
      <c r="BG506" s="3" t="s">
        <v>5161</v>
      </c>
    </row>
    <row r="507" spans="1:59" ht="116" x14ac:dyDescent="0.35">
      <c r="A507" s="2" t="s">
        <v>59</v>
      </c>
      <c r="B507" s="2" t="s">
        <v>3778</v>
      </c>
      <c r="C507" s="2" t="s">
        <v>5162</v>
      </c>
      <c r="D507" s="2" t="s">
        <v>5163</v>
      </c>
      <c r="E507" s="2" t="s">
        <v>5164</v>
      </c>
      <c r="G507" s="3" t="s">
        <v>64</v>
      </c>
      <c r="I507" s="3" t="s">
        <v>64</v>
      </c>
      <c r="J507" s="3" t="s">
        <v>64</v>
      </c>
      <c r="K507" s="3" t="s">
        <v>65</v>
      </c>
      <c r="L507" s="2" t="s">
        <v>5165</v>
      </c>
      <c r="M507" s="2" t="s">
        <v>5166</v>
      </c>
      <c r="N507" s="3" t="s">
        <v>651</v>
      </c>
      <c r="O507" s="2" t="s">
        <v>3783</v>
      </c>
      <c r="P507" s="3" t="s">
        <v>3784</v>
      </c>
      <c r="R507" s="3" t="s">
        <v>70</v>
      </c>
      <c r="S507" s="4">
        <v>6</v>
      </c>
      <c r="T507" s="4">
        <v>6</v>
      </c>
      <c r="U507" s="5" t="s">
        <v>5167</v>
      </c>
      <c r="V507" s="5" t="s">
        <v>5167</v>
      </c>
      <c r="W507" s="5" t="s">
        <v>72</v>
      </c>
      <c r="X507" s="5" t="s">
        <v>72</v>
      </c>
      <c r="Y507" s="4">
        <v>29</v>
      </c>
      <c r="Z507" s="4">
        <v>5</v>
      </c>
      <c r="AA507" s="4">
        <v>5</v>
      </c>
      <c r="AB507" s="4">
        <v>1</v>
      </c>
      <c r="AC507" s="4">
        <v>1</v>
      </c>
      <c r="AD507" s="4">
        <v>19</v>
      </c>
      <c r="AE507" s="4">
        <v>21</v>
      </c>
      <c r="AF507" s="4">
        <v>0</v>
      </c>
      <c r="AG507" s="4">
        <v>0</v>
      </c>
      <c r="AH507" s="4">
        <v>17</v>
      </c>
      <c r="AI507" s="4">
        <v>19</v>
      </c>
      <c r="AJ507" s="4">
        <v>3</v>
      </c>
      <c r="AK507" s="4">
        <v>3</v>
      </c>
      <c r="AL507" s="4">
        <v>13</v>
      </c>
      <c r="AM507" s="4">
        <v>15</v>
      </c>
      <c r="AN507" s="4">
        <v>0</v>
      </c>
      <c r="AO507" s="4">
        <v>0</v>
      </c>
      <c r="AP507" s="4">
        <v>3</v>
      </c>
      <c r="AQ507" s="4">
        <v>3</v>
      </c>
      <c r="AR507" s="3" t="s">
        <v>64</v>
      </c>
      <c r="AS507" s="3" t="s">
        <v>64</v>
      </c>
      <c r="AT507" s="3" t="s">
        <v>73</v>
      </c>
      <c r="AU507" s="6" t="str">
        <f>HYPERLINK("http://catalog.hathitrust.org/Record/006278280","HathiTrust Record")</f>
        <v>HathiTrust Record</v>
      </c>
      <c r="AV507" s="6" t="str">
        <f>HYPERLINK("http://mcgill.on.worldcat.org/oclc/52782169","Catalog Record")</f>
        <v>Catalog Record</v>
      </c>
      <c r="AW507" s="6" t="str">
        <f>HYPERLINK("http://www.worldcat.org/oclc/52782169","WorldCat Record")</f>
        <v>WorldCat Record</v>
      </c>
      <c r="AX507" s="3" t="s">
        <v>5168</v>
      </c>
      <c r="AY507" s="3" t="s">
        <v>5169</v>
      </c>
      <c r="AZ507" s="3" t="s">
        <v>5170</v>
      </c>
      <c r="BA507" s="3" t="s">
        <v>5170</v>
      </c>
      <c r="BB507" s="3" t="s">
        <v>5171</v>
      </c>
      <c r="BC507" s="3" t="s">
        <v>78</v>
      </c>
      <c r="BD507" s="3" t="s">
        <v>79</v>
      </c>
      <c r="BE507" s="3" t="s">
        <v>5172</v>
      </c>
      <c r="BF507" s="3" t="s">
        <v>5171</v>
      </c>
      <c r="BG507" s="3" t="s">
        <v>5173</v>
      </c>
    </row>
    <row r="508" spans="1:59" ht="72.5" x14ac:dyDescent="0.35">
      <c r="A508" s="2" t="s">
        <v>59</v>
      </c>
      <c r="B508" s="2" t="s">
        <v>94</v>
      </c>
      <c r="C508" s="2" t="s">
        <v>5174</v>
      </c>
      <c r="D508" s="2" t="s">
        <v>5175</v>
      </c>
      <c r="E508" s="2" t="s">
        <v>5176</v>
      </c>
      <c r="F508" s="3" t="s">
        <v>5177</v>
      </c>
      <c r="G508" s="3" t="s">
        <v>64</v>
      </c>
      <c r="I508" s="3" t="s">
        <v>64</v>
      </c>
      <c r="J508" s="3" t="s">
        <v>64</v>
      </c>
      <c r="K508" s="3" t="s">
        <v>65</v>
      </c>
      <c r="L508" s="2" t="s">
        <v>5178</v>
      </c>
      <c r="M508" s="2" t="s">
        <v>5179</v>
      </c>
      <c r="N508" s="3" t="s">
        <v>2214</v>
      </c>
      <c r="P508" s="3" t="s">
        <v>69</v>
      </c>
      <c r="Q508" s="2" t="s">
        <v>5180</v>
      </c>
      <c r="R508" s="3" t="s">
        <v>70</v>
      </c>
      <c r="S508" s="4">
        <v>3</v>
      </c>
      <c r="T508" s="4">
        <v>3</v>
      </c>
      <c r="U508" s="5" t="s">
        <v>5181</v>
      </c>
      <c r="V508" s="5" t="s">
        <v>5181</v>
      </c>
      <c r="W508" s="5" t="s">
        <v>72</v>
      </c>
      <c r="X508" s="5" t="s">
        <v>72</v>
      </c>
      <c r="Y508" s="4">
        <v>179</v>
      </c>
      <c r="Z508" s="4">
        <v>22</v>
      </c>
      <c r="AA508" s="4">
        <v>23</v>
      </c>
      <c r="AB508" s="4">
        <v>1</v>
      </c>
      <c r="AC508" s="4">
        <v>2</v>
      </c>
      <c r="AD508" s="4">
        <v>58</v>
      </c>
      <c r="AE508" s="4">
        <v>81</v>
      </c>
      <c r="AF508" s="4">
        <v>0</v>
      </c>
      <c r="AG508" s="4">
        <v>1</v>
      </c>
      <c r="AH508" s="4">
        <v>47</v>
      </c>
      <c r="AI508" s="4">
        <v>69</v>
      </c>
      <c r="AJ508" s="4">
        <v>13</v>
      </c>
      <c r="AK508" s="4">
        <v>14</v>
      </c>
      <c r="AL508" s="4">
        <v>31</v>
      </c>
      <c r="AM508" s="4">
        <v>43</v>
      </c>
      <c r="AN508" s="4">
        <v>0</v>
      </c>
      <c r="AO508" s="4">
        <v>0</v>
      </c>
      <c r="AP508" s="4">
        <v>18</v>
      </c>
      <c r="AQ508" s="4">
        <v>19</v>
      </c>
      <c r="AR508" s="3" t="s">
        <v>64</v>
      </c>
      <c r="AS508" s="3" t="s">
        <v>64</v>
      </c>
      <c r="AT508" s="3" t="s">
        <v>73</v>
      </c>
      <c r="AU508" s="6" t="str">
        <f>HYPERLINK("http://catalog.hathitrust.org/Record/000212751","HathiTrust Record")</f>
        <v>HathiTrust Record</v>
      </c>
      <c r="AV508" s="6" t="str">
        <f>HYPERLINK("http://mcgill.on.worldcat.org/oclc/2932445","Catalog Record")</f>
        <v>Catalog Record</v>
      </c>
      <c r="AW508" s="6" t="str">
        <f>HYPERLINK("http://www.worldcat.org/oclc/2932445","WorldCat Record")</f>
        <v>WorldCat Record</v>
      </c>
      <c r="AX508" s="3" t="s">
        <v>5182</v>
      </c>
      <c r="AY508" s="3" t="s">
        <v>5183</v>
      </c>
      <c r="AZ508" s="3" t="s">
        <v>5184</v>
      </c>
      <c r="BA508" s="3" t="s">
        <v>5184</v>
      </c>
      <c r="BB508" s="3" t="s">
        <v>5185</v>
      </c>
      <c r="BC508" s="3" t="s">
        <v>78</v>
      </c>
      <c r="BD508" s="3" t="s">
        <v>79</v>
      </c>
      <c r="BE508" s="3" t="s">
        <v>5186</v>
      </c>
      <c r="BF508" s="3" t="s">
        <v>5185</v>
      </c>
      <c r="BG508" s="3" t="s">
        <v>5187</v>
      </c>
    </row>
    <row r="509" spans="1:59" ht="72.5" x14ac:dyDescent="0.35">
      <c r="A509" s="2" t="s">
        <v>59</v>
      </c>
      <c r="B509" s="2" t="s">
        <v>94</v>
      </c>
      <c r="C509" s="2" t="s">
        <v>5188</v>
      </c>
      <c r="D509" s="2" t="s">
        <v>5189</v>
      </c>
      <c r="E509" s="2" t="s">
        <v>5190</v>
      </c>
      <c r="F509" s="3" t="s">
        <v>5191</v>
      </c>
      <c r="G509" s="3" t="s">
        <v>64</v>
      </c>
      <c r="I509" s="3" t="s">
        <v>64</v>
      </c>
      <c r="J509" s="3" t="s">
        <v>64</v>
      </c>
      <c r="K509" s="3" t="s">
        <v>65</v>
      </c>
      <c r="L509" s="2" t="s">
        <v>5192</v>
      </c>
      <c r="M509" s="2" t="s">
        <v>5193</v>
      </c>
      <c r="N509" s="3" t="s">
        <v>2116</v>
      </c>
      <c r="P509" s="3" t="s">
        <v>69</v>
      </c>
      <c r="Q509" s="2" t="s">
        <v>5194</v>
      </c>
      <c r="R509" s="3" t="s">
        <v>70</v>
      </c>
      <c r="S509" s="4">
        <v>5</v>
      </c>
      <c r="T509" s="4">
        <v>5</v>
      </c>
      <c r="U509" s="5" t="s">
        <v>590</v>
      </c>
      <c r="V509" s="5" t="s">
        <v>590</v>
      </c>
      <c r="W509" s="5" t="s">
        <v>72</v>
      </c>
      <c r="X509" s="5" t="s">
        <v>72</v>
      </c>
      <c r="Y509" s="4">
        <v>195</v>
      </c>
      <c r="Z509" s="4">
        <v>15</v>
      </c>
      <c r="AA509" s="4">
        <v>18</v>
      </c>
      <c r="AB509" s="4">
        <v>1</v>
      </c>
      <c r="AC509" s="4">
        <v>2</v>
      </c>
      <c r="AD509" s="4">
        <v>74</v>
      </c>
      <c r="AE509" s="4">
        <v>87</v>
      </c>
      <c r="AF509" s="4">
        <v>0</v>
      </c>
      <c r="AG509" s="4">
        <v>1</v>
      </c>
      <c r="AH509" s="4">
        <v>65</v>
      </c>
      <c r="AI509" s="4">
        <v>76</v>
      </c>
      <c r="AJ509" s="4">
        <v>9</v>
      </c>
      <c r="AK509" s="4">
        <v>12</v>
      </c>
      <c r="AL509" s="4">
        <v>43</v>
      </c>
      <c r="AM509" s="4">
        <v>50</v>
      </c>
      <c r="AN509" s="4">
        <v>0</v>
      </c>
      <c r="AO509" s="4">
        <v>0</v>
      </c>
      <c r="AP509" s="4">
        <v>12</v>
      </c>
      <c r="AQ509" s="4">
        <v>15</v>
      </c>
      <c r="AR509" s="3" t="s">
        <v>64</v>
      </c>
      <c r="AS509" s="3" t="s">
        <v>64</v>
      </c>
      <c r="AT509" s="3" t="s">
        <v>64</v>
      </c>
      <c r="AV509" s="6" t="str">
        <f>HYPERLINK("http://mcgill.on.worldcat.org/oclc/2882512","Catalog Record")</f>
        <v>Catalog Record</v>
      </c>
      <c r="AW509" s="6" t="str">
        <f>HYPERLINK("http://www.worldcat.org/oclc/2882512","WorldCat Record")</f>
        <v>WorldCat Record</v>
      </c>
      <c r="AX509" s="3" t="s">
        <v>5195</v>
      </c>
      <c r="AY509" s="3" t="s">
        <v>5196</v>
      </c>
      <c r="AZ509" s="3" t="s">
        <v>5197</v>
      </c>
      <c r="BA509" s="3" t="s">
        <v>5197</v>
      </c>
      <c r="BB509" s="3" t="s">
        <v>5198</v>
      </c>
      <c r="BC509" s="3" t="s">
        <v>78</v>
      </c>
      <c r="BD509" s="3" t="s">
        <v>79</v>
      </c>
      <c r="BE509" s="3" t="s">
        <v>5199</v>
      </c>
      <c r="BF509" s="3" t="s">
        <v>5198</v>
      </c>
      <c r="BG509" s="3" t="s">
        <v>5200</v>
      </c>
    </row>
    <row r="510" spans="1:59" ht="72.5" x14ac:dyDescent="0.35">
      <c r="A510" s="2" t="s">
        <v>59</v>
      </c>
      <c r="B510" s="2" t="s">
        <v>94</v>
      </c>
      <c r="C510" s="2" t="s">
        <v>5201</v>
      </c>
      <c r="D510" s="2" t="s">
        <v>5202</v>
      </c>
      <c r="E510" s="2" t="s">
        <v>5203</v>
      </c>
      <c r="F510" s="3" t="s">
        <v>5204</v>
      </c>
      <c r="G510" s="3" t="s">
        <v>64</v>
      </c>
      <c r="I510" s="3" t="s">
        <v>64</v>
      </c>
      <c r="J510" s="3" t="s">
        <v>64</v>
      </c>
      <c r="K510" s="3" t="s">
        <v>65</v>
      </c>
      <c r="L510" s="2" t="s">
        <v>5205</v>
      </c>
      <c r="M510" s="2" t="s">
        <v>5206</v>
      </c>
      <c r="N510" s="3" t="s">
        <v>390</v>
      </c>
      <c r="P510" s="3" t="s">
        <v>69</v>
      </c>
      <c r="Q510" s="2" t="s">
        <v>5207</v>
      </c>
      <c r="R510" s="3" t="s">
        <v>70</v>
      </c>
      <c r="S510" s="4">
        <v>8</v>
      </c>
      <c r="T510" s="4">
        <v>8</v>
      </c>
      <c r="U510" s="5" t="s">
        <v>2995</v>
      </c>
      <c r="V510" s="5" t="s">
        <v>2995</v>
      </c>
      <c r="W510" s="5" t="s">
        <v>72</v>
      </c>
      <c r="X510" s="5" t="s">
        <v>72</v>
      </c>
      <c r="Y510" s="4">
        <v>234</v>
      </c>
      <c r="Z510" s="4">
        <v>18</v>
      </c>
      <c r="AA510" s="4">
        <v>21</v>
      </c>
      <c r="AB510" s="4">
        <v>1</v>
      </c>
      <c r="AC510" s="4">
        <v>2</v>
      </c>
      <c r="AD510" s="4">
        <v>81</v>
      </c>
      <c r="AE510" s="4">
        <v>84</v>
      </c>
      <c r="AF510" s="4">
        <v>0</v>
      </c>
      <c r="AG510" s="4">
        <v>1</v>
      </c>
      <c r="AH510" s="4">
        <v>69</v>
      </c>
      <c r="AI510" s="4">
        <v>72</v>
      </c>
      <c r="AJ510" s="4">
        <v>10</v>
      </c>
      <c r="AK510" s="4">
        <v>12</v>
      </c>
      <c r="AL510" s="4">
        <v>49</v>
      </c>
      <c r="AM510" s="4">
        <v>51</v>
      </c>
      <c r="AN510" s="4">
        <v>0</v>
      </c>
      <c r="AO510" s="4">
        <v>0</v>
      </c>
      <c r="AP510" s="4">
        <v>14</v>
      </c>
      <c r="AQ510" s="4">
        <v>16</v>
      </c>
      <c r="AR510" s="3" t="s">
        <v>64</v>
      </c>
      <c r="AS510" s="3" t="s">
        <v>64</v>
      </c>
      <c r="AT510" s="3" t="s">
        <v>64</v>
      </c>
      <c r="AV510" s="6" t="str">
        <f>HYPERLINK("http://mcgill.on.worldcat.org/oclc/5935638","Catalog Record")</f>
        <v>Catalog Record</v>
      </c>
      <c r="AW510" s="6" t="str">
        <f>HYPERLINK("http://www.worldcat.org/oclc/5935638","WorldCat Record")</f>
        <v>WorldCat Record</v>
      </c>
      <c r="AX510" s="3" t="s">
        <v>5208</v>
      </c>
      <c r="AY510" s="3" t="s">
        <v>5209</v>
      </c>
      <c r="AZ510" s="3" t="s">
        <v>5210</v>
      </c>
      <c r="BA510" s="3" t="s">
        <v>5210</v>
      </c>
      <c r="BB510" s="3" t="s">
        <v>5211</v>
      </c>
      <c r="BC510" s="3" t="s">
        <v>78</v>
      </c>
      <c r="BD510" s="3" t="s">
        <v>79</v>
      </c>
      <c r="BE510" s="3" t="s">
        <v>5212</v>
      </c>
      <c r="BF510" s="3" t="s">
        <v>5211</v>
      </c>
      <c r="BG510" s="3" t="s">
        <v>5213</v>
      </c>
    </row>
    <row r="511" spans="1:59" ht="72.5" x14ac:dyDescent="0.35">
      <c r="A511" s="2" t="s">
        <v>59</v>
      </c>
      <c r="B511" s="2" t="s">
        <v>94</v>
      </c>
      <c r="C511" s="2" t="s">
        <v>5214</v>
      </c>
      <c r="D511" s="2" t="s">
        <v>5215</v>
      </c>
      <c r="E511" s="2" t="s">
        <v>5216</v>
      </c>
      <c r="F511" s="3" t="s">
        <v>5217</v>
      </c>
      <c r="G511" s="3" t="s">
        <v>64</v>
      </c>
      <c r="I511" s="3" t="s">
        <v>64</v>
      </c>
      <c r="J511" s="3" t="s">
        <v>64</v>
      </c>
      <c r="K511" s="3" t="s">
        <v>65</v>
      </c>
      <c r="L511" s="2" t="s">
        <v>5218</v>
      </c>
      <c r="M511" s="2" t="s">
        <v>5219</v>
      </c>
      <c r="N511" s="3" t="s">
        <v>2574</v>
      </c>
      <c r="P511" s="3" t="s">
        <v>69</v>
      </c>
      <c r="Q511" s="2" t="s">
        <v>5220</v>
      </c>
      <c r="R511" s="3" t="s">
        <v>70</v>
      </c>
      <c r="S511" s="4">
        <v>2</v>
      </c>
      <c r="T511" s="4">
        <v>2</v>
      </c>
      <c r="U511" s="5" t="s">
        <v>228</v>
      </c>
      <c r="V511" s="5" t="s">
        <v>228</v>
      </c>
      <c r="W511" s="5" t="s">
        <v>72</v>
      </c>
      <c r="X511" s="5" t="s">
        <v>72</v>
      </c>
      <c r="Y511" s="4">
        <v>54</v>
      </c>
      <c r="Z511" s="4">
        <v>6</v>
      </c>
      <c r="AA511" s="4">
        <v>7</v>
      </c>
      <c r="AB511" s="4">
        <v>1</v>
      </c>
      <c r="AC511" s="4">
        <v>2</v>
      </c>
      <c r="AD511" s="4">
        <v>20</v>
      </c>
      <c r="AE511" s="4">
        <v>27</v>
      </c>
      <c r="AF511" s="4">
        <v>0</v>
      </c>
      <c r="AG511" s="4">
        <v>1</v>
      </c>
      <c r="AH511" s="4">
        <v>19</v>
      </c>
      <c r="AI511" s="4">
        <v>25</v>
      </c>
      <c r="AJ511" s="4">
        <v>4</v>
      </c>
      <c r="AK511" s="4">
        <v>5</v>
      </c>
      <c r="AL511" s="4">
        <v>13</v>
      </c>
      <c r="AM511" s="4">
        <v>17</v>
      </c>
      <c r="AN511" s="4">
        <v>0</v>
      </c>
      <c r="AO511" s="4">
        <v>0</v>
      </c>
      <c r="AP511" s="4">
        <v>5</v>
      </c>
      <c r="AQ511" s="4">
        <v>6</v>
      </c>
      <c r="AR511" s="3" t="s">
        <v>64</v>
      </c>
      <c r="AS511" s="3" t="s">
        <v>64</v>
      </c>
      <c r="AT511" s="3" t="s">
        <v>64</v>
      </c>
      <c r="AV511" s="6" t="str">
        <f>HYPERLINK("http://mcgill.on.worldcat.org/oclc/2009106","Catalog Record")</f>
        <v>Catalog Record</v>
      </c>
      <c r="AW511" s="6" t="str">
        <f>HYPERLINK("http://www.worldcat.org/oclc/2009106","WorldCat Record")</f>
        <v>WorldCat Record</v>
      </c>
      <c r="AX511" s="3" t="s">
        <v>5221</v>
      </c>
      <c r="AY511" s="3" t="s">
        <v>5222</v>
      </c>
      <c r="AZ511" s="3" t="s">
        <v>5223</v>
      </c>
      <c r="BA511" s="3" t="s">
        <v>5223</v>
      </c>
      <c r="BB511" s="3" t="s">
        <v>5224</v>
      </c>
      <c r="BC511" s="3" t="s">
        <v>78</v>
      </c>
      <c r="BD511" s="3" t="s">
        <v>79</v>
      </c>
      <c r="BF511" s="3" t="s">
        <v>5224</v>
      </c>
      <c r="BG511" s="3" t="s">
        <v>5225</v>
      </c>
    </row>
    <row r="512" spans="1:59" ht="72.5" x14ac:dyDescent="0.35">
      <c r="A512" s="2" t="s">
        <v>59</v>
      </c>
      <c r="B512" s="2" t="s">
        <v>94</v>
      </c>
      <c r="C512" s="2" t="s">
        <v>5226</v>
      </c>
      <c r="D512" s="2" t="s">
        <v>5227</v>
      </c>
      <c r="E512" s="2" t="s">
        <v>5228</v>
      </c>
      <c r="F512" s="3" t="s">
        <v>5229</v>
      </c>
      <c r="G512" s="3" t="s">
        <v>64</v>
      </c>
      <c r="I512" s="3" t="s">
        <v>64</v>
      </c>
      <c r="J512" s="3" t="s">
        <v>64</v>
      </c>
      <c r="K512" s="3" t="s">
        <v>65</v>
      </c>
      <c r="L512" s="2" t="s">
        <v>5230</v>
      </c>
      <c r="M512" s="2" t="s">
        <v>5231</v>
      </c>
      <c r="N512" s="3" t="s">
        <v>407</v>
      </c>
      <c r="P512" s="3" t="s">
        <v>69</v>
      </c>
      <c r="Q512" s="2" t="s">
        <v>5232</v>
      </c>
      <c r="R512" s="3" t="s">
        <v>70</v>
      </c>
      <c r="S512" s="4">
        <v>4</v>
      </c>
      <c r="T512" s="4">
        <v>4</v>
      </c>
      <c r="U512" s="5" t="s">
        <v>228</v>
      </c>
      <c r="V512" s="5" t="s">
        <v>228</v>
      </c>
      <c r="W512" s="5" t="s">
        <v>72</v>
      </c>
      <c r="X512" s="5" t="s">
        <v>72</v>
      </c>
      <c r="Y512" s="4">
        <v>238</v>
      </c>
      <c r="Z512" s="4">
        <v>19</v>
      </c>
      <c r="AA512" s="4">
        <v>20</v>
      </c>
      <c r="AB512" s="4">
        <v>1</v>
      </c>
      <c r="AC512" s="4">
        <v>2</v>
      </c>
      <c r="AD512" s="4">
        <v>87</v>
      </c>
      <c r="AE512" s="4">
        <v>89</v>
      </c>
      <c r="AF512" s="4">
        <v>0</v>
      </c>
      <c r="AG512" s="4">
        <v>1</v>
      </c>
      <c r="AH512" s="4">
        <v>77</v>
      </c>
      <c r="AI512" s="4">
        <v>79</v>
      </c>
      <c r="AJ512" s="4">
        <v>12</v>
      </c>
      <c r="AK512" s="4">
        <v>13</v>
      </c>
      <c r="AL512" s="4">
        <v>49</v>
      </c>
      <c r="AM512" s="4">
        <v>50</v>
      </c>
      <c r="AN512" s="4">
        <v>0</v>
      </c>
      <c r="AO512" s="4">
        <v>0</v>
      </c>
      <c r="AP512" s="4">
        <v>15</v>
      </c>
      <c r="AQ512" s="4">
        <v>16</v>
      </c>
      <c r="AR512" s="3" t="s">
        <v>64</v>
      </c>
      <c r="AS512" s="3" t="s">
        <v>64</v>
      </c>
      <c r="AT512" s="3" t="s">
        <v>64</v>
      </c>
      <c r="AV512" s="6" t="str">
        <f>HYPERLINK("http://mcgill.on.worldcat.org/oclc/14450851","Catalog Record")</f>
        <v>Catalog Record</v>
      </c>
      <c r="AW512" s="6" t="str">
        <f>HYPERLINK("http://www.worldcat.org/oclc/14450851","WorldCat Record")</f>
        <v>WorldCat Record</v>
      </c>
      <c r="AX512" s="3" t="s">
        <v>5233</v>
      </c>
      <c r="AY512" s="3" t="s">
        <v>5234</v>
      </c>
      <c r="AZ512" s="3" t="s">
        <v>5235</v>
      </c>
      <c r="BA512" s="3" t="s">
        <v>5235</v>
      </c>
      <c r="BB512" s="3" t="s">
        <v>5236</v>
      </c>
      <c r="BC512" s="3" t="s">
        <v>78</v>
      </c>
      <c r="BD512" s="3" t="s">
        <v>79</v>
      </c>
      <c r="BE512" s="3" t="s">
        <v>5237</v>
      </c>
      <c r="BF512" s="3" t="s">
        <v>5236</v>
      </c>
      <c r="BG512" s="3" t="s">
        <v>5238</v>
      </c>
    </row>
    <row r="513" spans="1:59" ht="72.5" x14ac:dyDescent="0.35">
      <c r="A513" s="2" t="s">
        <v>59</v>
      </c>
      <c r="B513" s="2" t="s">
        <v>94</v>
      </c>
      <c r="C513" s="2" t="s">
        <v>5239</v>
      </c>
      <c r="D513" s="2" t="s">
        <v>5240</v>
      </c>
      <c r="E513" s="2" t="s">
        <v>5241</v>
      </c>
      <c r="F513" s="3" t="s">
        <v>5242</v>
      </c>
      <c r="G513" s="3" t="s">
        <v>64</v>
      </c>
      <c r="I513" s="3" t="s">
        <v>64</v>
      </c>
      <c r="J513" s="3" t="s">
        <v>64</v>
      </c>
      <c r="K513" s="3" t="s">
        <v>65</v>
      </c>
      <c r="L513" s="2" t="s">
        <v>5243</v>
      </c>
      <c r="M513" s="2" t="s">
        <v>5231</v>
      </c>
      <c r="N513" s="3" t="s">
        <v>407</v>
      </c>
      <c r="P513" s="3" t="s">
        <v>69</v>
      </c>
      <c r="Q513" s="2" t="s">
        <v>5244</v>
      </c>
      <c r="R513" s="3" t="s">
        <v>70</v>
      </c>
      <c r="S513" s="4">
        <v>5</v>
      </c>
      <c r="T513" s="4">
        <v>5</v>
      </c>
      <c r="U513" s="5" t="s">
        <v>228</v>
      </c>
      <c r="V513" s="5" t="s">
        <v>228</v>
      </c>
      <c r="W513" s="5" t="s">
        <v>72</v>
      </c>
      <c r="X513" s="5" t="s">
        <v>72</v>
      </c>
      <c r="Y513" s="4">
        <v>238</v>
      </c>
      <c r="Z513" s="4">
        <v>20</v>
      </c>
      <c r="AA513" s="4">
        <v>21</v>
      </c>
      <c r="AB513" s="4">
        <v>1</v>
      </c>
      <c r="AC513" s="4">
        <v>2</v>
      </c>
      <c r="AD513" s="4">
        <v>85</v>
      </c>
      <c r="AE513" s="4">
        <v>88</v>
      </c>
      <c r="AF513" s="4">
        <v>0</v>
      </c>
      <c r="AG513" s="4">
        <v>1</v>
      </c>
      <c r="AH513" s="4">
        <v>75</v>
      </c>
      <c r="AI513" s="4">
        <v>78</v>
      </c>
      <c r="AJ513" s="4">
        <v>12</v>
      </c>
      <c r="AK513" s="4">
        <v>13</v>
      </c>
      <c r="AL513" s="4">
        <v>48</v>
      </c>
      <c r="AM513" s="4">
        <v>50</v>
      </c>
      <c r="AN513" s="4">
        <v>0</v>
      </c>
      <c r="AO513" s="4">
        <v>0</v>
      </c>
      <c r="AP513" s="4">
        <v>15</v>
      </c>
      <c r="AQ513" s="4">
        <v>16</v>
      </c>
      <c r="AR513" s="3" t="s">
        <v>64</v>
      </c>
      <c r="AS513" s="3" t="s">
        <v>64</v>
      </c>
      <c r="AT513" s="3" t="s">
        <v>64</v>
      </c>
      <c r="AV513" s="6" t="str">
        <f>HYPERLINK("http://mcgill.on.worldcat.org/oclc/15011347","Catalog Record")</f>
        <v>Catalog Record</v>
      </c>
      <c r="AW513" s="6" t="str">
        <f>HYPERLINK("http://www.worldcat.org/oclc/15011347","WorldCat Record")</f>
        <v>WorldCat Record</v>
      </c>
      <c r="AX513" s="3" t="s">
        <v>5245</v>
      </c>
      <c r="AY513" s="3" t="s">
        <v>5246</v>
      </c>
      <c r="AZ513" s="3" t="s">
        <v>5247</v>
      </c>
      <c r="BA513" s="3" t="s">
        <v>5247</v>
      </c>
      <c r="BB513" s="3" t="s">
        <v>5248</v>
      </c>
      <c r="BC513" s="3" t="s">
        <v>78</v>
      </c>
      <c r="BD513" s="3" t="s">
        <v>79</v>
      </c>
      <c r="BE513" s="3" t="s">
        <v>5249</v>
      </c>
      <c r="BF513" s="3" t="s">
        <v>5248</v>
      </c>
      <c r="BG513" s="3" t="s">
        <v>5250</v>
      </c>
    </row>
    <row r="514" spans="1:59" ht="72.5" x14ac:dyDescent="0.35">
      <c r="A514" s="2" t="s">
        <v>59</v>
      </c>
      <c r="B514" s="2" t="s">
        <v>94</v>
      </c>
      <c r="C514" s="2" t="s">
        <v>5251</v>
      </c>
      <c r="D514" s="2" t="s">
        <v>5252</v>
      </c>
      <c r="E514" s="2" t="s">
        <v>5253</v>
      </c>
      <c r="F514" s="3" t="s">
        <v>5254</v>
      </c>
      <c r="G514" s="3" t="s">
        <v>64</v>
      </c>
      <c r="I514" s="3" t="s">
        <v>64</v>
      </c>
      <c r="J514" s="3" t="s">
        <v>64</v>
      </c>
      <c r="K514" s="3" t="s">
        <v>65</v>
      </c>
      <c r="L514" s="2" t="s">
        <v>5255</v>
      </c>
      <c r="M514" s="2" t="s">
        <v>5256</v>
      </c>
      <c r="N514" s="3" t="s">
        <v>872</v>
      </c>
      <c r="P514" s="3" t="s">
        <v>69</v>
      </c>
      <c r="Q514" s="2" t="s">
        <v>5257</v>
      </c>
      <c r="R514" s="3" t="s">
        <v>70</v>
      </c>
      <c r="S514" s="4">
        <v>11</v>
      </c>
      <c r="T514" s="4">
        <v>11</v>
      </c>
      <c r="U514" s="5" t="s">
        <v>797</v>
      </c>
      <c r="V514" s="5" t="s">
        <v>797</v>
      </c>
      <c r="W514" s="5" t="s">
        <v>72</v>
      </c>
      <c r="X514" s="5" t="s">
        <v>72</v>
      </c>
      <c r="Y514" s="4">
        <v>216</v>
      </c>
      <c r="Z514" s="4">
        <v>16</v>
      </c>
      <c r="AA514" s="4">
        <v>22</v>
      </c>
      <c r="AB514" s="4">
        <v>1</v>
      </c>
      <c r="AC514" s="4">
        <v>2</v>
      </c>
      <c r="AD514" s="4">
        <v>68</v>
      </c>
      <c r="AE514" s="4">
        <v>75</v>
      </c>
      <c r="AF514" s="4">
        <v>0</v>
      </c>
      <c r="AG514" s="4">
        <v>1</v>
      </c>
      <c r="AH514" s="4">
        <v>60</v>
      </c>
      <c r="AI514" s="4">
        <v>64</v>
      </c>
      <c r="AJ514" s="4">
        <v>10</v>
      </c>
      <c r="AK514" s="4">
        <v>15</v>
      </c>
      <c r="AL514" s="4">
        <v>39</v>
      </c>
      <c r="AM514" s="4">
        <v>40</v>
      </c>
      <c r="AN514" s="4">
        <v>0</v>
      </c>
      <c r="AO514" s="4">
        <v>0</v>
      </c>
      <c r="AP514" s="4">
        <v>12</v>
      </c>
      <c r="AQ514" s="4">
        <v>17</v>
      </c>
      <c r="AR514" s="3" t="s">
        <v>64</v>
      </c>
      <c r="AS514" s="3" t="s">
        <v>64</v>
      </c>
      <c r="AT514" s="3" t="s">
        <v>64</v>
      </c>
      <c r="AV514" s="6" t="str">
        <f>HYPERLINK("http://mcgill.on.worldcat.org/oclc/20347750","Catalog Record")</f>
        <v>Catalog Record</v>
      </c>
      <c r="AW514" s="6" t="str">
        <f>HYPERLINK("http://www.worldcat.org/oclc/20347750","WorldCat Record")</f>
        <v>WorldCat Record</v>
      </c>
      <c r="AX514" s="3" t="s">
        <v>5258</v>
      </c>
      <c r="AY514" s="3" t="s">
        <v>5259</v>
      </c>
      <c r="AZ514" s="3" t="s">
        <v>5260</v>
      </c>
      <c r="BA514" s="3" t="s">
        <v>5260</v>
      </c>
      <c r="BB514" s="3" t="s">
        <v>5261</v>
      </c>
      <c r="BC514" s="3" t="s">
        <v>78</v>
      </c>
      <c r="BD514" s="3" t="s">
        <v>79</v>
      </c>
      <c r="BE514" s="3" t="s">
        <v>5262</v>
      </c>
      <c r="BF514" s="3" t="s">
        <v>5261</v>
      </c>
      <c r="BG514" s="3" t="s">
        <v>5263</v>
      </c>
    </row>
    <row r="515" spans="1:59" ht="72.5" x14ac:dyDescent="0.35">
      <c r="A515" s="2" t="s">
        <v>59</v>
      </c>
      <c r="B515" s="2" t="s">
        <v>94</v>
      </c>
      <c r="C515" s="2" t="s">
        <v>5264</v>
      </c>
      <c r="D515" s="2" t="s">
        <v>5265</v>
      </c>
      <c r="E515" s="2" t="s">
        <v>5266</v>
      </c>
      <c r="F515" s="3" t="s">
        <v>5267</v>
      </c>
      <c r="G515" s="3" t="s">
        <v>64</v>
      </c>
      <c r="I515" s="3" t="s">
        <v>64</v>
      </c>
      <c r="J515" s="3" t="s">
        <v>64</v>
      </c>
      <c r="K515" s="3" t="s">
        <v>65</v>
      </c>
      <c r="L515" s="2" t="s">
        <v>5268</v>
      </c>
      <c r="M515" s="2" t="s">
        <v>5269</v>
      </c>
      <c r="N515" s="3" t="s">
        <v>473</v>
      </c>
      <c r="P515" s="3" t="s">
        <v>69</v>
      </c>
      <c r="Q515" s="2" t="s">
        <v>5270</v>
      </c>
      <c r="R515" s="3" t="s">
        <v>70</v>
      </c>
      <c r="S515" s="4">
        <v>4</v>
      </c>
      <c r="T515" s="4">
        <v>4</v>
      </c>
      <c r="U515" s="5" t="s">
        <v>228</v>
      </c>
      <c r="V515" s="5" t="s">
        <v>228</v>
      </c>
      <c r="W515" s="5" t="s">
        <v>72</v>
      </c>
      <c r="X515" s="5" t="s">
        <v>72</v>
      </c>
      <c r="Y515" s="4">
        <v>233</v>
      </c>
      <c r="Z515" s="4">
        <v>19</v>
      </c>
      <c r="AA515" s="4">
        <v>21</v>
      </c>
      <c r="AB515" s="4">
        <v>1</v>
      </c>
      <c r="AC515" s="4">
        <v>2</v>
      </c>
      <c r="AD515" s="4">
        <v>82</v>
      </c>
      <c r="AE515" s="4">
        <v>85</v>
      </c>
      <c r="AF515" s="4">
        <v>0</v>
      </c>
      <c r="AG515" s="4">
        <v>1</v>
      </c>
      <c r="AH515" s="4">
        <v>71</v>
      </c>
      <c r="AI515" s="4">
        <v>73</v>
      </c>
      <c r="AJ515" s="4">
        <v>12</v>
      </c>
      <c r="AK515" s="4">
        <v>14</v>
      </c>
      <c r="AL515" s="4">
        <v>49</v>
      </c>
      <c r="AM515" s="4">
        <v>50</v>
      </c>
      <c r="AN515" s="4">
        <v>0</v>
      </c>
      <c r="AO515" s="4">
        <v>0</v>
      </c>
      <c r="AP515" s="4">
        <v>16</v>
      </c>
      <c r="AQ515" s="4">
        <v>17</v>
      </c>
      <c r="AR515" s="3" t="s">
        <v>64</v>
      </c>
      <c r="AS515" s="3" t="s">
        <v>64</v>
      </c>
      <c r="AT515" s="3" t="s">
        <v>64</v>
      </c>
      <c r="AV515" s="6" t="str">
        <f>HYPERLINK("http://mcgill.on.worldcat.org/oclc/23011450","Catalog Record")</f>
        <v>Catalog Record</v>
      </c>
      <c r="AW515" s="6" t="str">
        <f>HYPERLINK("http://www.worldcat.org/oclc/23011450","WorldCat Record")</f>
        <v>WorldCat Record</v>
      </c>
      <c r="AX515" s="3" t="s">
        <v>5271</v>
      </c>
      <c r="AY515" s="3" t="s">
        <v>5272</v>
      </c>
      <c r="AZ515" s="3" t="s">
        <v>5273</v>
      </c>
      <c r="BA515" s="3" t="s">
        <v>5273</v>
      </c>
      <c r="BB515" s="3" t="s">
        <v>5274</v>
      </c>
      <c r="BC515" s="3" t="s">
        <v>78</v>
      </c>
      <c r="BD515" s="3" t="s">
        <v>79</v>
      </c>
      <c r="BE515" s="3" t="s">
        <v>5275</v>
      </c>
      <c r="BF515" s="3" t="s">
        <v>5274</v>
      </c>
      <c r="BG515" s="3" t="s">
        <v>5276</v>
      </c>
    </row>
    <row r="516" spans="1:59" ht="72.5" x14ac:dyDescent="0.35">
      <c r="A516" s="2" t="s">
        <v>59</v>
      </c>
      <c r="B516" s="2" t="s">
        <v>94</v>
      </c>
      <c r="C516" s="2" t="s">
        <v>5277</v>
      </c>
      <c r="D516" s="2" t="s">
        <v>5278</v>
      </c>
      <c r="E516" s="2" t="s">
        <v>5279</v>
      </c>
      <c r="F516" s="3" t="s">
        <v>5280</v>
      </c>
      <c r="G516" s="3" t="s">
        <v>64</v>
      </c>
      <c r="I516" s="3" t="s">
        <v>64</v>
      </c>
      <c r="J516" s="3" t="s">
        <v>64</v>
      </c>
      <c r="K516" s="3" t="s">
        <v>65</v>
      </c>
      <c r="L516" s="2" t="s">
        <v>5281</v>
      </c>
      <c r="M516" s="2" t="s">
        <v>5282</v>
      </c>
      <c r="N516" s="3" t="s">
        <v>3563</v>
      </c>
      <c r="P516" s="3" t="s">
        <v>69</v>
      </c>
      <c r="Q516" s="2" t="s">
        <v>5283</v>
      </c>
      <c r="R516" s="3" t="s">
        <v>70</v>
      </c>
      <c r="S516" s="4">
        <v>23</v>
      </c>
      <c r="T516" s="4">
        <v>23</v>
      </c>
      <c r="U516" s="5" t="s">
        <v>5284</v>
      </c>
      <c r="V516" s="5" t="s">
        <v>5284</v>
      </c>
      <c r="W516" s="5" t="s">
        <v>72</v>
      </c>
      <c r="X516" s="5" t="s">
        <v>72</v>
      </c>
      <c r="Y516" s="4">
        <v>236</v>
      </c>
      <c r="Z516" s="4">
        <v>13</v>
      </c>
      <c r="AA516" s="4">
        <v>13</v>
      </c>
      <c r="AB516" s="4">
        <v>1</v>
      </c>
      <c r="AC516" s="4">
        <v>1</v>
      </c>
      <c r="AD516" s="4">
        <v>74</v>
      </c>
      <c r="AE516" s="4">
        <v>75</v>
      </c>
      <c r="AF516" s="4">
        <v>0</v>
      </c>
      <c r="AG516" s="4">
        <v>0</v>
      </c>
      <c r="AH516" s="4">
        <v>66</v>
      </c>
      <c r="AI516" s="4">
        <v>67</v>
      </c>
      <c r="AJ516" s="4">
        <v>9</v>
      </c>
      <c r="AK516" s="4">
        <v>9</v>
      </c>
      <c r="AL516" s="4">
        <v>44</v>
      </c>
      <c r="AM516" s="4">
        <v>45</v>
      </c>
      <c r="AN516" s="4">
        <v>5</v>
      </c>
      <c r="AO516" s="4">
        <v>5</v>
      </c>
      <c r="AP516" s="4">
        <v>11</v>
      </c>
      <c r="AQ516" s="4">
        <v>11</v>
      </c>
      <c r="AR516" s="3" t="s">
        <v>64</v>
      </c>
      <c r="AS516" s="3" t="s">
        <v>64</v>
      </c>
      <c r="AT516" s="3" t="s">
        <v>73</v>
      </c>
      <c r="AU516" s="6" t="str">
        <f>HYPERLINK("http://catalog.hathitrust.org/Record/101797212","HathiTrust Record")</f>
        <v>HathiTrust Record</v>
      </c>
      <c r="AV516" s="6" t="str">
        <f>HYPERLINK("http://mcgill.on.worldcat.org/oclc/59902977","Catalog Record")</f>
        <v>Catalog Record</v>
      </c>
      <c r="AW516" s="6" t="str">
        <f>HYPERLINK("http://www.worldcat.org/oclc/59902977","WorldCat Record")</f>
        <v>WorldCat Record</v>
      </c>
      <c r="AX516" s="3" t="s">
        <v>5285</v>
      </c>
      <c r="AY516" s="3" t="s">
        <v>5286</v>
      </c>
      <c r="AZ516" s="3" t="s">
        <v>5287</v>
      </c>
      <c r="BA516" s="3" t="s">
        <v>5287</v>
      </c>
      <c r="BB516" s="3" t="s">
        <v>5288</v>
      </c>
      <c r="BC516" s="3" t="s">
        <v>78</v>
      </c>
      <c r="BD516" s="3" t="s">
        <v>79</v>
      </c>
      <c r="BE516" s="3" t="s">
        <v>5289</v>
      </c>
      <c r="BF516" s="3" t="s">
        <v>5288</v>
      </c>
      <c r="BG516" s="3" t="s">
        <v>5290</v>
      </c>
    </row>
    <row r="517" spans="1:59" ht="72.5" x14ac:dyDescent="0.35">
      <c r="A517" s="2" t="s">
        <v>59</v>
      </c>
      <c r="B517" s="2" t="s">
        <v>94</v>
      </c>
      <c r="C517" s="2" t="s">
        <v>5291</v>
      </c>
      <c r="D517" s="2" t="s">
        <v>5292</v>
      </c>
      <c r="E517" s="2" t="s">
        <v>5293</v>
      </c>
      <c r="F517" s="3" t="s">
        <v>5294</v>
      </c>
      <c r="G517" s="3" t="s">
        <v>64</v>
      </c>
      <c r="I517" s="3" t="s">
        <v>64</v>
      </c>
      <c r="J517" s="3" t="s">
        <v>64</v>
      </c>
      <c r="K517" s="3" t="s">
        <v>65</v>
      </c>
      <c r="L517" s="2" t="s">
        <v>5295</v>
      </c>
      <c r="M517" s="2" t="s">
        <v>5296</v>
      </c>
      <c r="N517" s="3" t="s">
        <v>705</v>
      </c>
      <c r="P517" s="3" t="s">
        <v>69</v>
      </c>
      <c r="Q517" s="2" t="s">
        <v>5297</v>
      </c>
      <c r="R517" s="3" t="s">
        <v>70</v>
      </c>
      <c r="S517" s="4">
        <v>25</v>
      </c>
      <c r="T517" s="4">
        <v>25</v>
      </c>
      <c r="U517" s="5" t="s">
        <v>5298</v>
      </c>
      <c r="V517" s="5" t="s">
        <v>5298</v>
      </c>
      <c r="W517" s="5" t="s">
        <v>72</v>
      </c>
      <c r="X517" s="5" t="s">
        <v>72</v>
      </c>
      <c r="Y517" s="4">
        <v>288</v>
      </c>
      <c r="Z517" s="4">
        <v>18</v>
      </c>
      <c r="AA517" s="4">
        <v>23</v>
      </c>
      <c r="AB517" s="4">
        <v>2</v>
      </c>
      <c r="AC517" s="4">
        <v>6</v>
      </c>
      <c r="AD517" s="4">
        <v>94</v>
      </c>
      <c r="AE517" s="4">
        <v>98</v>
      </c>
      <c r="AF517" s="4">
        <v>1</v>
      </c>
      <c r="AG517" s="4">
        <v>2</v>
      </c>
      <c r="AH517" s="4">
        <v>83</v>
      </c>
      <c r="AI517" s="4">
        <v>87</v>
      </c>
      <c r="AJ517" s="4">
        <v>12</v>
      </c>
      <c r="AK517" s="4">
        <v>14</v>
      </c>
      <c r="AL517" s="4">
        <v>51</v>
      </c>
      <c r="AM517" s="4">
        <v>52</v>
      </c>
      <c r="AN517" s="4">
        <v>0</v>
      </c>
      <c r="AO517" s="4">
        <v>0</v>
      </c>
      <c r="AP517" s="4">
        <v>13</v>
      </c>
      <c r="AQ517" s="4">
        <v>15</v>
      </c>
      <c r="AR517" s="3" t="s">
        <v>64</v>
      </c>
      <c r="AS517" s="3" t="s">
        <v>64</v>
      </c>
      <c r="AT517" s="3" t="s">
        <v>64</v>
      </c>
      <c r="AV517" s="6" t="str">
        <f>HYPERLINK("http://mcgill.on.worldcat.org/oclc/36033566","Catalog Record")</f>
        <v>Catalog Record</v>
      </c>
      <c r="AW517" s="6" t="str">
        <f>HYPERLINK("http://www.worldcat.org/oclc/36033566","WorldCat Record")</f>
        <v>WorldCat Record</v>
      </c>
      <c r="AX517" s="3" t="s">
        <v>5299</v>
      </c>
      <c r="AY517" s="3" t="s">
        <v>5300</v>
      </c>
      <c r="AZ517" s="3" t="s">
        <v>5301</v>
      </c>
      <c r="BA517" s="3" t="s">
        <v>5301</v>
      </c>
      <c r="BB517" s="3" t="s">
        <v>5302</v>
      </c>
      <c r="BC517" s="3" t="s">
        <v>78</v>
      </c>
      <c r="BD517" s="3" t="s">
        <v>79</v>
      </c>
      <c r="BE517" s="3" t="s">
        <v>5303</v>
      </c>
      <c r="BF517" s="3" t="s">
        <v>5302</v>
      </c>
      <c r="BG517" s="3" t="s">
        <v>5304</v>
      </c>
    </row>
    <row r="518" spans="1:59" ht="72.5" x14ac:dyDescent="0.35">
      <c r="A518" s="2" t="s">
        <v>59</v>
      </c>
      <c r="B518" s="2" t="s">
        <v>94</v>
      </c>
      <c r="C518" s="2" t="s">
        <v>5305</v>
      </c>
      <c r="D518" s="2" t="s">
        <v>5306</v>
      </c>
      <c r="E518" s="2" t="s">
        <v>5307</v>
      </c>
      <c r="F518" s="3" t="s">
        <v>5308</v>
      </c>
      <c r="G518" s="3" t="s">
        <v>64</v>
      </c>
      <c r="I518" s="3" t="s">
        <v>64</v>
      </c>
      <c r="J518" s="3" t="s">
        <v>64</v>
      </c>
      <c r="K518" s="3" t="s">
        <v>65</v>
      </c>
      <c r="L518" s="2" t="s">
        <v>5309</v>
      </c>
      <c r="M518" s="2" t="s">
        <v>5310</v>
      </c>
      <c r="N518" s="3" t="s">
        <v>1530</v>
      </c>
      <c r="P518" s="3" t="s">
        <v>69</v>
      </c>
      <c r="Q518" s="2" t="s">
        <v>5311</v>
      </c>
      <c r="R518" s="3" t="s">
        <v>70</v>
      </c>
      <c r="S518" s="4">
        <v>8</v>
      </c>
      <c r="T518" s="4">
        <v>8</v>
      </c>
      <c r="U518" s="5" t="s">
        <v>5312</v>
      </c>
      <c r="V518" s="5" t="s">
        <v>5312</v>
      </c>
      <c r="W518" s="5" t="s">
        <v>72</v>
      </c>
      <c r="X518" s="5" t="s">
        <v>72</v>
      </c>
      <c r="Y518" s="4">
        <v>281</v>
      </c>
      <c r="Z518" s="4">
        <v>17</v>
      </c>
      <c r="AA518" s="4">
        <v>79</v>
      </c>
      <c r="AB518" s="4">
        <v>1</v>
      </c>
      <c r="AC518" s="4">
        <v>15</v>
      </c>
      <c r="AD518" s="4">
        <v>86</v>
      </c>
      <c r="AE518" s="4">
        <v>136</v>
      </c>
      <c r="AF518" s="4">
        <v>0</v>
      </c>
      <c r="AG518" s="4">
        <v>8</v>
      </c>
      <c r="AH518" s="4">
        <v>76</v>
      </c>
      <c r="AI518" s="4">
        <v>101</v>
      </c>
      <c r="AJ518" s="4">
        <v>11</v>
      </c>
      <c r="AK518" s="4">
        <v>24</v>
      </c>
      <c r="AL518" s="4">
        <v>47</v>
      </c>
      <c r="AM518" s="4">
        <v>56</v>
      </c>
      <c r="AN518" s="4">
        <v>0</v>
      </c>
      <c r="AO518" s="4">
        <v>0</v>
      </c>
      <c r="AP518" s="4">
        <v>12</v>
      </c>
      <c r="AQ518" s="4">
        <v>41</v>
      </c>
      <c r="AR518" s="3" t="s">
        <v>64</v>
      </c>
      <c r="AS518" s="3" t="s">
        <v>64</v>
      </c>
      <c r="AT518" s="3" t="s">
        <v>64</v>
      </c>
      <c r="AV518" s="6" t="str">
        <f>HYPERLINK("http://mcgill.on.worldcat.org/oclc/50275042","Catalog Record")</f>
        <v>Catalog Record</v>
      </c>
      <c r="AW518" s="6" t="str">
        <f>HYPERLINK("http://www.worldcat.org/oclc/50275042","WorldCat Record")</f>
        <v>WorldCat Record</v>
      </c>
      <c r="AX518" s="3" t="s">
        <v>5313</v>
      </c>
      <c r="AY518" s="3" t="s">
        <v>5314</v>
      </c>
      <c r="AZ518" s="3" t="s">
        <v>5315</v>
      </c>
      <c r="BA518" s="3" t="s">
        <v>5315</v>
      </c>
      <c r="BB518" s="3" t="s">
        <v>5316</v>
      </c>
      <c r="BC518" s="3" t="s">
        <v>78</v>
      </c>
      <c r="BD518" s="3" t="s">
        <v>79</v>
      </c>
      <c r="BE518" s="3" t="s">
        <v>5317</v>
      </c>
      <c r="BF518" s="3" t="s">
        <v>5316</v>
      </c>
      <c r="BG518" s="3" t="s">
        <v>5318</v>
      </c>
    </row>
    <row r="519" spans="1:59" ht="72.5" x14ac:dyDescent="0.35">
      <c r="A519" s="2" t="s">
        <v>59</v>
      </c>
      <c r="B519" s="2" t="s">
        <v>94</v>
      </c>
      <c r="C519" s="2" t="s">
        <v>5319</v>
      </c>
      <c r="D519" s="2" t="s">
        <v>5320</v>
      </c>
      <c r="E519" s="2" t="s">
        <v>5321</v>
      </c>
      <c r="F519" s="3" t="s">
        <v>5322</v>
      </c>
      <c r="G519" s="3" t="s">
        <v>64</v>
      </c>
      <c r="I519" s="3" t="s">
        <v>64</v>
      </c>
      <c r="J519" s="3" t="s">
        <v>64</v>
      </c>
      <c r="K519" s="3" t="s">
        <v>65</v>
      </c>
      <c r="L519" s="2" t="s">
        <v>5323</v>
      </c>
      <c r="M519" s="2" t="s">
        <v>5324</v>
      </c>
      <c r="N519" s="3" t="s">
        <v>1530</v>
      </c>
      <c r="P519" s="3" t="s">
        <v>69</v>
      </c>
      <c r="Q519" s="2" t="s">
        <v>5325</v>
      </c>
      <c r="R519" s="3" t="s">
        <v>70</v>
      </c>
      <c r="S519" s="4">
        <v>22</v>
      </c>
      <c r="T519" s="4">
        <v>22</v>
      </c>
      <c r="U519" s="5" t="s">
        <v>2795</v>
      </c>
      <c r="V519" s="5" t="s">
        <v>2795</v>
      </c>
      <c r="W519" s="5" t="s">
        <v>72</v>
      </c>
      <c r="X519" s="5" t="s">
        <v>72</v>
      </c>
      <c r="Y519" s="4">
        <v>311</v>
      </c>
      <c r="Z519" s="4">
        <v>16</v>
      </c>
      <c r="AA519" s="4">
        <v>18</v>
      </c>
      <c r="AB519" s="4">
        <v>1</v>
      </c>
      <c r="AC519" s="4">
        <v>3</v>
      </c>
      <c r="AD519" s="4">
        <v>89</v>
      </c>
      <c r="AE519" s="4">
        <v>90</v>
      </c>
      <c r="AF519" s="4">
        <v>0</v>
      </c>
      <c r="AG519" s="4">
        <v>0</v>
      </c>
      <c r="AH519" s="4">
        <v>80</v>
      </c>
      <c r="AI519" s="4">
        <v>81</v>
      </c>
      <c r="AJ519" s="4">
        <v>10</v>
      </c>
      <c r="AK519" s="4">
        <v>10</v>
      </c>
      <c r="AL519" s="4">
        <v>49</v>
      </c>
      <c r="AM519" s="4">
        <v>50</v>
      </c>
      <c r="AN519" s="4">
        <v>0</v>
      </c>
      <c r="AO519" s="4">
        <v>0</v>
      </c>
      <c r="AP519" s="4">
        <v>11</v>
      </c>
      <c r="AQ519" s="4">
        <v>11</v>
      </c>
      <c r="AR519" s="3" t="s">
        <v>64</v>
      </c>
      <c r="AS519" s="3" t="s">
        <v>64</v>
      </c>
      <c r="AT519" s="3" t="s">
        <v>64</v>
      </c>
      <c r="AV519" s="6" t="str">
        <f>HYPERLINK("http://mcgill.on.worldcat.org/oclc/50422151","Catalog Record")</f>
        <v>Catalog Record</v>
      </c>
      <c r="AW519" s="6" t="str">
        <f>HYPERLINK("http://www.worldcat.org/oclc/50422151","WorldCat Record")</f>
        <v>WorldCat Record</v>
      </c>
      <c r="AX519" s="3" t="s">
        <v>5326</v>
      </c>
      <c r="AY519" s="3" t="s">
        <v>5327</v>
      </c>
      <c r="AZ519" s="3" t="s">
        <v>5328</v>
      </c>
      <c r="BA519" s="3" t="s">
        <v>5328</v>
      </c>
      <c r="BB519" s="3" t="s">
        <v>5329</v>
      </c>
      <c r="BC519" s="3" t="s">
        <v>78</v>
      </c>
      <c r="BD519" s="3" t="s">
        <v>79</v>
      </c>
      <c r="BE519" s="3" t="s">
        <v>5330</v>
      </c>
      <c r="BF519" s="3" t="s">
        <v>5329</v>
      </c>
      <c r="BG519" s="3" t="s">
        <v>5331</v>
      </c>
    </row>
    <row r="520" spans="1:59" ht="72.5" x14ac:dyDescent="0.35">
      <c r="A520" s="2" t="s">
        <v>59</v>
      </c>
      <c r="B520" s="2" t="s">
        <v>94</v>
      </c>
      <c r="C520" s="2" t="s">
        <v>5332</v>
      </c>
      <c r="D520" s="2" t="s">
        <v>5333</v>
      </c>
      <c r="E520" s="2" t="s">
        <v>5334</v>
      </c>
      <c r="F520" s="3" t="s">
        <v>5335</v>
      </c>
      <c r="G520" s="3" t="s">
        <v>64</v>
      </c>
      <c r="I520" s="3" t="s">
        <v>64</v>
      </c>
      <c r="J520" s="3" t="s">
        <v>64</v>
      </c>
      <c r="K520" s="3" t="s">
        <v>65</v>
      </c>
      <c r="L520" s="2" t="s">
        <v>5336</v>
      </c>
      <c r="M520" s="2" t="s">
        <v>5337</v>
      </c>
      <c r="N520" s="3" t="s">
        <v>1530</v>
      </c>
      <c r="P520" s="3" t="s">
        <v>69</v>
      </c>
      <c r="Q520" s="2" t="s">
        <v>5338</v>
      </c>
      <c r="R520" s="3" t="s">
        <v>70</v>
      </c>
      <c r="S520" s="4">
        <v>8</v>
      </c>
      <c r="T520" s="4">
        <v>8</v>
      </c>
      <c r="U520" s="5" t="s">
        <v>5339</v>
      </c>
      <c r="V520" s="5" t="s">
        <v>5339</v>
      </c>
      <c r="W520" s="5" t="s">
        <v>72</v>
      </c>
      <c r="X520" s="5" t="s">
        <v>72</v>
      </c>
      <c r="Y520" s="4">
        <v>300</v>
      </c>
      <c r="Z520" s="4">
        <v>21</v>
      </c>
      <c r="AA520" s="4">
        <v>25</v>
      </c>
      <c r="AB520" s="4">
        <v>2</v>
      </c>
      <c r="AC520" s="4">
        <v>6</v>
      </c>
      <c r="AD520" s="4">
        <v>97</v>
      </c>
      <c r="AE520" s="4">
        <v>101</v>
      </c>
      <c r="AF520" s="4">
        <v>1</v>
      </c>
      <c r="AG520" s="4">
        <v>2</v>
      </c>
      <c r="AH520" s="4">
        <v>84</v>
      </c>
      <c r="AI520" s="4">
        <v>87</v>
      </c>
      <c r="AJ520" s="4">
        <v>15</v>
      </c>
      <c r="AK520" s="4">
        <v>16</v>
      </c>
      <c r="AL520" s="4">
        <v>51</v>
      </c>
      <c r="AM520" s="4">
        <v>52</v>
      </c>
      <c r="AN520" s="4">
        <v>0</v>
      </c>
      <c r="AO520" s="4">
        <v>0</v>
      </c>
      <c r="AP520" s="4">
        <v>16</v>
      </c>
      <c r="AQ520" s="4">
        <v>17</v>
      </c>
      <c r="AR520" s="3" t="s">
        <v>64</v>
      </c>
      <c r="AS520" s="3" t="s">
        <v>64</v>
      </c>
      <c r="AT520" s="3" t="s">
        <v>64</v>
      </c>
      <c r="AV520" s="6" t="str">
        <f>HYPERLINK("http://mcgill.on.worldcat.org/oclc/48931530","Catalog Record")</f>
        <v>Catalog Record</v>
      </c>
      <c r="AW520" s="6" t="str">
        <f>HYPERLINK("http://www.worldcat.org/oclc/48931530","WorldCat Record")</f>
        <v>WorldCat Record</v>
      </c>
      <c r="AX520" s="3" t="s">
        <v>5340</v>
      </c>
      <c r="AY520" s="3" t="s">
        <v>5341</v>
      </c>
      <c r="AZ520" s="3" t="s">
        <v>5342</v>
      </c>
      <c r="BA520" s="3" t="s">
        <v>5342</v>
      </c>
      <c r="BB520" s="3" t="s">
        <v>5343</v>
      </c>
      <c r="BC520" s="3" t="s">
        <v>78</v>
      </c>
      <c r="BD520" s="3" t="s">
        <v>79</v>
      </c>
      <c r="BE520" s="3" t="s">
        <v>5344</v>
      </c>
      <c r="BF520" s="3" t="s">
        <v>5343</v>
      </c>
      <c r="BG520" s="3" t="s">
        <v>5345</v>
      </c>
    </row>
    <row r="521" spans="1:59" ht="72.5" x14ac:dyDescent="0.35">
      <c r="A521" s="2" t="s">
        <v>59</v>
      </c>
      <c r="B521" s="2" t="s">
        <v>94</v>
      </c>
      <c r="C521" s="2" t="s">
        <v>5346</v>
      </c>
      <c r="D521" s="2" t="s">
        <v>5347</v>
      </c>
      <c r="E521" s="2" t="s">
        <v>5348</v>
      </c>
      <c r="F521" s="3" t="s">
        <v>5349</v>
      </c>
      <c r="G521" s="3" t="s">
        <v>64</v>
      </c>
      <c r="I521" s="3" t="s">
        <v>64</v>
      </c>
      <c r="J521" s="3" t="s">
        <v>64</v>
      </c>
      <c r="K521" s="3" t="s">
        <v>65</v>
      </c>
      <c r="L521" s="2" t="s">
        <v>5350</v>
      </c>
      <c r="M521" s="2" t="s">
        <v>5351</v>
      </c>
      <c r="N521" s="3" t="s">
        <v>1530</v>
      </c>
      <c r="P521" s="3" t="s">
        <v>69</v>
      </c>
      <c r="Q521" s="2" t="s">
        <v>5352</v>
      </c>
      <c r="R521" s="3" t="s">
        <v>70</v>
      </c>
      <c r="S521" s="4">
        <v>6</v>
      </c>
      <c r="T521" s="4">
        <v>6</v>
      </c>
      <c r="U521" s="5" t="s">
        <v>5353</v>
      </c>
      <c r="V521" s="5" t="s">
        <v>5353</v>
      </c>
      <c r="W521" s="5" t="s">
        <v>72</v>
      </c>
      <c r="X521" s="5" t="s">
        <v>72</v>
      </c>
      <c r="Y521" s="4">
        <v>307</v>
      </c>
      <c r="Z521" s="4">
        <v>20</v>
      </c>
      <c r="AA521" s="4">
        <v>24</v>
      </c>
      <c r="AB521" s="4">
        <v>1</v>
      </c>
      <c r="AC521" s="4">
        <v>5</v>
      </c>
      <c r="AD521" s="4">
        <v>99</v>
      </c>
      <c r="AE521" s="4">
        <v>101</v>
      </c>
      <c r="AF521" s="4">
        <v>0</v>
      </c>
      <c r="AG521" s="4">
        <v>1</v>
      </c>
      <c r="AH521" s="4">
        <v>86</v>
      </c>
      <c r="AI521" s="4">
        <v>87</v>
      </c>
      <c r="AJ521" s="4">
        <v>12</v>
      </c>
      <c r="AK521" s="4">
        <v>13</v>
      </c>
      <c r="AL521" s="4">
        <v>52</v>
      </c>
      <c r="AM521" s="4">
        <v>52</v>
      </c>
      <c r="AN521" s="4">
        <v>0</v>
      </c>
      <c r="AO521" s="4">
        <v>0</v>
      </c>
      <c r="AP521" s="4">
        <v>15</v>
      </c>
      <c r="AQ521" s="4">
        <v>16</v>
      </c>
      <c r="AR521" s="3" t="s">
        <v>64</v>
      </c>
      <c r="AS521" s="3" t="s">
        <v>64</v>
      </c>
      <c r="AT521" s="3" t="s">
        <v>64</v>
      </c>
      <c r="AV521" s="6" t="str">
        <f>HYPERLINK("http://mcgill.on.worldcat.org/oclc/51199170","Catalog Record")</f>
        <v>Catalog Record</v>
      </c>
      <c r="AW521" s="6" t="str">
        <f>HYPERLINK("http://www.worldcat.org/oclc/51199170","WorldCat Record")</f>
        <v>WorldCat Record</v>
      </c>
      <c r="AX521" s="3" t="s">
        <v>5354</v>
      </c>
      <c r="AY521" s="3" t="s">
        <v>5355</v>
      </c>
      <c r="AZ521" s="3" t="s">
        <v>5356</v>
      </c>
      <c r="BA521" s="3" t="s">
        <v>5356</v>
      </c>
      <c r="BB521" s="3" t="s">
        <v>5357</v>
      </c>
      <c r="BC521" s="3" t="s">
        <v>78</v>
      </c>
      <c r="BD521" s="3" t="s">
        <v>79</v>
      </c>
      <c r="BE521" s="3" t="s">
        <v>5358</v>
      </c>
      <c r="BF521" s="3" t="s">
        <v>5357</v>
      </c>
      <c r="BG521" s="3" t="s">
        <v>5359</v>
      </c>
    </row>
    <row r="522" spans="1:59" ht="72.5" x14ac:dyDescent="0.35">
      <c r="A522" s="2" t="s">
        <v>59</v>
      </c>
      <c r="B522" s="2" t="s">
        <v>94</v>
      </c>
      <c r="C522" s="2" t="s">
        <v>5360</v>
      </c>
      <c r="D522" s="2" t="s">
        <v>5361</v>
      </c>
      <c r="E522" s="2" t="s">
        <v>5362</v>
      </c>
      <c r="F522" s="3" t="s">
        <v>5363</v>
      </c>
      <c r="G522" s="3" t="s">
        <v>64</v>
      </c>
      <c r="I522" s="3" t="s">
        <v>64</v>
      </c>
      <c r="J522" s="3" t="s">
        <v>64</v>
      </c>
      <c r="K522" s="3" t="s">
        <v>65</v>
      </c>
      <c r="L522" s="2" t="s">
        <v>5364</v>
      </c>
      <c r="M522" s="2" t="s">
        <v>5365</v>
      </c>
      <c r="N522" s="3" t="s">
        <v>651</v>
      </c>
      <c r="P522" s="3" t="s">
        <v>69</v>
      </c>
      <c r="Q522" s="2" t="s">
        <v>5366</v>
      </c>
      <c r="R522" s="3" t="s">
        <v>70</v>
      </c>
      <c r="S522" s="4">
        <v>8</v>
      </c>
      <c r="T522" s="4">
        <v>8</v>
      </c>
      <c r="U522" s="5" t="s">
        <v>5367</v>
      </c>
      <c r="V522" s="5" t="s">
        <v>5367</v>
      </c>
      <c r="W522" s="5" t="s">
        <v>72</v>
      </c>
      <c r="X522" s="5" t="s">
        <v>72</v>
      </c>
      <c r="Y522" s="4">
        <v>251</v>
      </c>
      <c r="Z522" s="4">
        <v>11</v>
      </c>
      <c r="AA522" s="4">
        <v>78</v>
      </c>
      <c r="AB522" s="4">
        <v>1</v>
      </c>
      <c r="AC522" s="4">
        <v>14</v>
      </c>
      <c r="AD522" s="4">
        <v>60</v>
      </c>
      <c r="AE522" s="4">
        <v>122</v>
      </c>
      <c r="AF522" s="4">
        <v>0</v>
      </c>
      <c r="AG522" s="4">
        <v>8</v>
      </c>
      <c r="AH522" s="4">
        <v>55</v>
      </c>
      <c r="AI522" s="4">
        <v>88</v>
      </c>
      <c r="AJ522" s="4">
        <v>9</v>
      </c>
      <c r="AK522" s="4">
        <v>23</v>
      </c>
      <c r="AL522" s="4">
        <v>33</v>
      </c>
      <c r="AM522" s="4">
        <v>44</v>
      </c>
      <c r="AN522" s="4">
        <v>0</v>
      </c>
      <c r="AO522" s="4">
        <v>0</v>
      </c>
      <c r="AP522" s="4">
        <v>8</v>
      </c>
      <c r="AQ522" s="4">
        <v>43</v>
      </c>
      <c r="AR522" s="3" t="s">
        <v>64</v>
      </c>
      <c r="AS522" s="3" t="s">
        <v>64</v>
      </c>
      <c r="AT522" s="3" t="s">
        <v>64</v>
      </c>
      <c r="AV522" s="6" t="str">
        <f>HYPERLINK("http://mcgill.on.worldcat.org/oclc/52437786","Catalog Record")</f>
        <v>Catalog Record</v>
      </c>
      <c r="AW522" s="6" t="str">
        <f>HYPERLINK("http://www.worldcat.org/oclc/52437786","WorldCat Record")</f>
        <v>WorldCat Record</v>
      </c>
      <c r="AX522" s="3" t="s">
        <v>5368</v>
      </c>
      <c r="AY522" s="3" t="s">
        <v>5369</v>
      </c>
      <c r="AZ522" s="3" t="s">
        <v>5370</v>
      </c>
      <c r="BA522" s="3" t="s">
        <v>5370</v>
      </c>
      <c r="BB522" s="3" t="s">
        <v>5371</v>
      </c>
      <c r="BC522" s="3" t="s">
        <v>78</v>
      </c>
      <c r="BD522" s="3" t="s">
        <v>79</v>
      </c>
      <c r="BE522" s="3" t="s">
        <v>5372</v>
      </c>
      <c r="BF522" s="3" t="s">
        <v>5371</v>
      </c>
      <c r="BG522" s="3" t="s">
        <v>5373</v>
      </c>
    </row>
    <row r="523" spans="1:59" ht="72.5" x14ac:dyDescent="0.35">
      <c r="A523" s="2" t="s">
        <v>59</v>
      </c>
      <c r="B523" s="2" t="s">
        <v>94</v>
      </c>
      <c r="C523" s="2" t="s">
        <v>5374</v>
      </c>
      <c r="D523" s="2" t="s">
        <v>5375</v>
      </c>
      <c r="E523" s="2" t="s">
        <v>5376</v>
      </c>
      <c r="F523" s="3" t="s">
        <v>5377</v>
      </c>
      <c r="G523" s="3" t="s">
        <v>64</v>
      </c>
      <c r="I523" s="3" t="s">
        <v>64</v>
      </c>
      <c r="J523" s="3" t="s">
        <v>64</v>
      </c>
      <c r="K523" s="3" t="s">
        <v>65</v>
      </c>
      <c r="L523" s="2" t="s">
        <v>5378</v>
      </c>
      <c r="M523" s="2" t="s">
        <v>5379</v>
      </c>
      <c r="N523" s="3" t="s">
        <v>861</v>
      </c>
      <c r="P523" s="3" t="s">
        <v>69</v>
      </c>
      <c r="Q523" s="2" t="s">
        <v>5380</v>
      </c>
      <c r="R523" s="3" t="s">
        <v>70</v>
      </c>
      <c r="S523" s="4">
        <v>23</v>
      </c>
      <c r="T523" s="4">
        <v>23</v>
      </c>
      <c r="U523" s="5" t="s">
        <v>5381</v>
      </c>
      <c r="V523" s="5" t="s">
        <v>5381</v>
      </c>
      <c r="W523" s="5" t="s">
        <v>72</v>
      </c>
      <c r="X523" s="5" t="s">
        <v>72</v>
      </c>
      <c r="Y523" s="4">
        <v>239</v>
      </c>
      <c r="Z523" s="4">
        <v>14</v>
      </c>
      <c r="AA523" s="4">
        <v>22</v>
      </c>
      <c r="AB523" s="4">
        <v>1</v>
      </c>
      <c r="AC523" s="4">
        <v>4</v>
      </c>
      <c r="AD523" s="4">
        <v>71</v>
      </c>
      <c r="AE523" s="4">
        <v>83</v>
      </c>
      <c r="AF523" s="4">
        <v>0</v>
      </c>
      <c r="AG523" s="4">
        <v>1</v>
      </c>
      <c r="AH523" s="4">
        <v>64</v>
      </c>
      <c r="AI523" s="4">
        <v>74</v>
      </c>
      <c r="AJ523" s="4">
        <v>8</v>
      </c>
      <c r="AK523" s="4">
        <v>13</v>
      </c>
      <c r="AL523" s="4">
        <v>38</v>
      </c>
      <c r="AM523" s="4">
        <v>42</v>
      </c>
      <c r="AN523" s="4">
        <v>0</v>
      </c>
      <c r="AO523" s="4">
        <v>0</v>
      </c>
      <c r="AP523" s="4">
        <v>9</v>
      </c>
      <c r="AQ523" s="4">
        <v>15</v>
      </c>
      <c r="AR523" s="3" t="s">
        <v>64</v>
      </c>
      <c r="AS523" s="3" t="s">
        <v>64</v>
      </c>
      <c r="AT523" s="3" t="s">
        <v>64</v>
      </c>
      <c r="AV523" s="6" t="str">
        <f>HYPERLINK("http://mcgill.on.worldcat.org/oclc/55218622","Catalog Record")</f>
        <v>Catalog Record</v>
      </c>
      <c r="AW523" s="6" t="str">
        <f>HYPERLINK("http://www.worldcat.org/oclc/55218622","WorldCat Record")</f>
        <v>WorldCat Record</v>
      </c>
      <c r="AX523" s="3" t="s">
        <v>5382</v>
      </c>
      <c r="AY523" s="3" t="s">
        <v>5383</v>
      </c>
      <c r="AZ523" s="3" t="s">
        <v>5384</v>
      </c>
      <c r="BA523" s="3" t="s">
        <v>5384</v>
      </c>
      <c r="BB523" s="3" t="s">
        <v>5385</v>
      </c>
      <c r="BC523" s="3" t="s">
        <v>78</v>
      </c>
      <c r="BD523" s="3" t="s">
        <v>79</v>
      </c>
      <c r="BE523" s="3" t="s">
        <v>5386</v>
      </c>
      <c r="BF523" s="3" t="s">
        <v>5385</v>
      </c>
      <c r="BG523" s="3" t="s">
        <v>5387</v>
      </c>
    </row>
    <row r="524" spans="1:59" ht="72.5" x14ac:dyDescent="0.35">
      <c r="A524" s="2" t="s">
        <v>59</v>
      </c>
      <c r="B524" s="2" t="s">
        <v>94</v>
      </c>
      <c r="C524" s="2" t="s">
        <v>5388</v>
      </c>
      <c r="D524" s="2" t="s">
        <v>5389</v>
      </c>
      <c r="E524" s="2" t="s">
        <v>5390</v>
      </c>
      <c r="F524" s="3" t="s">
        <v>5391</v>
      </c>
      <c r="G524" s="3" t="s">
        <v>64</v>
      </c>
      <c r="I524" s="3" t="s">
        <v>64</v>
      </c>
      <c r="J524" s="3" t="s">
        <v>64</v>
      </c>
      <c r="K524" s="3" t="s">
        <v>65</v>
      </c>
      <c r="L524" s="2" t="s">
        <v>5392</v>
      </c>
      <c r="M524" s="2" t="s">
        <v>5393</v>
      </c>
      <c r="N524" s="3" t="s">
        <v>68</v>
      </c>
      <c r="P524" s="3" t="s">
        <v>69</v>
      </c>
      <c r="Q524" s="2" t="s">
        <v>5394</v>
      </c>
      <c r="R524" s="3" t="s">
        <v>70</v>
      </c>
      <c r="S524" s="4">
        <v>3</v>
      </c>
      <c r="T524" s="4">
        <v>3</v>
      </c>
      <c r="U524" s="5" t="s">
        <v>5353</v>
      </c>
      <c r="V524" s="5" t="s">
        <v>5353</v>
      </c>
      <c r="W524" s="5" t="s">
        <v>72</v>
      </c>
      <c r="X524" s="5" t="s">
        <v>72</v>
      </c>
      <c r="Y524" s="4">
        <v>233</v>
      </c>
      <c r="Z524" s="4">
        <v>15</v>
      </c>
      <c r="AA524" s="4">
        <v>19</v>
      </c>
      <c r="AB524" s="4">
        <v>1</v>
      </c>
      <c r="AC524" s="4">
        <v>4</v>
      </c>
      <c r="AD524" s="4">
        <v>73</v>
      </c>
      <c r="AE524" s="4">
        <v>78</v>
      </c>
      <c r="AF524" s="4">
        <v>0</v>
      </c>
      <c r="AG524" s="4">
        <v>1</v>
      </c>
      <c r="AH524" s="4">
        <v>63</v>
      </c>
      <c r="AI524" s="4">
        <v>68</v>
      </c>
      <c r="AJ524" s="4">
        <v>8</v>
      </c>
      <c r="AK524" s="4">
        <v>10</v>
      </c>
      <c r="AL524" s="4">
        <v>42</v>
      </c>
      <c r="AM524" s="4">
        <v>45</v>
      </c>
      <c r="AN524" s="4">
        <v>0</v>
      </c>
      <c r="AO524" s="4">
        <v>0</v>
      </c>
      <c r="AP524" s="4">
        <v>10</v>
      </c>
      <c r="AQ524" s="4">
        <v>12</v>
      </c>
      <c r="AR524" s="3" t="s">
        <v>64</v>
      </c>
      <c r="AS524" s="3" t="s">
        <v>64</v>
      </c>
      <c r="AT524" s="3" t="s">
        <v>64</v>
      </c>
      <c r="AV524" s="6" t="str">
        <f>HYPERLINK("http://mcgill.on.worldcat.org/oclc/67617495","Catalog Record")</f>
        <v>Catalog Record</v>
      </c>
      <c r="AW524" s="6" t="str">
        <f>HYPERLINK("http://www.worldcat.org/oclc/67617495","WorldCat Record")</f>
        <v>WorldCat Record</v>
      </c>
      <c r="AX524" s="3" t="s">
        <v>5395</v>
      </c>
      <c r="AY524" s="3" t="s">
        <v>5396</v>
      </c>
      <c r="AZ524" s="3" t="s">
        <v>5397</v>
      </c>
      <c r="BA524" s="3" t="s">
        <v>5397</v>
      </c>
      <c r="BB524" s="3" t="s">
        <v>5398</v>
      </c>
      <c r="BC524" s="3" t="s">
        <v>78</v>
      </c>
      <c r="BD524" s="3" t="s">
        <v>79</v>
      </c>
      <c r="BE524" s="3" t="s">
        <v>5399</v>
      </c>
      <c r="BF524" s="3" t="s">
        <v>5398</v>
      </c>
      <c r="BG524" s="3" t="s">
        <v>5400</v>
      </c>
    </row>
    <row r="525" spans="1:59" ht="72.5" x14ac:dyDescent="0.35">
      <c r="A525" s="2" t="s">
        <v>59</v>
      </c>
      <c r="B525" s="2" t="s">
        <v>94</v>
      </c>
      <c r="C525" s="2" t="s">
        <v>5401</v>
      </c>
      <c r="D525" s="2" t="s">
        <v>5402</v>
      </c>
      <c r="E525" s="2" t="s">
        <v>5403</v>
      </c>
      <c r="F525" s="3" t="s">
        <v>5404</v>
      </c>
      <c r="G525" s="3" t="s">
        <v>64</v>
      </c>
      <c r="I525" s="3" t="s">
        <v>64</v>
      </c>
      <c r="J525" s="3" t="s">
        <v>64</v>
      </c>
      <c r="K525" s="3" t="s">
        <v>65</v>
      </c>
      <c r="L525" s="2" t="s">
        <v>5405</v>
      </c>
      <c r="M525" s="2" t="s">
        <v>5406</v>
      </c>
      <c r="N525" s="3" t="s">
        <v>68</v>
      </c>
      <c r="P525" s="3" t="s">
        <v>69</v>
      </c>
      <c r="Q525" s="2" t="s">
        <v>5407</v>
      </c>
      <c r="R525" s="3" t="s">
        <v>70</v>
      </c>
      <c r="S525" s="4">
        <v>6</v>
      </c>
      <c r="T525" s="4">
        <v>6</v>
      </c>
      <c r="U525" s="5" t="s">
        <v>5408</v>
      </c>
      <c r="V525" s="5" t="s">
        <v>5408</v>
      </c>
      <c r="W525" s="5" t="s">
        <v>72</v>
      </c>
      <c r="X525" s="5" t="s">
        <v>72</v>
      </c>
      <c r="Y525" s="4">
        <v>242</v>
      </c>
      <c r="Z525" s="4">
        <v>12</v>
      </c>
      <c r="AA525" s="4">
        <v>13</v>
      </c>
      <c r="AB525" s="4">
        <v>1</v>
      </c>
      <c r="AC525" s="4">
        <v>2</v>
      </c>
      <c r="AD525" s="4">
        <v>75</v>
      </c>
      <c r="AE525" s="4">
        <v>79</v>
      </c>
      <c r="AF525" s="4">
        <v>0</v>
      </c>
      <c r="AG525" s="4">
        <v>1</v>
      </c>
      <c r="AH525" s="4">
        <v>70</v>
      </c>
      <c r="AI525" s="4">
        <v>74</v>
      </c>
      <c r="AJ525" s="4">
        <v>8</v>
      </c>
      <c r="AK525" s="4">
        <v>9</v>
      </c>
      <c r="AL525" s="4">
        <v>42</v>
      </c>
      <c r="AM525" s="4">
        <v>45</v>
      </c>
      <c r="AN525" s="4">
        <v>0</v>
      </c>
      <c r="AO525" s="4">
        <v>0</v>
      </c>
      <c r="AP525" s="4">
        <v>7</v>
      </c>
      <c r="AQ525" s="4">
        <v>8</v>
      </c>
      <c r="AR525" s="3" t="s">
        <v>64</v>
      </c>
      <c r="AS525" s="3" t="s">
        <v>64</v>
      </c>
      <c r="AT525" s="3" t="s">
        <v>64</v>
      </c>
      <c r="AV525" s="6" t="str">
        <f>HYPERLINK("http://mcgill.on.worldcat.org/oclc/70214045","Catalog Record")</f>
        <v>Catalog Record</v>
      </c>
      <c r="AW525" s="6" t="str">
        <f>HYPERLINK("http://www.worldcat.org/oclc/70214045","WorldCat Record")</f>
        <v>WorldCat Record</v>
      </c>
      <c r="AX525" s="3" t="s">
        <v>5409</v>
      </c>
      <c r="AY525" s="3" t="s">
        <v>5410</v>
      </c>
      <c r="AZ525" s="3" t="s">
        <v>5411</v>
      </c>
      <c r="BA525" s="3" t="s">
        <v>5411</v>
      </c>
      <c r="BB525" s="3" t="s">
        <v>5412</v>
      </c>
      <c r="BC525" s="3" t="s">
        <v>78</v>
      </c>
      <c r="BD525" s="3" t="s">
        <v>79</v>
      </c>
      <c r="BE525" s="3" t="s">
        <v>5413</v>
      </c>
      <c r="BF525" s="3" t="s">
        <v>5412</v>
      </c>
      <c r="BG525" s="3" t="s">
        <v>5414</v>
      </c>
    </row>
    <row r="526" spans="1:59" ht="72.5" x14ac:dyDescent="0.35">
      <c r="A526" s="2" t="s">
        <v>59</v>
      </c>
      <c r="B526" s="2" t="s">
        <v>94</v>
      </c>
      <c r="C526" s="2" t="s">
        <v>5415</v>
      </c>
      <c r="D526" s="2" t="s">
        <v>5416</v>
      </c>
      <c r="E526" s="2" t="s">
        <v>5417</v>
      </c>
      <c r="F526" s="3" t="s">
        <v>5418</v>
      </c>
      <c r="G526" s="3" t="s">
        <v>64</v>
      </c>
      <c r="I526" s="3" t="s">
        <v>64</v>
      </c>
      <c r="J526" s="3" t="s">
        <v>64</v>
      </c>
      <c r="K526" s="3" t="s">
        <v>65</v>
      </c>
      <c r="L526" s="2" t="s">
        <v>5419</v>
      </c>
      <c r="M526" s="2" t="s">
        <v>5393</v>
      </c>
      <c r="N526" s="3" t="s">
        <v>68</v>
      </c>
      <c r="P526" s="3" t="s">
        <v>69</v>
      </c>
      <c r="Q526" s="2" t="s">
        <v>5420</v>
      </c>
      <c r="R526" s="3" t="s">
        <v>70</v>
      </c>
      <c r="S526" s="4">
        <v>4</v>
      </c>
      <c r="T526" s="4">
        <v>4</v>
      </c>
      <c r="U526" s="5" t="s">
        <v>190</v>
      </c>
      <c r="V526" s="5" t="s">
        <v>190</v>
      </c>
      <c r="W526" s="5" t="s">
        <v>4195</v>
      </c>
      <c r="X526" s="5" t="s">
        <v>4195</v>
      </c>
      <c r="Y526" s="4">
        <v>225</v>
      </c>
      <c r="Z526" s="4">
        <v>14</v>
      </c>
      <c r="AA526" s="4">
        <v>21</v>
      </c>
      <c r="AB526" s="4">
        <v>1</v>
      </c>
      <c r="AC526" s="4">
        <v>6</v>
      </c>
      <c r="AD526" s="4">
        <v>62</v>
      </c>
      <c r="AE526" s="4">
        <v>70</v>
      </c>
      <c r="AF526" s="4">
        <v>0</v>
      </c>
      <c r="AG526" s="4">
        <v>1</v>
      </c>
      <c r="AH526" s="4">
        <v>53</v>
      </c>
      <c r="AI526" s="4">
        <v>60</v>
      </c>
      <c r="AJ526" s="4">
        <v>7</v>
      </c>
      <c r="AK526" s="4">
        <v>10</v>
      </c>
      <c r="AL526" s="4">
        <v>35</v>
      </c>
      <c r="AM526" s="4">
        <v>39</v>
      </c>
      <c r="AN526" s="4">
        <v>0</v>
      </c>
      <c r="AO526" s="4">
        <v>0</v>
      </c>
      <c r="AP526" s="4">
        <v>8</v>
      </c>
      <c r="AQ526" s="4">
        <v>11</v>
      </c>
      <c r="AR526" s="3" t="s">
        <v>64</v>
      </c>
      <c r="AS526" s="3" t="s">
        <v>64</v>
      </c>
      <c r="AT526" s="3" t="s">
        <v>64</v>
      </c>
      <c r="AV526" s="6" t="str">
        <f>HYPERLINK("http://mcgill.on.worldcat.org/oclc/74329984","Catalog Record")</f>
        <v>Catalog Record</v>
      </c>
      <c r="AW526" s="6" t="str">
        <f>HYPERLINK("http://www.worldcat.org/oclc/74329984","WorldCat Record")</f>
        <v>WorldCat Record</v>
      </c>
      <c r="AX526" s="3" t="s">
        <v>5421</v>
      </c>
      <c r="AY526" s="3" t="s">
        <v>5422</v>
      </c>
      <c r="AZ526" s="3" t="s">
        <v>5423</v>
      </c>
      <c r="BA526" s="3" t="s">
        <v>5423</v>
      </c>
      <c r="BB526" s="3" t="s">
        <v>5424</v>
      </c>
      <c r="BC526" s="3" t="s">
        <v>78</v>
      </c>
      <c r="BD526" s="3" t="s">
        <v>79</v>
      </c>
      <c r="BE526" s="3" t="s">
        <v>5425</v>
      </c>
      <c r="BF526" s="3" t="s">
        <v>5424</v>
      </c>
      <c r="BG526" s="3" t="s">
        <v>5426</v>
      </c>
    </row>
    <row r="527" spans="1:59" ht="72.5" x14ac:dyDescent="0.35">
      <c r="A527" s="2" t="s">
        <v>59</v>
      </c>
      <c r="B527" s="2" t="s">
        <v>94</v>
      </c>
      <c r="C527" s="2" t="s">
        <v>5427</v>
      </c>
      <c r="D527" s="2" t="s">
        <v>5428</v>
      </c>
      <c r="E527" s="2" t="s">
        <v>5429</v>
      </c>
      <c r="F527" s="3" t="s">
        <v>5430</v>
      </c>
      <c r="G527" s="3" t="s">
        <v>64</v>
      </c>
      <c r="I527" s="3" t="s">
        <v>64</v>
      </c>
      <c r="J527" s="3" t="s">
        <v>64</v>
      </c>
      <c r="K527" s="3" t="s">
        <v>65</v>
      </c>
      <c r="L527" s="2" t="s">
        <v>5295</v>
      </c>
      <c r="M527" s="2" t="s">
        <v>5431</v>
      </c>
      <c r="N527" s="3" t="s">
        <v>486</v>
      </c>
      <c r="P527" s="3" t="s">
        <v>69</v>
      </c>
      <c r="Q527" s="2" t="s">
        <v>5432</v>
      </c>
      <c r="R527" s="3" t="s">
        <v>70</v>
      </c>
      <c r="S527" s="4">
        <v>2</v>
      </c>
      <c r="T527" s="4">
        <v>2</v>
      </c>
      <c r="U527" s="5" t="s">
        <v>5433</v>
      </c>
      <c r="V527" s="5" t="s">
        <v>5433</v>
      </c>
      <c r="W527" s="5" t="s">
        <v>72</v>
      </c>
      <c r="X527" s="5" t="s">
        <v>72</v>
      </c>
      <c r="Y527" s="4">
        <v>246</v>
      </c>
      <c r="Z527" s="4">
        <v>18</v>
      </c>
      <c r="AA527" s="4">
        <v>21</v>
      </c>
      <c r="AB527" s="4">
        <v>1</v>
      </c>
      <c r="AC527" s="4">
        <v>2</v>
      </c>
      <c r="AD527" s="4">
        <v>81</v>
      </c>
      <c r="AE527" s="4">
        <v>84</v>
      </c>
      <c r="AF527" s="4">
        <v>0</v>
      </c>
      <c r="AG527" s="4">
        <v>1</v>
      </c>
      <c r="AH527" s="4">
        <v>68</v>
      </c>
      <c r="AI527" s="4">
        <v>71</v>
      </c>
      <c r="AJ527" s="4">
        <v>10</v>
      </c>
      <c r="AK527" s="4">
        <v>12</v>
      </c>
      <c r="AL527" s="4">
        <v>46</v>
      </c>
      <c r="AM527" s="4">
        <v>48</v>
      </c>
      <c r="AN527" s="4">
        <v>0</v>
      </c>
      <c r="AO527" s="4">
        <v>0</v>
      </c>
      <c r="AP527" s="4">
        <v>15</v>
      </c>
      <c r="AQ527" s="4">
        <v>17</v>
      </c>
      <c r="AR527" s="3" t="s">
        <v>64</v>
      </c>
      <c r="AS527" s="3" t="s">
        <v>64</v>
      </c>
      <c r="AT527" s="3" t="s">
        <v>73</v>
      </c>
      <c r="AU527" s="6" t="str">
        <f>HYPERLINK("http://catalog.hathitrust.org/Record/101934251","HathiTrust Record")</f>
        <v>HathiTrust Record</v>
      </c>
      <c r="AV527" s="6" t="str">
        <f>HYPERLINK("http://mcgill.on.worldcat.org/oclc/6161365","Catalog Record")</f>
        <v>Catalog Record</v>
      </c>
      <c r="AW527" s="6" t="str">
        <f>HYPERLINK("http://www.worldcat.org/oclc/6161365","WorldCat Record")</f>
        <v>WorldCat Record</v>
      </c>
      <c r="AX527" s="3" t="s">
        <v>5434</v>
      </c>
      <c r="AY527" s="3" t="s">
        <v>5435</v>
      </c>
      <c r="AZ527" s="3" t="s">
        <v>5436</v>
      </c>
      <c r="BA527" s="3" t="s">
        <v>5436</v>
      </c>
      <c r="BB527" s="3" t="s">
        <v>5437</v>
      </c>
      <c r="BC527" s="3" t="s">
        <v>78</v>
      </c>
      <c r="BD527" s="3" t="s">
        <v>79</v>
      </c>
      <c r="BE527" s="3" t="s">
        <v>5438</v>
      </c>
      <c r="BF527" s="3" t="s">
        <v>5437</v>
      </c>
      <c r="BG527" s="3" t="s">
        <v>5439</v>
      </c>
    </row>
    <row r="528" spans="1:59" ht="72.5" x14ac:dyDescent="0.35">
      <c r="A528" s="2" t="s">
        <v>59</v>
      </c>
      <c r="B528" s="2" t="s">
        <v>94</v>
      </c>
      <c r="C528" s="2" t="s">
        <v>5440</v>
      </c>
      <c r="D528" s="2" t="s">
        <v>5441</v>
      </c>
      <c r="E528" s="2" t="s">
        <v>5442</v>
      </c>
      <c r="F528" s="3" t="s">
        <v>5443</v>
      </c>
      <c r="G528" s="3" t="s">
        <v>64</v>
      </c>
      <c r="I528" s="3" t="s">
        <v>64</v>
      </c>
      <c r="J528" s="3" t="s">
        <v>64</v>
      </c>
      <c r="K528" s="3" t="s">
        <v>65</v>
      </c>
      <c r="L528" s="2" t="s">
        <v>5444</v>
      </c>
      <c r="M528" s="2" t="s">
        <v>5445</v>
      </c>
      <c r="N528" s="3" t="s">
        <v>303</v>
      </c>
      <c r="P528" s="3" t="s">
        <v>69</v>
      </c>
      <c r="Q528" s="2" t="s">
        <v>5446</v>
      </c>
      <c r="R528" s="3" t="s">
        <v>70</v>
      </c>
      <c r="S528" s="4">
        <v>12</v>
      </c>
      <c r="T528" s="4">
        <v>12</v>
      </c>
      <c r="U528" s="5" t="s">
        <v>3972</v>
      </c>
      <c r="V528" s="5" t="s">
        <v>3972</v>
      </c>
      <c r="W528" s="5" t="s">
        <v>72</v>
      </c>
      <c r="X528" s="5" t="s">
        <v>72</v>
      </c>
      <c r="Y528" s="4">
        <v>218</v>
      </c>
      <c r="Z528" s="4">
        <v>18</v>
      </c>
      <c r="AA528" s="4">
        <v>20</v>
      </c>
      <c r="AB528" s="4">
        <v>1</v>
      </c>
      <c r="AC528" s="4">
        <v>2</v>
      </c>
      <c r="AD528" s="4">
        <v>82</v>
      </c>
      <c r="AE528" s="4">
        <v>85</v>
      </c>
      <c r="AF528" s="4">
        <v>0</v>
      </c>
      <c r="AG528" s="4">
        <v>1</v>
      </c>
      <c r="AH528" s="4">
        <v>71</v>
      </c>
      <c r="AI528" s="4">
        <v>73</v>
      </c>
      <c r="AJ528" s="4">
        <v>13</v>
      </c>
      <c r="AK528" s="4">
        <v>15</v>
      </c>
      <c r="AL528" s="4">
        <v>48</v>
      </c>
      <c r="AM528" s="4">
        <v>49</v>
      </c>
      <c r="AN528" s="4">
        <v>0</v>
      </c>
      <c r="AO528" s="4">
        <v>0</v>
      </c>
      <c r="AP528" s="4">
        <v>16</v>
      </c>
      <c r="AQ528" s="4">
        <v>17</v>
      </c>
      <c r="AR528" s="3" t="s">
        <v>64</v>
      </c>
      <c r="AS528" s="3" t="s">
        <v>64</v>
      </c>
      <c r="AT528" s="3" t="s">
        <v>64</v>
      </c>
      <c r="AV528" s="6" t="str">
        <f>HYPERLINK("http://mcgill.on.worldcat.org/oclc/29561872","Catalog Record")</f>
        <v>Catalog Record</v>
      </c>
      <c r="AW528" s="6" t="str">
        <f>HYPERLINK("http://www.worldcat.org/oclc/29561872","WorldCat Record")</f>
        <v>WorldCat Record</v>
      </c>
      <c r="AX528" s="3" t="s">
        <v>5447</v>
      </c>
      <c r="AY528" s="3" t="s">
        <v>5448</v>
      </c>
      <c r="AZ528" s="3" t="s">
        <v>5449</v>
      </c>
      <c r="BA528" s="3" t="s">
        <v>5449</v>
      </c>
      <c r="BB528" s="3" t="s">
        <v>5450</v>
      </c>
      <c r="BC528" s="3" t="s">
        <v>78</v>
      </c>
      <c r="BD528" s="3" t="s">
        <v>79</v>
      </c>
      <c r="BE528" s="3" t="s">
        <v>5451</v>
      </c>
      <c r="BF528" s="3" t="s">
        <v>5450</v>
      </c>
      <c r="BG528" s="3" t="s">
        <v>5452</v>
      </c>
    </row>
    <row r="529" spans="1:59" ht="72.5" x14ac:dyDescent="0.35">
      <c r="A529" s="2" t="s">
        <v>59</v>
      </c>
      <c r="B529" s="2" t="s">
        <v>94</v>
      </c>
      <c r="C529" s="2" t="s">
        <v>5453</v>
      </c>
      <c r="D529" s="2" t="s">
        <v>5454</v>
      </c>
      <c r="E529" s="2" t="s">
        <v>5455</v>
      </c>
      <c r="F529" s="3" t="s">
        <v>5456</v>
      </c>
      <c r="G529" s="3" t="s">
        <v>64</v>
      </c>
      <c r="I529" s="3" t="s">
        <v>64</v>
      </c>
      <c r="J529" s="3" t="s">
        <v>64</v>
      </c>
      <c r="K529" s="3" t="s">
        <v>65</v>
      </c>
      <c r="L529" s="2" t="s">
        <v>5457</v>
      </c>
      <c r="M529" s="2" t="s">
        <v>5458</v>
      </c>
      <c r="N529" s="3" t="s">
        <v>1320</v>
      </c>
      <c r="P529" s="3" t="s">
        <v>69</v>
      </c>
      <c r="Q529" s="2" t="s">
        <v>5459</v>
      </c>
      <c r="R529" s="3" t="s">
        <v>70</v>
      </c>
      <c r="S529" s="4">
        <v>19</v>
      </c>
      <c r="T529" s="4">
        <v>19</v>
      </c>
      <c r="U529" s="5" t="s">
        <v>5460</v>
      </c>
      <c r="V529" s="5" t="s">
        <v>5460</v>
      </c>
      <c r="W529" s="5" t="s">
        <v>72</v>
      </c>
      <c r="X529" s="5" t="s">
        <v>72</v>
      </c>
      <c r="Y529" s="4">
        <v>302</v>
      </c>
      <c r="Z529" s="4">
        <v>15</v>
      </c>
      <c r="AA529" s="4">
        <v>19</v>
      </c>
      <c r="AB529" s="4">
        <v>1</v>
      </c>
      <c r="AC529" s="4">
        <v>2</v>
      </c>
      <c r="AD529" s="4">
        <v>89</v>
      </c>
      <c r="AE529" s="4">
        <v>94</v>
      </c>
      <c r="AF529" s="4">
        <v>0</v>
      </c>
      <c r="AG529" s="4">
        <v>1</v>
      </c>
      <c r="AH529" s="4">
        <v>80</v>
      </c>
      <c r="AI529" s="4">
        <v>84</v>
      </c>
      <c r="AJ529" s="4">
        <v>10</v>
      </c>
      <c r="AK529" s="4">
        <v>13</v>
      </c>
      <c r="AL529" s="4">
        <v>50</v>
      </c>
      <c r="AM529" s="4">
        <v>51</v>
      </c>
      <c r="AN529" s="4">
        <v>5</v>
      </c>
      <c r="AO529" s="4">
        <v>5</v>
      </c>
      <c r="AP529" s="4">
        <v>10</v>
      </c>
      <c r="AQ529" s="4">
        <v>14</v>
      </c>
      <c r="AR529" s="3" t="s">
        <v>64</v>
      </c>
      <c r="AS529" s="3" t="s">
        <v>64</v>
      </c>
      <c r="AT529" s="3" t="s">
        <v>73</v>
      </c>
      <c r="AU529" s="6" t="str">
        <f>HYPERLINK("http://catalog.hathitrust.org/Record/101971134","HathiTrust Record")</f>
        <v>HathiTrust Record</v>
      </c>
      <c r="AV529" s="6" t="str">
        <f>HYPERLINK("http://mcgill.on.worldcat.org/oclc/33437966","Catalog Record")</f>
        <v>Catalog Record</v>
      </c>
      <c r="AW529" s="6" t="str">
        <f>HYPERLINK("http://www.worldcat.org/oclc/33437966","WorldCat Record")</f>
        <v>WorldCat Record</v>
      </c>
      <c r="AX529" s="3" t="s">
        <v>5461</v>
      </c>
      <c r="AY529" s="3" t="s">
        <v>5462</v>
      </c>
      <c r="AZ529" s="3" t="s">
        <v>5463</v>
      </c>
      <c r="BA529" s="3" t="s">
        <v>5463</v>
      </c>
      <c r="BB529" s="3" t="s">
        <v>5464</v>
      </c>
      <c r="BC529" s="3" t="s">
        <v>78</v>
      </c>
      <c r="BD529" s="3" t="s">
        <v>79</v>
      </c>
      <c r="BE529" s="3" t="s">
        <v>5465</v>
      </c>
      <c r="BF529" s="3" t="s">
        <v>5464</v>
      </c>
      <c r="BG529" s="3" t="s">
        <v>5466</v>
      </c>
    </row>
    <row r="530" spans="1:59" ht="72.5" x14ac:dyDescent="0.35">
      <c r="A530" s="2" t="s">
        <v>59</v>
      </c>
      <c r="B530" s="2" t="s">
        <v>94</v>
      </c>
      <c r="C530" s="2" t="s">
        <v>5467</v>
      </c>
      <c r="D530" s="2" t="s">
        <v>5468</v>
      </c>
      <c r="E530" s="2" t="s">
        <v>5469</v>
      </c>
      <c r="F530" s="3" t="s">
        <v>5470</v>
      </c>
      <c r="G530" s="3" t="s">
        <v>64</v>
      </c>
      <c r="I530" s="3" t="s">
        <v>64</v>
      </c>
      <c r="J530" s="3" t="s">
        <v>64</v>
      </c>
      <c r="K530" s="3" t="s">
        <v>65</v>
      </c>
      <c r="L530" s="2" t="s">
        <v>5471</v>
      </c>
      <c r="M530" s="2" t="s">
        <v>5296</v>
      </c>
      <c r="N530" s="3" t="s">
        <v>705</v>
      </c>
      <c r="P530" s="3" t="s">
        <v>69</v>
      </c>
      <c r="Q530" s="2" t="s">
        <v>5472</v>
      </c>
      <c r="R530" s="3" t="s">
        <v>70</v>
      </c>
      <c r="S530" s="4">
        <v>34</v>
      </c>
      <c r="T530" s="4">
        <v>34</v>
      </c>
      <c r="U530" s="5" t="s">
        <v>3002</v>
      </c>
      <c r="V530" s="5" t="s">
        <v>3002</v>
      </c>
      <c r="W530" s="5" t="s">
        <v>72</v>
      </c>
      <c r="X530" s="5" t="s">
        <v>72</v>
      </c>
      <c r="Y530" s="4">
        <v>271</v>
      </c>
      <c r="Z530" s="4">
        <v>17</v>
      </c>
      <c r="AA530" s="4">
        <v>19</v>
      </c>
      <c r="AB530" s="4">
        <v>2</v>
      </c>
      <c r="AC530" s="4">
        <v>3</v>
      </c>
      <c r="AD530" s="4">
        <v>95</v>
      </c>
      <c r="AE530" s="4">
        <v>98</v>
      </c>
      <c r="AF530" s="4">
        <v>1</v>
      </c>
      <c r="AG530" s="4">
        <v>2</v>
      </c>
      <c r="AH530" s="4">
        <v>83</v>
      </c>
      <c r="AI530" s="4">
        <v>86</v>
      </c>
      <c r="AJ530" s="4">
        <v>13</v>
      </c>
      <c r="AK530" s="4">
        <v>14</v>
      </c>
      <c r="AL530" s="4">
        <v>50</v>
      </c>
      <c r="AM530" s="4">
        <v>52</v>
      </c>
      <c r="AN530" s="4">
        <v>0</v>
      </c>
      <c r="AO530" s="4">
        <v>0</v>
      </c>
      <c r="AP530" s="4">
        <v>14</v>
      </c>
      <c r="AQ530" s="4">
        <v>15</v>
      </c>
      <c r="AR530" s="3" t="s">
        <v>64</v>
      </c>
      <c r="AS530" s="3" t="s">
        <v>64</v>
      </c>
      <c r="AT530" s="3" t="s">
        <v>64</v>
      </c>
      <c r="AV530" s="6" t="str">
        <f>HYPERLINK("http://mcgill.on.worldcat.org/oclc/35327149","Catalog Record")</f>
        <v>Catalog Record</v>
      </c>
      <c r="AW530" s="6" t="str">
        <f>HYPERLINK("http://www.worldcat.org/oclc/35327149","WorldCat Record")</f>
        <v>WorldCat Record</v>
      </c>
      <c r="AX530" s="3" t="s">
        <v>5473</v>
      </c>
      <c r="AY530" s="3" t="s">
        <v>5474</v>
      </c>
      <c r="AZ530" s="3" t="s">
        <v>5475</v>
      </c>
      <c r="BA530" s="3" t="s">
        <v>5475</v>
      </c>
      <c r="BB530" s="3" t="s">
        <v>5476</v>
      </c>
      <c r="BC530" s="3" t="s">
        <v>78</v>
      </c>
      <c r="BD530" s="3" t="s">
        <v>79</v>
      </c>
      <c r="BE530" s="3" t="s">
        <v>5477</v>
      </c>
      <c r="BF530" s="3" t="s">
        <v>5476</v>
      </c>
      <c r="BG530" s="3" t="s">
        <v>5478</v>
      </c>
    </row>
    <row r="531" spans="1:59" ht="72.5" x14ac:dyDescent="0.35">
      <c r="A531" s="2" t="s">
        <v>59</v>
      </c>
      <c r="B531" s="2" t="s">
        <v>94</v>
      </c>
      <c r="C531" s="2" t="s">
        <v>5479</v>
      </c>
      <c r="D531" s="2" t="s">
        <v>5480</v>
      </c>
      <c r="E531" s="2" t="s">
        <v>5481</v>
      </c>
      <c r="F531" s="3" t="s">
        <v>5482</v>
      </c>
      <c r="G531" s="3" t="s">
        <v>64</v>
      </c>
      <c r="I531" s="3" t="s">
        <v>64</v>
      </c>
      <c r="J531" s="3" t="s">
        <v>64</v>
      </c>
      <c r="K531" s="3" t="s">
        <v>65</v>
      </c>
      <c r="L531" s="2" t="s">
        <v>807</v>
      </c>
      <c r="M531" s="2" t="s">
        <v>5483</v>
      </c>
      <c r="N531" s="3" t="s">
        <v>340</v>
      </c>
      <c r="P531" s="3" t="s">
        <v>69</v>
      </c>
      <c r="Q531" s="2" t="s">
        <v>5484</v>
      </c>
      <c r="R531" s="3" t="s">
        <v>70</v>
      </c>
      <c r="S531" s="4">
        <v>30</v>
      </c>
      <c r="T531" s="4">
        <v>30</v>
      </c>
      <c r="U531" s="5" t="s">
        <v>5485</v>
      </c>
      <c r="V531" s="5" t="s">
        <v>5485</v>
      </c>
      <c r="W531" s="5" t="s">
        <v>72</v>
      </c>
      <c r="X531" s="5" t="s">
        <v>72</v>
      </c>
      <c r="Y531" s="4">
        <v>324</v>
      </c>
      <c r="Z531" s="4">
        <v>16</v>
      </c>
      <c r="AA531" s="4">
        <v>19</v>
      </c>
      <c r="AB531" s="4">
        <v>2</v>
      </c>
      <c r="AC531" s="4">
        <v>4</v>
      </c>
      <c r="AD531" s="4">
        <v>96</v>
      </c>
      <c r="AE531" s="4">
        <v>100</v>
      </c>
      <c r="AF531" s="4">
        <v>1</v>
      </c>
      <c r="AG531" s="4">
        <v>3</v>
      </c>
      <c r="AH531" s="4">
        <v>86</v>
      </c>
      <c r="AI531" s="4">
        <v>89</v>
      </c>
      <c r="AJ531" s="4">
        <v>10</v>
      </c>
      <c r="AK531" s="4">
        <v>13</v>
      </c>
      <c r="AL531" s="4">
        <v>52</v>
      </c>
      <c r="AM531" s="4">
        <v>53</v>
      </c>
      <c r="AN531" s="4">
        <v>0</v>
      </c>
      <c r="AO531" s="4">
        <v>0</v>
      </c>
      <c r="AP531" s="4">
        <v>10</v>
      </c>
      <c r="AQ531" s="4">
        <v>13</v>
      </c>
      <c r="AR531" s="3" t="s">
        <v>64</v>
      </c>
      <c r="AS531" s="3" t="s">
        <v>64</v>
      </c>
      <c r="AT531" s="3" t="s">
        <v>64</v>
      </c>
      <c r="AV531" s="6" t="str">
        <f>HYPERLINK("http://mcgill.on.worldcat.org/oclc/39521583","Catalog Record")</f>
        <v>Catalog Record</v>
      </c>
      <c r="AW531" s="6" t="str">
        <f>HYPERLINK("http://www.worldcat.org/oclc/39521583","WorldCat Record")</f>
        <v>WorldCat Record</v>
      </c>
      <c r="AX531" s="3" t="s">
        <v>5486</v>
      </c>
      <c r="AY531" s="3" t="s">
        <v>5487</v>
      </c>
      <c r="AZ531" s="3" t="s">
        <v>5488</v>
      </c>
      <c r="BA531" s="3" t="s">
        <v>5488</v>
      </c>
      <c r="BB531" s="3" t="s">
        <v>5489</v>
      </c>
      <c r="BC531" s="3" t="s">
        <v>78</v>
      </c>
      <c r="BD531" s="3" t="s">
        <v>79</v>
      </c>
      <c r="BE531" s="3" t="s">
        <v>5490</v>
      </c>
      <c r="BF531" s="3" t="s">
        <v>5489</v>
      </c>
      <c r="BG531" s="3" t="s">
        <v>5491</v>
      </c>
    </row>
    <row r="532" spans="1:59" ht="72.5" x14ac:dyDescent="0.35">
      <c r="A532" s="2" t="s">
        <v>59</v>
      </c>
      <c r="B532" s="2" t="s">
        <v>94</v>
      </c>
      <c r="C532" s="2" t="s">
        <v>5492</v>
      </c>
      <c r="D532" s="2" t="s">
        <v>5493</v>
      </c>
      <c r="E532" s="2" t="s">
        <v>5494</v>
      </c>
      <c r="F532" s="3" t="s">
        <v>5495</v>
      </c>
      <c r="G532" s="3" t="s">
        <v>64</v>
      </c>
      <c r="I532" s="3" t="s">
        <v>64</v>
      </c>
      <c r="J532" s="3" t="s">
        <v>64</v>
      </c>
      <c r="K532" s="3" t="s">
        <v>65</v>
      </c>
      <c r="L532" s="2" t="s">
        <v>5496</v>
      </c>
      <c r="M532" s="2" t="s">
        <v>5497</v>
      </c>
      <c r="N532" s="3" t="s">
        <v>1064</v>
      </c>
      <c r="P532" s="3" t="s">
        <v>69</v>
      </c>
      <c r="Q532" s="2" t="s">
        <v>5498</v>
      </c>
      <c r="R532" s="3" t="s">
        <v>70</v>
      </c>
      <c r="S532" s="4">
        <v>9</v>
      </c>
      <c r="T532" s="4">
        <v>9</v>
      </c>
      <c r="U532" s="5" t="s">
        <v>5499</v>
      </c>
      <c r="V532" s="5" t="s">
        <v>5499</v>
      </c>
      <c r="W532" s="5" t="s">
        <v>72</v>
      </c>
      <c r="X532" s="5" t="s">
        <v>72</v>
      </c>
      <c r="Y532" s="4">
        <v>278</v>
      </c>
      <c r="Z532" s="4">
        <v>15</v>
      </c>
      <c r="AA532" s="4">
        <v>17</v>
      </c>
      <c r="AB532" s="4">
        <v>1</v>
      </c>
      <c r="AC532" s="4">
        <v>3</v>
      </c>
      <c r="AD532" s="4">
        <v>90</v>
      </c>
      <c r="AE532" s="4">
        <v>93</v>
      </c>
      <c r="AF532" s="4">
        <v>0</v>
      </c>
      <c r="AG532" s="4">
        <v>2</v>
      </c>
      <c r="AH532" s="4">
        <v>81</v>
      </c>
      <c r="AI532" s="4">
        <v>83</v>
      </c>
      <c r="AJ532" s="4">
        <v>10</v>
      </c>
      <c r="AK532" s="4">
        <v>12</v>
      </c>
      <c r="AL532" s="4">
        <v>51</v>
      </c>
      <c r="AM532" s="4">
        <v>52</v>
      </c>
      <c r="AN532" s="4">
        <v>0</v>
      </c>
      <c r="AO532" s="4">
        <v>0</v>
      </c>
      <c r="AP532" s="4">
        <v>10</v>
      </c>
      <c r="AQ532" s="4">
        <v>12</v>
      </c>
      <c r="AR532" s="3" t="s">
        <v>64</v>
      </c>
      <c r="AS532" s="3" t="s">
        <v>64</v>
      </c>
      <c r="AT532" s="3" t="s">
        <v>64</v>
      </c>
      <c r="AV532" s="6" t="str">
        <f>HYPERLINK("http://mcgill.on.worldcat.org/oclc/41152522","Catalog Record")</f>
        <v>Catalog Record</v>
      </c>
      <c r="AW532" s="6" t="str">
        <f>HYPERLINK("http://www.worldcat.org/oclc/41152522","WorldCat Record")</f>
        <v>WorldCat Record</v>
      </c>
      <c r="AX532" s="3" t="s">
        <v>5500</v>
      </c>
      <c r="AY532" s="3" t="s">
        <v>5501</v>
      </c>
      <c r="AZ532" s="3" t="s">
        <v>5502</v>
      </c>
      <c r="BA532" s="3" t="s">
        <v>5502</v>
      </c>
      <c r="BB532" s="3" t="s">
        <v>5503</v>
      </c>
      <c r="BC532" s="3" t="s">
        <v>78</v>
      </c>
      <c r="BD532" s="3" t="s">
        <v>79</v>
      </c>
      <c r="BE532" s="3" t="s">
        <v>5504</v>
      </c>
      <c r="BF532" s="3" t="s">
        <v>5503</v>
      </c>
      <c r="BG532" s="3" t="s">
        <v>5505</v>
      </c>
    </row>
    <row r="533" spans="1:59" ht="72.5" x14ac:dyDescent="0.35">
      <c r="A533" s="2" t="s">
        <v>59</v>
      </c>
      <c r="B533" s="2" t="s">
        <v>94</v>
      </c>
      <c r="C533" s="2" t="s">
        <v>5506</v>
      </c>
      <c r="D533" s="2" t="s">
        <v>5507</v>
      </c>
      <c r="E533" s="2" t="s">
        <v>5508</v>
      </c>
      <c r="F533" s="3" t="s">
        <v>5509</v>
      </c>
      <c r="G533" s="3" t="s">
        <v>64</v>
      </c>
      <c r="I533" s="3" t="s">
        <v>64</v>
      </c>
      <c r="J533" s="3" t="s">
        <v>64</v>
      </c>
      <c r="K533" s="3" t="s">
        <v>65</v>
      </c>
      <c r="L533" s="2" t="s">
        <v>5510</v>
      </c>
      <c r="M533" s="2" t="s">
        <v>5497</v>
      </c>
      <c r="N533" s="3" t="s">
        <v>1064</v>
      </c>
      <c r="P533" s="3" t="s">
        <v>69</v>
      </c>
      <c r="Q533" s="2" t="s">
        <v>5511</v>
      </c>
      <c r="R533" s="3" t="s">
        <v>70</v>
      </c>
      <c r="S533" s="4">
        <v>8</v>
      </c>
      <c r="T533" s="4">
        <v>8</v>
      </c>
      <c r="U533" s="5" t="s">
        <v>5499</v>
      </c>
      <c r="V533" s="5" t="s">
        <v>5499</v>
      </c>
      <c r="W533" s="5" t="s">
        <v>72</v>
      </c>
      <c r="X533" s="5" t="s">
        <v>72</v>
      </c>
      <c r="Y533" s="4">
        <v>285</v>
      </c>
      <c r="Z533" s="4">
        <v>16</v>
      </c>
      <c r="AA533" s="4">
        <v>21</v>
      </c>
      <c r="AB533" s="4">
        <v>1</v>
      </c>
      <c r="AC533" s="4">
        <v>5</v>
      </c>
      <c r="AD533" s="4">
        <v>93</v>
      </c>
      <c r="AE533" s="4">
        <v>97</v>
      </c>
      <c r="AF533" s="4">
        <v>0</v>
      </c>
      <c r="AG533" s="4">
        <v>1</v>
      </c>
      <c r="AH533" s="4">
        <v>83</v>
      </c>
      <c r="AI533" s="4">
        <v>86</v>
      </c>
      <c r="AJ533" s="4">
        <v>10</v>
      </c>
      <c r="AK533" s="4">
        <v>12</v>
      </c>
      <c r="AL533" s="4">
        <v>50</v>
      </c>
      <c r="AM533" s="4">
        <v>51</v>
      </c>
      <c r="AN533" s="4">
        <v>0</v>
      </c>
      <c r="AO533" s="4">
        <v>0</v>
      </c>
      <c r="AP533" s="4">
        <v>11</v>
      </c>
      <c r="AQ533" s="4">
        <v>13</v>
      </c>
      <c r="AR533" s="3" t="s">
        <v>64</v>
      </c>
      <c r="AS533" s="3" t="s">
        <v>64</v>
      </c>
      <c r="AT533" s="3" t="s">
        <v>64</v>
      </c>
      <c r="AV533" s="6" t="str">
        <f>HYPERLINK("http://mcgill.on.worldcat.org/oclc/41152520","Catalog Record")</f>
        <v>Catalog Record</v>
      </c>
      <c r="AW533" s="6" t="str">
        <f>HYPERLINK("http://www.worldcat.org/oclc/41152520","WorldCat Record")</f>
        <v>WorldCat Record</v>
      </c>
      <c r="AX533" s="3" t="s">
        <v>5512</v>
      </c>
      <c r="AY533" s="3" t="s">
        <v>5513</v>
      </c>
      <c r="AZ533" s="3" t="s">
        <v>5514</v>
      </c>
      <c r="BA533" s="3" t="s">
        <v>5514</v>
      </c>
      <c r="BB533" s="3" t="s">
        <v>5515</v>
      </c>
      <c r="BC533" s="3" t="s">
        <v>78</v>
      </c>
      <c r="BD533" s="3" t="s">
        <v>79</v>
      </c>
      <c r="BE533" s="3" t="s">
        <v>5516</v>
      </c>
      <c r="BF533" s="3" t="s">
        <v>5515</v>
      </c>
      <c r="BG533" s="3" t="s">
        <v>5517</v>
      </c>
    </row>
    <row r="534" spans="1:59" ht="72.5" x14ac:dyDescent="0.35">
      <c r="A534" s="2" t="s">
        <v>59</v>
      </c>
      <c r="B534" s="2" t="s">
        <v>94</v>
      </c>
      <c r="C534" s="2" t="s">
        <v>5518</v>
      </c>
      <c r="D534" s="2" t="s">
        <v>5519</v>
      </c>
      <c r="E534" s="2" t="s">
        <v>5520</v>
      </c>
      <c r="F534" s="3" t="s">
        <v>5521</v>
      </c>
      <c r="G534" s="3" t="s">
        <v>64</v>
      </c>
      <c r="I534" s="3" t="s">
        <v>64</v>
      </c>
      <c r="J534" s="3" t="s">
        <v>64</v>
      </c>
      <c r="K534" s="3" t="s">
        <v>65</v>
      </c>
      <c r="L534" s="2" t="s">
        <v>5522</v>
      </c>
      <c r="M534" s="2" t="s">
        <v>5523</v>
      </c>
      <c r="N534" s="3" t="s">
        <v>136</v>
      </c>
      <c r="P534" s="3" t="s">
        <v>69</v>
      </c>
      <c r="Q534" s="2" t="s">
        <v>5524</v>
      </c>
      <c r="R534" s="3" t="s">
        <v>70</v>
      </c>
      <c r="S534" s="4">
        <v>14</v>
      </c>
      <c r="T534" s="4">
        <v>14</v>
      </c>
      <c r="U534" s="5" t="s">
        <v>5525</v>
      </c>
      <c r="V534" s="5" t="s">
        <v>5525</v>
      </c>
      <c r="W534" s="5" t="s">
        <v>72</v>
      </c>
      <c r="X534" s="5" t="s">
        <v>72</v>
      </c>
      <c r="Y534" s="4">
        <v>280</v>
      </c>
      <c r="Z534" s="4">
        <v>13</v>
      </c>
      <c r="AA534" s="4">
        <v>17</v>
      </c>
      <c r="AB534" s="4">
        <v>1</v>
      </c>
      <c r="AC534" s="4">
        <v>4</v>
      </c>
      <c r="AD534" s="4">
        <v>86</v>
      </c>
      <c r="AE534" s="4">
        <v>90</v>
      </c>
      <c r="AF534" s="4">
        <v>0</v>
      </c>
      <c r="AG534" s="4">
        <v>2</v>
      </c>
      <c r="AH534" s="4">
        <v>77</v>
      </c>
      <c r="AI534" s="4">
        <v>80</v>
      </c>
      <c r="AJ534" s="4">
        <v>8</v>
      </c>
      <c r="AK534" s="4">
        <v>11</v>
      </c>
      <c r="AL534" s="4">
        <v>50</v>
      </c>
      <c r="AM534" s="4">
        <v>51</v>
      </c>
      <c r="AN534" s="4">
        <v>0</v>
      </c>
      <c r="AO534" s="4">
        <v>0</v>
      </c>
      <c r="AP534" s="4">
        <v>8</v>
      </c>
      <c r="AQ534" s="4">
        <v>11</v>
      </c>
      <c r="AR534" s="3" t="s">
        <v>64</v>
      </c>
      <c r="AS534" s="3" t="s">
        <v>64</v>
      </c>
      <c r="AT534" s="3" t="s">
        <v>64</v>
      </c>
      <c r="AV534" s="6" t="str">
        <f>HYPERLINK("http://mcgill.on.worldcat.org/oclc/44789502","Catalog Record")</f>
        <v>Catalog Record</v>
      </c>
      <c r="AW534" s="6" t="str">
        <f>HYPERLINK("http://www.worldcat.org/oclc/44789502","WorldCat Record")</f>
        <v>WorldCat Record</v>
      </c>
      <c r="AX534" s="3" t="s">
        <v>5526</v>
      </c>
      <c r="AY534" s="3" t="s">
        <v>5527</v>
      </c>
      <c r="AZ534" s="3" t="s">
        <v>5528</v>
      </c>
      <c r="BA534" s="3" t="s">
        <v>5528</v>
      </c>
      <c r="BB534" s="3" t="s">
        <v>5529</v>
      </c>
      <c r="BC534" s="3" t="s">
        <v>78</v>
      </c>
      <c r="BD534" s="3" t="s">
        <v>79</v>
      </c>
      <c r="BE534" s="3" t="s">
        <v>5530</v>
      </c>
      <c r="BF534" s="3" t="s">
        <v>5529</v>
      </c>
      <c r="BG534" s="3" t="s">
        <v>5531</v>
      </c>
    </row>
    <row r="535" spans="1:59" ht="72.5" x14ac:dyDescent="0.35">
      <c r="A535" s="2" t="s">
        <v>59</v>
      </c>
      <c r="B535" s="2" t="s">
        <v>94</v>
      </c>
      <c r="C535" s="2" t="s">
        <v>5532</v>
      </c>
      <c r="D535" s="2" t="s">
        <v>5533</v>
      </c>
      <c r="E535" s="2" t="s">
        <v>5534</v>
      </c>
      <c r="F535" s="3" t="s">
        <v>5535</v>
      </c>
      <c r="G535" s="3" t="s">
        <v>64</v>
      </c>
      <c r="I535" s="3" t="s">
        <v>64</v>
      </c>
      <c r="J535" s="3" t="s">
        <v>64</v>
      </c>
      <c r="K535" s="3" t="s">
        <v>65</v>
      </c>
      <c r="L535" s="2" t="s">
        <v>5536</v>
      </c>
      <c r="M535" s="2" t="s">
        <v>5537</v>
      </c>
      <c r="N535" s="3" t="s">
        <v>1530</v>
      </c>
      <c r="P535" s="3" t="s">
        <v>69</v>
      </c>
      <c r="Q535" s="2" t="s">
        <v>5538</v>
      </c>
      <c r="R535" s="3" t="s">
        <v>70</v>
      </c>
      <c r="S535" s="4">
        <v>7</v>
      </c>
      <c r="T535" s="4">
        <v>7</v>
      </c>
      <c r="U535" s="5" t="s">
        <v>5539</v>
      </c>
      <c r="V535" s="5" t="s">
        <v>5539</v>
      </c>
      <c r="W535" s="5" t="s">
        <v>72</v>
      </c>
      <c r="X535" s="5" t="s">
        <v>72</v>
      </c>
      <c r="Y535" s="4">
        <v>326</v>
      </c>
      <c r="Z535" s="4">
        <v>23</v>
      </c>
      <c r="AA535" s="4">
        <v>85</v>
      </c>
      <c r="AB535" s="4">
        <v>3</v>
      </c>
      <c r="AC535" s="4">
        <v>16</v>
      </c>
      <c r="AD535" s="4">
        <v>94</v>
      </c>
      <c r="AE535" s="4">
        <v>142</v>
      </c>
      <c r="AF535" s="4">
        <v>1</v>
      </c>
      <c r="AG535" s="4">
        <v>8</v>
      </c>
      <c r="AH535" s="4">
        <v>82</v>
      </c>
      <c r="AI535" s="4">
        <v>104</v>
      </c>
      <c r="AJ535" s="4">
        <v>15</v>
      </c>
      <c r="AK535" s="4">
        <v>25</v>
      </c>
      <c r="AL535" s="4">
        <v>50</v>
      </c>
      <c r="AM535" s="4">
        <v>58</v>
      </c>
      <c r="AN535" s="4">
        <v>0</v>
      </c>
      <c r="AO535" s="4">
        <v>0</v>
      </c>
      <c r="AP535" s="4">
        <v>16</v>
      </c>
      <c r="AQ535" s="4">
        <v>45</v>
      </c>
      <c r="AR535" s="3" t="s">
        <v>64</v>
      </c>
      <c r="AS535" s="3" t="s">
        <v>64</v>
      </c>
      <c r="AT535" s="3" t="s">
        <v>64</v>
      </c>
      <c r="AV535" s="6" t="str">
        <f>HYPERLINK("http://mcgill.on.worldcat.org/oclc/59421301","Catalog Record")</f>
        <v>Catalog Record</v>
      </c>
      <c r="AW535" s="6" t="str">
        <f>HYPERLINK("http://www.worldcat.org/oclc/59421301","WorldCat Record")</f>
        <v>WorldCat Record</v>
      </c>
      <c r="AX535" s="3" t="s">
        <v>5540</v>
      </c>
      <c r="AY535" s="3" t="s">
        <v>5541</v>
      </c>
      <c r="AZ535" s="3" t="s">
        <v>5542</v>
      </c>
      <c r="BA535" s="3" t="s">
        <v>5542</v>
      </c>
      <c r="BB535" s="3" t="s">
        <v>5543</v>
      </c>
      <c r="BC535" s="3" t="s">
        <v>78</v>
      </c>
      <c r="BD535" s="3" t="s">
        <v>79</v>
      </c>
      <c r="BE535" s="3" t="s">
        <v>5544</v>
      </c>
      <c r="BF535" s="3" t="s">
        <v>5543</v>
      </c>
      <c r="BG535" s="3" t="s">
        <v>5545</v>
      </c>
    </row>
    <row r="536" spans="1:59" ht="72.5" x14ac:dyDescent="0.35">
      <c r="A536" s="2" t="s">
        <v>59</v>
      </c>
      <c r="B536" s="2" t="s">
        <v>94</v>
      </c>
      <c r="C536" s="2" t="s">
        <v>5546</v>
      </c>
      <c r="D536" s="2" t="s">
        <v>5547</v>
      </c>
      <c r="E536" s="2" t="s">
        <v>5548</v>
      </c>
      <c r="F536" s="3" t="s">
        <v>5549</v>
      </c>
      <c r="G536" s="3" t="s">
        <v>64</v>
      </c>
      <c r="I536" s="3" t="s">
        <v>64</v>
      </c>
      <c r="J536" s="3" t="s">
        <v>64</v>
      </c>
      <c r="K536" s="3" t="s">
        <v>65</v>
      </c>
      <c r="L536" s="2" t="s">
        <v>5550</v>
      </c>
      <c r="M536" s="2" t="s">
        <v>5379</v>
      </c>
      <c r="N536" s="3" t="s">
        <v>861</v>
      </c>
      <c r="P536" s="3" t="s">
        <v>69</v>
      </c>
      <c r="Q536" s="2" t="s">
        <v>5551</v>
      </c>
      <c r="R536" s="3" t="s">
        <v>70</v>
      </c>
      <c r="S536" s="4">
        <v>4</v>
      </c>
      <c r="T536" s="4">
        <v>4</v>
      </c>
      <c r="U536" s="5" t="s">
        <v>5552</v>
      </c>
      <c r="V536" s="5" t="s">
        <v>5552</v>
      </c>
      <c r="W536" s="5" t="s">
        <v>72</v>
      </c>
      <c r="X536" s="5" t="s">
        <v>72</v>
      </c>
      <c r="Y536" s="4">
        <v>243</v>
      </c>
      <c r="Z536" s="4">
        <v>15</v>
      </c>
      <c r="AA536" s="4">
        <v>22</v>
      </c>
      <c r="AB536" s="4">
        <v>1</v>
      </c>
      <c r="AC536" s="4">
        <v>5</v>
      </c>
      <c r="AD536" s="4">
        <v>78</v>
      </c>
      <c r="AE536" s="4">
        <v>84</v>
      </c>
      <c r="AF536" s="4">
        <v>0</v>
      </c>
      <c r="AG536" s="4">
        <v>1</v>
      </c>
      <c r="AH536" s="4">
        <v>71</v>
      </c>
      <c r="AI536" s="4">
        <v>76</v>
      </c>
      <c r="AJ536" s="4">
        <v>9</v>
      </c>
      <c r="AK536" s="4">
        <v>12</v>
      </c>
      <c r="AL536" s="4">
        <v>43</v>
      </c>
      <c r="AM536" s="4">
        <v>44</v>
      </c>
      <c r="AN536" s="4">
        <v>0</v>
      </c>
      <c r="AO536" s="4">
        <v>0</v>
      </c>
      <c r="AP536" s="4">
        <v>9</v>
      </c>
      <c r="AQ536" s="4">
        <v>13</v>
      </c>
      <c r="AR536" s="3" t="s">
        <v>64</v>
      </c>
      <c r="AS536" s="3" t="s">
        <v>64</v>
      </c>
      <c r="AT536" s="3" t="s">
        <v>64</v>
      </c>
      <c r="AV536" s="6" t="str">
        <f>HYPERLINK("http://mcgill.on.worldcat.org/oclc/55218793","Catalog Record")</f>
        <v>Catalog Record</v>
      </c>
      <c r="AW536" s="6" t="str">
        <f>HYPERLINK("http://www.worldcat.org/oclc/55218793","WorldCat Record")</f>
        <v>WorldCat Record</v>
      </c>
      <c r="AX536" s="3" t="s">
        <v>5553</v>
      </c>
      <c r="AY536" s="3" t="s">
        <v>5554</v>
      </c>
      <c r="AZ536" s="3" t="s">
        <v>5555</v>
      </c>
      <c r="BA536" s="3" t="s">
        <v>5555</v>
      </c>
      <c r="BB536" s="3" t="s">
        <v>5556</v>
      </c>
      <c r="BC536" s="3" t="s">
        <v>78</v>
      </c>
      <c r="BD536" s="3" t="s">
        <v>79</v>
      </c>
      <c r="BE536" s="3" t="s">
        <v>5557</v>
      </c>
      <c r="BF536" s="3" t="s">
        <v>5556</v>
      </c>
      <c r="BG536" s="3" t="s">
        <v>5558</v>
      </c>
    </row>
    <row r="537" spans="1:59" ht="72.5" x14ac:dyDescent="0.35">
      <c r="A537" s="2" t="s">
        <v>59</v>
      </c>
      <c r="B537" s="2" t="s">
        <v>94</v>
      </c>
      <c r="C537" s="2" t="s">
        <v>5559</v>
      </c>
      <c r="D537" s="2" t="s">
        <v>5560</v>
      </c>
      <c r="E537" s="2" t="s">
        <v>5561</v>
      </c>
      <c r="F537" s="3" t="s">
        <v>5562</v>
      </c>
      <c r="G537" s="3" t="s">
        <v>64</v>
      </c>
      <c r="I537" s="3" t="s">
        <v>64</v>
      </c>
      <c r="J537" s="3" t="s">
        <v>64</v>
      </c>
      <c r="K537" s="3" t="s">
        <v>65</v>
      </c>
      <c r="L537" s="2" t="s">
        <v>5563</v>
      </c>
      <c r="M537" s="2" t="s">
        <v>5564</v>
      </c>
      <c r="N537" s="3" t="s">
        <v>499</v>
      </c>
      <c r="P537" s="3" t="s">
        <v>69</v>
      </c>
      <c r="Q537" s="2" t="s">
        <v>5565</v>
      </c>
      <c r="R537" s="3" t="s">
        <v>70</v>
      </c>
      <c r="S537" s="4">
        <v>7</v>
      </c>
      <c r="T537" s="4">
        <v>7</v>
      </c>
      <c r="U537" s="5" t="s">
        <v>5566</v>
      </c>
      <c r="V537" s="5" t="s">
        <v>5566</v>
      </c>
      <c r="W537" s="5" t="s">
        <v>72</v>
      </c>
      <c r="X537" s="5" t="s">
        <v>72</v>
      </c>
      <c r="Y537" s="4">
        <v>333</v>
      </c>
      <c r="Z537" s="4">
        <v>16</v>
      </c>
      <c r="AA537" s="4">
        <v>34</v>
      </c>
      <c r="AB537" s="4">
        <v>1</v>
      </c>
      <c r="AC537" s="4">
        <v>6</v>
      </c>
      <c r="AD537" s="4">
        <v>77</v>
      </c>
      <c r="AE537" s="4">
        <v>95</v>
      </c>
      <c r="AF537" s="4">
        <v>0</v>
      </c>
      <c r="AG537" s="4">
        <v>2</v>
      </c>
      <c r="AH537" s="4">
        <v>69</v>
      </c>
      <c r="AI537" s="4">
        <v>76</v>
      </c>
      <c r="AJ537" s="4">
        <v>8</v>
      </c>
      <c r="AK537" s="4">
        <v>15</v>
      </c>
      <c r="AL537" s="4">
        <v>45</v>
      </c>
      <c r="AM537" s="4">
        <v>48</v>
      </c>
      <c r="AN537" s="4">
        <v>0</v>
      </c>
      <c r="AO537" s="4">
        <v>0</v>
      </c>
      <c r="AP537" s="4">
        <v>9</v>
      </c>
      <c r="AQ537" s="4">
        <v>22</v>
      </c>
      <c r="AR537" s="3" t="s">
        <v>64</v>
      </c>
      <c r="AS537" s="3" t="s">
        <v>64</v>
      </c>
      <c r="AT537" s="3" t="s">
        <v>64</v>
      </c>
      <c r="AV537" s="6" t="str">
        <f>HYPERLINK("http://mcgill.on.worldcat.org/oclc/57064649","Catalog Record")</f>
        <v>Catalog Record</v>
      </c>
      <c r="AW537" s="6" t="str">
        <f>HYPERLINK("http://www.worldcat.org/oclc/57064649","WorldCat Record")</f>
        <v>WorldCat Record</v>
      </c>
      <c r="AX537" s="3" t="s">
        <v>5567</v>
      </c>
      <c r="AY537" s="3" t="s">
        <v>5568</v>
      </c>
      <c r="AZ537" s="3" t="s">
        <v>5569</v>
      </c>
      <c r="BA537" s="3" t="s">
        <v>5569</v>
      </c>
      <c r="BB537" s="3" t="s">
        <v>5570</v>
      </c>
      <c r="BC537" s="3" t="s">
        <v>78</v>
      </c>
      <c r="BD537" s="3" t="s">
        <v>79</v>
      </c>
      <c r="BE537" s="3" t="s">
        <v>5571</v>
      </c>
      <c r="BF537" s="3" t="s">
        <v>5570</v>
      </c>
      <c r="BG537" s="3" t="s">
        <v>5572</v>
      </c>
    </row>
    <row r="538" spans="1:59" ht="72.5" x14ac:dyDescent="0.35">
      <c r="A538" s="2" t="s">
        <v>59</v>
      </c>
      <c r="B538" s="2" t="s">
        <v>94</v>
      </c>
      <c r="C538" s="2" t="s">
        <v>5573</v>
      </c>
      <c r="D538" s="2" t="s">
        <v>5574</v>
      </c>
      <c r="E538" s="2" t="s">
        <v>5575</v>
      </c>
      <c r="F538" s="3" t="s">
        <v>5576</v>
      </c>
      <c r="G538" s="3" t="s">
        <v>64</v>
      </c>
      <c r="I538" s="3" t="s">
        <v>64</v>
      </c>
      <c r="J538" s="3" t="s">
        <v>64</v>
      </c>
      <c r="K538" s="3" t="s">
        <v>65</v>
      </c>
      <c r="L538" s="2" t="s">
        <v>5577</v>
      </c>
      <c r="M538" s="2" t="s">
        <v>5578</v>
      </c>
      <c r="N538" s="3" t="s">
        <v>499</v>
      </c>
      <c r="P538" s="3" t="s">
        <v>69</v>
      </c>
      <c r="Q538" s="2" t="s">
        <v>5579</v>
      </c>
      <c r="R538" s="3" t="s">
        <v>70</v>
      </c>
      <c r="S538" s="4">
        <v>19</v>
      </c>
      <c r="T538" s="4">
        <v>19</v>
      </c>
      <c r="U538" s="5" t="s">
        <v>265</v>
      </c>
      <c r="V538" s="5" t="s">
        <v>265</v>
      </c>
      <c r="W538" s="5" t="s">
        <v>72</v>
      </c>
      <c r="X538" s="5" t="s">
        <v>72</v>
      </c>
      <c r="Y538" s="4">
        <v>296</v>
      </c>
      <c r="Z538" s="4">
        <v>22</v>
      </c>
      <c r="AA538" s="4">
        <v>30</v>
      </c>
      <c r="AB538" s="4">
        <v>2</v>
      </c>
      <c r="AC538" s="4">
        <v>6</v>
      </c>
      <c r="AD538" s="4">
        <v>85</v>
      </c>
      <c r="AE538" s="4">
        <v>93</v>
      </c>
      <c r="AF538" s="4">
        <v>1</v>
      </c>
      <c r="AG538" s="4">
        <v>2</v>
      </c>
      <c r="AH538" s="4">
        <v>74</v>
      </c>
      <c r="AI538" s="4">
        <v>80</v>
      </c>
      <c r="AJ538" s="4">
        <v>13</v>
      </c>
      <c r="AK538" s="4">
        <v>17</v>
      </c>
      <c r="AL538" s="4">
        <v>45</v>
      </c>
      <c r="AM538" s="4">
        <v>47</v>
      </c>
      <c r="AN538" s="4">
        <v>0</v>
      </c>
      <c r="AO538" s="4">
        <v>0</v>
      </c>
      <c r="AP538" s="4">
        <v>15</v>
      </c>
      <c r="AQ538" s="4">
        <v>20</v>
      </c>
      <c r="AR538" s="3" t="s">
        <v>64</v>
      </c>
      <c r="AS538" s="3" t="s">
        <v>64</v>
      </c>
      <c r="AT538" s="3" t="s">
        <v>64</v>
      </c>
      <c r="AV538" s="6" t="str">
        <f>HYPERLINK("http://mcgill.on.worldcat.org/oclc/60564306","Catalog Record")</f>
        <v>Catalog Record</v>
      </c>
      <c r="AW538" s="6" t="str">
        <f>HYPERLINK("http://www.worldcat.org/oclc/60564306","WorldCat Record")</f>
        <v>WorldCat Record</v>
      </c>
      <c r="AX538" s="3" t="s">
        <v>5580</v>
      </c>
      <c r="AY538" s="3" t="s">
        <v>5581</v>
      </c>
      <c r="AZ538" s="3" t="s">
        <v>5582</v>
      </c>
      <c r="BA538" s="3" t="s">
        <v>5582</v>
      </c>
      <c r="BB538" s="3" t="s">
        <v>5583</v>
      </c>
      <c r="BC538" s="3" t="s">
        <v>78</v>
      </c>
      <c r="BD538" s="3" t="s">
        <v>79</v>
      </c>
      <c r="BE538" s="3" t="s">
        <v>5584</v>
      </c>
      <c r="BF538" s="3" t="s">
        <v>5583</v>
      </c>
      <c r="BG538" s="3" t="s">
        <v>5585</v>
      </c>
    </row>
    <row r="539" spans="1:59" ht="72.5" x14ac:dyDescent="0.35">
      <c r="A539" s="2" t="s">
        <v>59</v>
      </c>
      <c r="B539" s="2" t="s">
        <v>94</v>
      </c>
      <c r="C539" s="2" t="s">
        <v>5586</v>
      </c>
      <c r="D539" s="2" t="s">
        <v>5587</v>
      </c>
      <c r="E539" s="2" t="s">
        <v>5588</v>
      </c>
      <c r="F539" s="3" t="s">
        <v>5589</v>
      </c>
      <c r="G539" s="3" t="s">
        <v>64</v>
      </c>
      <c r="I539" s="3" t="s">
        <v>64</v>
      </c>
      <c r="J539" s="3" t="s">
        <v>64</v>
      </c>
      <c r="K539" s="3" t="s">
        <v>65</v>
      </c>
      <c r="L539" s="2" t="s">
        <v>5590</v>
      </c>
      <c r="M539" s="2" t="s">
        <v>5591</v>
      </c>
      <c r="N539" s="3" t="s">
        <v>499</v>
      </c>
      <c r="P539" s="3" t="s">
        <v>69</v>
      </c>
      <c r="Q539" s="2" t="s">
        <v>5592</v>
      </c>
      <c r="R539" s="3" t="s">
        <v>70</v>
      </c>
      <c r="S539" s="4">
        <v>2</v>
      </c>
      <c r="T539" s="4">
        <v>2</v>
      </c>
      <c r="U539" s="5" t="s">
        <v>5593</v>
      </c>
      <c r="V539" s="5" t="s">
        <v>5593</v>
      </c>
      <c r="W539" s="5" t="s">
        <v>72</v>
      </c>
      <c r="X539" s="5" t="s">
        <v>72</v>
      </c>
      <c r="Y539" s="4">
        <v>241</v>
      </c>
      <c r="Z539" s="4">
        <v>13</v>
      </c>
      <c r="AA539" s="4">
        <v>17</v>
      </c>
      <c r="AB539" s="4">
        <v>1</v>
      </c>
      <c r="AC539" s="4">
        <v>2</v>
      </c>
      <c r="AD539" s="4">
        <v>72</v>
      </c>
      <c r="AE539" s="4">
        <v>79</v>
      </c>
      <c r="AF539" s="4">
        <v>0</v>
      </c>
      <c r="AG539" s="4">
        <v>1</v>
      </c>
      <c r="AH539" s="4">
        <v>65</v>
      </c>
      <c r="AI539" s="4">
        <v>71</v>
      </c>
      <c r="AJ539" s="4">
        <v>8</v>
      </c>
      <c r="AK539" s="4">
        <v>11</v>
      </c>
      <c r="AL539" s="4">
        <v>41</v>
      </c>
      <c r="AM539" s="4">
        <v>44</v>
      </c>
      <c r="AN539" s="4">
        <v>0</v>
      </c>
      <c r="AO539" s="4">
        <v>0</v>
      </c>
      <c r="AP539" s="4">
        <v>8</v>
      </c>
      <c r="AQ539" s="4">
        <v>12</v>
      </c>
      <c r="AR539" s="3" t="s">
        <v>64</v>
      </c>
      <c r="AS539" s="3" t="s">
        <v>64</v>
      </c>
      <c r="AT539" s="3" t="s">
        <v>64</v>
      </c>
      <c r="AV539" s="6" t="str">
        <f>HYPERLINK("http://mcgill.on.worldcat.org/oclc/62585930","Catalog Record")</f>
        <v>Catalog Record</v>
      </c>
      <c r="AW539" s="6" t="str">
        <f>HYPERLINK("http://www.worldcat.org/oclc/62585930","WorldCat Record")</f>
        <v>WorldCat Record</v>
      </c>
      <c r="AX539" s="3" t="s">
        <v>5594</v>
      </c>
      <c r="AY539" s="3" t="s">
        <v>5595</v>
      </c>
      <c r="AZ539" s="3" t="s">
        <v>5596</v>
      </c>
      <c r="BA539" s="3" t="s">
        <v>5596</v>
      </c>
      <c r="BB539" s="3" t="s">
        <v>5597</v>
      </c>
      <c r="BC539" s="3" t="s">
        <v>78</v>
      </c>
      <c r="BD539" s="3" t="s">
        <v>79</v>
      </c>
      <c r="BE539" s="3" t="s">
        <v>5598</v>
      </c>
      <c r="BF539" s="3" t="s">
        <v>5597</v>
      </c>
      <c r="BG539" s="3" t="s">
        <v>5599</v>
      </c>
    </row>
    <row r="540" spans="1:59" ht="72.5" x14ac:dyDescent="0.35">
      <c r="A540" s="2" t="s">
        <v>59</v>
      </c>
      <c r="B540" s="2" t="s">
        <v>94</v>
      </c>
      <c r="C540" s="2" t="s">
        <v>5600</v>
      </c>
      <c r="D540" s="2" t="s">
        <v>5601</v>
      </c>
      <c r="E540" s="2" t="s">
        <v>5602</v>
      </c>
      <c r="F540" s="3" t="s">
        <v>5603</v>
      </c>
      <c r="G540" s="3" t="s">
        <v>64</v>
      </c>
      <c r="I540" s="3" t="s">
        <v>64</v>
      </c>
      <c r="J540" s="3" t="s">
        <v>64</v>
      </c>
      <c r="K540" s="3" t="s">
        <v>65</v>
      </c>
      <c r="L540" s="2" t="s">
        <v>5604</v>
      </c>
      <c r="M540" s="2" t="s">
        <v>5605</v>
      </c>
      <c r="N540" s="3" t="s">
        <v>538</v>
      </c>
      <c r="P540" s="3" t="s">
        <v>69</v>
      </c>
      <c r="Q540" s="2" t="s">
        <v>5606</v>
      </c>
      <c r="R540" s="3" t="s">
        <v>70</v>
      </c>
      <c r="S540" s="4">
        <v>3</v>
      </c>
      <c r="T540" s="4">
        <v>3</v>
      </c>
      <c r="U540" s="5" t="s">
        <v>2795</v>
      </c>
      <c r="V540" s="5" t="s">
        <v>2795</v>
      </c>
      <c r="W540" s="5" t="s">
        <v>72</v>
      </c>
      <c r="X540" s="5" t="s">
        <v>72</v>
      </c>
      <c r="Y540" s="4">
        <v>270</v>
      </c>
      <c r="Z540" s="4">
        <v>16</v>
      </c>
      <c r="AA540" s="4">
        <v>22</v>
      </c>
      <c r="AB540" s="4">
        <v>1</v>
      </c>
      <c r="AC540" s="4">
        <v>4</v>
      </c>
      <c r="AD540" s="4">
        <v>75</v>
      </c>
      <c r="AE540" s="4">
        <v>82</v>
      </c>
      <c r="AF540" s="4">
        <v>0</v>
      </c>
      <c r="AG540" s="4">
        <v>1</v>
      </c>
      <c r="AH540" s="4">
        <v>66</v>
      </c>
      <c r="AI540" s="4">
        <v>73</v>
      </c>
      <c r="AJ540" s="4">
        <v>10</v>
      </c>
      <c r="AK540" s="4">
        <v>14</v>
      </c>
      <c r="AL540" s="4">
        <v>40</v>
      </c>
      <c r="AM540" s="4">
        <v>43</v>
      </c>
      <c r="AN540" s="4">
        <v>0</v>
      </c>
      <c r="AO540" s="4">
        <v>0</v>
      </c>
      <c r="AP540" s="4">
        <v>11</v>
      </c>
      <c r="AQ540" s="4">
        <v>15</v>
      </c>
      <c r="AR540" s="3" t="s">
        <v>64</v>
      </c>
      <c r="AS540" s="3" t="s">
        <v>64</v>
      </c>
      <c r="AT540" s="3" t="s">
        <v>64</v>
      </c>
      <c r="AV540" s="6" t="str">
        <f>HYPERLINK("http://mcgill.on.worldcat.org/oclc/176945872","Catalog Record")</f>
        <v>Catalog Record</v>
      </c>
      <c r="AW540" s="6" t="str">
        <f>HYPERLINK("http://www.worldcat.org/oclc/176945872","WorldCat Record")</f>
        <v>WorldCat Record</v>
      </c>
      <c r="AX540" s="3" t="s">
        <v>5607</v>
      </c>
      <c r="AY540" s="3" t="s">
        <v>5608</v>
      </c>
      <c r="AZ540" s="3" t="s">
        <v>5609</v>
      </c>
      <c r="BA540" s="3" t="s">
        <v>5609</v>
      </c>
      <c r="BB540" s="3" t="s">
        <v>5610</v>
      </c>
      <c r="BC540" s="3" t="s">
        <v>78</v>
      </c>
      <c r="BD540" s="3" t="s">
        <v>79</v>
      </c>
      <c r="BE540" s="3" t="s">
        <v>5611</v>
      </c>
      <c r="BF540" s="3" t="s">
        <v>5610</v>
      </c>
      <c r="BG540" s="3" t="s">
        <v>5612</v>
      </c>
    </row>
    <row r="541" spans="1:59" ht="72.5" x14ac:dyDescent="0.35">
      <c r="A541" s="2" t="s">
        <v>59</v>
      </c>
      <c r="B541" s="2" t="s">
        <v>94</v>
      </c>
      <c r="C541" s="2" t="s">
        <v>5613</v>
      </c>
      <c r="D541" s="2" t="s">
        <v>5614</v>
      </c>
      <c r="E541" s="2" t="s">
        <v>5615</v>
      </c>
      <c r="F541" s="3" t="s">
        <v>5616</v>
      </c>
      <c r="G541" s="3" t="s">
        <v>64</v>
      </c>
      <c r="I541" s="3" t="s">
        <v>64</v>
      </c>
      <c r="J541" s="3" t="s">
        <v>64</v>
      </c>
      <c r="K541" s="3" t="s">
        <v>65</v>
      </c>
      <c r="L541" s="2" t="s">
        <v>5617</v>
      </c>
      <c r="M541" s="2" t="s">
        <v>5618</v>
      </c>
      <c r="N541" s="3" t="s">
        <v>1029</v>
      </c>
      <c r="P541" s="3" t="s">
        <v>69</v>
      </c>
      <c r="Q541" s="2" t="s">
        <v>5619</v>
      </c>
      <c r="R541" s="3" t="s">
        <v>70</v>
      </c>
      <c r="S541" s="4">
        <v>9</v>
      </c>
      <c r="T541" s="4">
        <v>9</v>
      </c>
      <c r="U541" s="5" t="s">
        <v>5566</v>
      </c>
      <c r="V541" s="5" t="s">
        <v>5566</v>
      </c>
      <c r="W541" s="5" t="s">
        <v>72</v>
      </c>
      <c r="X541" s="5" t="s">
        <v>72</v>
      </c>
      <c r="Y541" s="4">
        <v>224</v>
      </c>
      <c r="Z541" s="4">
        <v>15</v>
      </c>
      <c r="AA541" s="4">
        <v>19</v>
      </c>
      <c r="AB541" s="4">
        <v>2</v>
      </c>
      <c r="AC541" s="4">
        <v>5</v>
      </c>
      <c r="AD541" s="4">
        <v>62</v>
      </c>
      <c r="AE541" s="4">
        <v>69</v>
      </c>
      <c r="AF541" s="4">
        <v>0</v>
      </c>
      <c r="AG541" s="4">
        <v>1</v>
      </c>
      <c r="AH541" s="4">
        <v>56</v>
      </c>
      <c r="AI541" s="4">
        <v>62</v>
      </c>
      <c r="AJ541" s="4">
        <v>9</v>
      </c>
      <c r="AK541" s="4">
        <v>11</v>
      </c>
      <c r="AL541" s="4">
        <v>36</v>
      </c>
      <c r="AM541" s="4">
        <v>39</v>
      </c>
      <c r="AN541" s="4">
        <v>0</v>
      </c>
      <c r="AO541" s="4">
        <v>0</v>
      </c>
      <c r="AP541" s="4">
        <v>9</v>
      </c>
      <c r="AQ541" s="4">
        <v>11</v>
      </c>
      <c r="AR541" s="3" t="s">
        <v>64</v>
      </c>
      <c r="AS541" s="3" t="s">
        <v>64</v>
      </c>
      <c r="AT541" s="3" t="s">
        <v>73</v>
      </c>
      <c r="AU541" s="6" t="str">
        <f>HYPERLINK("http://catalog.hathitrust.org/Record/007960227","HathiTrust Record")</f>
        <v>HathiTrust Record</v>
      </c>
      <c r="AV541" s="6" t="str">
        <f>HYPERLINK("http://mcgill.on.worldcat.org/oclc/310391474","Catalog Record")</f>
        <v>Catalog Record</v>
      </c>
      <c r="AW541" s="6" t="str">
        <f>HYPERLINK("http://www.worldcat.org/oclc/310391474","WorldCat Record")</f>
        <v>WorldCat Record</v>
      </c>
      <c r="AX541" s="3" t="s">
        <v>5620</v>
      </c>
      <c r="AY541" s="3" t="s">
        <v>5621</v>
      </c>
      <c r="AZ541" s="3" t="s">
        <v>5622</v>
      </c>
      <c r="BA541" s="3" t="s">
        <v>5622</v>
      </c>
      <c r="BB541" s="3" t="s">
        <v>5623</v>
      </c>
      <c r="BC541" s="3" t="s">
        <v>78</v>
      </c>
      <c r="BD541" s="3" t="s">
        <v>79</v>
      </c>
      <c r="BE541" s="3" t="s">
        <v>5624</v>
      </c>
      <c r="BF541" s="3" t="s">
        <v>5623</v>
      </c>
      <c r="BG541" s="3" t="s">
        <v>5625</v>
      </c>
    </row>
    <row r="542" spans="1:59" ht="72.5" x14ac:dyDescent="0.35">
      <c r="A542" s="2" t="s">
        <v>59</v>
      </c>
      <c r="B542" s="2" t="s">
        <v>94</v>
      </c>
      <c r="C542" s="2" t="s">
        <v>5626</v>
      </c>
      <c r="D542" s="2" t="s">
        <v>5627</v>
      </c>
      <c r="E542" s="2" t="s">
        <v>5628</v>
      </c>
      <c r="F542" s="3" t="s">
        <v>5629</v>
      </c>
      <c r="G542" s="3" t="s">
        <v>64</v>
      </c>
      <c r="I542" s="3" t="s">
        <v>64</v>
      </c>
      <c r="J542" s="3" t="s">
        <v>64</v>
      </c>
      <c r="K542" s="3" t="s">
        <v>65</v>
      </c>
      <c r="L542" s="2" t="s">
        <v>5630</v>
      </c>
      <c r="M542" s="2" t="s">
        <v>5631</v>
      </c>
      <c r="N542" s="3" t="s">
        <v>1267</v>
      </c>
      <c r="P542" s="3" t="s">
        <v>69</v>
      </c>
      <c r="Q542" s="2" t="s">
        <v>5632</v>
      </c>
      <c r="R542" s="3" t="s">
        <v>70</v>
      </c>
      <c r="S542" s="4">
        <v>5</v>
      </c>
      <c r="T542" s="4">
        <v>5</v>
      </c>
      <c r="U542" s="5" t="s">
        <v>1802</v>
      </c>
      <c r="V542" s="5" t="s">
        <v>1802</v>
      </c>
      <c r="W542" s="5" t="s">
        <v>72</v>
      </c>
      <c r="X542" s="5" t="s">
        <v>72</v>
      </c>
      <c r="Y542" s="4">
        <v>123</v>
      </c>
      <c r="Z542" s="4">
        <v>12</v>
      </c>
      <c r="AA542" s="4">
        <v>14</v>
      </c>
      <c r="AB542" s="4">
        <v>1</v>
      </c>
      <c r="AC542" s="4">
        <v>3</v>
      </c>
      <c r="AD542" s="4">
        <v>47</v>
      </c>
      <c r="AE542" s="4">
        <v>52</v>
      </c>
      <c r="AF542" s="4">
        <v>0</v>
      </c>
      <c r="AG542" s="4">
        <v>2</v>
      </c>
      <c r="AH542" s="4">
        <v>39</v>
      </c>
      <c r="AI542" s="4">
        <v>43</v>
      </c>
      <c r="AJ542" s="4">
        <v>7</v>
      </c>
      <c r="AK542" s="4">
        <v>9</v>
      </c>
      <c r="AL542" s="4">
        <v>31</v>
      </c>
      <c r="AM542" s="4">
        <v>33</v>
      </c>
      <c r="AN542" s="4">
        <v>0</v>
      </c>
      <c r="AO542" s="4">
        <v>0</v>
      </c>
      <c r="AP542" s="4">
        <v>9</v>
      </c>
      <c r="AQ542" s="4">
        <v>11</v>
      </c>
      <c r="AR542" s="3" t="s">
        <v>64</v>
      </c>
      <c r="AS542" s="3" t="s">
        <v>64</v>
      </c>
      <c r="AT542" s="3" t="s">
        <v>64</v>
      </c>
      <c r="AV542" s="6" t="str">
        <f>HYPERLINK("http://mcgill.on.worldcat.org/oclc/194269","Catalog Record")</f>
        <v>Catalog Record</v>
      </c>
      <c r="AW542" s="6" t="str">
        <f>HYPERLINK("http://www.worldcat.org/oclc/194269","WorldCat Record")</f>
        <v>WorldCat Record</v>
      </c>
      <c r="AX542" s="3" t="s">
        <v>5633</v>
      </c>
      <c r="AY542" s="3" t="s">
        <v>5634</v>
      </c>
      <c r="AZ542" s="3" t="s">
        <v>5635</v>
      </c>
      <c r="BA542" s="3" t="s">
        <v>5635</v>
      </c>
      <c r="BB542" s="3" t="s">
        <v>5636</v>
      </c>
      <c r="BC542" s="3" t="s">
        <v>78</v>
      </c>
      <c r="BD542" s="3" t="s">
        <v>79</v>
      </c>
      <c r="BE542" s="3" t="s">
        <v>5637</v>
      </c>
      <c r="BF542" s="3" t="s">
        <v>5636</v>
      </c>
      <c r="BG542" s="3" t="s">
        <v>5638</v>
      </c>
    </row>
    <row r="543" spans="1:59" ht="58" x14ac:dyDescent="0.35">
      <c r="A543" s="2" t="s">
        <v>59</v>
      </c>
      <c r="B543" s="2" t="s">
        <v>94</v>
      </c>
      <c r="C543" s="2" t="s">
        <v>5639</v>
      </c>
      <c r="D543" s="2" t="s">
        <v>5640</v>
      </c>
      <c r="E543" s="2" t="s">
        <v>5641</v>
      </c>
      <c r="G543" s="3" t="s">
        <v>64</v>
      </c>
      <c r="I543" s="3" t="s">
        <v>64</v>
      </c>
      <c r="J543" s="3" t="s">
        <v>64</v>
      </c>
      <c r="K543" s="3" t="s">
        <v>2292</v>
      </c>
      <c r="L543" s="2" t="s">
        <v>5642</v>
      </c>
      <c r="M543" s="2" t="s">
        <v>5643</v>
      </c>
      <c r="N543" s="3" t="s">
        <v>1267</v>
      </c>
      <c r="O543" s="2" t="s">
        <v>3327</v>
      </c>
      <c r="P543" s="3" t="s">
        <v>69</v>
      </c>
      <c r="Q543" s="2" t="s">
        <v>5644</v>
      </c>
      <c r="R543" s="3" t="s">
        <v>70</v>
      </c>
      <c r="S543" s="4">
        <v>7</v>
      </c>
      <c r="T543" s="4">
        <v>7</v>
      </c>
      <c r="U543" s="5" t="s">
        <v>5645</v>
      </c>
      <c r="V543" s="5" t="s">
        <v>5645</v>
      </c>
      <c r="W543" s="5" t="s">
        <v>72</v>
      </c>
      <c r="X543" s="5" t="s">
        <v>72</v>
      </c>
      <c r="Y543" s="4">
        <v>124</v>
      </c>
      <c r="Z543" s="4">
        <v>10</v>
      </c>
      <c r="AA543" s="4">
        <v>15</v>
      </c>
      <c r="AB543" s="4">
        <v>1</v>
      </c>
      <c r="AC543" s="4">
        <v>1</v>
      </c>
      <c r="AD543" s="4">
        <v>36</v>
      </c>
      <c r="AE543" s="4">
        <v>67</v>
      </c>
      <c r="AF543" s="4">
        <v>0</v>
      </c>
      <c r="AG543" s="4">
        <v>0</v>
      </c>
      <c r="AH543" s="4">
        <v>33</v>
      </c>
      <c r="AI543" s="4">
        <v>62</v>
      </c>
      <c r="AJ543" s="4">
        <v>7</v>
      </c>
      <c r="AK543" s="4">
        <v>9</v>
      </c>
      <c r="AL543" s="4">
        <v>14</v>
      </c>
      <c r="AM543" s="4">
        <v>34</v>
      </c>
      <c r="AN543" s="4">
        <v>0</v>
      </c>
      <c r="AO543" s="4">
        <v>0</v>
      </c>
      <c r="AP543" s="4">
        <v>8</v>
      </c>
      <c r="AQ543" s="4">
        <v>11</v>
      </c>
      <c r="AR543" s="3" t="s">
        <v>64</v>
      </c>
      <c r="AS543" s="3" t="s">
        <v>64</v>
      </c>
      <c r="AT543" s="3" t="s">
        <v>64</v>
      </c>
      <c r="AV543" s="6" t="str">
        <f>HYPERLINK("http://mcgill.on.worldcat.org/oclc/2321","Catalog Record")</f>
        <v>Catalog Record</v>
      </c>
      <c r="AW543" s="6" t="str">
        <f>HYPERLINK("http://www.worldcat.org/oclc/2321","WorldCat Record")</f>
        <v>WorldCat Record</v>
      </c>
      <c r="AX543" s="3" t="s">
        <v>5646</v>
      </c>
      <c r="AY543" s="3" t="s">
        <v>5647</v>
      </c>
      <c r="AZ543" s="3" t="s">
        <v>5648</v>
      </c>
      <c r="BA543" s="3" t="s">
        <v>5648</v>
      </c>
      <c r="BB543" s="3" t="s">
        <v>5649</v>
      </c>
      <c r="BC543" s="3" t="s">
        <v>78</v>
      </c>
      <c r="BD543" s="3" t="s">
        <v>79</v>
      </c>
      <c r="BF543" s="3" t="s">
        <v>5649</v>
      </c>
      <c r="BG543" s="3" t="s">
        <v>5650</v>
      </c>
    </row>
    <row r="544" spans="1:59" ht="58" x14ac:dyDescent="0.35">
      <c r="A544" s="2" t="s">
        <v>59</v>
      </c>
      <c r="B544" s="2" t="s">
        <v>94</v>
      </c>
      <c r="C544" s="2" t="s">
        <v>5651</v>
      </c>
      <c r="D544" s="2" t="s">
        <v>5652</v>
      </c>
      <c r="E544" s="2" t="s">
        <v>5653</v>
      </c>
      <c r="G544" s="3" t="s">
        <v>64</v>
      </c>
      <c r="I544" s="3" t="s">
        <v>64</v>
      </c>
      <c r="J544" s="3" t="s">
        <v>64</v>
      </c>
      <c r="K544" s="3" t="s">
        <v>65</v>
      </c>
      <c r="M544" s="2" t="s">
        <v>5654</v>
      </c>
      <c r="N544" s="3" t="s">
        <v>2214</v>
      </c>
      <c r="P544" s="3" t="s">
        <v>69</v>
      </c>
      <c r="R544" s="3" t="s">
        <v>70</v>
      </c>
      <c r="S544" s="4">
        <v>25</v>
      </c>
      <c r="T544" s="4">
        <v>25</v>
      </c>
      <c r="U544" s="5" t="s">
        <v>5655</v>
      </c>
      <c r="V544" s="5" t="s">
        <v>5655</v>
      </c>
      <c r="W544" s="5" t="s">
        <v>72</v>
      </c>
      <c r="X544" s="5" t="s">
        <v>72</v>
      </c>
      <c r="Y544" s="4">
        <v>362</v>
      </c>
      <c r="Z544" s="4">
        <v>17</v>
      </c>
      <c r="AA544" s="4">
        <v>35</v>
      </c>
      <c r="AB544" s="4">
        <v>3</v>
      </c>
      <c r="AC544" s="4">
        <v>5</v>
      </c>
      <c r="AD544" s="4">
        <v>82</v>
      </c>
      <c r="AE544" s="4">
        <v>110</v>
      </c>
      <c r="AF544" s="4">
        <v>1</v>
      </c>
      <c r="AG544" s="4">
        <v>3</v>
      </c>
      <c r="AH544" s="4">
        <v>71</v>
      </c>
      <c r="AI544" s="4">
        <v>90</v>
      </c>
      <c r="AJ544" s="4">
        <v>8</v>
      </c>
      <c r="AK544" s="4">
        <v>20</v>
      </c>
      <c r="AL544" s="4">
        <v>43</v>
      </c>
      <c r="AM544" s="4">
        <v>50</v>
      </c>
      <c r="AN544" s="4">
        <v>0</v>
      </c>
      <c r="AO544" s="4">
        <v>5</v>
      </c>
      <c r="AP544" s="4">
        <v>13</v>
      </c>
      <c r="AQ544" s="4">
        <v>27</v>
      </c>
      <c r="AR544" s="3" t="s">
        <v>64</v>
      </c>
      <c r="AS544" s="3" t="s">
        <v>64</v>
      </c>
      <c r="AT544" s="3" t="s">
        <v>73</v>
      </c>
      <c r="AU544" s="6" t="str">
        <f>HYPERLINK("http://catalog.hathitrust.org/Record/000254587","HathiTrust Record")</f>
        <v>HathiTrust Record</v>
      </c>
      <c r="AV544" s="6" t="str">
        <f>HYPERLINK("http://mcgill.on.worldcat.org/oclc/1916921","Catalog Record")</f>
        <v>Catalog Record</v>
      </c>
      <c r="AW544" s="6" t="str">
        <f>HYPERLINK("http://www.worldcat.org/oclc/1916921","WorldCat Record")</f>
        <v>WorldCat Record</v>
      </c>
      <c r="AX544" s="3" t="s">
        <v>5656</v>
      </c>
      <c r="AY544" s="3" t="s">
        <v>5657</v>
      </c>
      <c r="AZ544" s="3" t="s">
        <v>5658</v>
      </c>
      <c r="BA544" s="3" t="s">
        <v>5658</v>
      </c>
      <c r="BB544" s="3" t="s">
        <v>5659</v>
      </c>
      <c r="BC544" s="3" t="s">
        <v>78</v>
      </c>
      <c r="BD544" s="3" t="s">
        <v>79</v>
      </c>
      <c r="BE544" s="3" t="s">
        <v>5660</v>
      </c>
      <c r="BF544" s="3" t="s">
        <v>5659</v>
      </c>
      <c r="BG544" s="3" t="s">
        <v>5661</v>
      </c>
    </row>
    <row r="545" spans="1:59" ht="58" x14ac:dyDescent="0.35">
      <c r="A545" s="2" t="s">
        <v>59</v>
      </c>
      <c r="B545" s="2" t="s">
        <v>94</v>
      </c>
      <c r="C545" s="2" t="s">
        <v>5662</v>
      </c>
      <c r="D545" s="2" t="s">
        <v>5663</v>
      </c>
      <c r="E545" s="2" t="s">
        <v>5664</v>
      </c>
      <c r="F545" s="3" t="s">
        <v>388</v>
      </c>
      <c r="G545" s="3" t="s">
        <v>73</v>
      </c>
      <c r="I545" s="3" t="s">
        <v>73</v>
      </c>
      <c r="J545" s="3" t="s">
        <v>64</v>
      </c>
      <c r="K545" s="3" t="s">
        <v>65</v>
      </c>
      <c r="M545" s="2" t="s">
        <v>5665</v>
      </c>
      <c r="N545" s="3" t="s">
        <v>315</v>
      </c>
      <c r="O545" s="2" t="s">
        <v>5666</v>
      </c>
      <c r="P545" s="3" t="s">
        <v>69</v>
      </c>
      <c r="R545" s="3" t="s">
        <v>70</v>
      </c>
      <c r="S545" s="4">
        <v>15</v>
      </c>
      <c r="T545" s="4">
        <v>30</v>
      </c>
      <c r="U545" s="5" t="s">
        <v>5667</v>
      </c>
      <c r="V545" s="5" t="s">
        <v>3496</v>
      </c>
      <c r="W545" s="5" t="s">
        <v>72</v>
      </c>
      <c r="X545" s="5" t="s">
        <v>72</v>
      </c>
      <c r="Y545" s="4">
        <v>238</v>
      </c>
      <c r="Z545" s="4">
        <v>20</v>
      </c>
      <c r="AA545" s="4">
        <v>21</v>
      </c>
      <c r="AB545" s="4">
        <v>2</v>
      </c>
      <c r="AC545" s="4">
        <v>3</v>
      </c>
      <c r="AD545" s="4">
        <v>86</v>
      </c>
      <c r="AE545" s="4">
        <v>87</v>
      </c>
      <c r="AF545" s="4">
        <v>1</v>
      </c>
      <c r="AG545" s="4">
        <v>2</v>
      </c>
      <c r="AH545" s="4">
        <v>74</v>
      </c>
      <c r="AI545" s="4">
        <v>74</v>
      </c>
      <c r="AJ545" s="4">
        <v>15</v>
      </c>
      <c r="AK545" s="4">
        <v>16</v>
      </c>
      <c r="AL545" s="4">
        <v>41</v>
      </c>
      <c r="AM545" s="4">
        <v>41</v>
      </c>
      <c r="AN545" s="4">
        <v>0</v>
      </c>
      <c r="AO545" s="4">
        <v>0</v>
      </c>
      <c r="AP545" s="4">
        <v>18</v>
      </c>
      <c r="AQ545" s="4">
        <v>18</v>
      </c>
      <c r="AR545" s="3" t="s">
        <v>64</v>
      </c>
      <c r="AS545" s="3" t="s">
        <v>64</v>
      </c>
      <c r="AT545" s="3" t="s">
        <v>73</v>
      </c>
      <c r="AU545" s="6" t="str">
        <f>HYPERLINK("http://catalog.hathitrust.org/Record/000815006","HathiTrust Record")</f>
        <v>HathiTrust Record</v>
      </c>
      <c r="AV545" s="6" t="str">
        <f>HYPERLINK("http://mcgill.on.worldcat.org/oclc/14214560","Catalog Record")</f>
        <v>Catalog Record</v>
      </c>
      <c r="AW545" s="6" t="str">
        <f>HYPERLINK("http://www.worldcat.org/oclc/14214560","WorldCat Record")</f>
        <v>WorldCat Record</v>
      </c>
      <c r="AX545" s="3" t="s">
        <v>5668</v>
      </c>
      <c r="AY545" s="3" t="s">
        <v>5669</v>
      </c>
      <c r="AZ545" s="3" t="s">
        <v>5670</v>
      </c>
      <c r="BA545" s="3" t="s">
        <v>5670</v>
      </c>
      <c r="BB545" s="3" t="s">
        <v>5671</v>
      </c>
      <c r="BC545" s="3" t="s">
        <v>78</v>
      </c>
      <c r="BD545" s="3" t="s">
        <v>79</v>
      </c>
      <c r="BE545" s="3" t="s">
        <v>5672</v>
      </c>
      <c r="BF545" s="3" t="s">
        <v>5671</v>
      </c>
      <c r="BG545" s="3" t="s">
        <v>5673</v>
      </c>
    </row>
    <row r="546" spans="1:59" ht="58" x14ac:dyDescent="0.35">
      <c r="A546" s="2" t="s">
        <v>59</v>
      </c>
      <c r="B546" s="2" t="s">
        <v>94</v>
      </c>
      <c r="C546" s="2" t="s">
        <v>5662</v>
      </c>
      <c r="D546" s="2" t="s">
        <v>5663</v>
      </c>
      <c r="E546" s="2" t="s">
        <v>5664</v>
      </c>
      <c r="F546" s="3" t="s">
        <v>388</v>
      </c>
      <c r="G546" s="3" t="s">
        <v>73</v>
      </c>
      <c r="I546" s="3" t="s">
        <v>73</v>
      </c>
      <c r="J546" s="3" t="s">
        <v>64</v>
      </c>
      <c r="K546" s="3" t="s">
        <v>65</v>
      </c>
      <c r="M546" s="2" t="s">
        <v>5665</v>
      </c>
      <c r="N546" s="3" t="s">
        <v>315</v>
      </c>
      <c r="O546" s="2" t="s">
        <v>5666</v>
      </c>
      <c r="P546" s="3" t="s">
        <v>69</v>
      </c>
      <c r="R546" s="3" t="s">
        <v>70</v>
      </c>
      <c r="S546" s="4">
        <v>15</v>
      </c>
      <c r="T546" s="4">
        <v>30</v>
      </c>
      <c r="U546" s="5" t="s">
        <v>3496</v>
      </c>
      <c r="V546" s="5" t="s">
        <v>3496</v>
      </c>
      <c r="W546" s="5" t="s">
        <v>72</v>
      </c>
      <c r="X546" s="5" t="s">
        <v>72</v>
      </c>
      <c r="Y546" s="4">
        <v>238</v>
      </c>
      <c r="Z546" s="4">
        <v>20</v>
      </c>
      <c r="AA546" s="4">
        <v>21</v>
      </c>
      <c r="AB546" s="4">
        <v>2</v>
      </c>
      <c r="AC546" s="4">
        <v>3</v>
      </c>
      <c r="AD546" s="4">
        <v>86</v>
      </c>
      <c r="AE546" s="4">
        <v>87</v>
      </c>
      <c r="AF546" s="4">
        <v>1</v>
      </c>
      <c r="AG546" s="4">
        <v>2</v>
      </c>
      <c r="AH546" s="4">
        <v>74</v>
      </c>
      <c r="AI546" s="4">
        <v>74</v>
      </c>
      <c r="AJ546" s="4">
        <v>15</v>
      </c>
      <c r="AK546" s="4">
        <v>16</v>
      </c>
      <c r="AL546" s="4">
        <v>41</v>
      </c>
      <c r="AM546" s="4">
        <v>41</v>
      </c>
      <c r="AN546" s="4">
        <v>0</v>
      </c>
      <c r="AO546" s="4">
        <v>0</v>
      </c>
      <c r="AP546" s="4">
        <v>18</v>
      </c>
      <c r="AQ546" s="4">
        <v>18</v>
      </c>
      <c r="AR546" s="3" t="s">
        <v>64</v>
      </c>
      <c r="AS546" s="3" t="s">
        <v>64</v>
      </c>
      <c r="AT546" s="3" t="s">
        <v>73</v>
      </c>
      <c r="AU546" s="6" t="str">
        <f>HYPERLINK("http://catalog.hathitrust.org/Record/000815006","HathiTrust Record")</f>
        <v>HathiTrust Record</v>
      </c>
      <c r="AV546" s="6" t="str">
        <f>HYPERLINK("http://mcgill.on.worldcat.org/oclc/14214560","Catalog Record")</f>
        <v>Catalog Record</v>
      </c>
      <c r="AW546" s="6" t="str">
        <f>HYPERLINK("http://www.worldcat.org/oclc/14214560","WorldCat Record")</f>
        <v>WorldCat Record</v>
      </c>
      <c r="AX546" s="3" t="s">
        <v>5668</v>
      </c>
      <c r="AY546" s="3" t="s">
        <v>5669</v>
      </c>
      <c r="AZ546" s="3" t="s">
        <v>5670</v>
      </c>
      <c r="BA546" s="3" t="s">
        <v>5670</v>
      </c>
      <c r="BB546" s="3" t="s">
        <v>5674</v>
      </c>
      <c r="BC546" s="3" t="s">
        <v>78</v>
      </c>
      <c r="BD546" s="3" t="s">
        <v>79</v>
      </c>
      <c r="BE546" s="3" t="s">
        <v>5672</v>
      </c>
      <c r="BF546" s="3" t="s">
        <v>5674</v>
      </c>
      <c r="BG546" s="3" t="s">
        <v>5675</v>
      </c>
    </row>
    <row r="547" spans="1:59" ht="58" x14ac:dyDescent="0.35">
      <c r="A547" s="2" t="s">
        <v>59</v>
      </c>
      <c r="B547" s="2" t="s">
        <v>94</v>
      </c>
      <c r="C547" s="2" t="s">
        <v>5676</v>
      </c>
      <c r="D547" s="2" t="s">
        <v>5677</v>
      </c>
      <c r="E547" s="2" t="s">
        <v>5678</v>
      </c>
      <c r="G547" s="3" t="s">
        <v>64</v>
      </c>
      <c r="I547" s="3" t="s">
        <v>64</v>
      </c>
      <c r="J547" s="3" t="s">
        <v>64</v>
      </c>
      <c r="K547" s="3" t="s">
        <v>65</v>
      </c>
      <c r="M547" s="2" t="s">
        <v>5679</v>
      </c>
      <c r="N547" s="3" t="s">
        <v>328</v>
      </c>
      <c r="P547" s="3" t="s">
        <v>69</v>
      </c>
      <c r="R547" s="3" t="s">
        <v>70</v>
      </c>
      <c r="S547" s="4">
        <v>2</v>
      </c>
      <c r="T547" s="4">
        <v>2</v>
      </c>
      <c r="U547" s="5" t="s">
        <v>5680</v>
      </c>
      <c r="V547" s="5" t="s">
        <v>5680</v>
      </c>
      <c r="W547" s="5" t="s">
        <v>72</v>
      </c>
      <c r="X547" s="5" t="s">
        <v>72</v>
      </c>
      <c r="Y547" s="4">
        <v>106</v>
      </c>
      <c r="Z547" s="4">
        <v>9</v>
      </c>
      <c r="AA547" s="4">
        <v>22</v>
      </c>
      <c r="AB547" s="4">
        <v>1</v>
      </c>
      <c r="AC547" s="4">
        <v>6</v>
      </c>
      <c r="AD547" s="4">
        <v>50</v>
      </c>
      <c r="AE547" s="4">
        <v>65</v>
      </c>
      <c r="AF547" s="4">
        <v>0</v>
      </c>
      <c r="AG547" s="4">
        <v>2</v>
      </c>
      <c r="AH547" s="4">
        <v>45</v>
      </c>
      <c r="AI547" s="4">
        <v>55</v>
      </c>
      <c r="AJ547" s="4">
        <v>6</v>
      </c>
      <c r="AK547" s="4">
        <v>13</v>
      </c>
      <c r="AL547" s="4">
        <v>27</v>
      </c>
      <c r="AM547" s="4">
        <v>31</v>
      </c>
      <c r="AN547" s="4">
        <v>0</v>
      </c>
      <c r="AO547" s="4">
        <v>0</v>
      </c>
      <c r="AP547" s="4">
        <v>6</v>
      </c>
      <c r="AQ547" s="4">
        <v>15</v>
      </c>
      <c r="AR547" s="3" t="s">
        <v>64</v>
      </c>
      <c r="AS547" s="3" t="s">
        <v>64</v>
      </c>
      <c r="AT547" s="3" t="s">
        <v>64</v>
      </c>
      <c r="AV547" s="6" t="str">
        <f>HYPERLINK("http://mcgill.on.worldcat.org/oclc/689008077","Catalog Record")</f>
        <v>Catalog Record</v>
      </c>
      <c r="AW547" s="6" t="str">
        <f>HYPERLINK("http://www.worldcat.org/oclc/689008077","WorldCat Record")</f>
        <v>WorldCat Record</v>
      </c>
      <c r="AX547" s="3" t="s">
        <v>5681</v>
      </c>
      <c r="AY547" s="3" t="s">
        <v>5682</v>
      </c>
      <c r="AZ547" s="3" t="s">
        <v>5683</v>
      </c>
      <c r="BA547" s="3" t="s">
        <v>5683</v>
      </c>
      <c r="BB547" s="3" t="s">
        <v>5684</v>
      </c>
      <c r="BC547" s="3" t="s">
        <v>78</v>
      </c>
      <c r="BD547" s="3" t="s">
        <v>79</v>
      </c>
      <c r="BE547" s="3" t="s">
        <v>5685</v>
      </c>
      <c r="BF547" s="3" t="s">
        <v>5684</v>
      </c>
      <c r="BG547" s="3" t="s">
        <v>5686</v>
      </c>
    </row>
    <row r="548" spans="1:59" ht="87" x14ac:dyDescent="0.35">
      <c r="A548" s="2" t="s">
        <v>59</v>
      </c>
      <c r="B548" s="2" t="s">
        <v>94</v>
      </c>
      <c r="C548" s="2" t="s">
        <v>5687</v>
      </c>
      <c r="D548" s="2" t="s">
        <v>5688</v>
      </c>
      <c r="E548" s="2" t="s">
        <v>5689</v>
      </c>
      <c r="G548" s="3" t="s">
        <v>64</v>
      </c>
      <c r="I548" s="3" t="s">
        <v>64</v>
      </c>
      <c r="J548" s="3" t="s">
        <v>64</v>
      </c>
      <c r="K548" s="3" t="s">
        <v>65</v>
      </c>
      <c r="L548" s="2" t="s">
        <v>5690</v>
      </c>
      <c r="M548" s="2" t="s">
        <v>5691</v>
      </c>
      <c r="N548" s="3" t="s">
        <v>5692</v>
      </c>
      <c r="P548" s="3" t="s">
        <v>69</v>
      </c>
      <c r="R548" s="3" t="s">
        <v>70</v>
      </c>
      <c r="S548" s="4">
        <v>4</v>
      </c>
      <c r="T548" s="4">
        <v>4</v>
      </c>
      <c r="U548" s="5" t="s">
        <v>5693</v>
      </c>
      <c r="V548" s="5" t="s">
        <v>5693</v>
      </c>
      <c r="W548" s="5" t="s">
        <v>72</v>
      </c>
      <c r="X548" s="5" t="s">
        <v>72</v>
      </c>
      <c r="Y548" s="4">
        <v>241</v>
      </c>
      <c r="Z548" s="4">
        <v>11</v>
      </c>
      <c r="AA548" s="4">
        <v>15</v>
      </c>
      <c r="AB548" s="4">
        <v>2</v>
      </c>
      <c r="AC548" s="4">
        <v>4</v>
      </c>
      <c r="AD548" s="4">
        <v>74</v>
      </c>
      <c r="AE548" s="4">
        <v>81</v>
      </c>
      <c r="AF548" s="4">
        <v>1</v>
      </c>
      <c r="AG548" s="4">
        <v>1</v>
      </c>
      <c r="AH548" s="4">
        <v>69</v>
      </c>
      <c r="AI548" s="4">
        <v>75</v>
      </c>
      <c r="AJ548" s="4">
        <v>8</v>
      </c>
      <c r="AK548" s="4">
        <v>9</v>
      </c>
      <c r="AL548" s="4">
        <v>42</v>
      </c>
      <c r="AM548" s="4">
        <v>45</v>
      </c>
      <c r="AN548" s="4">
        <v>0</v>
      </c>
      <c r="AO548" s="4">
        <v>0</v>
      </c>
      <c r="AP548" s="4">
        <v>7</v>
      </c>
      <c r="AQ548" s="4">
        <v>9</v>
      </c>
      <c r="AR548" s="3" t="s">
        <v>64</v>
      </c>
      <c r="AS548" s="3" t="s">
        <v>64</v>
      </c>
      <c r="AT548" s="3" t="s">
        <v>73</v>
      </c>
      <c r="AU548" s="6" t="str">
        <f>HYPERLINK("http://catalog.hathitrust.org/Record/001047264","HathiTrust Record")</f>
        <v>HathiTrust Record</v>
      </c>
      <c r="AV548" s="6" t="str">
        <f>HYPERLINK("http://mcgill.on.worldcat.org/oclc/347101","Catalog Record")</f>
        <v>Catalog Record</v>
      </c>
      <c r="AW548" s="6" t="str">
        <f>HYPERLINK("http://www.worldcat.org/oclc/347101","WorldCat Record")</f>
        <v>WorldCat Record</v>
      </c>
      <c r="AX548" s="3" t="s">
        <v>5694</v>
      </c>
      <c r="AY548" s="3" t="s">
        <v>5695</v>
      </c>
      <c r="AZ548" s="3" t="s">
        <v>5696</v>
      </c>
      <c r="BA548" s="3" t="s">
        <v>5696</v>
      </c>
      <c r="BB548" s="3" t="s">
        <v>5697</v>
      </c>
      <c r="BC548" s="3" t="s">
        <v>78</v>
      </c>
      <c r="BD548" s="3" t="s">
        <v>79</v>
      </c>
      <c r="BF548" s="3" t="s">
        <v>5697</v>
      </c>
      <c r="BG548" s="3" t="s">
        <v>5698</v>
      </c>
    </row>
    <row r="549" spans="1:59" ht="58" x14ac:dyDescent="0.35">
      <c r="A549" s="2" t="s">
        <v>59</v>
      </c>
      <c r="B549" s="2" t="s">
        <v>94</v>
      </c>
      <c r="C549" s="2" t="s">
        <v>5699</v>
      </c>
      <c r="D549" s="2" t="s">
        <v>5700</v>
      </c>
      <c r="E549" s="2" t="s">
        <v>5701</v>
      </c>
      <c r="G549" s="3" t="s">
        <v>64</v>
      </c>
      <c r="I549" s="3" t="s">
        <v>64</v>
      </c>
      <c r="J549" s="3" t="s">
        <v>64</v>
      </c>
      <c r="K549" s="3" t="s">
        <v>65</v>
      </c>
      <c r="L549" s="2" t="s">
        <v>625</v>
      </c>
      <c r="M549" s="2" t="s">
        <v>5702</v>
      </c>
      <c r="N549" s="3" t="s">
        <v>861</v>
      </c>
      <c r="P549" s="3" t="s">
        <v>69</v>
      </c>
      <c r="Q549" s="2" t="s">
        <v>5703</v>
      </c>
      <c r="R549" s="3" t="s">
        <v>70</v>
      </c>
      <c r="S549" s="4">
        <v>7</v>
      </c>
      <c r="T549" s="4">
        <v>7</v>
      </c>
      <c r="U549" s="5" t="s">
        <v>5704</v>
      </c>
      <c r="V549" s="5" t="s">
        <v>5704</v>
      </c>
      <c r="W549" s="5" t="s">
        <v>72</v>
      </c>
      <c r="X549" s="5" t="s">
        <v>72</v>
      </c>
      <c r="Y549" s="4">
        <v>17</v>
      </c>
      <c r="Z549" s="4">
        <v>2</v>
      </c>
      <c r="AA549" s="4">
        <v>78</v>
      </c>
      <c r="AB549" s="4">
        <v>1</v>
      </c>
      <c r="AC549" s="4">
        <v>15</v>
      </c>
      <c r="AD549" s="4">
        <v>1</v>
      </c>
      <c r="AE549" s="4">
        <v>116</v>
      </c>
      <c r="AF549" s="4">
        <v>0</v>
      </c>
      <c r="AG549" s="4">
        <v>8</v>
      </c>
      <c r="AH549" s="4">
        <v>1</v>
      </c>
      <c r="AI549" s="4">
        <v>85</v>
      </c>
      <c r="AJ549" s="4">
        <v>1</v>
      </c>
      <c r="AK549" s="4">
        <v>22</v>
      </c>
      <c r="AL549" s="4">
        <v>0</v>
      </c>
      <c r="AM549" s="4">
        <v>41</v>
      </c>
      <c r="AN549" s="4">
        <v>0</v>
      </c>
      <c r="AO549" s="4">
        <v>0</v>
      </c>
      <c r="AP549" s="4">
        <v>1</v>
      </c>
      <c r="AQ549" s="4">
        <v>39</v>
      </c>
      <c r="AR549" s="3" t="s">
        <v>64</v>
      </c>
      <c r="AS549" s="3" t="s">
        <v>64</v>
      </c>
      <c r="AT549" s="3" t="s">
        <v>64</v>
      </c>
      <c r="AV549" s="6" t="str">
        <f>HYPERLINK("http://mcgill.on.worldcat.org/oclc/53388656","Catalog Record")</f>
        <v>Catalog Record</v>
      </c>
      <c r="AW549" s="6" t="str">
        <f>HYPERLINK("http://www.worldcat.org/oclc/53388656","WorldCat Record")</f>
        <v>WorldCat Record</v>
      </c>
      <c r="AX549" s="3" t="s">
        <v>5705</v>
      </c>
      <c r="AY549" s="3" t="s">
        <v>5706</v>
      </c>
      <c r="AZ549" s="3" t="s">
        <v>5707</v>
      </c>
      <c r="BA549" s="3" t="s">
        <v>5707</v>
      </c>
      <c r="BB549" s="3" t="s">
        <v>5708</v>
      </c>
      <c r="BC549" s="3" t="s">
        <v>78</v>
      </c>
      <c r="BD549" s="3" t="s">
        <v>79</v>
      </c>
      <c r="BE549" s="3" t="s">
        <v>5709</v>
      </c>
      <c r="BF549" s="3" t="s">
        <v>5708</v>
      </c>
      <c r="BG549" s="3" t="s">
        <v>5710</v>
      </c>
    </row>
    <row r="550" spans="1:59" ht="58" x14ac:dyDescent="0.35">
      <c r="A550" s="2" t="s">
        <v>59</v>
      </c>
      <c r="B550" s="2" t="s">
        <v>94</v>
      </c>
      <c r="C550" s="2" t="s">
        <v>5711</v>
      </c>
      <c r="D550" s="2" t="s">
        <v>5712</v>
      </c>
      <c r="E550" s="2" t="s">
        <v>5713</v>
      </c>
      <c r="G550" s="3" t="s">
        <v>64</v>
      </c>
      <c r="I550" s="3" t="s">
        <v>64</v>
      </c>
      <c r="J550" s="3" t="s">
        <v>64</v>
      </c>
      <c r="K550" s="3" t="s">
        <v>65</v>
      </c>
      <c r="L550" s="2" t="s">
        <v>625</v>
      </c>
      <c r="M550" s="2" t="s">
        <v>5714</v>
      </c>
      <c r="N550" s="3" t="s">
        <v>214</v>
      </c>
      <c r="P550" s="3" t="s">
        <v>69</v>
      </c>
      <c r="R550" s="3" t="s">
        <v>70</v>
      </c>
      <c r="S550" s="4">
        <v>8</v>
      </c>
      <c r="T550" s="4">
        <v>8</v>
      </c>
      <c r="U550" s="5" t="s">
        <v>5715</v>
      </c>
      <c r="V550" s="5" t="s">
        <v>5715</v>
      </c>
      <c r="W550" s="5" t="s">
        <v>72</v>
      </c>
      <c r="X550" s="5" t="s">
        <v>72</v>
      </c>
      <c r="Y550" s="4">
        <v>116</v>
      </c>
      <c r="Z550" s="4">
        <v>7</v>
      </c>
      <c r="AA550" s="4">
        <v>17</v>
      </c>
      <c r="AB550" s="4">
        <v>1</v>
      </c>
      <c r="AC550" s="4">
        <v>4</v>
      </c>
      <c r="AD550" s="4">
        <v>47</v>
      </c>
      <c r="AE550" s="4">
        <v>65</v>
      </c>
      <c r="AF550" s="4">
        <v>0</v>
      </c>
      <c r="AG550" s="4">
        <v>2</v>
      </c>
      <c r="AH550" s="4">
        <v>45</v>
      </c>
      <c r="AI550" s="4">
        <v>56</v>
      </c>
      <c r="AJ550" s="4">
        <v>5</v>
      </c>
      <c r="AK550" s="4">
        <v>12</v>
      </c>
      <c r="AL550" s="4">
        <v>28</v>
      </c>
      <c r="AM550" s="4">
        <v>33</v>
      </c>
      <c r="AN550" s="4">
        <v>0</v>
      </c>
      <c r="AO550" s="4">
        <v>0</v>
      </c>
      <c r="AP550" s="4">
        <v>5</v>
      </c>
      <c r="AQ550" s="4">
        <v>14</v>
      </c>
      <c r="AR550" s="3" t="s">
        <v>64</v>
      </c>
      <c r="AS550" s="3" t="s">
        <v>64</v>
      </c>
      <c r="AT550" s="3" t="s">
        <v>64</v>
      </c>
      <c r="AV550" s="6" t="str">
        <f>HYPERLINK("http://mcgill.on.worldcat.org/oclc/642283159","Catalog Record")</f>
        <v>Catalog Record</v>
      </c>
      <c r="AW550" s="6" t="str">
        <f>HYPERLINK("http://www.worldcat.org/oclc/642283159","WorldCat Record")</f>
        <v>WorldCat Record</v>
      </c>
      <c r="AX550" s="3" t="s">
        <v>5716</v>
      </c>
      <c r="AY550" s="3" t="s">
        <v>5717</v>
      </c>
      <c r="AZ550" s="3" t="s">
        <v>5718</v>
      </c>
      <c r="BA550" s="3" t="s">
        <v>5718</v>
      </c>
      <c r="BB550" s="3" t="s">
        <v>5719</v>
      </c>
      <c r="BC550" s="3" t="s">
        <v>78</v>
      </c>
      <c r="BD550" s="3" t="s">
        <v>414</v>
      </c>
      <c r="BE550" s="3" t="s">
        <v>5720</v>
      </c>
      <c r="BF550" s="3" t="s">
        <v>5719</v>
      </c>
      <c r="BG550" s="3" t="s">
        <v>5721</v>
      </c>
    </row>
    <row r="551" spans="1:59" ht="58" x14ac:dyDescent="0.35">
      <c r="A551" s="2" t="s">
        <v>59</v>
      </c>
      <c r="B551" s="2" t="s">
        <v>94</v>
      </c>
      <c r="C551" s="2" t="s">
        <v>5722</v>
      </c>
      <c r="D551" s="2" t="s">
        <v>5723</v>
      </c>
      <c r="E551" s="2" t="s">
        <v>5724</v>
      </c>
      <c r="G551" s="3" t="s">
        <v>64</v>
      </c>
      <c r="I551" s="3" t="s">
        <v>64</v>
      </c>
      <c r="J551" s="3" t="s">
        <v>64</v>
      </c>
      <c r="K551" s="3" t="s">
        <v>65</v>
      </c>
      <c r="L551" s="2" t="s">
        <v>5725</v>
      </c>
      <c r="M551" s="2" t="s">
        <v>5726</v>
      </c>
      <c r="N551" s="3" t="s">
        <v>214</v>
      </c>
      <c r="P551" s="3" t="s">
        <v>69</v>
      </c>
      <c r="R551" s="3" t="s">
        <v>70</v>
      </c>
      <c r="S551" s="4">
        <v>4</v>
      </c>
      <c r="T551" s="4">
        <v>4</v>
      </c>
      <c r="U551" s="5" t="s">
        <v>5727</v>
      </c>
      <c r="V551" s="5" t="s">
        <v>5727</v>
      </c>
      <c r="W551" s="5" t="s">
        <v>72</v>
      </c>
      <c r="X551" s="5" t="s">
        <v>72</v>
      </c>
      <c r="Y551" s="4">
        <v>309</v>
      </c>
      <c r="Z551" s="4">
        <v>27</v>
      </c>
      <c r="AA551" s="4">
        <v>32</v>
      </c>
      <c r="AB551" s="4">
        <v>2</v>
      </c>
      <c r="AC551" s="4">
        <v>7</v>
      </c>
      <c r="AD551" s="4">
        <v>74</v>
      </c>
      <c r="AE551" s="4">
        <v>80</v>
      </c>
      <c r="AF551" s="4">
        <v>1</v>
      </c>
      <c r="AG551" s="4">
        <v>4</v>
      </c>
      <c r="AH551" s="4">
        <v>65</v>
      </c>
      <c r="AI551" s="4">
        <v>69</v>
      </c>
      <c r="AJ551" s="4">
        <v>13</v>
      </c>
      <c r="AK551" s="4">
        <v>15</v>
      </c>
      <c r="AL551" s="4">
        <v>37</v>
      </c>
      <c r="AM551" s="4">
        <v>39</v>
      </c>
      <c r="AN551" s="4">
        <v>0</v>
      </c>
      <c r="AO551" s="4">
        <v>0</v>
      </c>
      <c r="AP551" s="4">
        <v>18</v>
      </c>
      <c r="AQ551" s="4">
        <v>20</v>
      </c>
      <c r="AR551" s="3" t="s">
        <v>64</v>
      </c>
      <c r="AS551" s="3" t="s">
        <v>64</v>
      </c>
      <c r="AT551" s="3" t="s">
        <v>64</v>
      </c>
      <c r="AV551" s="6" t="str">
        <f>HYPERLINK("http://mcgill.on.worldcat.org/oclc/639166426","Catalog Record")</f>
        <v>Catalog Record</v>
      </c>
      <c r="AW551" s="6" t="str">
        <f>HYPERLINK("http://www.worldcat.org/oclc/639166426","WorldCat Record")</f>
        <v>WorldCat Record</v>
      </c>
      <c r="AX551" s="3" t="s">
        <v>5728</v>
      </c>
      <c r="AY551" s="3" t="s">
        <v>5729</v>
      </c>
      <c r="AZ551" s="3" t="s">
        <v>5730</v>
      </c>
      <c r="BA551" s="3" t="s">
        <v>5730</v>
      </c>
      <c r="BB551" s="3" t="s">
        <v>5731</v>
      </c>
      <c r="BC551" s="3" t="s">
        <v>78</v>
      </c>
      <c r="BD551" s="3" t="s">
        <v>79</v>
      </c>
      <c r="BE551" s="3" t="s">
        <v>5732</v>
      </c>
      <c r="BF551" s="3" t="s">
        <v>5731</v>
      </c>
      <c r="BG551" s="3" t="s">
        <v>5733</v>
      </c>
    </row>
    <row r="552" spans="1:59" ht="58" x14ac:dyDescent="0.35">
      <c r="A552" s="2" t="s">
        <v>59</v>
      </c>
      <c r="B552" s="2" t="s">
        <v>94</v>
      </c>
      <c r="C552" s="2" t="s">
        <v>5734</v>
      </c>
      <c r="D552" s="2" t="s">
        <v>5735</v>
      </c>
      <c r="E552" s="2" t="s">
        <v>5736</v>
      </c>
      <c r="G552" s="3" t="s">
        <v>64</v>
      </c>
      <c r="I552" s="3" t="s">
        <v>64</v>
      </c>
      <c r="J552" s="3" t="s">
        <v>64</v>
      </c>
      <c r="K552" s="3" t="s">
        <v>65</v>
      </c>
      <c r="L552" s="2" t="s">
        <v>5737</v>
      </c>
      <c r="M552" s="2" t="s">
        <v>5738</v>
      </c>
      <c r="N552" s="3" t="s">
        <v>5739</v>
      </c>
      <c r="P552" s="3" t="s">
        <v>69</v>
      </c>
      <c r="R552" s="3" t="s">
        <v>70</v>
      </c>
      <c r="S552" s="4">
        <v>3</v>
      </c>
      <c r="T552" s="4">
        <v>3</v>
      </c>
      <c r="U552" s="5" t="s">
        <v>5740</v>
      </c>
      <c r="V552" s="5" t="s">
        <v>5740</v>
      </c>
      <c r="W552" s="5" t="s">
        <v>72</v>
      </c>
      <c r="X552" s="5" t="s">
        <v>72</v>
      </c>
      <c r="Y552" s="4">
        <v>463</v>
      </c>
      <c r="Z552" s="4">
        <v>21</v>
      </c>
      <c r="AA552" s="4">
        <v>39</v>
      </c>
      <c r="AB552" s="4">
        <v>2</v>
      </c>
      <c r="AC552" s="4">
        <v>4</v>
      </c>
      <c r="AD552" s="4">
        <v>91</v>
      </c>
      <c r="AE552" s="4">
        <v>112</v>
      </c>
      <c r="AF552" s="4">
        <v>1</v>
      </c>
      <c r="AG552" s="4">
        <v>3</v>
      </c>
      <c r="AH552" s="4">
        <v>81</v>
      </c>
      <c r="AI552" s="4">
        <v>92</v>
      </c>
      <c r="AJ552" s="4">
        <v>12</v>
      </c>
      <c r="AK552" s="4">
        <v>19</v>
      </c>
      <c r="AL552" s="4">
        <v>52</v>
      </c>
      <c r="AM552" s="4">
        <v>55</v>
      </c>
      <c r="AN552" s="4">
        <v>0</v>
      </c>
      <c r="AO552" s="4">
        <v>0</v>
      </c>
      <c r="AP552" s="4">
        <v>13</v>
      </c>
      <c r="AQ552" s="4">
        <v>26</v>
      </c>
      <c r="AR552" s="3" t="s">
        <v>64</v>
      </c>
      <c r="AS552" s="3" t="s">
        <v>73</v>
      </c>
      <c r="AT552" s="3" t="s">
        <v>73</v>
      </c>
      <c r="AU552" s="6" t="str">
        <f>HYPERLINK("http://catalog.hathitrust.org/Record/001047269","HathiTrust Record")</f>
        <v>HathiTrust Record</v>
      </c>
      <c r="AV552" s="6" t="str">
        <f>HYPERLINK("http://mcgill.on.worldcat.org/oclc/567732","Catalog Record")</f>
        <v>Catalog Record</v>
      </c>
      <c r="AW552" s="6" t="str">
        <f>HYPERLINK("http://www.worldcat.org/oclc/567732","WorldCat Record")</f>
        <v>WorldCat Record</v>
      </c>
      <c r="AX552" s="3" t="s">
        <v>5741</v>
      </c>
      <c r="AY552" s="3" t="s">
        <v>5742</v>
      </c>
      <c r="AZ552" s="3" t="s">
        <v>5743</v>
      </c>
      <c r="BA552" s="3" t="s">
        <v>5743</v>
      </c>
      <c r="BB552" s="3" t="s">
        <v>5744</v>
      </c>
      <c r="BC552" s="3" t="s">
        <v>78</v>
      </c>
      <c r="BD552" s="3" t="s">
        <v>79</v>
      </c>
      <c r="BF552" s="3" t="s">
        <v>5744</v>
      </c>
      <c r="BG552" s="3" t="s">
        <v>5745</v>
      </c>
    </row>
    <row r="553" spans="1:59" ht="58" x14ac:dyDescent="0.35">
      <c r="A553" s="2" t="s">
        <v>59</v>
      </c>
      <c r="B553" s="2" t="s">
        <v>94</v>
      </c>
      <c r="C553" s="2" t="s">
        <v>5746</v>
      </c>
      <c r="D553" s="2" t="s">
        <v>5747</v>
      </c>
      <c r="E553" s="2" t="s">
        <v>5748</v>
      </c>
      <c r="G553" s="3" t="s">
        <v>64</v>
      </c>
      <c r="I553" s="3" t="s">
        <v>64</v>
      </c>
      <c r="J553" s="3" t="s">
        <v>64</v>
      </c>
      <c r="K553" s="3" t="s">
        <v>65</v>
      </c>
      <c r="M553" s="2" t="s">
        <v>5749</v>
      </c>
      <c r="N553" s="3" t="s">
        <v>407</v>
      </c>
      <c r="P553" s="3" t="s">
        <v>69</v>
      </c>
      <c r="Q553" s="2" t="s">
        <v>5750</v>
      </c>
      <c r="R553" s="3" t="s">
        <v>70</v>
      </c>
      <c r="S553" s="4">
        <v>29</v>
      </c>
      <c r="T553" s="4">
        <v>29</v>
      </c>
      <c r="U553" s="5" t="s">
        <v>5751</v>
      </c>
      <c r="V553" s="5" t="s">
        <v>5751</v>
      </c>
      <c r="W553" s="5" t="s">
        <v>72</v>
      </c>
      <c r="X553" s="5" t="s">
        <v>72</v>
      </c>
      <c r="Y553" s="4">
        <v>1466</v>
      </c>
      <c r="Z553" s="4">
        <v>63</v>
      </c>
      <c r="AA553" s="4">
        <v>72</v>
      </c>
      <c r="AB553" s="4">
        <v>5</v>
      </c>
      <c r="AC553" s="4">
        <v>11</v>
      </c>
      <c r="AD553" s="4">
        <v>140</v>
      </c>
      <c r="AE553" s="4">
        <v>144</v>
      </c>
      <c r="AF553" s="4">
        <v>2</v>
      </c>
      <c r="AG553" s="4">
        <v>4</v>
      </c>
      <c r="AH553" s="4">
        <v>109</v>
      </c>
      <c r="AI553" s="4">
        <v>111</v>
      </c>
      <c r="AJ553" s="4">
        <v>20</v>
      </c>
      <c r="AK553" s="4">
        <v>22</v>
      </c>
      <c r="AL553" s="4">
        <v>57</v>
      </c>
      <c r="AM553" s="4">
        <v>59</v>
      </c>
      <c r="AN553" s="4">
        <v>0</v>
      </c>
      <c r="AO553" s="4">
        <v>0</v>
      </c>
      <c r="AP553" s="4">
        <v>40</v>
      </c>
      <c r="AQ553" s="4">
        <v>41</v>
      </c>
      <c r="AR553" s="3" t="s">
        <v>64</v>
      </c>
      <c r="AS553" s="3" t="s">
        <v>64</v>
      </c>
      <c r="AT553" s="3" t="s">
        <v>64</v>
      </c>
      <c r="AV553" s="6" t="str">
        <f>HYPERLINK("http://mcgill.on.worldcat.org/oclc/12370286","Catalog Record")</f>
        <v>Catalog Record</v>
      </c>
      <c r="AW553" s="6" t="str">
        <f>HYPERLINK("http://www.worldcat.org/oclc/12370286","WorldCat Record")</f>
        <v>WorldCat Record</v>
      </c>
      <c r="AX553" s="3" t="s">
        <v>5752</v>
      </c>
      <c r="AY553" s="3" t="s">
        <v>5753</v>
      </c>
      <c r="AZ553" s="3" t="s">
        <v>5754</v>
      </c>
      <c r="BA553" s="3" t="s">
        <v>5754</v>
      </c>
      <c r="BB553" s="3" t="s">
        <v>5755</v>
      </c>
      <c r="BC553" s="3" t="s">
        <v>78</v>
      </c>
      <c r="BD553" s="3" t="s">
        <v>414</v>
      </c>
      <c r="BE553" s="3" t="s">
        <v>5756</v>
      </c>
      <c r="BF553" s="3" t="s">
        <v>5755</v>
      </c>
      <c r="BG553" s="3" t="s">
        <v>5757</v>
      </c>
    </row>
    <row r="554" spans="1:59" ht="58" x14ac:dyDescent="0.35">
      <c r="A554" s="2" t="s">
        <v>59</v>
      </c>
      <c r="B554" s="2" t="s">
        <v>94</v>
      </c>
      <c r="C554" s="2" t="s">
        <v>5758</v>
      </c>
      <c r="D554" s="2" t="s">
        <v>5759</v>
      </c>
      <c r="E554" s="2" t="s">
        <v>5760</v>
      </c>
      <c r="G554" s="3" t="s">
        <v>64</v>
      </c>
      <c r="I554" s="3" t="s">
        <v>64</v>
      </c>
      <c r="J554" s="3" t="s">
        <v>64</v>
      </c>
      <c r="K554" s="3" t="s">
        <v>65</v>
      </c>
      <c r="M554" s="2" t="s">
        <v>5761</v>
      </c>
      <c r="N554" s="3" t="s">
        <v>1154</v>
      </c>
      <c r="P554" s="3" t="s">
        <v>69</v>
      </c>
      <c r="R554" s="3" t="s">
        <v>70</v>
      </c>
      <c r="S554" s="4">
        <v>30</v>
      </c>
      <c r="T554" s="4">
        <v>30</v>
      </c>
      <c r="U554" s="5" t="s">
        <v>2240</v>
      </c>
      <c r="V554" s="5" t="s">
        <v>2240</v>
      </c>
      <c r="W554" s="5" t="s">
        <v>72</v>
      </c>
      <c r="X554" s="5" t="s">
        <v>72</v>
      </c>
      <c r="Y554" s="4">
        <v>562</v>
      </c>
      <c r="Z554" s="4">
        <v>31</v>
      </c>
      <c r="AA554" s="4">
        <v>40</v>
      </c>
      <c r="AB554" s="4">
        <v>1</v>
      </c>
      <c r="AC554" s="4">
        <v>8</v>
      </c>
      <c r="AD554" s="4">
        <v>112</v>
      </c>
      <c r="AE554" s="4">
        <v>118</v>
      </c>
      <c r="AF554" s="4">
        <v>0</v>
      </c>
      <c r="AG554" s="4">
        <v>3</v>
      </c>
      <c r="AH554" s="4">
        <v>95</v>
      </c>
      <c r="AI554" s="4">
        <v>97</v>
      </c>
      <c r="AJ554" s="4">
        <v>14</v>
      </c>
      <c r="AK554" s="4">
        <v>18</v>
      </c>
      <c r="AL554" s="4">
        <v>58</v>
      </c>
      <c r="AM554" s="4">
        <v>59</v>
      </c>
      <c r="AN554" s="4">
        <v>0</v>
      </c>
      <c r="AO554" s="4">
        <v>0</v>
      </c>
      <c r="AP554" s="4">
        <v>21</v>
      </c>
      <c r="AQ554" s="4">
        <v>25</v>
      </c>
      <c r="AR554" s="3" t="s">
        <v>64</v>
      </c>
      <c r="AS554" s="3" t="s">
        <v>64</v>
      </c>
      <c r="AT554" s="3" t="s">
        <v>64</v>
      </c>
      <c r="AV554" s="6" t="str">
        <f>HYPERLINK("http://mcgill.on.worldcat.org/oclc/29846167","Catalog Record")</f>
        <v>Catalog Record</v>
      </c>
      <c r="AW554" s="6" t="str">
        <f>HYPERLINK("http://www.worldcat.org/oclc/29846167","WorldCat Record")</f>
        <v>WorldCat Record</v>
      </c>
      <c r="AX554" s="3" t="s">
        <v>5762</v>
      </c>
      <c r="AY554" s="3" t="s">
        <v>5763</v>
      </c>
      <c r="AZ554" s="3" t="s">
        <v>5764</v>
      </c>
      <c r="BA554" s="3" t="s">
        <v>5764</v>
      </c>
      <c r="BB554" s="3" t="s">
        <v>5765</v>
      </c>
      <c r="BC554" s="3" t="s">
        <v>78</v>
      </c>
      <c r="BD554" s="3" t="s">
        <v>414</v>
      </c>
      <c r="BE554" s="3" t="s">
        <v>5766</v>
      </c>
      <c r="BF554" s="3" t="s">
        <v>5765</v>
      </c>
      <c r="BG554" s="3" t="s">
        <v>5767</v>
      </c>
    </row>
    <row r="555" spans="1:59" ht="58" x14ac:dyDescent="0.35">
      <c r="A555" s="2" t="s">
        <v>59</v>
      </c>
      <c r="B555" s="2" t="s">
        <v>94</v>
      </c>
      <c r="C555" s="2" t="s">
        <v>5768</v>
      </c>
      <c r="D555" s="2" t="s">
        <v>5769</v>
      </c>
      <c r="E555" s="2" t="s">
        <v>5770</v>
      </c>
      <c r="G555" s="3" t="s">
        <v>64</v>
      </c>
      <c r="I555" s="3" t="s">
        <v>64</v>
      </c>
      <c r="J555" s="3" t="s">
        <v>64</v>
      </c>
      <c r="K555" s="3" t="s">
        <v>65</v>
      </c>
      <c r="L555" s="2" t="s">
        <v>5771</v>
      </c>
      <c r="M555" s="2" t="s">
        <v>5772</v>
      </c>
      <c r="N555" s="3" t="s">
        <v>226</v>
      </c>
      <c r="P555" s="3" t="s">
        <v>69</v>
      </c>
      <c r="Q555" s="2" t="s">
        <v>5773</v>
      </c>
      <c r="R555" s="3" t="s">
        <v>70</v>
      </c>
      <c r="S555" s="4">
        <v>8</v>
      </c>
      <c r="T555" s="4">
        <v>8</v>
      </c>
      <c r="U555" s="5" t="s">
        <v>5774</v>
      </c>
      <c r="V555" s="5" t="s">
        <v>5774</v>
      </c>
      <c r="W555" s="5" t="s">
        <v>72</v>
      </c>
      <c r="X555" s="5" t="s">
        <v>72</v>
      </c>
      <c r="Y555" s="4">
        <v>187</v>
      </c>
      <c r="Z555" s="4">
        <v>10</v>
      </c>
      <c r="AA555" s="4">
        <v>15</v>
      </c>
      <c r="AB555" s="4">
        <v>1</v>
      </c>
      <c r="AC555" s="4">
        <v>4</v>
      </c>
      <c r="AD555" s="4">
        <v>54</v>
      </c>
      <c r="AE555" s="4">
        <v>58</v>
      </c>
      <c r="AF555" s="4">
        <v>0</v>
      </c>
      <c r="AG555" s="4">
        <v>0</v>
      </c>
      <c r="AH555" s="4">
        <v>52</v>
      </c>
      <c r="AI555" s="4">
        <v>54</v>
      </c>
      <c r="AJ555" s="4">
        <v>5</v>
      </c>
      <c r="AK555" s="4">
        <v>6</v>
      </c>
      <c r="AL555" s="4">
        <v>33</v>
      </c>
      <c r="AM555" s="4">
        <v>34</v>
      </c>
      <c r="AN555" s="4">
        <v>0</v>
      </c>
      <c r="AO555" s="4">
        <v>0</v>
      </c>
      <c r="AP555" s="4">
        <v>6</v>
      </c>
      <c r="AQ555" s="4">
        <v>8</v>
      </c>
      <c r="AR555" s="3" t="s">
        <v>64</v>
      </c>
      <c r="AS555" s="3" t="s">
        <v>64</v>
      </c>
      <c r="AT555" s="3" t="s">
        <v>64</v>
      </c>
      <c r="AV555" s="6" t="str">
        <f>HYPERLINK("http://mcgill.on.worldcat.org/oclc/36884345","Catalog Record")</f>
        <v>Catalog Record</v>
      </c>
      <c r="AW555" s="6" t="str">
        <f>HYPERLINK("http://www.worldcat.org/oclc/36884345","WorldCat Record")</f>
        <v>WorldCat Record</v>
      </c>
      <c r="AX555" s="3" t="s">
        <v>5775</v>
      </c>
      <c r="AY555" s="3" t="s">
        <v>5776</v>
      </c>
      <c r="AZ555" s="3" t="s">
        <v>5777</v>
      </c>
      <c r="BA555" s="3" t="s">
        <v>5777</v>
      </c>
      <c r="BB555" s="3" t="s">
        <v>5778</v>
      </c>
      <c r="BC555" s="3" t="s">
        <v>78</v>
      </c>
      <c r="BD555" s="3" t="s">
        <v>79</v>
      </c>
      <c r="BE555" s="3" t="s">
        <v>5779</v>
      </c>
      <c r="BF555" s="3" t="s">
        <v>5778</v>
      </c>
      <c r="BG555" s="3" t="s">
        <v>5780</v>
      </c>
    </row>
    <row r="556" spans="1:59" ht="58" x14ac:dyDescent="0.35">
      <c r="A556" s="2" t="s">
        <v>59</v>
      </c>
      <c r="B556" s="2" t="s">
        <v>94</v>
      </c>
      <c r="C556" s="2" t="s">
        <v>5781</v>
      </c>
      <c r="D556" s="2" t="s">
        <v>5782</v>
      </c>
      <c r="E556" s="2" t="s">
        <v>5783</v>
      </c>
      <c r="G556" s="3" t="s">
        <v>64</v>
      </c>
      <c r="I556" s="3" t="s">
        <v>64</v>
      </c>
      <c r="J556" s="3" t="s">
        <v>64</v>
      </c>
      <c r="K556" s="3" t="s">
        <v>65</v>
      </c>
      <c r="M556" s="2" t="s">
        <v>5784</v>
      </c>
      <c r="N556" s="3" t="s">
        <v>861</v>
      </c>
      <c r="P556" s="3" t="s">
        <v>69</v>
      </c>
      <c r="Q556" s="2" t="s">
        <v>5785</v>
      </c>
      <c r="R556" s="3" t="s">
        <v>70</v>
      </c>
      <c r="S556" s="4">
        <v>9</v>
      </c>
      <c r="T556" s="4">
        <v>9</v>
      </c>
      <c r="U556" s="5" t="s">
        <v>5786</v>
      </c>
      <c r="V556" s="5" t="s">
        <v>5786</v>
      </c>
      <c r="W556" s="5" t="s">
        <v>72</v>
      </c>
      <c r="X556" s="5" t="s">
        <v>72</v>
      </c>
      <c r="Y556" s="4">
        <v>149</v>
      </c>
      <c r="Z556" s="4">
        <v>6</v>
      </c>
      <c r="AA556" s="4">
        <v>7</v>
      </c>
      <c r="AB556" s="4">
        <v>3</v>
      </c>
      <c r="AC556" s="4">
        <v>4</v>
      </c>
      <c r="AD556" s="4">
        <v>38</v>
      </c>
      <c r="AE556" s="4">
        <v>39</v>
      </c>
      <c r="AF556" s="4">
        <v>1</v>
      </c>
      <c r="AG556" s="4">
        <v>2</v>
      </c>
      <c r="AH556" s="4">
        <v>35</v>
      </c>
      <c r="AI556" s="4">
        <v>36</v>
      </c>
      <c r="AJ556" s="4">
        <v>3</v>
      </c>
      <c r="AK556" s="4">
        <v>4</v>
      </c>
      <c r="AL556" s="4">
        <v>24</v>
      </c>
      <c r="AM556" s="4">
        <v>24</v>
      </c>
      <c r="AN556" s="4">
        <v>0</v>
      </c>
      <c r="AO556" s="4">
        <v>0</v>
      </c>
      <c r="AP556" s="4">
        <v>3</v>
      </c>
      <c r="AQ556" s="4">
        <v>4</v>
      </c>
      <c r="AR556" s="3" t="s">
        <v>64</v>
      </c>
      <c r="AS556" s="3" t="s">
        <v>64</v>
      </c>
      <c r="AT556" s="3" t="s">
        <v>64</v>
      </c>
      <c r="AV556" s="6" t="str">
        <f>HYPERLINK("http://mcgill.on.worldcat.org/oclc/55488190","Catalog Record")</f>
        <v>Catalog Record</v>
      </c>
      <c r="AW556" s="6" t="str">
        <f>HYPERLINK("http://www.worldcat.org/oclc/55488190","WorldCat Record")</f>
        <v>WorldCat Record</v>
      </c>
      <c r="AX556" s="3" t="s">
        <v>5787</v>
      </c>
      <c r="AY556" s="3" t="s">
        <v>5788</v>
      </c>
      <c r="AZ556" s="3" t="s">
        <v>5789</v>
      </c>
      <c r="BA556" s="3" t="s">
        <v>5789</v>
      </c>
      <c r="BB556" s="3" t="s">
        <v>5790</v>
      </c>
      <c r="BC556" s="3" t="s">
        <v>78</v>
      </c>
      <c r="BD556" s="3" t="s">
        <v>79</v>
      </c>
      <c r="BE556" s="3" t="s">
        <v>5791</v>
      </c>
      <c r="BF556" s="3" t="s">
        <v>5790</v>
      </c>
      <c r="BG556" s="3" t="s">
        <v>5792</v>
      </c>
    </row>
    <row r="557" spans="1:59" ht="58" x14ac:dyDescent="0.35">
      <c r="A557" s="2" t="s">
        <v>59</v>
      </c>
      <c r="B557" s="2" t="s">
        <v>94</v>
      </c>
      <c r="C557" s="2" t="s">
        <v>5793</v>
      </c>
      <c r="D557" s="2" t="s">
        <v>5794</v>
      </c>
      <c r="E557" s="2" t="s">
        <v>5795</v>
      </c>
      <c r="G557" s="3" t="s">
        <v>64</v>
      </c>
      <c r="I557" s="3" t="s">
        <v>64</v>
      </c>
      <c r="J557" s="3" t="s">
        <v>64</v>
      </c>
      <c r="K557" s="3" t="s">
        <v>65</v>
      </c>
      <c r="L557" s="2" t="s">
        <v>5796</v>
      </c>
      <c r="M557" s="2" t="s">
        <v>537</v>
      </c>
      <c r="N557" s="3" t="s">
        <v>538</v>
      </c>
      <c r="P557" s="3" t="s">
        <v>69</v>
      </c>
      <c r="Q557" s="2" t="s">
        <v>5797</v>
      </c>
      <c r="R557" s="3" t="s">
        <v>70</v>
      </c>
      <c r="S557" s="4">
        <v>7</v>
      </c>
      <c r="T557" s="4">
        <v>7</v>
      </c>
      <c r="U557" s="5" t="s">
        <v>5704</v>
      </c>
      <c r="V557" s="5" t="s">
        <v>5704</v>
      </c>
      <c r="W557" s="5" t="s">
        <v>72</v>
      </c>
      <c r="X557" s="5" t="s">
        <v>72</v>
      </c>
      <c r="Y557" s="4">
        <v>127</v>
      </c>
      <c r="Z557" s="4">
        <v>9</v>
      </c>
      <c r="AA557" s="4">
        <v>74</v>
      </c>
      <c r="AB557" s="4">
        <v>2</v>
      </c>
      <c r="AC557" s="4">
        <v>16</v>
      </c>
      <c r="AD557" s="4">
        <v>43</v>
      </c>
      <c r="AE557" s="4">
        <v>98</v>
      </c>
      <c r="AF557" s="4">
        <v>0</v>
      </c>
      <c r="AG557" s="4">
        <v>8</v>
      </c>
      <c r="AH557" s="4">
        <v>40</v>
      </c>
      <c r="AI557" s="4">
        <v>67</v>
      </c>
      <c r="AJ557" s="4">
        <v>6</v>
      </c>
      <c r="AK557" s="4">
        <v>19</v>
      </c>
      <c r="AL557" s="4">
        <v>27</v>
      </c>
      <c r="AM557" s="4">
        <v>35</v>
      </c>
      <c r="AN557" s="4">
        <v>0</v>
      </c>
      <c r="AO557" s="4">
        <v>0</v>
      </c>
      <c r="AP557" s="4">
        <v>6</v>
      </c>
      <c r="AQ557" s="4">
        <v>38</v>
      </c>
      <c r="AR557" s="3" t="s">
        <v>64</v>
      </c>
      <c r="AS557" s="3" t="s">
        <v>64</v>
      </c>
      <c r="AT557" s="3" t="s">
        <v>73</v>
      </c>
      <c r="AU557" s="6" t="str">
        <f>HYPERLINK("http://catalog.hathitrust.org/Record/005884243","HathiTrust Record")</f>
        <v>HathiTrust Record</v>
      </c>
      <c r="AV557" s="6" t="str">
        <f>HYPERLINK("http://mcgill.on.worldcat.org/oclc/67773991","Catalog Record")</f>
        <v>Catalog Record</v>
      </c>
      <c r="AW557" s="6" t="str">
        <f>HYPERLINK("http://www.worldcat.org/oclc/67773991","WorldCat Record")</f>
        <v>WorldCat Record</v>
      </c>
      <c r="AX557" s="3" t="s">
        <v>5798</v>
      </c>
      <c r="AY557" s="3" t="s">
        <v>5799</v>
      </c>
      <c r="AZ557" s="3" t="s">
        <v>5800</v>
      </c>
      <c r="BA557" s="3" t="s">
        <v>5800</v>
      </c>
      <c r="BB557" s="3" t="s">
        <v>5801</v>
      </c>
      <c r="BC557" s="3" t="s">
        <v>78</v>
      </c>
      <c r="BD557" s="3" t="s">
        <v>414</v>
      </c>
      <c r="BE557" s="3" t="s">
        <v>5802</v>
      </c>
      <c r="BF557" s="3" t="s">
        <v>5801</v>
      </c>
      <c r="BG557" s="3" t="s">
        <v>5803</v>
      </c>
    </row>
    <row r="558" spans="1:59" ht="58" x14ac:dyDescent="0.35">
      <c r="A558" s="2" t="s">
        <v>59</v>
      </c>
      <c r="B558" s="2" t="s">
        <v>94</v>
      </c>
      <c r="C558" s="2" t="s">
        <v>5804</v>
      </c>
      <c r="D558" s="2" t="s">
        <v>5805</v>
      </c>
      <c r="E558" s="2" t="s">
        <v>5806</v>
      </c>
      <c r="G558" s="3" t="s">
        <v>64</v>
      </c>
      <c r="I558" s="3" t="s">
        <v>64</v>
      </c>
      <c r="J558" s="3" t="s">
        <v>64</v>
      </c>
      <c r="K558" s="3" t="s">
        <v>65</v>
      </c>
      <c r="L558" s="2" t="s">
        <v>5807</v>
      </c>
      <c r="M558" s="2" t="s">
        <v>5808</v>
      </c>
      <c r="N558" s="3" t="s">
        <v>719</v>
      </c>
      <c r="P558" s="3" t="s">
        <v>69</v>
      </c>
      <c r="Q558" s="2" t="s">
        <v>450</v>
      </c>
      <c r="R558" s="3" t="s">
        <v>70</v>
      </c>
      <c r="S558" s="4">
        <v>130</v>
      </c>
      <c r="T558" s="4">
        <v>130</v>
      </c>
      <c r="U558" s="5" t="s">
        <v>5809</v>
      </c>
      <c r="V558" s="5" t="s">
        <v>5809</v>
      </c>
      <c r="W558" s="5" t="s">
        <v>72</v>
      </c>
      <c r="X558" s="5" t="s">
        <v>72</v>
      </c>
      <c r="Y558" s="4">
        <v>542</v>
      </c>
      <c r="Z558" s="4">
        <v>33</v>
      </c>
      <c r="AA558" s="4">
        <v>95</v>
      </c>
      <c r="AB558" s="4">
        <v>3</v>
      </c>
      <c r="AC558" s="4">
        <v>16</v>
      </c>
      <c r="AD558" s="4">
        <v>117</v>
      </c>
      <c r="AE558" s="4">
        <v>149</v>
      </c>
      <c r="AF558" s="4">
        <v>1</v>
      </c>
      <c r="AG558" s="4">
        <v>8</v>
      </c>
      <c r="AH558" s="4">
        <v>103</v>
      </c>
      <c r="AI558" s="4">
        <v>110</v>
      </c>
      <c r="AJ558" s="4">
        <v>17</v>
      </c>
      <c r="AK558" s="4">
        <v>25</v>
      </c>
      <c r="AL558" s="4">
        <v>56</v>
      </c>
      <c r="AM558" s="4">
        <v>57</v>
      </c>
      <c r="AN558" s="4">
        <v>0</v>
      </c>
      <c r="AO558" s="4">
        <v>0</v>
      </c>
      <c r="AP558" s="4">
        <v>23</v>
      </c>
      <c r="AQ558" s="4">
        <v>49</v>
      </c>
      <c r="AR558" s="3" t="s">
        <v>64</v>
      </c>
      <c r="AS558" s="3" t="s">
        <v>64</v>
      </c>
      <c r="AT558" s="3" t="s">
        <v>64</v>
      </c>
      <c r="AV558" s="6" t="str">
        <f>HYPERLINK("http://mcgill.on.worldcat.org/oclc/10695828","Catalog Record")</f>
        <v>Catalog Record</v>
      </c>
      <c r="AW558" s="6" t="str">
        <f>HYPERLINK("http://www.worldcat.org/oclc/10695828","WorldCat Record")</f>
        <v>WorldCat Record</v>
      </c>
      <c r="AX558" s="3" t="s">
        <v>5810</v>
      </c>
      <c r="AY558" s="3" t="s">
        <v>5811</v>
      </c>
      <c r="AZ558" s="3" t="s">
        <v>5812</v>
      </c>
      <c r="BA558" s="3" t="s">
        <v>5812</v>
      </c>
      <c r="BB558" s="3" t="s">
        <v>5813</v>
      </c>
      <c r="BC558" s="3" t="s">
        <v>78</v>
      </c>
      <c r="BD558" s="3" t="s">
        <v>79</v>
      </c>
      <c r="BE558" s="3" t="s">
        <v>5814</v>
      </c>
      <c r="BF558" s="3" t="s">
        <v>5813</v>
      </c>
      <c r="BG558" s="3" t="s">
        <v>5815</v>
      </c>
    </row>
    <row r="559" spans="1:59" ht="58" x14ac:dyDescent="0.35">
      <c r="A559" s="2" t="s">
        <v>59</v>
      </c>
      <c r="B559" s="2" t="s">
        <v>94</v>
      </c>
      <c r="C559" s="2" t="s">
        <v>5816</v>
      </c>
      <c r="D559" s="2" t="s">
        <v>5817</v>
      </c>
      <c r="E559" s="2" t="s">
        <v>5818</v>
      </c>
      <c r="G559" s="3" t="s">
        <v>64</v>
      </c>
      <c r="I559" s="3" t="s">
        <v>64</v>
      </c>
      <c r="J559" s="3" t="s">
        <v>64</v>
      </c>
      <c r="K559" s="3" t="s">
        <v>65</v>
      </c>
      <c r="L559" s="2" t="s">
        <v>5819</v>
      </c>
      <c r="M559" s="2" t="s">
        <v>5820</v>
      </c>
      <c r="N559" s="3" t="s">
        <v>274</v>
      </c>
      <c r="P559" s="3" t="s">
        <v>69</v>
      </c>
      <c r="R559" s="3" t="s">
        <v>70</v>
      </c>
      <c r="S559" s="4">
        <v>4</v>
      </c>
      <c r="T559" s="4">
        <v>4</v>
      </c>
      <c r="U559" s="5" t="s">
        <v>5821</v>
      </c>
      <c r="V559" s="5" t="s">
        <v>5821</v>
      </c>
      <c r="W559" s="5" t="s">
        <v>72</v>
      </c>
      <c r="X559" s="5" t="s">
        <v>72</v>
      </c>
      <c r="Y559" s="4">
        <v>47</v>
      </c>
      <c r="Z559" s="4">
        <v>6</v>
      </c>
      <c r="AA559" s="4">
        <v>6</v>
      </c>
      <c r="AB559" s="4">
        <v>1</v>
      </c>
      <c r="AC559" s="4">
        <v>1</v>
      </c>
      <c r="AD559" s="4">
        <v>30</v>
      </c>
      <c r="AE559" s="4">
        <v>30</v>
      </c>
      <c r="AF559" s="4">
        <v>0</v>
      </c>
      <c r="AG559" s="4">
        <v>0</v>
      </c>
      <c r="AH559" s="4">
        <v>29</v>
      </c>
      <c r="AI559" s="4">
        <v>29</v>
      </c>
      <c r="AJ559" s="4">
        <v>4</v>
      </c>
      <c r="AK559" s="4">
        <v>4</v>
      </c>
      <c r="AL559" s="4">
        <v>21</v>
      </c>
      <c r="AM559" s="4">
        <v>21</v>
      </c>
      <c r="AN559" s="4">
        <v>0</v>
      </c>
      <c r="AO559" s="4">
        <v>0</v>
      </c>
      <c r="AP559" s="4">
        <v>4</v>
      </c>
      <c r="AQ559" s="4">
        <v>4</v>
      </c>
      <c r="AR559" s="3" t="s">
        <v>64</v>
      </c>
      <c r="AS559" s="3" t="s">
        <v>64</v>
      </c>
      <c r="AT559" s="3" t="s">
        <v>73</v>
      </c>
      <c r="AU559" s="6" t="str">
        <f>HYPERLINK("http://catalog.hathitrust.org/Record/001831671","HathiTrust Record")</f>
        <v>HathiTrust Record</v>
      </c>
      <c r="AV559" s="6" t="str">
        <f>HYPERLINK("http://mcgill.on.worldcat.org/oclc/19749483","Catalog Record")</f>
        <v>Catalog Record</v>
      </c>
      <c r="AW559" s="6" t="str">
        <f>HYPERLINK("http://www.worldcat.org/oclc/19749483","WorldCat Record")</f>
        <v>WorldCat Record</v>
      </c>
      <c r="AX559" s="3" t="s">
        <v>5822</v>
      </c>
      <c r="AY559" s="3" t="s">
        <v>5823</v>
      </c>
      <c r="AZ559" s="3" t="s">
        <v>5824</v>
      </c>
      <c r="BA559" s="3" t="s">
        <v>5824</v>
      </c>
      <c r="BB559" s="3" t="s">
        <v>5825</v>
      </c>
      <c r="BC559" s="3" t="s">
        <v>78</v>
      </c>
      <c r="BD559" s="3" t="s">
        <v>79</v>
      </c>
      <c r="BE559" s="3" t="s">
        <v>5826</v>
      </c>
      <c r="BF559" s="3" t="s">
        <v>5825</v>
      </c>
      <c r="BG559" s="3" t="s">
        <v>5827</v>
      </c>
    </row>
    <row r="560" spans="1:59" ht="58" x14ac:dyDescent="0.35">
      <c r="A560" s="2" t="s">
        <v>59</v>
      </c>
      <c r="B560" s="2" t="s">
        <v>94</v>
      </c>
      <c r="C560" s="2" t="s">
        <v>5828</v>
      </c>
      <c r="D560" s="2" t="s">
        <v>5829</v>
      </c>
      <c r="E560" s="2" t="s">
        <v>5830</v>
      </c>
      <c r="G560" s="3" t="s">
        <v>64</v>
      </c>
      <c r="I560" s="3" t="s">
        <v>64</v>
      </c>
      <c r="J560" s="3" t="s">
        <v>64</v>
      </c>
      <c r="K560" s="3" t="s">
        <v>65</v>
      </c>
      <c r="L560" s="2" t="s">
        <v>5831</v>
      </c>
      <c r="M560" s="2" t="s">
        <v>1254</v>
      </c>
      <c r="N560" s="3" t="s">
        <v>377</v>
      </c>
      <c r="P560" s="3" t="s">
        <v>69</v>
      </c>
      <c r="Q560" s="2" t="s">
        <v>5832</v>
      </c>
      <c r="R560" s="3" t="s">
        <v>70</v>
      </c>
      <c r="S560" s="4">
        <v>3</v>
      </c>
      <c r="T560" s="4">
        <v>3</v>
      </c>
      <c r="U560" s="5" t="s">
        <v>5833</v>
      </c>
      <c r="V560" s="5" t="s">
        <v>5833</v>
      </c>
      <c r="W560" s="5" t="s">
        <v>72</v>
      </c>
      <c r="X560" s="5" t="s">
        <v>72</v>
      </c>
      <c r="Y560" s="4">
        <v>186</v>
      </c>
      <c r="Z560" s="4">
        <v>6</v>
      </c>
      <c r="AA560" s="4">
        <v>84</v>
      </c>
      <c r="AB560" s="4">
        <v>1</v>
      </c>
      <c r="AC560" s="4">
        <v>15</v>
      </c>
      <c r="AD560" s="4">
        <v>56</v>
      </c>
      <c r="AE560" s="4">
        <v>123</v>
      </c>
      <c r="AF560" s="4">
        <v>0</v>
      </c>
      <c r="AG560" s="4">
        <v>8</v>
      </c>
      <c r="AH560" s="4">
        <v>54</v>
      </c>
      <c r="AI560" s="4">
        <v>90</v>
      </c>
      <c r="AJ560" s="4">
        <v>4</v>
      </c>
      <c r="AK560" s="4">
        <v>22</v>
      </c>
      <c r="AL560" s="4">
        <v>35</v>
      </c>
      <c r="AM560" s="4">
        <v>49</v>
      </c>
      <c r="AN560" s="4">
        <v>0</v>
      </c>
      <c r="AO560" s="4">
        <v>0</v>
      </c>
      <c r="AP560" s="4">
        <v>4</v>
      </c>
      <c r="AQ560" s="4">
        <v>38</v>
      </c>
      <c r="AR560" s="3" t="s">
        <v>64</v>
      </c>
      <c r="AS560" s="3" t="s">
        <v>64</v>
      </c>
      <c r="AT560" s="3" t="s">
        <v>64</v>
      </c>
      <c r="AV560" s="6" t="str">
        <f>HYPERLINK("http://mcgill.on.worldcat.org/oclc/794366579","Catalog Record")</f>
        <v>Catalog Record</v>
      </c>
      <c r="AW560" s="6" t="str">
        <f>HYPERLINK("http://www.worldcat.org/oclc/794366579","WorldCat Record")</f>
        <v>WorldCat Record</v>
      </c>
      <c r="AX560" s="3" t="s">
        <v>5834</v>
      </c>
      <c r="AY560" s="3" t="s">
        <v>5835</v>
      </c>
      <c r="AZ560" s="3" t="s">
        <v>5836</v>
      </c>
      <c r="BA560" s="3" t="s">
        <v>5836</v>
      </c>
      <c r="BB560" s="3" t="s">
        <v>5837</v>
      </c>
      <c r="BC560" s="3" t="s">
        <v>78</v>
      </c>
      <c r="BD560" s="3" t="s">
        <v>79</v>
      </c>
      <c r="BE560" s="3" t="s">
        <v>5838</v>
      </c>
      <c r="BF560" s="3" t="s">
        <v>5837</v>
      </c>
      <c r="BG560" s="3" t="s">
        <v>5839</v>
      </c>
    </row>
    <row r="561" spans="1:59" ht="58" x14ac:dyDescent="0.35">
      <c r="A561" s="2" t="s">
        <v>59</v>
      </c>
      <c r="B561" s="2" t="s">
        <v>94</v>
      </c>
      <c r="C561" s="2" t="s">
        <v>5840</v>
      </c>
      <c r="D561" s="2" t="s">
        <v>5841</v>
      </c>
      <c r="E561" s="2" t="s">
        <v>5842</v>
      </c>
      <c r="G561" s="3" t="s">
        <v>64</v>
      </c>
      <c r="I561" s="3" t="s">
        <v>64</v>
      </c>
      <c r="J561" s="3" t="s">
        <v>64</v>
      </c>
      <c r="K561" s="3" t="s">
        <v>65</v>
      </c>
      <c r="L561" s="2" t="s">
        <v>5843</v>
      </c>
      <c r="M561" s="2" t="s">
        <v>5844</v>
      </c>
      <c r="N561" s="3" t="s">
        <v>719</v>
      </c>
      <c r="P561" s="3" t="s">
        <v>69</v>
      </c>
      <c r="Q561" s="2" t="s">
        <v>450</v>
      </c>
      <c r="R561" s="3" t="s">
        <v>70</v>
      </c>
      <c r="S561" s="4">
        <v>24</v>
      </c>
      <c r="T561" s="4">
        <v>24</v>
      </c>
      <c r="U561" s="5" t="s">
        <v>5845</v>
      </c>
      <c r="V561" s="5" t="s">
        <v>5845</v>
      </c>
      <c r="W561" s="5" t="s">
        <v>72</v>
      </c>
      <c r="X561" s="5" t="s">
        <v>72</v>
      </c>
      <c r="Y561" s="4">
        <v>447</v>
      </c>
      <c r="Z561" s="4">
        <v>25</v>
      </c>
      <c r="AA561" s="4">
        <v>38</v>
      </c>
      <c r="AB561" s="4">
        <v>2</v>
      </c>
      <c r="AC561" s="4">
        <v>6</v>
      </c>
      <c r="AD561" s="4">
        <v>114</v>
      </c>
      <c r="AE561" s="4">
        <v>124</v>
      </c>
      <c r="AF561" s="4">
        <v>1</v>
      </c>
      <c r="AG561" s="4">
        <v>2</v>
      </c>
      <c r="AH561" s="4">
        <v>102</v>
      </c>
      <c r="AI561" s="4">
        <v>107</v>
      </c>
      <c r="AJ561" s="4">
        <v>14</v>
      </c>
      <c r="AK561" s="4">
        <v>16</v>
      </c>
      <c r="AL561" s="4">
        <v>57</v>
      </c>
      <c r="AM561" s="4">
        <v>59</v>
      </c>
      <c r="AN561" s="4">
        <v>0</v>
      </c>
      <c r="AO561" s="4">
        <v>0</v>
      </c>
      <c r="AP561" s="4">
        <v>18</v>
      </c>
      <c r="AQ561" s="4">
        <v>23</v>
      </c>
      <c r="AR561" s="3" t="s">
        <v>64</v>
      </c>
      <c r="AS561" s="3" t="s">
        <v>64</v>
      </c>
      <c r="AT561" s="3" t="s">
        <v>73</v>
      </c>
      <c r="AU561" s="6" t="str">
        <f>HYPERLINK("http://catalog.hathitrust.org/Record/002200094","HathiTrust Record")</f>
        <v>HathiTrust Record</v>
      </c>
      <c r="AV561" s="6" t="str">
        <f>HYPERLINK("http://mcgill.on.worldcat.org/oclc/10724850","Catalog Record")</f>
        <v>Catalog Record</v>
      </c>
      <c r="AW561" s="6" t="str">
        <f>HYPERLINK("http://www.worldcat.org/oclc/10724850","WorldCat Record")</f>
        <v>WorldCat Record</v>
      </c>
      <c r="AX561" s="3" t="s">
        <v>5846</v>
      </c>
      <c r="AY561" s="3" t="s">
        <v>5847</v>
      </c>
      <c r="AZ561" s="3" t="s">
        <v>5848</v>
      </c>
      <c r="BA561" s="3" t="s">
        <v>5848</v>
      </c>
      <c r="BB561" s="3" t="s">
        <v>5849</v>
      </c>
      <c r="BC561" s="3" t="s">
        <v>78</v>
      </c>
      <c r="BD561" s="3" t="s">
        <v>79</v>
      </c>
      <c r="BE561" s="3" t="s">
        <v>5850</v>
      </c>
      <c r="BF561" s="3" t="s">
        <v>5849</v>
      </c>
      <c r="BG561" s="3" t="s">
        <v>5851</v>
      </c>
    </row>
    <row r="562" spans="1:59" ht="58" x14ac:dyDescent="0.35">
      <c r="A562" s="2" t="s">
        <v>59</v>
      </c>
      <c r="B562" s="2" t="s">
        <v>94</v>
      </c>
      <c r="C562" s="2" t="s">
        <v>5852</v>
      </c>
      <c r="D562" s="2" t="s">
        <v>5853</v>
      </c>
      <c r="E562" s="2" t="s">
        <v>5854</v>
      </c>
      <c r="G562" s="3" t="s">
        <v>64</v>
      </c>
      <c r="I562" s="3" t="s">
        <v>64</v>
      </c>
      <c r="J562" s="3" t="s">
        <v>64</v>
      </c>
      <c r="K562" s="3" t="s">
        <v>65</v>
      </c>
      <c r="L562" s="2" t="s">
        <v>5855</v>
      </c>
      <c r="M562" s="2" t="s">
        <v>5856</v>
      </c>
      <c r="N562" s="3" t="s">
        <v>328</v>
      </c>
      <c r="P562" s="3" t="s">
        <v>69</v>
      </c>
      <c r="R562" s="3" t="s">
        <v>70</v>
      </c>
      <c r="S562" s="4">
        <v>4</v>
      </c>
      <c r="T562" s="4">
        <v>4</v>
      </c>
      <c r="U562" s="5" t="s">
        <v>5857</v>
      </c>
      <c r="V562" s="5" t="s">
        <v>5857</v>
      </c>
      <c r="W562" s="5" t="s">
        <v>72</v>
      </c>
      <c r="X562" s="5" t="s">
        <v>72</v>
      </c>
      <c r="Y562" s="4">
        <v>92</v>
      </c>
      <c r="Z562" s="4">
        <v>8</v>
      </c>
      <c r="AA562" s="4">
        <v>9</v>
      </c>
      <c r="AB562" s="4">
        <v>1</v>
      </c>
      <c r="AC562" s="4">
        <v>2</v>
      </c>
      <c r="AD562" s="4">
        <v>35</v>
      </c>
      <c r="AE562" s="4">
        <v>35</v>
      </c>
      <c r="AF562" s="4">
        <v>0</v>
      </c>
      <c r="AG562" s="4">
        <v>0</v>
      </c>
      <c r="AH562" s="4">
        <v>33</v>
      </c>
      <c r="AI562" s="4">
        <v>33</v>
      </c>
      <c r="AJ562" s="4">
        <v>4</v>
      </c>
      <c r="AK562" s="4">
        <v>4</v>
      </c>
      <c r="AL562" s="4">
        <v>19</v>
      </c>
      <c r="AM562" s="4">
        <v>19</v>
      </c>
      <c r="AN562" s="4">
        <v>0</v>
      </c>
      <c r="AO562" s="4">
        <v>0</v>
      </c>
      <c r="AP562" s="4">
        <v>4</v>
      </c>
      <c r="AQ562" s="4">
        <v>4</v>
      </c>
      <c r="AR562" s="3" t="s">
        <v>64</v>
      </c>
      <c r="AS562" s="3" t="s">
        <v>64</v>
      </c>
      <c r="AT562" s="3" t="s">
        <v>64</v>
      </c>
      <c r="AV562" s="6" t="str">
        <f>HYPERLINK("http://mcgill.on.worldcat.org/oclc/688843069","Catalog Record")</f>
        <v>Catalog Record</v>
      </c>
      <c r="AW562" s="6" t="str">
        <f>HYPERLINK("http://www.worldcat.org/oclc/688843069","WorldCat Record")</f>
        <v>WorldCat Record</v>
      </c>
      <c r="AX562" s="3" t="s">
        <v>5858</v>
      </c>
      <c r="AY562" s="3" t="s">
        <v>5859</v>
      </c>
      <c r="AZ562" s="3" t="s">
        <v>5860</v>
      </c>
      <c r="BA562" s="3" t="s">
        <v>5860</v>
      </c>
      <c r="BB562" s="3" t="s">
        <v>5861</v>
      </c>
      <c r="BC562" s="3" t="s">
        <v>78</v>
      </c>
      <c r="BD562" s="3" t="s">
        <v>79</v>
      </c>
      <c r="BE562" s="3" t="s">
        <v>5862</v>
      </c>
      <c r="BF562" s="3" t="s">
        <v>5861</v>
      </c>
      <c r="BG562" s="3" t="s">
        <v>5863</v>
      </c>
    </row>
    <row r="563" spans="1:59" ht="58" x14ac:dyDescent="0.35">
      <c r="A563" s="2" t="s">
        <v>59</v>
      </c>
      <c r="B563" s="2" t="s">
        <v>94</v>
      </c>
      <c r="C563" s="2" t="s">
        <v>5864</v>
      </c>
      <c r="D563" s="2" t="s">
        <v>5865</v>
      </c>
      <c r="E563" s="2" t="s">
        <v>5866</v>
      </c>
      <c r="G563" s="3" t="s">
        <v>64</v>
      </c>
      <c r="I563" s="3" t="s">
        <v>64</v>
      </c>
      <c r="J563" s="3" t="s">
        <v>73</v>
      </c>
      <c r="K563" s="3" t="s">
        <v>65</v>
      </c>
      <c r="M563" s="2" t="s">
        <v>1880</v>
      </c>
      <c r="N563" s="3" t="s">
        <v>538</v>
      </c>
      <c r="O563" s="2" t="s">
        <v>5867</v>
      </c>
      <c r="P563" s="3" t="s">
        <v>69</v>
      </c>
      <c r="R563" s="3" t="s">
        <v>70</v>
      </c>
      <c r="S563" s="4">
        <v>15</v>
      </c>
      <c r="T563" s="4">
        <v>15</v>
      </c>
      <c r="U563" s="5" t="s">
        <v>2240</v>
      </c>
      <c r="V563" s="5" t="s">
        <v>2240</v>
      </c>
      <c r="W563" s="5" t="s">
        <v>72</v>
      </c>
      <c r="X563" s="5" t="s">
        <v>72</v>
      </c>
      <c r="Y563" s="4">
        <v>169</v>
      </c>
      <c r="Z563" s="4">
        <v>19</v>
      </c>
      <c r="AA563" s="4">
        <v>38</v>
      </c>
      <c r="AB563" s="4">
        <v>2</v>
      </c>
      <c r="AC563" s="4">
        <v>7</v>
      </c>
      <c r="AD563" s="4">
        <v>38</v>
      </c>
      <c r="AE563" s="4">
        <v>74</v>
      </c>
      <c r="AF563" s="4">
        <v>1</v>
      </c>
      <c r="AG563" s="4">
        <v>5</v>
      </c>
      <c r="AH563" s="4">
        <v>28</v>
      </c>
      <c r="AI563" s="4">
        <v>54</v>
      </c>
      <c r="AJ563" s="4">
        <v>12</v>
      </c>
      <c r="AK563" s="4">
        <v>22</v>
      </c>
      <c r="AL563" s="4">
        <v>15</v>
      </c>
      <c r="AM563" s="4">
        <v>30</v>
      </c>
      <c r="AN563" s="4">
        <v>0</v>
      </c>
      <c r="AO563" s="4">
        <v>0</v>
      </c>
      <c r="AP563" s="4">
        <v>15</v>
      </c>
      <c r="AQ563" s="4">
        <v>26</v>
      </c>
      <c r="AR563" s="3" t="s">
        <v>64</v>
      </c>
      <c r="AS563" s="3" t="s">
        <v>64</v>
      </c>
      <c r="AT563" s="3" t="s">
        <v>64</v>
      </c>
      <c r="AV563" s="6" t="str">
        <f>HYPERLINK("http://mcgill.on.worldcat.org/oclc/72354138","Catalog Record")</f>
        <v>Catalog Record</v>
      </c>
      <c r="AW563" s="6" t="str">
        <f>HYPERLINK("http://www.worldcat.org/oclc/72354138","WorldCat Record")</f>
        <v>WorldCat Record</v>
      </c>
      <c r="AX563" s="3" t="s">
        <v>5868</v>
      </c>
      <c r="AY563" s="3" t="s">
        <v>5869</v>
      </c>
      <c r="AZ563" s="3" t="s">
        <v>5870</v>
      </c>
      <c r="BA563" s="3" t="s">
        <v>5870</v>
      </c>
      <c r="BB563" s="3" t="s">
        <v>5871</v>
      </c>
      <c r="BC563" s="3" t="s">
        <v>78</v>
      </c>
      <c r="BD563" s="3" t="s">
        <v>79</v>
      </c>
      <c r="BE563" s="3" t="s">
        <v>5872</v>
      </c>
      <c r="BF563" s="3" t="s">
        <v>5871</v>
      </c>
      <c r="BG563" s="3" t="s">
        <v>5873</v>
      </c>
    </row>
    <row r="564" spans="1:59" ht="58" x14ac:dyDescent="0.35">
      <c r="A564" s="2" t="s">
        <v>59</v>
      </c>
      <c r="B564" s="2" t="s">
        <v>94</v>
      </c>
      <c r="C564" s="2" t="s">
        <v>5874</v>
      </c>
      <c r="D564" s="2" t="s">
        <v>5875</v>
      </c>
      <c r="E564" s="2" t="s">
        <v>5876</v>
      </c>
      <c r="G564" s="3" t="s">
        <v>64</v>
      </c>
      <c r="I564" s="3" t="s">
        <v>64</v>
      </c>
      <c r="J564" s="3" t="s">
        <v>73</v>
      </c>
      <c r="K564" s="3" t="s">
        <v>65</v>
      </c>
      <c r="M564" s="2" t="s">
        <v>5877</v>
      </c>
      <c r="N564" s="3" t="s">
        <v>214</v>
      </c>
      <c r="O564" s="2" t="s">
        <v>275</v>
      </c>
      <c r="P564" s="3" t="s">
        <v>69</v>
      </c>
      <c r="R564" s="3" t="s">
        <v>70</v>
      </c>
      <c r="S564" s="4">
        <v>18</v>
      </c>
      <c r="T564" s="4">
        <v>18</v>
      </c>
      <c r="U564" s="5" t="s">
        <v>5878</v>
      </c>
      <c r="V564" s="5" t="s">
        <v>5878</v>
      </c>
      <c r="W564" s="5" t="s">
        <v>72</v>
      </c>
      <c r="X564" s="5" t="s">
        <v>72</v>
      </c>
      <c r="Y564" s="4">
        <v>121</v>
      </c>
      <c r="Z564" s="4">
        <v>11</v>
      </c>
      <c r="AA564" s="4">
        <v>38</v>
      </c>
      <c r="AB564" s="4">
        <v>2</v>
      </c>
      <c r="AC564" s="4">
        <v>7</v>
      </c>
      <c r="AD564" s="4">
        <v>22</v>
      </c>
      <c r="AE564" s="4">
        <v>74</v>
      </c>
      <c r="AF564" s="4">
        <v>0</v>
      </c>
      <c r="AG564" s="4">
        <v>5</v>
      </c>
      <c r="AH564" s="4">
        <v>20</v>
      </c>
      <c r="AI564" s="4">
        <v>54</v>
      </c>
      <c r="AJ564" s="4">
        <v>6</v>
      </c>
      <c r="AK564" s="4">
        <v>22</v>
      </c>
      <c r="AL564" s="4">
        <v>13</v>
      </c>
      <c r="AM564" s="4">
        <v>30</v>
      </c>
      <c r="AN564" s="4">
        <v>0</v>
      </c>
      <c r="AO564" s="4">
        <v>0</v>
      </c>
      <c r="AP564" s="4">
        <v>8</v>
      </c>
      <c r="AQ564" s="4">
        <v>26</v>
      </c>
      <c r="AR564" s="3" t="s">
        <v>64</v>
      </c>
      <c r="AS564" s="3" t="s">
        <v>64</v>
      </c>
      <c r="AT564" s="3" t="s">
        <v>64</v>
      </c>
      <c r="AV564" s="6" t="str">
        <f>HYPERLINK("http://mcgill.on.worldcat.org/oclc/423215517","Catalog Record")</f>
        <v>Catalog Record</v>
      </c>
      <c r="AW564" s="6" t="str">
        <f>HYPERLINK("http://www.worldcat.org/oclc/423215517","WorldCat Record")</f>
        <v>WorldCat Record</v>
      </c>
      <c r="AX564" s="3" t="s">
        <v>5868</v>
      </c>
      <c r="AY564" s="3" t="s">
        <v>5879</v>
      </c>
      <c r="AZ564" s="3" t="s">
        <v>5880</v>
      </c>
      <c r="BA564" s="3" t="s">
        <v>5880</v>
      </c>
      <c r="BB564" s="3" t="s">
        <v>5881</v>
      </c>
      <c r="BC564" s="3" t="s">
        <v>78</v>
      </c>
      <c r="BD564" s="3" t="s">
        <v>79</v>
      </c>
      <c r="BE564" s="3" t="s">
        <v>5882</v>
      </c>
      <c r="BF564" s="3" t="s">
        <v>5881</v>
      </c>
      <c r="BG564" s="3" t="s">
        <v>5883</v>
      </c>
    </row>
    <row r="565" spans="1:59" ht="116" x14ac:dyDescent="0.35">
      <c r="A565" s="2" t="s">
        <v>59</v>
      </c>
      <c r="B565" s="2" t="s">
        <v>3778</v>
      </c>
      <c r="C565" s="2" t="s">
        <v>5884</v>
      </c>
      <c r="D565" s="2" t="s">
        <v>5885</v>
      </c>
      <c r="E565" s="2" t="s">
        <v>5886</v>
      </c>
      <c r="G565" s="3" t="s">
        <v>64</v>
      </c>
      <c r="I565" s="3" t="s">
        <v>64</v>
      </c>
      <c r="J565" s="3" t="s">
        <v>64</v>
      </c>
      <c r="K565" s="3" t="s">
        <v>65</v>
      </c>
      <c r="L565" s="2" t="s">
        <v>5887</v>
      </c>
      <c r="M565" s="2" t="s">
        <v>5888</v>
      </c>
      <c r="N565" s="3" t="s">
        <v>328</v>
      </c>
      <c r="O565" s="2" t="s">
        <v>3783</v>
      </c>
      <c r="P565" s="3" t="s">
        <v>3784</v>
      </c>
      <c r="R565" s="3" t="s">
        <v>70</v>
      </c>
      <c r="S565" s="4">
        <v>1</v>
      </c>
      <c r="T565" s="4">
        <v>1</v>
      </c>
      <c r="U565" s="5" t="s">
        <v>5889</v>
      </c>
      <c r="V565" s="5" t="s">
        <v>5889</v>
      </c>
      <c r="W565" s="5" t="s">
        <v>72</v>
      </c>
      <c r="X565" s="5" t="s">
        <v>72</v>
      </c>
      <c r="Y565" s="4">
        <v>19</v>
      </c>
      <c r="Z565" s="4">
        <v>3</v>
      </c>
      <c r="AA565" s="4">
        <v>4</v>
      </c>
      <c r="AB565" s="4">
        <v>1</v>
      </c>
      <c r="AC565" s="4">
        <v>1</v>
      </c>
      <c r="AD565" s="4">
        <v>11</v>
      </c>
      <c r="AE565" s="4">
        <v>12</v>
      </c>
      <c r="AF565" s="4">
        <v>0</v>
      </c>
      <c r="AG565" s="4">
        <v>0</v>
      </c>
      <c r="AH565" s="4">
        <v>11</v>
      </c>
      <c r="AI565" s="4">
        <v>11</v>
      </c>
      <c r="AJ565" s="4">
        <v>1</v>
      </c>
      <c r="AK565" s="4">
        <v>2</v>
      </c>
      <c r="AL565" s="4">
        <v>9</v>
      </c>
      <c r="AM565" s="4">
        <v>9</v>
      </c>
      <c r="AN565" s="4">
        <v>0</v>
      </c>
      <c r="AO565" s="4">
        <v>0</v>
      </c>
      <c r="AP565" s="4">
        <v>1</v>
      </c>
      <c r="AQ565" s="4">
        <v>2</v>
      </c>
      <c r="AR565" s="3" t="s">
        <v>64</v>
      </c>
      <c r="AS565" s="3" t="s">
        <v>64</v>
      </c>
      <c r="AT565" s="3" t="s">
        <v>64</v>
      </c>
      <c r="AV565" s="6" t="str">
        <f>HYPERLINK("http://mcgill.on.worldcat.org/oclc/754143417","Catalog Record")</f>
        <v>Catalog Record</v>
      </c>
      <c r="AW565" s="6" t="str">
        <f>HYPERLINK("http://www.worldcat.org/oclc/754143417","WorldCat Record")</f>
        <v>WorldCat Record</v>
      </c>
      <c r="AX565" s="3" t="s">
        <v>5890</v>
      </c>
      <c r="AY565" s="3" t="s">
        <v>5891</v>
      </c>
      <c r="AZ565" s="3" t="s">
        <v>5892</v>
      </c>
      <c r="BA565" s="3" t="s">
        <v>5892</v>
      </c>
      <c r="BB565" s="3" t="s">
        <v>5893</v>
      </c>
      <c r="BC565" s="3" t="s">
        <v>78</v>
      </c>
      <c r="BD565" s="3" t="s">
        <v>79</v>
      </c>
      <c r="BE565" s="3" t="s">
        <v>5894</v>
      </c>
      <c r="BF565" s="3" t="s">
        <v>5893</v>
      </c>
      <c r="BG565" s="3" t="s">
        <v>5895</v>
      </c>
    </row>
    <row r="566" spans="1:59" ht="58" x14ac:dyDescent="0.35">
      <c r="A566" s="2" t="s">
        <v>59</v>
      </c>
      <c r="B566" s="2" t="s">
        <v>94</v>
      </c>
      <c r="C566" s="2" t="s">
        <v>5896</v>
      </c>
      <c r="D566" s="2" t="s">
        <v>5897</v>
      </c>
      <c r="E566" s="2" t="s">
        <v>5898</v>
      </c>
      <c r="G566" s="3" t="s">
        <v>64</v>
      </c>
      <c r="I566" s="3" t="s">
        <v>64</v>
      </c>
      <c r="J566" s="3" t="s">
        <v>64</v>
      </c>
      <c r="K566" s="3" t="s">
        <v>65</v>
      </c>
      <c r="M566" s="2" t="s">
        <v>5899</v>
      </c>
      <c r="N566" s="3" t="s">
        <v>1029</v>
      </c>
      <c r="P566" s="3" t="s">
        <v>69</v>
      </c>
      <c r="R566" s="3" t="s">
        <v>70</v>
      </c>
      <c r="S566" s="4">
        <v>52</v>
      </c>
      <c r="T566" s="4">
        <v>52</v>
      </c>
      <c r="U566" s="5" t="s">
        <v>5900</v>
      </c>
      <c r="V566" s="5" t="s">
        <v>5900</v>
      </c>
      <c r="W566" s="5" t="s">
        <v>72</v>
      </c>
      <c r="X566" s="5" t="s">
        <v>72</v>
      </c>
      <c r="Y566" s="4">
        <v>183</v>
      </c>
      <c r="Z566" s="4">
        <v>15</v>
      </c>
      <c r="AA566" s="4">
        <v>105</v>
      </c>
      <c r="AB566" s="4">
        <v>3</v>
      </c>
      <c r="AC566" s="4">
        <v>18</v>
      </c>
      <c r="AD566" s="4">
        <v>70</v>
      </c>
      <c r="AE566" s="4">
        <v>122</v>
      </c>
      <c r="AF566" s="4">
        <v>1</v>
      </c>
      <c r="AG566" s="4">
        <v>8</v>
      </c>
      <c r="AH566" s="4">
        <v>66</v>
      </c>
      <c r="AI566" s="4">
        <v>86</v>
      </c>
      <c r="AJ566" s="4">
        <v>11</v>
      </c>
      <c r="AK566" s="4">
        <v>23</v>
      </c>
      <c r="AL566" s="4">
        <v>38</v>
      </c>
      <c r="AM566" s="4">
        <v>47</v>
      </c>
      <c r="AN566" s="4">
        <v>0</v>
      </c>
      <c r="AO566" s="4">
        <v>0</v>
      </c>
      <c r="AP566" s="4">
        <v>11</v>
      </c>
      <c r="AQ566" s="4">
        <v>46</v>
      </c>
      <c r="AR566" s="3" t="s">
        <v>64</v>
      </c>
      <c r="AS566" s="3" t="s">
        <v>64</v>
      </c>
      <c r="AT566" s="3" t="s">
        <v>64</v>
      </c>
      <c r="AV566" s="6" t="str">
        <f>HYPERLINK("http://mcgill.on.worldcat.org/oclc/316327236","Catalog Record")</f>
        <v>Catalog Record</v>
      </c>
      <c r="AW566" s="6" t="str">
        <f>HYPERLINK("http://www.worldcat.org/oclc/316327236","WorldCat Record")</f>
        <v>WorldCat Record</v>
      </c>
      <c r="AX566" s="3" t="s">
        <v>5901</v>
      </c>
      <c r="AY566" s="3" t="s">
        <v>5902</v>
      </c>
      <c r="AZ566" s="3" t="s">
        <v>5903</v>
      </c>
      <c r="BA566" s="3" t="s">
        <v>5903</v>
      </c>
      <c r="BB566" s="3" t="s">
        <v>5904</v>
      </c>
      <c r="BC566" s="3" t="s">
        <v>78</v>
      </c>
      <c r="BD566" s="3" t="s">
        <v>414</v>
      </c>
      <c r="BE566" s="3" t="s">
        <v>5905</v>
      </c>
      <c r="BF566" s="3" t="s">
        <v>5904</v>
      </c>
      <c r="BG566" s="3" t="s">
        <v>5906</v>
      </c>
    </row>
    <row r="567" spans="1:59" ht="58" x14ac:dyDescent="0.35">
      <c r="A567" s="2" t="s">
        <v>59</v>
      </c>
      <c r="B567" s="2" t="s">
        <v>94</v>
      </c>
      <c r="C567" s="2" t="s">
        <v>5907</v>
      </c>
      <c r="D567" s="2" t="s">
        <v>5908</v>
      </c>
      <c r="E567" s="2" t="s">
        <v>5909</v>
      </c>
      <c r="G567" s="3" t="s">
        <v>64</v>
      </c>
      <c r="I567" s="3" t="s">
        <v>64</v>
      </c>
      <c r="J567" s="3" t="s">
        <v>64</v>
      </c>
      <c r="K567" s="3" t="s">
        <v>65</v>
      </c>
      <c r="L567" s="2" t="s">
        <v>5076</v>
      </c>
      <c r="M567" s="2" t="s">
        <v>5910</v>
      </c>
      <c r="N567" s="3" t="s">
        <v>689</v>
      </c>
      <c r="P567" s="3" t="s">
        <v>69</v>
      </c>
      <c r="R567" s="3" t="s">
        <v>70</v>
      </c>
      <c r="S567" s="4">
        <v>10</v>
      </c>
      <c r="T567" s="4">
        <v>10</v>
      </c>
      <c r="U567" s="5" t="s">
        <v>3972</v>
      </c>
      <c r="V567" s="5" t="s">
        <v>3972</v>
      </c>
      <c r="W567" s="5" t="s">
        <v>72</v>
      </c>
      <c r="X567" s="5" t="s">
        <v>72</v>
      </c>
      <c r="Y567" s="4">
        <v>137</v>
      </c>
      <c r="Z567" s="4">
        <v>3</v>
      </c>
      <c r="AA567" s="4">
        <v>5</v>
      </c>
      <c r="AB567" s="4">
        <v>1</v>
      </c>
      <c r="AC567" s="4">
        <v>1</v>
      </c>
      <c r="AD567" s="4">
        <v>55</v>
      </c>
      <c r="AE567" s="4">
        <v>61</v>
      </c>
      <c r="AF567" s="4">
        <v>0</v>
      </c>
      <c r="AG567" s="4">
        <v>0</v>
      </c>
      <c r="AH567" s="4">
        <v>53</v>
      </c>
      <c r="AI567" s="4">
        <v>59</v>
      </c>
      <c r="AJ567" s="4">
        <v>2</v>
      </c>
      <c r="AK567" s="4">
        <v>4</v>
      </c>
      <c r="AL567" s="4">
        <v>28</v>
      </c>
      <c r="AM567" s="4">
        <v>28</v>
      </c>
      <c r="AN567" s="4">
        <v>0</v>
      </c>
      <c r="AO567" s="4">
        <v>0</v>
      </c>
      <c r="AP567" s="4">
        <v>2</v>
      </c>
      <c r="AQ567" s="4">
        <v>4</v>
      </c>
      <c r="AR567" s="3" t="s">
        <v>64</v>
      </c>
      <c r="AS567" s="3" t="s">
        <v>64</v>
      </c>
      <c r="AT567" s="3" t="s">
        <v>64</v>
      </c>
      <c r="AV567" s="6" t="str">
        <f>HYPERLINK("http://mcgill.on.worldcat.org/oclc/24916211","Catalog Record")</f>
        <v>Catalog Record</v>
      </c>
      <c r="AW567" s="6" t="str">
        <f>HYPERLINK("http://www.worldcat.org/oclc/24916211","WorldCat Record")</f>
        <v>WorldCat Record</v>
      </c>
      <c r="AX567" s="3" t="s">
        <v>5911</v>
      </c>
      <c r="AY567" s="3" t="s">
        <v>5912</v>
      </c>
      <c r="AZ567" s="3" t="s">
        <v>5913</v>
      </c>
      <c r="BA567" s="3" t="s">
        <v>5913</v>
      </c>
      <c r="BB567" s="3" t="s">
        <v>5914</v>
      </c>
      <c r="BC567" s="3" t="s">
        <v>78</v>
      </c>
      <c r="BD567" s="3" t="s">
        <v>79</v>
      </c>
      <c r="BE567" s="3" t="s">
        <v>5915</v>
      </c>
      <c r="BF567" s="3" t="s">
        <v>5914</v>
      </c>
      <c r="BG567" s="3" t="s">
        <v>5916</v>
      </c>
    </row>
    <row r="568" spans="1:59" ht="58" x14ac:dyDescent="0.35">
      <c r="A568" s="2" t="s">
        <v>59</v>
      </c>
      <c r="B568" s="2" t="s">
        <v>94</v>
      </c>
      <c r="C568" s="2" t="s">
        <v>5917</v>
      </c>
      <c r="D568" s="2" t="s">
        <v>5918</v>
      </c>
      <c r="E568" s="2" t="s">
        <v>5919</v>
      </c>
      <c r="G568" s="3" t="s">
        <v>64</v>
      </c>
      <c r="I568" s="3" t="s">
        <v>64</v>
      </c>
      <c r="J568" s="3" t="s">
        <v>64</v>
      </c>
      <c r="K568" s="3" t="s">
        <v>65</v>
      </c>
      <c r="M568" s="2" t="s">
        <v>5920</v>
      </c>
      <c r="N568" s="3" t="s">
        <v>328</v>
      </c>
      <c r="P568" s="3" t="s">
        <v>69</v>
      </c>
      <c r="Q568" s="2" t="s">
        <v>5921</v>
      </c>
      <c r="R568" s="3" t="s">
        <v>70</v>
      </c>
      <c r="S568" s="4">
        <v>1</v>
      </c>
      <c r="T568" s="4">
        <v>1</v>
      </c>
      <c r="U568" s="5" t="s">
        <v>5922</v>
      </c>
      <c r="V568" s="5" t="s">
        <v>5922</v>
      </c>
      <c r="W568" s="5" t="s">
        <v>72</v>
      </c>
      <c r="X568" s="5" t="s">
        <v>72</v>
      </c>
      <c r="Y568" s="4">
        <v>103</v>
      </c>
      <c r="Z568" s="4">
        <v>8</v>
      </c>
      <c r="AA568" s="4">
        <v>28</v>
      </c>
      <c r="AB568" s="4">
        <v>2</v>
      </c>
      <c r="AC568" s="4">
        <v>4</v>
      </c>
      <c r="AD568" s="4">
        <v>51</v>
      </c>
      <c r="AE568" s="4">
        <v>84</v>
      </c>
      <c r="AF568" s="4">
        <v>1</v>
      </c>
      <c r="AG568" s="4">
        <v>1</v>
      </c>
      <c r="AH568" s="4">
        <v>46</v>
      </c>
      <c r="AI568" s="4">
        <v>73</v>
      </c>
      <c r="AJ568" s="4">
        <v>6</v>
      </c>
      <c r="AK568" s="4">
        <v>9</v>
      </c>
      <c r="AL568" s="4">
        <v>33</v>
      </c>
      <c r="AM568" s="4">
        <v>42</v>
      </c>
      <c r="AN568" s="4">
        <v>0</v>
      </c>
      <c r="AO568" s="4">
        <v>0</v>
      </c>
      <c r="AP568" s="4">
        <v>6</v>
      </c>
      <c r="AQ568" s="4">
        <v>15</v>
      </c>
      <c r="AR568" s="3" t="s">
        <v>64</v>
      </c>
      <c r="AS568" s="3" t="s">
        <v>64</v>
      </c>
      <c r="AT568" s="3" t="s">
        <v>64</v>
      </c>
      <c r="AV568" s="6" t="str">
        <f>HYPERLINK("http://mcgill.on.worldcat.org/oclc/726818992","Catalog Record")</f>
        <v>Catalog Record</v>
      </c>
      <c r="AW568" s="6" t="str">
        <f>HYPERLINK("http://www.worldcat.org/oclc/726818992","WorldCat Record")</f>
        <v>WorldCat Record</v>
      </c>
      <c r="AX568" s="3" t="s">
        <v>5923</v>
      </c>
      <c r="AY568" s="3" t="s">
        <v>5924</v>
      </c>
      <c r="AZ568" s="3" t="s">
        <v>5925</v>
      </c>
      <c r="BA568" s="3" t="s">
        <v>5925</v>
      </c>
      <c r="BB568" s="3" t="s">
        <v>5926</v>
      </c>
      <c r="BC568" s="3" t="s">
        <v>78</v>
      </c>
      <c r="BD568" s="3" t="s">
        <v>79</v>
      </c>
      <c r="BE568" s="3" t="s">
        <v>5927</v>
      </c>
      <c r="BF568" s="3" t="s">
        <v>5926</v>
      </c>
      <c r="BG568" s="3" t="s">
        <v>5928</v>
      </c>
    </row>
    <row r="569" spans="1:59" ht="58" x14ac:dyDescent="0.35">
      <c r="A569" s="2" t="s">
        <v>59</v>
      </c>
      <c r="B569" s="2" t="s">
        <v>94</v>
      </c>
      <c r="C569" s="2" t="s">
        <v>5929</v>
      </c>
      <c r="D569" s="2" t="s">
        <v>5930</v>
      </c>
      <c r="E569" s="2" t="s">
        <v>5931</v>
      </c>
      <c r="G569" s="3" t="s">
        <v>64</v>
      </c>
      <c r="I569" s="3" t="s">
        <v>64</v>
      </c>
      <c r="J569" s="3" t="s">
        <v>64</v>
      </c>
      <c r="K569" s="3" t="s">
        <v>65</v>
      </c>
      <c r="L569" s="2" t="s">
        <v>5932</v>
      </c>
      <c r="M569" s="2" t="s">
        <v>5933</v>
      </c>
      <c r="N569" s="3" t="s">
        <v>315</v>
      </c>
      <c r="P569" s="3" t="s">
        <v>69</v>
      </c>
      <c r="R569" s="3" t="s">
        <v>70</v>
      </c>
      <c r="S569" s="4">
        <v>20</v>
      </c>
      <c r="T569" s="4">
        <v>20</v>
      </c>
      <c r="U569" s="5" t="s">
        <v>5934</v>
      </c>
      <c r="V569" s="5" t="s">
        <v>5934</v>
      </c>
      <c r="W569" s="5" t="s">
        <v>72</v>
      </c>
      <c r="X569" s="5" t="s">
        <v>72</v>
      </c>
      <c r="Y569" s="4">
        <v>666</v>
      </c>
      <c r="Z569" s="4">
        <v>42</v>
      </c>
      <c r="AA569" s="4">
        <v>49</v>
      </c>
      <c r="AB569" s="4">
        <v>3</v>
      </c>
      <c r="AC569" s="4">
        <v>5</v>
      </c>
      <c r="AD569" s="4">
        <v>115</v>
      </c>
      <c r="AE569" s="4">
        <v>122</v>
      </c>
      <c r="AF569" s="4">
        <v>1</v>
      </c>
      <c r="AG569" s="4">
        <v>3</v>
      </c>
      <c r="AH569" s="4">
        <v>96</v>
      </c>
      <c r="AI569" s="4">
        <v>99</v>
      </c>
      <c r="AJ569" s="4">
        <v>18</v>
      </c>
      <c r="AK569" s="4">
        <v>21</v>
      </c>
      <c r="AL569" s="4">
        <v>56</v>
      </c>
      <c r="AM569" s="4">
        <v>56</v>
      </c>
      <c r="AN569" s="4">
        <v>0</v>
      </c>
      <c r="AO569" s="4">
        <v>0</v>
      </c>
      <c r="AP569" s="4">
        <v>27</v>
      </c>
      <c r="AQ569" s="4">
        <v>31</v>
      </c>
      <c r="AR569" s="3" t="s">
        <v>64</v>
      </c>
      <c r="AS569" s="3" t="s">
        <v>64</v>
      </c>
      <c r="AT569" s="3" t="s">
        <v>73</v>
      </c>
      <c r="AU569" s="6" t="str">
        <f>HYPERLINK("http://catalog.hathitrust.org/Record/004502061","HathiTrust Record")</f>
        <v>HathiTrust Record</v>
      </c>
      <c r="AV569" s="6" t="str">
        <f>HYPERLINK("http://mcgill.on.worldcat.org/oclc/14518451","Catalog Record")</f>
        <v>Catalog Record</v>
      </c>
      <c r="AW569" s="6" t="str">
        <f>HYPERLINK("http://www.worldcat.org/oclc/14518451","WorldCat Record")</f>
        <v>WorldCat Record</v>
      </c>
      <c r="AX569" s="3" t="s">
        <v>5935</v>
      </c>
      <c r="AY569" s="3" t="s">
        <v>5936</v>
      </c>
      <c r="AZ569" s="3" t="s">
        <v>5937</v>
      </c>
      <c r="BA569" s="3" t="s">
        <v>5937</v>
      </c>
      <c r="BB569" s="3" t="s">
        <v>5938</v>
      </c>
      <c r="BC569" s="3" t="s">
        <v>78</v>
      </c>
      <c r="BD569" s="3" t="s">
        <v>79</v>
      </c>
      <c r="BE569" s="3" t="s">
        <v>5939</v>
      </c>
      <c r="BF569" s="3" t="s">
        <v>5938</v>
      </c>
      <c r="BG569" s="3" t="s">
        <v>5940</v>
      </c>
    </row>
    <row r="570" spans="1:59" ht="58" x14ac:dyDescent="0.35">
      <c r="A570" s="2" t="s">
        <v>59</v>
      </c>
      <c r="B570" s="2" t="s">
        <v>94</v>
      </c>
      <c r="C570" s="2" t="s">
        <v>5941</v>
      </c>
      <c r="D570" s="2" t="s">
        <v>5942</v>
      </c>
      <c r="E570" s="2" t="s">
        <v>5943</v>
      </c>
      <c r="G570" s="3" t="s">
        <v>64</v>
      </c>
      <c r="I570" s="3" t="s">
        <v>64</v>
      </c>
      <c r="J570" s="3" t="s">
        <v>64</v>
      </c>
      <c r="K570" s="3" t="s">
        <v>65</v>
      </c>
      <c r="L570" s="2" t="s">
        <v>5944</v>
      </c>
      <c r="M570" s="2" t="s">
        <v>5945</v>
      </c>
      <c r="N570" s="3" t="s">
        <v>861</v>
      </c>
      <c r="P570" s="3" t="s">
        <v>69</v>
      </c>
      <c r="R570" s="3" t="s">
        <v>70</v>
      </c>
      <c r="S570" s="4">
        <v>22</v>
      </c>
      <c r="T570" s="4">
        <v>22</v>
      </c>
      <c r="U570" s="5" t="s">
        <v>5946</v>
      </c>
      <c r="V570" s="5" t="s">
        <v>5946</v>
      </c>
      <c r="W570" s="5" t="s">
        <v>72</v>
      </c>
      <c r="X570" s="5" t="s">
        <v>72</v>
      </c>
      <c r="Y570" s="4">
        <v>289</v>
      </c>
      <c r="Z570" s="4">
        <v>19</v>
      </c>
      <c r="AA570" s="4">
        <v>19</v>
      </c>
      <c r="AB570" s="4">
        <v>2</v>
      </c>
      <c r="AC570" s="4">
        <v>2</v>
      </c>
      <c r="AD570" s="4">
        <v>84</v>
      </c>
      <c r="AE570" s="4">
        <v>84</v>
      </c>
      <c r="AF570" s="4">
        <v>1</v>
      </c>
      <c r="AG570" s="4">
        <v>1</v>
      </c>
      <c r="AH570" s="4">
        <v>75</v>
      </c>
      <c r="AI570" s="4">
        <v>75</v>
      </c>
      <c r="AJ570" s="4">
        <v>12</v>
      </c>
      <c r="AK570" s="4">
        <v>12</v>
      </c>
      <c r="AL570" s="4">
        <v>44</v>
      </c>
      <c r="AM570" s="4">
        <v>44</v>
      </c>
      <c r="AN570" s="4">
        <v>0</v>
      </c>
      <c r="AO570" s="4">
        <v>0</v>
      </c>
      <c r="AP570" s="4">
        <v>15</v>
      </c>
      <c r="AQ570" s="4">
        <v>15</v>
      </c>
      <c r="AR570" s="3" t="s">
        <v>64</v>
      </c>
      <c r="AS570" s="3" t="s">
        <v>64</v>
      </c>
      <c r="AT570" s="3" t="s">
        <v>64</v>
      </c>
      <c r="AV570" s="6" t="str">
        <f>HYPERLINK("http://mcgill.on.worldcat.org/oclc/52720946","Catalog Record")</f>
        <v>Catalog Record</v>
      </c>
      <c r="AW570" s="6" t="str">
        <f>HYPERLINK("http://www.worldcat.org/oclc/52720946","WorldCat Record")</f>
        <v>WorldCat Record</v>
      </c>
      <c r="AX570" s="3" t="s">
        <v>5947</v>
      </c>
      <c r="AY570" s="3" t="s">
        <v>5948</v>
      </c>
      <c r="AZ570" s="3" t="s">
        <v>5949</v>
      </c>
      <c r="BA570" s="3" t="s">
        <v>5949</v>
      </c>
      <c r="BB570" s="3" t="s">
        <v>5950</v>
      </c>
      <c r="BC570" s="3" t="s">
        <v>78</v>
      </c>
      <c r="BD570" s="3" t="s">
        <v>79</v>
      </c>
      <c r="BE570" s="3" t="s">
        <v>5951</v>
      </c>
      <c r="BF570" s="3" t="s">
        <v>5950</v>
      </c>
      <c r="BG570" s="3" t="s">
        <v>5952</v>
      </c>
    </row>
    <row r="571" spans="1:59" ht="58" x14ac:dyDescent="0.35">
      <c r="A571" s="2" t="s">
        <v>59</v>
      </c>
      <c r="B571" s="2" t="s">
        <v>94</v>
      </c>
      <c r="C571" s="2" t="s">
        <v>5953</v>
      </c>
      <c r="D571" s="2" t="s">
        <v>5954</v>
      </c>
      <c r="E571" s="2" t="s">
        <v>5955</v>
      </c>
      <c r="G571" s="3" t="s">
        <v>64</v>
      </c>
      <c r="I571" s="3" t="s">
        <v>64</v>
      </c>
      <c r="J571" s="3" t="s">
        <v>64</v>
      </c>
      <c r="K571" s="3" t="s">
        <v>65</v>
      </c>
      <c r="M571" s="2" t="s">
        <v>5956</v>
      </c>
      <c r="N571" s="3" t="s">
        <v>538</v>
      </c>
      <c r="P571" s="3" t="s">
        <v>69</v>
      </c>
      <c r="R571" s="3" t="s">
        <v>70</v>
      </c>
      <c r="S571" s="4">
        <v>12</v>
      </c>
      <c r="T571" s="4">
        <v>12</v>
      </c>
      <c r="U571" s="5" t="s">
        <v>5957</v>
      </c>
      <c r="V571" s="5" t="s">
        <v>5957</v>
      </c>
      <c r="W571" s="5" t="s">
        <v>72</v>
      </c>
      <c r="X571" s="5" t="s">
        <v>72</v>
      </c>
      <c r="Y571" s="4">
        <v>124</v>
      </c>
      <c r="Z571" s="4">
        <v>12</v>
      </c>
      <c r="AA571" s="4">
        <v>12</v>
      </c>
      <c r="AB571" s="4">
        <v>2</v>
      </c>
      <c r="AC571" s="4">
        <v>2</v>
      </c>
      <c r="AD571" s="4">
        <v>59</v>
      </c>
      <c r="AE571" s="4">
        <v>59</v>
      </c>
      <c r="AF571" s="4">
        <v>1</v>
      </c>
      <c r="AG571" s="4">
        <v>1</v>
      </c>
      <c r="AH571" s="4">
        <v>53</v>
      </c>
      <c r="AI571" s="4">
        <v>53</v>
      </c>
      <c r="AJ571" s="4">
        <v>9</v>
      </c>
      <c r="AK571" s="4">
        <v>9</v>
      </c>
      <c r="AL571" s="4">
        <v>36</v>
      </c>
      <c r="AM571" s="4">
        <v>36</v>
      </c>
      <c r="AN571" s="4">
        <v>0</v>
      </c>
      <c r="AO571" s="4">
        <v>0</v>
      </c>
      <c r="AP571" s="4">
        <v>10</v>
      </c>
      <c r="AQ571" s="4">
        <v>10</v>
      </c>
      <c r="AR571" s="3" t="s">
        <v>64</v>
      </c>
      <c r="AS571" s="3" t="s">
        <v>64</v>
      </c>
      <c r="AT571" s="3" t="s">
        <v>73</v>
      </c>
      <c r="AU571" s="6" t="str">
        <f>HYPERLINK("http://catalog.hathitrust.org/Record/005629496","HathiTrust Record")</f>
        <v>HathiTrust Record</v>
      </c>
      <c r="AV571" s="6" t="str">
        <f>HYPERLINK("http://mcgill.on.worldcat.org/oclc/76851294","Catalog Record")</f>
        <v>Catalog Record</v>
      </c>
      <c r="AW571" s="6" t="str">
        <f>HYPERLINK("http://www.worldcat.org/oclc/76851294","WorldCat Record")</f>
        <v>WorldCat Record</v>
      </c>
      <c r="AX571" s="3" t="s">
        <v>5958</v>
      </c>
      <c r="AY571" s="3" t="s">
        <v>5959</v>
      </c>
      <c r="AZ571" s="3" t="s">
        <v>5960</v>
      </c>
      <c r="BA571" s="3" t="s">
        <v>5960</v>
      </c>
      <c r="BB571" s="3" t="s">
        <v>5961</v>
      </c>
      <c r="BC571" s="3" t="s">
        <v>78</v>
      </c>
      <c r="BD571" s="3" t="s">
        <v>79</v>
      </c>
      <c r="BE571" s="3" t="s">
        <v>5962</v>
      </c>
      <c r="BF571" s="3" t="s">
        <v>5961</v>
      </c>
      <c r="BG571" s="3" t="s">
        <v>5963</v>
      </c>
    </row>
    <row r="572" spans="1:59" ht="58" x14ac:dyDescent="0.35">
      <c r="A572" s="2" t="s">
        <v>59</v>
      </c>
      <c r="B572" s="2" t="s">
        <v>94</v>
      </c>
      <c r="C572" s="2" t="s">
        <v>5964</v>
      </c>
      <c r="D572" s="2" t="s">
        <v>5965</v>
      </c>
      <c r="E572" s="2" t="s">
        <v>5966</v>
      </c>
      <c r="G572" s="3" t="s">
        <v>64</v>
      </c>
      <c r="I572" s="3" t="s">
        <v>64</v>
      </c>
      <c r="J572" s="3" t="s">
        <v>64</v>
      </c>
      <c r="K572" s="3" t="s">
        <v>65</v>
      </c>
      <c r="L572" s="2" t="s">
        <v>5967</v>
      </c>
      <c r="M572" s="2" t="s">
        <v>5968</v>
      </c>
      <c r="N572" s="3" t="s">
        <v>365</v>
      </c>
      <c r="P572" s="3" t="s">
        <v>69</v>
      </c>
      <c r="Q572" s="2" t="s">
        <v>5969</v>
      </c>
      <c r="R572" s="3" t="s">
        <v>70</v>
      </c>
      <c r="S572" s="4">
        <v>135</v>
      </c>
      <c r="T572" s="4">
        <v>135</v>
      </c>
      <c r="U572" s="5" t="s">
        <v>5878</v>
      </c>
      <c r="V572" s="5" t="s">
        <v>5878</v>
      </c>
      <c r="W572" s="5" t="s">
        <v>72</v>
      </c>
      <c r="X572" s="5" t="s">
        <v>72</v>
      </c>
      <c r="Y572" s="4">
        <v>551</v>
      </c>
      <c r="Z572" s="4">
        <v>28</v>
      </c>
      <c r="AA572" s="4">
        <v>35</v>
      </c>
      <c r="AB572" s="4">
        <v>2</v>
      </c>
      <c r="AC572" s="4">
        <v>6</v>
      </c>
      <c r="AD572" s="4">
        <v>118</v>
      </c>
      <c r="AE572" s="4">
        <v>124</v>
      </c>
      <c r="AF572" s="4">
        <v>1</v>
      </c>
      <c r="AG572" s="4">
        <v>4</v>
      </c>
      <c r="AH572" s="4">
        <v>101</v>
      </c>
      <c r="AI572" s="4">
        <v>105</v>
      </c>
      <c r="AJ572" s="4">
        <v>15</v>
      </c>
      <c r="AK572" s="4">
        <v>19</v>
      </c>
      <c r="AL572" s="4">
        <v>55</v>
      </c>
      <c r="AM572" s="4">
        <v>57</v>
      </c>
      <c r="AN572" s="4">
        <v>0</v>
      </c>
      <c r="AO572" s="4">
        <v>0</v>
      </c>
      <c r="AP572" s="4">
        <v>22</v>
      </c>
      <c r="AQ572" s="4">
        <v>25</v>
      </c>
      <c r="AR572" s="3" t="s">
        <v>64</v>
      </c>
      <c r="AS572" s="3" t="s">
        <v>64</v>
      </c>
      <c r="AT572" s="3" t="s">
        <v>73</v>
      </c>
      <c r="AU572" s="6" t="str">
        <f>HYPERLINK("http://catalog.hathitrust.org/Record/000577443","HathiTrust Record")</f>
        <v>HathiTrust Record</v>
      </c>
      <c r="AV572" s="6" t="str">
        <f>HYPERLINK("http://mcgill.on.worldcat.org/oclc/12080021","Catalog Record")</f>
        <v>Catalog Record</v>
      </c>
      <c r="AW572" s="6" t="str">
        <f>HYPERLINK("http://www.worldcat.org/oclc/12080021","WorldCat Record")</f>
        <v>WorldCat Record</v>
      </c>
      <c r="AX572" s="3" t="s">
        <v>5970</v>
      </c>
      <c r="AY572" s="3" t="s">
        <v>5971</v>
      </c>
      <c r="AZ572" s="3" t="s">
        <v>5972</v>
      </c>
      <c r="BA572" s="3" t="s">
        <v>5972</v>
      </c>
      <c r="BB572" s="3" t="s">
        <v>5973</v>
      </c>
      <c r="BC572" s="3" t="s">
        <v>78</v>
      </c>
      <c r="BD572" s="3" t="s">
        <v>79</v>
      </c>
      <c r="BE572" s="3" t="s">
        <v>5974</v>
      </c>
      <c r="BF572" s="3" t="s">
        <v>5973</v>
      </c>
      <c r="BG572" s="3" t="s">
        <v>5975</v>
      </c>
    </row>
    <row r="573" spans="1:59" ht="58" x14ac:dyDescent="0.35">
      <c r="A573" s="2" t="s">
        <v>59</v>
      </c>
      <c r="B573" s="2" t="s">
        <v>94</v>
      </c>
      <c r="C573" s="2" t="s">
        <v>5976</v>
      </c>
      <c r="D573" s="2" t="s">
        <v>5977</v>
      </c>
      <c r="E573" s="2" t="s">
        <v>5978</v>
      </c>
      <c r="G573" s="3" t="s">
        <v>64</v>
      </c>
      <c r="I573" s="3" t="s">
        <v>64</v>
      </c>
      <c r="J573" s="3" t="s">
        <v>64</v>
      </c>
      <c r="K573" s="3" t="s">
        <v>65</v>
      </c>
      <c r="L573" s="2" t="s">
        <v>5979</v>
      </c>
      <c r="M573" s="2" t="s">
        <v>5980</v>
      </c>
      <c r="N573" s="3" t="s">
        <v>315</v>
      </c>
      <c r="P573" s="3" t="s">
        <v>69</v>
      </c>
      <c r="R573" s="3" t="s">
        <v>70</v>
      </c>
      <c r="S573" s="4">
        <v>13</v>
      </c>
      <c r="T573" s="4">
        <v>13</v>
      </c>
      <c r="U573" s="5" t="s">
        <v>552</v>
      </c>
      <c r="V573" s="5" t="s">
        <v>552</v>
      </c>
      <c r="W573" s="5" t="s">
        <v>72</v>
      </c>
      <c r="X573" s="5" t="s">
        <v>72</v>
      </c>
      <c r="Y573" s="4">
        <v>432</v>
      </c>
      <c r="Z573" s="4">
        <v>34</v>
      </c>
      <c r="AA573" s="4">
        <v>36</v>
      </c>
      <c r="AB573" s="4">
        <v>2</v>
      </c>
      <c r="AC573" s="4">
        <v>4</v>
      </c>
      <c r="AD573" s="4">
        <v>108</v>
      </c>
      <c r="AE573" s="4">
        <v>109</v>
      </c>
      <c r="AF573" s="4">
        <v>0</v>
      </c>
      <c r="AG573" s="4">
        <v>1</v>
      </c>
      <c r="AH573" s="4">
        <v>94</v>
      </c>
      <c r="AI573" s="4">
        <v>94</v>
      </c>
      <c r="AJ573" s="4">
        <v>17</v>
      </c>
      <c r="AK573" s="4">
        <v>18</v>
      </c>
      <c r="AL573" s="4">
        <v>54</v>
      </c>
      <c r="AM573" s="4">
        <v>54</v>
      </c>
      <c r="AN573" s="4">
        <v>0</v>
      </c>
      <c r="AO573" s="4">
        <v>0</v>
      </c>
      <c r="AP573" s="4">
        <v>22</v>
      </c>
      <c r="AQ573" s="4">
        <v>23</v>
      </c>
      <c r="AR573" s="3" t="s">
        <v>64</v>
      </c>
      <c r="AS573" s="3" t="s">
        <v>64</v>
      </c>
      <c r="AT573" s="3" t="s">
        <v>64</v>
      </c>
      <c r="AV573" s="6" t="str">
        <f>HYPERLINK("http://mcgill.on.worldcat.org/oclc/15696381","Catalog Record")</f>
        <v>Catalog Record</v>
      </c>
      <c r="AW573" s="6" t="str">
        <f>HYPERLINK("http://www.worldcat.org/oclc/15696381","WorldCat Record")</f>
        <v>WorldCat Record</v>
      </c>
      <c r="AX573" s="3" t="s">
        <v>5981</v>
      </c>
      <c r="AY573" s="3" t="s">
        <v>5982</v>
      </c>
      <c r="AZ573" s="3" t="s">
        <v>5983</v>
      </c>
      <c r="BA573" s="3" t="s">
        <v>5983</v>
      </c>
      <c r="BB573" s="3" t="s">
        <v>5984</v>
      </c>
      <c r="BC573" s="3" t="s">
        <v>78</v>
      </c>
      <c r="BD573" s="3" t="s">
        <v>79</v>
      </c>
      <c r="BE573" s="3" t="s">
        <v>5985</v>
      </c>
      <c r="BF573" s="3" t="s">
        <v>5984</v>
      </c>
      <c r="BG573" s="3" t="s">
        <v>5986</v>
      </c>
    </row>
    <row r="574" spans="1:59" ht="58" x14ac:dyDescent="0.35">
      <c r="A574" s="2" t="s">
        <v>59</v>
      </c>
      <c r="B574" s="2" t="s">
        <v>94</v>
      </c>
      <c r="C574" s="2" t="s">
        <v>5987</v>
      </c>
      <c r="D574" s="2" t="s">
        <v>5988</v>
      </c>
      <c r="E574" s="2" t="s">
        <v>5989</v>
      </c>
      <c r="G574" s="3" t="s">
        <v>64</v>
      </c>
      <c r="I574" s="3" t="s">
        <v>64</v>
      </c>
      <c r="J574" s="3" t="s">
        <v>64</v>
      </c>
      <c r="K574" s="3" t="s">
        <v>65</v>
      </c>
      <c r="L574" s="2" t="s">
        <v>5990</v>
      </c>
      <c r="M574" s="2" t="s">
        <v>5991</v>
      </c>
      <c r="N574" s="3" t="s">
        <v>303</v>
      </c>
      <c r="P574" s="3" t="s">
        <v>69</v>
      </c>
      <c r="Q574" s="2" t="s">
        <v>5992</v>
      </c>
      <c r="R574" s="3" t="s">
        <v>70</v>
      </c>
      <c r="S574" s="4">
        <v>18</v>
      </c>
      <c r="T574" s="4">
        <v>18</v>
      </c>
      <c r="U574" s="5" t="s">
        <v>5993</v>
      </c>
      <c r="V574" s="5" t="s">
        <v>5993</v>
      </c>
      <c r="W574" s="5" t="s">
        <v>72</v>
      </c>
      <c r="X574" s="5" t="s">
        <v>72</v>
      </c>
      <c r="Y574" s="4">
        <v>352</v>
      </c>
      <c r="Z574" s="4">
        <v>18</v>
      </c>
      <c r="AA574" s="4">
        <v>25</v>
      </c>
      <c r="AB574" s="4">
        <v>1</v>
      </c>
      <c r="AC574" s="4">
        <v>4</v>
      </c>
      <c r="AD574" s="4">
        <v>104</v>
      </c>
      <c r="AE574" s="4">
        <v>109</v>
      </c>
      <c r="AF574" s="4">
        <v>0</v>
      </c>
      <c r="AG574" s="4">
        <v>1</v>
      </c>
      <c r="AH574" s="4">
        <v>93</v>
      </c>
      <c r="AI574" s="4">
        <v>96</v>
      </c>
      <c r="AJ574" s="4">
        <v>10</v>
      </c>
      <c r="AK574" s="4">
        <v>13</v>
      </c>
      <c r="AL574" s="4">
        <v>58</v>
      </c>
      <c r="AM574" s="4">
        <v>58</v>
      </c>
      <c r="AN574" s="4">
        <v>0</v>
      </c>
      <c r="AO574" s="4">
        <v>0</v>
      </c>
      <c r="AP574" s="4">
        <v>13</v>
      </c>
      <c r="AQ574" s="4">
        <v>16</v>
      </c>
      <c r="AR574" s="3" t="s">
        <v>64</v>
      </c>
      <c r="AS574" s="3" t="s">
        <v>64</v>
      </c>
      <c r="AT574" s="3" t="s">
        <v>64</v>
      </c>
      <c r="AV574" s="6" t="str">
        <f>HYPERLINK("http://mcgill.on.worldcat.org/oclc/26543305","Catalog Record")</f>
        <v>Catalog Record</v>
      </c>
      <c r="AW574" s="6" t="str">
        <f>HYPERLINK("http://www.worldcat.org/oclc/26543305","WorldCat Record")</f>
        <v>WorldCat Record</v>
      </c>
      <c r="AX574" s="3" t="s">
        <v>5994</v>
      </c>
      <c r="AY574" s="3" t="s">
        <v>5995</v>
      </c>
      <c r="AZ574" s="3" t="s">
        <v>5996</v>
      </c>
      <c r="BA574" s="3" t="s">
        <v>5996</v>
      </c>
      <c r="BB574" s="3" t="s">
        <v>5997</v>
      </c>
      <c r="BC574" s="3" t="s">
        <v>78</v>
      </c>
      <c r="BD574" s="3" t="s">
        <v>79</v>
      </c>
      <c r="BE574" s="3" t="s">
        <v>5998</v>
      </c>
      <c r="BF574" s="3" t="s">
        <v>5997</v>
      </c>
      <c r="BG574" s="3" t="s">
        <v>5999</v>
      </c>
    </row>
    <row r="575" spans="1:59" ht="58" x14ac:dyDescent="0.35">
      <c r="A575" s="2" t="s">
        <v>59</v>
      </c>
      <c r="B575" s="2" t="s">
        <v>94</v>
      </c>
      <c r="C575" s="2" t="s">
        <v>6000</v>
      </c>
      <c r="D575" s="2" t="s">
        <v>6001</v>
      </c>
      <c r="E575" s="2" t="s">
        <v>6002</v>
      </c>
      <c r="G575" s="3" t="s">
        <v>64</v>
      </c>
      <c r="I575" s="3" t="s">
        <v>64</v>
      </c>
      <c r="J575" s="3" t="s">
        <v>64</v>
      </c>
      <c r="K575" s="3" t="s">
        <v>65</v>
      </c>
      <c r="L575" s="2" t="s">
        <v>6003</v>
      </c>
      <c r="M575" s="2" t="s">
        <v>6004</v>
      </c>
      <c r="N575" s="3" t="s">
        <v>499</v>
      </c>
      <c r="P575" s="3" t="s">
        <v>69</v>
      </c>
      <c r="Q575" s="2" t="s">
        <v>6005</v>
      </c>
      <c r="R575" s="3" t="s">
        <v>70</v>
      </c>
      <c r="S575" s="4">
        <v>1</v>
      </c>
      <c r="T575" s="4">
        <v>1</v>
      </c>
      <c r="U575" s="5" t="s">
        <v>5957</v>
      </c>
      <c r="V575" s="5" t="s">
        <v>5957</v>
      </c>
      <c r="W575" s="5" t="s">
        <v>72</v>
      </c>
      <c r="X575" s="5" t="s">
        <v>72</v>
      </c>
      <c r="Y575" s="4">
        <v>37</v>
      </c>
      <c r="Z575" s="4">
        <v>2</v>
      </c>
      <c r="AA575" s="4">
        <v>2</v>
      </c>
      <c r="AB575" s="4">
        <v>1</v>
      </c>
      <c r="AC575" s="4">
        <v>1</v>
      </c>
      <c r="AD575" s="4">
        <v>11</v>
      </c>
      <c r="AE575" s="4">
        <v>11</v>
      </c>
      <c r="AF575" s="4">
        <v>0</v>
      </c>
      <c r="AG575" s="4">
        <v>0</v>
      </c>
      <c r="AH575" s="4">
        <v>10</v>
      </c>
      <c r="AI575" s="4">
        <v>10</v>
      </c>
      <c r="AJ575" s="4">
        <v>1</v>
      </c>
      <c r="AK575" s="4">
        <v>1</v>
      </c>
      <c r="AL575" s="4">
        <v>6</v>
      </c>
      <c r="AM575" s="4">
        <v>6</v>
      </c>
      <c r="AN575" s="4">
        <v>0</v>
      </c>
      <c r="AO575" s="4">
        <v>0</v>
      </c>
      <c r="AP575" s="4">
        <v>1</v>
      </c>
      <c r="AQ575" s="4">
        <v>1</v>
      </c>
      <c r="AR575" s="3" t="s">
        <v>64</v>
      </c>
      <c r="AS575" s="3" t="s">
        <v>64</v>
      </c>
      <c r="AT575" s="3" t="s">
        <v>73</v>
      </c>
      <c r="AU575" s="6" t="str">
        <f>HYPERLINK("http://catalog.hathitrust.org/Record/007583866","HathiTrust Record")</f>
        <v>HathiTrust Record</v>
      </c>
      <c r="AV575" s="6" t="str">
        <f>HYPERLINK("http://mcgill.on.worldcat.org/oclc/60401819","Catalog Record")</f>
        <v>Catalog Record</v>
      </c>
      <c r="AW575" s="6" t="str">
        <f>HYPERLINK("http://www.worldcat.org/oclc/60401819","WorldCat Record")</f>
        <v>WorldCat Record</v>
      </c>
      <c r="AX575" s="3" t="s">
        <v>6006</v>
      </c>
      <c r="AY575" s="3" t="s">
        <v>6007</v>
      </c>
      <c r="AZ575" s="3" t="s">
        <v>6008</v>
      </c>
      <c r="BA575" s="3" t="s">
        <v>6008</v>
      </c>
      <c r="BB575" s="3" t="s">
        <v>6009</v>
      </c>
      <c r="BC575" s="3" t="s">
        <v>78</v>
      </c>
      <c r="BD575" s="3" t="s">
        <v>79</v>
      </c>
      <c r="BE575" s="3" t="s">
        <v>6010</v>
      </c>
      <c r="BF575" s="3" t="s">
        <v>6009</v>
      </c>
      <c r="BG575" s="3" t="s">
        <v>6011</v>
      </c>
    </row>
    <row r="576" spans="1:59" ht="58" x14ac:dyDescent="0.35">
      <c r="A576" s="2" t="s">
        <v>59</v>
      </c>
      <c r="B576" s="2" t="s">
        <v>94</v>
      </c>
      <c r="C576" s="2" t="s">
        <v>6012</v>
      </c>
      <c r="D576" s="2" t="s">
        <v>6013</v>
      </c>
      <c r="E576" s="2" t="s">
        <v>6014</v>
      </c>
      <c r="G576" s="3" t="s">
        <v>64</v>
      </c>
      <c r="I576" s="3" t="s">
        <v>73</v>
      </c>
      <c r="J576" s="3" t="s">
        <v>64</v>
      </c>
      <c r="K576" s="3" t="s">
        <v>65</v>
      </c>
      <c r="L576" s="2" t="s">
        <v>6015</v>
      </c>
      <c r="M576" s="2" t="s">
        <v>6016</v>
      </c>
      <c r="N576" s="3" t="s">
        <v>733</v>
      </c>
      <c r="P576" s="3" t="s">
        <v>69</v>
      </c>
      <c r="Q576" s="2" t="s">
        <v>450</v>
      </c>
      <c r="R576" s="3" t="s">
        <v>70</v>
      </c>
      <c r="S576" s="4">
        <v>14</v>
      </c>
      <c r="T576" s="4">
        <v>107</v>
      </c>
      <c r="U576" s="5" t="s">
        <v>6017</v>
      </c>
      <c r="V576" s="5" t="s">
        <v>6018</v>
      </c>
      <c r="W576" s="5" t="s">
        <v>72</v>
      </c>
      <c r="X576" s="5" t="s">
        <v>72</v>
      </c>
      <c r="Y576" s="4">
        <v>504</v>
      </c>
      <c r="Z576" s="4">
        <v>30</v>
      </c>
      <c r="AA576" s="4">
        <v>86</v>
      </c>
      <c r="AB576" s="4">
        <v>3</v>
      </c>
      <c r="AC576" s="4">
        <v>15</v>
      </c>
      <c r="AD576" s="4">
        <v>120</v>
      </c>
      <c r="AE576" s="4">
        <v>146</v>
      </c>
      <c r="AF576" s="4">
        <v>2</v>
      </c>
      <c r="AG576" s="4">
        <v>8</v>
      </c>
      <c r="AH576" s="4">
        <v>104</v>
      </c>
      <c r="AI576" s="4">
        <v>111</v>
      </c>
      <c r="AJ576" s="4">
        <v>19</v>
      </c>
      <c r="AK576" s="4">
        <v>26</v>
      </c>
      <c r="AL576" s="4">
        <v>57</v>
      </c>
      <c r="AM576" s="4">
        <v>59</v>
      </c>
      <c r="AN576" s="4">
        <v>0</v>
      </c>
      <c r="AO576" s="4">
        <v>0</v>
      </c>
      <c r="AP576" s="4">
        <v>23</v>
      </c>
      <c r="AQ576" s="4">
        <v>43</v>
      </c>
      <c r="AR576" s="3" t="s">
        <v>64</v>
      </c>
      <c r="AS576" s="3" t="s">
        <v>64</v>
      </c>
      <c r="AT576" s="3" t="s">
        <v>73</v>
      </c>
      <c r="AU576" s="6" t="str">
        <f>HYPERLINK("http://catalog.hathitrust.org/Record/000117876","HathiTrust Record")</f>
        <v>HathiTrust Record</v>
      </c>
      <c r="AV576" s="6" t="str">
        <f>HYPERLINK("http://mcgill.on.worldcat.org/oclc/9394615","Catalog Record")</f>
        <v>Catalog Record</v>
      </c>
      <c r="AW576" s="6" t="str">
        <f>HYPERLINK("http://www.worldcat.org/oclc/9394615","WorldCat Record")</f>
        <v>WorldCat Record</v>
      </c>
      <c r="AX576" s="3" t="s">
        <v>6019</v>
      </c>
      <c r="AY576" s="3" t="s">
        <v>6020</v>
      </c>
      <c r="AZ576" s="3" t="s">
        <v>6021</v>
      </c>
      <c r="BA576" s="3" t="s">
        <v>6021</v>
      </c>
      <c r="BB576" s="3" t="s">
        <v>6022</v>
      </c>
      <c r="BC576" s="3" t="s">
        <v>78</v>
      </c>
      <c r="BD576" s="3" t="s">
        <v>79</v>
      </c>
      <c r="BE576" s="3" t="s">
        <v>6023</v>
      </c>
      <c r="BF576" s="3" t="s">
        <v>6022</v>
      </c>
      <c r="BG576" s="3" t="s">
        <v>6024</v>
      </c>
    </row>
    <row r="577" spans="1:59" ht="58" x14ac:dyDescent="0.35">
      <c r="A577" s="2" t="s">
        <v>59</v>
      </c>
      <c r="B577" s="2" t="s">
        <v>94</v>
      </c>
      <c r="C577" s="2" t="s">
        <v>6012</v>
      </c>
      <c r="D577" s="2" t="s">
        <v>6013</v>
      </c>
      <c r="E577" s="2" t="s">
        <v>6014</v>
      </c>
      <c r="G577" s="3" t="s">
        <v>64</v>
      </c>
      <c r="I577" s="3" t="s">
        <v>73</v>
      </c>
      <c r="J577" s="3" t="s">
        <v>64</v>
      </c>
      <c r="K577" s="3" t="s">
        <v>65</v>
      </c>
      <c r="L577" s="2" t="s">
        <v>6015</v>
      </c>
      <c r="M577" s="2" t="s">
        <v>6016</v>
      </c>
      <c r="N577" s="3" t="s">
        <v>733</v>
      </c>
      <c r="P577" s="3" t="s">
        <v>69</v>
      </c>
      <c r="Q577" s="2" t="s">
        <v>450</v>
      </c>
      <c r="R577" s="3" t="s">
        <v>70</v>
      </c>
      <c r="S577" s="4">
        <v>66</v>
      </c>
      <c r="T577" s="4">
        <v>107</v>
      </c>
      <c r="U577" s="5" t="s">
        <v>969</v>
      </c>
      <c r="V577" s="5" t="s">
        <v>6018</v>
      </c>
      <c r="W577" s="5" t="s">
        <v>72</v>
      </c>
      <c r="X577" s="5" t="s">
        <v>72</v>
      </c>
      <c r="Y577" s="4">
        <v>504</v>
      </c>
      <c r="Z577" s="4">
        <v>30</v>
      </c>
      <c r="AA577" s="4">
        <v>86</v>
      </c>
      <c r="AB577" s="4">
        <v>3</v>
      </c>
      <c r="AC577" s="4">
        <v>15</v>
      </c>
      <c r="AD577" s="4">
        <v>120</v>
      </c>
      <c r="AE577" s="4">
        <v>146</v>
      </c>
      <c r="AF577" s="4">
        <v>2</v>
      </c>
      <c r="AG577" s="4">
        <v>8</v>
      </c>
      <c r="AH577" s="4">
        <v>104</v>
      </c>
      <c r="AI577" s="4">
        <v>111</v>
      </c>
      <c r="AJ577" s="4">
        <v>19</v>
      </c>
      <c r="AK577" s="4">
        <v>26</v>
      </c>
      <c r="AL577" s="4">
        <v>57</v>
      </c>
      <c r="AM577" s="4">
        <v>59</v>
      </c>
      <c r="AN577" s="4">
        <v>0</v>
      </c>
      <c r="AO577" s="4">
        <v>0</v>
      </c>
      <c r="AP577" s="4">
        <v>23</v>
      </c>
      <c r="AQ577" s="4">
        <v>43</v>
      </c>
      <c r="AR577" s="3" t="s">
        <v>64</v>
      </c>
      <c r="AS577" s="3" t="s">
        <v>64</v>
      </c>
      <c r="AT577" s="3" t="s">
        <v>73</v>
      </c>
      <c r="AU577" s="6" t="str">
        <f>HYPERLINK("http://catalog.hathitrust.org/Record/000117876","HathiTrust Record")</f>
        <v>HathiTrust Record</v>
      </c>
      <c r="AV577" s="6" t="str">
        <f>HYPERLINK("http://mcgill.on.worldcat.org/oclc/9394615","Catalog Record")</f>
        <v>Catalog Record</v>
      </c>
      <c r="AW577" s="6" t="str">
        <f>HYPERLINK("http://www.worldcat.org/oclc/9394615","WorldCat Record")</f>
        <v>WorldCat Record</v>
      </c>
      <c r="AX577" s="3" t="s">
        <v>6019</v>
      </c>
      <c r="AY577" s="3" t="s">
        <v>6020</v>
      </c>
      <c r="AZ577" s="3" t="s">
        <v>6021</v>
      </c>
      <c r="BA577" s="3" t="s">
        <v>6021</v>
      </c>
      <c r="BB577" s="3" t="s">
        <v>6025</v>
      </c>
      <c r="BC577" s="3" t="s">
        <v>78</v>
      </c>
      <c r="BD577" s="3" t="s">
        <v>79</v>
      </c>
      <c r="BE577" s="3" t="s">
        <v>6023</v>
      </c>
      <c r="BF577" s="3" t="s">
        <v>6025</v>
      </c>
      <c r="BG577" s="3" t="s">
        <v>6026</v>
      </c>
    </row>
    <row r="578" spans="1:59" ht="58" x14ac:dyDescent="0.35">
      <c r="A578" s="2" t="s">
        <v>59</v>
      </c>
      <c r="B578" s="2" t="s">
        <v>94</v>
      </c>
      <c r="C578" s="2" t="s">
        <v>6012</v>
      </c>
      <c r="D578" s="2" t="s">
        <v>6013</v>
      </c>
      <c r="E578" s="2" t="s">
        <v>6014</v>
      </c>
      <c r="G578" s="3" t="s">
        <v>64</v>
      </c>
      <c r="I578" s="3" t="s">
        <v>73</v>
      </c>
      <c r="J578" s="3" t="s">
        <v>64</v>
      </c>
      <c r="K578" s="3" t="s">
        <v>65</v>
      </c>
      <c r="L578" s="2" t="s">
        <v>6015</v>
      </c>
      <c r="M578" s="2" t="s">
        <v>6016</v>
      </c>
      <c r="N578" s="3" t="s">
        <v>733</v>
      </c>
      <c r="P578" s="3" t="s">
        <v>69</v>
      </c>
      <c r="Q578" s="2" t="s">
        <v>450</v>
      </c>
      <c r="R578" s="3" t="s">
        <v>70</v>
      </c>
      <c r="S578" s="4">
        <v>27</v>
      </c>
      <c r="T578" s="4">
        <v>107</v>
      </c>
      <c r="U578" s="5" t="s">
        <v>6018</v>
      </c>
      <c r="V578" s="5" t="s">
        <v>6018</v>
      </c>
      <c r="W578" s="5" t="s">
        <v>72</v>
      </c>
      <c r="X578" s="5" t="s">
        <v>72</v>
      </c>
      <c r="Y578" s="4">
        <v>504</v>
      </c>
      <c r="Z578" s="4">
        <v>30</v>
      </c>
      <c r="AA578" s="4">
        <v>86</v>
      </c>
      <c r="AB578" s="4">
        <v>3</v>
      </c>
      <c r="AC578" s="4">
        <v>15</v>
      </c>
      <c r="AD578" s="4">
        <v>120</v>
      </c>
      <c r="AE578" s="4">
        <v>146</v>
      </c>
      <c r="AF578" s="4">
        <v>2</v>
      </c>
      <c r="AG578" s="4">
        <v>8</v>
      </c>
      <c r="AH578" s="4">
        <v>104</v>
      </c>
      <c r="AI578" s="4">
        <v>111</v>
      </c>
      <c r="AJ578" s="4">
        <v>19</v>
      </c>
      <c r="AK578" s="4">
        <v>26</v>
      </c>
      <c r="AL578" s="4">
        <v>57</v>
      </c>
      <c r="AM578" s="4">
        <v>59</v>
      </c>
      <c r="AN578" s="4">
        <v>0</v>
      </c>
      <c r="AO578" s="4">
        <v>0</v>
      </c>
      <c r="AP578" s="4">
        <v>23</v>
      </c>
      <c r="AQ578" s="4">
        <v>43</v>
      </c>
      <c r="AR578" s="3" t="s">
        <v>64</v>
      </c>
      <c r="AS578" s="3" t="s">
        <v>64</v>
      </c>
      <c r="AT578" s="3" t="s">
        <v>73</v>
      </c>
      <c r="AU578" s="6" t="str">
        <f>HYPERLINK("http://catalog.hathitrust.org/Record/000117876","HathiTrust Record")</f>
        <v>HathiTrust Record</v>
      </c>
      <c r="AV578" s="6" t="str">
        <f>HYPERLINK("http://mcgill.on.worldcat.org/oclc/9394615","Catalog Record")</f>
        <v>Catalog Record</v>
      </c>
      <c r="AW578" s="6" t="str">
        <f>HYPERLINK("http://www.worldcat.org/oclc/9394615","WorldCat Record")</f>
        <v>WorldCat Record</v>
      </c>
      <c r="AX578" s="3" t="s">
        <v>6019</v>
      </c>
      <c r="AY578" s="3" t="s">
        <v>6020</v>
      </c>
      <c r="AZ578" s="3" t="s">
        <v>6021</v>
      </c>
      <c r="BA578" s="3" t="s">
        <v>6021</v>
      </c>
      <c r="BB578" s="3" t="s">
        <v>6027</v>
      </c>
      <c r="BC578" s="3" t="s">
        <v>78</v>
      </c>
      <c r="BD578" s="3" t="s">
        <v>79</v>
      </c>
      <c r="BE578" s="3" t="s">
        <v>6023</v>
      </c>
      <c r="BF578" s="3" t="s">
        <v>6027</v>
      </c>
      <c r="BG578" s="3" t="s">
        <v>6028</v>
      </c>
    </row>
    <row r="579" spans="1:59" ht="58" x14ac:dyDescent="0.35">
      <c r="A579" s="2" t="s">
        <v>59</v>
      </c>
      <c r="B579" s="2" t="s">
        <v>94</v>
      </c>
      <c r="C579" s="2" t="s">
        <v>6029</v>
      </c>
      <c r="D579" s="2" t="s">
        <v>6030</v>
      </c>
      <c r="E579" s="2" t="s">
        <v>6031</v>
      </c>
      <c r="G579" s="3" t="s">
        <v>64</v>
      </c>
      <c r="I579" s="3" t="s">
        <v>64</v>
      </c>
      <c r="J579" s="3" t="s">
        <v>64</v>
      </c>
      <c r="K579" s="3" t="s">
        <v>65</v>
      </c>
      <c r="L579" s="2" t="s">
        <v>6032</v>
      </c>
      <c r="M579" s="2" t="s">
        <v>6033</v>
      </c>
      <c r="N579" s="3" t="s">
        <v>651</v>
      </c>
      <c r="P579" s="3" t="s">
        <v>69</v>
      </c>
      <c r="Q579" s="2" t="s">
        <v>6034</v>
      </c>
      <c r="R579" s="3" t="s">
        <v>70</v>
      </c>
      <c r="S579" s="4">
        <v>21</v>
      </c>
      <c r="T579" s="4">
        <v>21</v>
      </c>
      <c r="U579" s="5" t="s">
        <v>6035</v>
      </c>
      <c r="V579" s="5" t="s">
        <v>6035</v>
      </c>
      <c r="W579" s="5" t="s">
        <v>72</v>
      </c>
      <c r="X579" s="5" t="s">
        <v>72</v>
      </c>
      <c r="Y579" s="4">
        <v>322</v>
      </c>
      <c r="Z579" s="4">
        <v>21</v>
      </c>
      <c r="AA579" s="4">
        <v>107</v>
      </c>
      <c r="AB579" s="4">
        <v>2</v>
      </c>
      <c r="AC579" s="4">
        <v>17</v>
      </c>
      <c r="AD579" s="4">
        <v>90</v>
      </c>
      <c r="AE579" s="4">
        <v>143</v>
      </c>
      <c r="AF579" s="4">
        <v>1</v>
      </c>
      <c r="AG579" s="4">
        <v>8</v>
      </c>
      <c r="AH579" s="4">
        <v>80</v>
      </c>
      <c r="AI579" s="4">
        <v>106</v>
      </c>
      <c r="AJ579" s="4">
        <v>13</v>
      </c>
      <c r="AK579" s="4">
        <v>24</v>
      </c>
      <c r="AL579" s="4">
        <v>44</v>
      </c>
      <c r="AM579" s="4">
        <v>55</v>
      </c>
      <c r="AN579" s="4">
        <v>0</v>
      </c>
      <c r="AO579" s="4">
        <v>0</v>
      </c>
      <c r="AP579" s="4">
        <v>15</v>
      </c>
      <c r="AQ579" s="4">
        <v>45</v>
      </c>
      <c r="AR579" s="3" t="s">
        <v>64</v>
      </c>
      <c r="AS579" s="3" t="s">
        <v>64</v>
      </c>
      <c r="AT579" s="3" t="s">
        <v>64</v>
      </c>
      <c r="AV579" s="6" t="str">
        <f>HYPERLINK("http://mcgill.on.worldcat.org/oclc/50717995","Catalog Record")</f>
        <v>Catalog Record</v>
      </c>
      <c r="AW579" s="6" t="str">
        <f>HYPERLINK("http://www.worldcat.org/oclc/50717995","WorldCat Record")</f>
        <v>WorldCat Record</v>
      </c>
      <c r="AX579" s="3" t="s">
        <v>6036</v>
      </c>
      <c r="AY579" s="3" t="s">
        <v>6037</v>
      </c>
      <c r="AZ579" s="3" t="s">
        <v>6038</v>
      </c>
      <c r="BA579" s="3" t="s">
        <v>6038</v>
      </c>
      <c r="BB579" s="3" t="s">
        <v>6039</v>
      </c>
      <c r="BC579" s="3" t="s">
        <v>78</v>
      </c>
      <c r="BD579" s="3" t="s">
        <v>79</v>
      </c>
      <c r="BE579" s="3" t="s">
        <v>6040</v>
      </c>
      <c r="BF579" s="3" t="s">
        <v>6039</v>
      </c>
      <c r="BG579" s="3" t="s">
        <v>6041</v>
      </c>
    </row>
    <row r="580" spans="1:59" ht="58" x14ac:dyDescent="0.35">
      <c r="A580" s="2" t="s">
        <v>59</v>
      </c>
      <c r="B580" s="2" t="s">
        <v>94</v>
      </c>
      <c r="C580" s="2" t="s">
        <v>6042</v>
      </c>
      <c r="D580" s="2" t="s">
        <v>6043</v>
      </c>
      <c r="E580" s="2" t="s">
        <v>6044</v>
      </c>
      <c r="G580" s="3" t="s">
        <v>64</v>
      </c>
      <c r="I580" s="3" t="s">
        <v>64</v>
      </c>
      <c r="J580" s="3" t="s">
        <v>64</v>
      </c>
      <c r="K580" s="3" t="s">
        <v>65</v>
      </c>
      <c r="L580" s="2" t="s">
        <v>6045</v>
      </c>
      <c r="M580" s="2" t="s">
        <v>6046</v>
      </c>
      <c r="N580" s="3" t="s">
        <v>1029</v>
      </c>
      <c r="P580" s="3" t="s">
        <v>69</v>
      </c>
      <c r="Q580" s="2" t="s">
        <v>6047</v>
      </c>
      <c r="R580" s="3" t="s">
        <v>70</v>
      </c>
      <c r="S580" s="4">
        <v>1</v>
      </c>
      <c r="T580" s="4">
        <v>1</v>
      </c>
      <c r="U580" s="5" t="s">
        <v>6048</v>
      </c>
      <c r="V580" s="5" t="s">
        <v>6048</v>
      </c>
      <c r="W580" s="5" t="s">
        <v>72</v>
      </c>
      <c r="X580" s="5" t="s">
        <v>72</v>
      </c>
      <c r="Y580" s="4">
        <v>106</v>
      </c>
      <c r="Z580" s="4">
        <v>9</v>
      </c>
      <c r="AA580" s="4">
        <v>12</v>
      </c>
      <c r="AB580" s="4">
        <v>1</v>
      </c>
      <c r="AC580" s="4">
        <v>2</v>
      </c>
      <c r="AD580" s="4">
        <v>64</v>
      </c>
      <c r="AE580" s="4">
        <v>69</v>
      </c>
      <c r="AF580" s="4">
        <v>0</v>
      </c>
      <c r="AG580" s="4">
        <v>0</v>
      </c>
      <c r="AH580" s="4">
        <v>61</v>
      </c>
      <c r="AI580" s="4">
        <v>65</v>
      </c>
      <c r="AJ580" s="4">
        <v>6</v>
      </c>
      <c r="AK580" s="4">
        <v>8</v>
      </c>
      <c r="AL580" s="4">
        <v>34</v>
      </c>
      <c r="AM580" s="4">
        <v>35</v>
      </c>
      <c r="AN580" s="4">
        <v>0</v>
      </c>
      <c r="AO580" s="4">
        <v>0</v>
      </c>
      <c r="AP580" s="4">
        <v>7</v>
      </c>
      <c r="AQ580" s="4">
        <v>9</v>
      </c>
      <c r="AR580" s="3" t="s">
        <v>64</v>
      </c>
      <c r="AS580" s="3" t="s">
        <v>64</v>
      </c>
      <c r="AT580" s="3" t="s">
        <v>64</v>
      </c>
      <c r="AV580" s="6" t="str">
        <f>HYPERLINK("http://mcgill.on.worldcat.org/oclc/463972128","Catalog Record")</f>
        <v>Catalog Record</v>
      </c>
      <c r="AW580" s="6" t="str">
        <f>HYPERLINK("http://www.worldcat.org/oclc/463972128","WorldCat Record")</f>
        <v>WorldCat Record</v>
      </c>
      <c r="AX580" s="3" t="s">
        <v>6049</v>
      </c>
      <c r="AY580" s="3" t="s">
        <v>6050</v>
      </c>
      <c r="AZ580" s="3" t="s">
        <v>6051</v>
      </c>
      <c r="BA580" s="3" t="s">
        <v>6051</v>
      </c>
      <c r="BB580" s="3" t="s">
        <v>6052</v>
      </c>
      <c r="BC580" s="3" t="s">
        <v>78</v>
      </c>
      <c r="BD580" s="3" t="s">
        <v>79</v>
      </c>
      <c r="BE580" s="3" t="s">
        <v>6053</v>
      </c>
      <c r="BF580" s="3" t="s">
        <v>6052</v>
      </c>
      <c r="BG580" s="3" t="s">
        <v>6054</v>
      </c>
    </row>
    <row r="581" spans="1:59" ht="58" x14ac:dyDescent="0.35">
      <c r="A581" s="2" t="s">
        <v>59</v>
      </c>
      <c r="B581" s="2" t="s">
        <v>94</v>
      </c>
      <c r="C581" s="2" t="s">
        <v>6055</v>
      </c>
      <c r="D581" s="2" t="s">
        <v>6056</v>
      </c>
      <c r="E581" s="2" t="s">
        <v>6057</v>
      </c>
      <c r="G581" s="3" t="s">
        <v>64</v>
      </c>
      <c r="I581" s="3" t="s">
        <v>64</v>
      </c>
      <c r="J581" s="3" t="s">
        <v>64</v>
      </c>
      <c r="K581" s="3" t="s">
        <v>65</v>
      </c>
      <c r="L581" s="2" t="s">
        <v>6058</v>
      </c>
      <c r="M581" s="2" t="s">
        <v>6059</v>
      </c>
      <c r="N581" s="3" t="s">
        <v>473</v>
      </c>
      <c r="P581" s="3" t="s">
        <v>69</v>
      </c>
      <c r="R581" s="3" t="s">
        <v>70</v>
      </c>
      <c r="S581" s="4">
        <v>29</v>
      </c>
      <c r="T581" s="4">
        <v>29</v>
      </c>
      <c r="U581" s="5" t="s">
        <v>6060</v>
      </c>
      <c r="V581" s="5" t="s">
        <v>6060</v>
      </c>
      <c r="W581" s="5" t="s">
        <v>72</v>
      </c>
      <c r="X581" s="5" t="s">
        <v>72</v>
      </c>
      <c r="Y581" s="4">
        <v>266</v>
      </c>
      <c r="Z581" s="4">
        <v>19</v>
      </c>
      <c r="AA581" s="4">
        <v>25</v>
      </c>
      <c r="AB581" s="4">
        <v>2</v>
      </c>
      <c r="AC581" s="4">
        <v>6</v>
      </c>
      <c r="AD581" s="4">
        <v>105</v>
      </c>
      <c r="AE581" s="4">
        <v>110</v>
      </c>
      <c r="AF581" s="4">
        <v>0</v>
      </c>
      <c r="AG581" s="4">
        <v>3</v>
      </c>
      <c r="AH581" s="4">
        <v>94</v>
      </c>
      <c r="AI581" s="4">
        <v>96</v>
      </c>
      <c r="AJ581" s="4">
        <v>13</v>
      </c>
      <c r="AK581" s="4">
        <v>18</v>
      </c>
      <c r="AL581" s="4">
        <v>54</v>
      </c>
      <c r="AM581" s="4">
        <v>54</v>
      </c>
      <c r="AN581" s="4">
        <v>0</v>
      </c>
      <c r="AO581" s="4">
        <v>0</v>
      </c>
      <c r="AP581" s="4">
        <v>15</v>
      </c>
      <c r="AQ581" s="4">
        <v>19</v>
      </c>
      <c r="AR581" s="3" t="s">
        <v>64</v>
      </c>
      <c r="AS581" s="3" t="s">
        <v>64</v>
      </c>
      <c r="AT581" s="3" t="s">
        <v>64</v>
      </c>
      <c r="AV581" s="6" t="str">
        <f>HYPERLINK("http://mcgill.on.worldcat.org/oclc/20089122","Catalog Record")</f>
        <v>Catalog Record</v>
      </c>
      <c r="AW581" s="6" t="str">
        <f>HYPERLINK("http://www.worldcat.org/oclc/20089122","WorldCat Record")</f>
        <v>WorldCat Record</v>
      </c>
      <c r="AX581" s="3" t="s">
        <v>6061</v>
      </c>
      <c r="AY581" s="3" t="s">
        <v>6062</v>
      </c>
      <c r="AZ581" s="3" t="s">
        <v>6063</v>
      </c>
      <c r="BA581" s="3" t="s">
        <v>6063</v>
      </c>
      <c r="BB581" s="3" t="s">
        <v>6064</v>
      </c>
      <c r="BC581" s="3" t="s">
        <v>78</v>
      </c>
      <c r="BD581" s="3" t="s">
        <v>79</v>
      </c>
      <c r="BE581" s="3" t="s">
        <v>6065</v>
      </c>
      <c r="BF581" s="3" t="s">
        <v>6064</v>
      </c>
      <c r="BG581" s="3" t="s">
        <v>6066</v>
      </c>
    </row>
    <row r="582" spans="1:59" ht="58" x14ac:dyDescent="0.35">
      <c r="A582" s="2" t="s">
        <v>59</v>
      </c>
      <c r="B582" s="2" t="s">
        <v>94</v>
      </c>
      <c r="C582" s="2" t="s">
        <v>6067</v>
      </c>
      <c r="D582" s="2" t="s">
        <v>6068</v>
      </c>
      <c r="E582" s="2" t="s">
        <v>6069</v>
      </c>
      <c r="G582" s="3" t="s">
        <v>64</v>
      </c>
      <c r="I582" s="3" t="s">
        <v>64</v>
      </c>
      <c r="J582" s="3" t="s">
        <v>64</v>
      </c>
      <c r="K582" s="3" t="s">
        <v>65</v>
      </c>
      <c r="L582" s="2" t="s">
        <v>6070</v>
      </c>
      <c r="M582" s="2" t="s">
        <v>6071</v>
      </c>
      <c r="N582" s="3" t="s">
        <v>68</v>
      </c>
      <c r="P582" s="3" t="s">
        <v>69</v>
      </c>
      <c r="R582" s="3" t="s">
        <v>70</v>
      </c>
      <c r="S582" s="4">
        <v>14</v>
      </c>
      <c r="T582" s="4">
        <v>14</v>
      </c>
      <c r="U582" s="5" t="s">
        <v>6072</v>
      </c>
      <c r="V582" s="5" t="s">
        <v>6072</v>
      </c>
      <c r="W582" s="5" t="s">
        <v>72</v>
      </c>
      <c r="X582" s="5" t="s">
        <v>72</v>
      </c>
      <c r="Y582" s="4">
        <v>375</v>
      </c>
      <c r="Z582" s="4">
        <v>24</v>
      </c>
      <c r="AA582" s="4">
        <v>54</v>
      </c>
      <c r="AB582" s="4">
        <v>3</v>
      </c>
      <c r="AC582" s="4">
        <v>7</v>
      </c>
      <c r="AD582" s="4">
        <v>82</v>
      </c>
      <c r="AE582" s="4">
        <v>110</v>
      </c>
      <c r="AF582" s="4">
        <v>2</v>
      </c>
      <c r="AG582" s="4">
        <v>4</v>
      </c>
      <c r="AH582" s="4">
        <v>68</v>
      </c>
      <c r="AI582" s="4">
        <v>88</v>
      </c>
      <c r="AJ582" s="4">
        <v>15</v>
      </c>
      <c r="AK582" s="4">
        <v>17</v>
      </c>
      <c r="AL582" s="4">
        <v>42</v>
      </c>
      <c r="AM582" s="4">
        <v>48</v>
      </c>
      <c r="AN582" s="4">
        <v>0</v>
      </c>
      <c r="AO582" s="4">
        <v>0</v>
      </c>
      <c r="AP582" s="4">
        <v>17</v>
      </c>
      <c r="AQ582" s="4">
        <v>25</v>
      </c>
      <c r="AR582" s="3" t="s">
        <v>64</v>
      </c>
      <c r="AS582" s="3" t="s">
        <v>64</v>
      </c>
      <c r="AT582" s="3" t="s">
        <v>64</v>
      </c>
      <c r="AV582" s="6" t="str">
        <f>HYPERLINK("http://mcgill.on.worldcat.org/oclc/69090385","Catalog Record")</f>
        <v>Catalog Record</v>
      </c>
      <c r="AW582" s="6" t="str">
        <f>HYPERLINK("http://www.worldcat.org/oclc/69090385","WorldCat Record")</f>
        <v>WorldCat Record</v>
      </c>
      <c r="AX582" s="3" t="s">
        <v>6073</v>
      </c>
      <c r="AY582" s="3" t="s">
        <v>6074</v>
      </c>
      <c r="AZ582" s="3" t="s">
        <v>6075</v>
      </c>
      <c r="BA582" s="3" t="s">
        <v>6075</v>
      </c>
      <c r="BB582" s="3" t="s">
        <v>6076</v>
      </c>
      <c r="BC582" s="3" t="s">
        <v>78</v>
      </c>
      <c r="BD582" s="3" t="s">
        <v>79</v>
      </c>
      <c r="BE582" s="3" t="s">
        <v>6077</v>
      </c>
      <c r="BF582" s="3" t="s">
        <v>6076</v>
      </c>
      <c r="BG582" s="3" t="s">
        <v>6078</v>
      </c>
    </row>
    <row r="583" spans="1:59" ht="58" x14ac:dyDescent="0.35">
      <c r="A583" s="2" t="s">
        <v>59</v>
      </c>
      <c r="B583" s="2" t="s">
        <v>94</v>
      </c>
      <c r="C583" s="2" t="s">
        <v>6079</v>
      </c>
      <c r="D583" s="2" t="s">
        <v>6080</v>
      </c>
      <c r="E583" s="2" t="s">
        <v>6081</v>
      </c>
      <c r="G583" s="3" t="s">
        <v>64</v>
      </c>
      <c r="I583" s="3" t="s">
        <v>64</v>
      </c>
      <c r="J583" s="3" t="s">
        <v>64</v>
      </c>
      <c r="K583" s="3" t="s">
        <v>65</v>
      </c>
      <c r="L583" s="2" t="s">
        <v>6082</v>
      </c>
      <c r="M583" s="2" t="s">
        <v>6083</v>
      </c>
      <c r="N583" s="3" t="s">
        <v>136</v>
      </c>
      <c r="P583" s="3" t="s">
        <v>69</v>
      </c>
      <c r="Q583" s="2" t="s">
        <v>6084</v>
      </c>
      <c r="R583" s="3" t="s">
        <v>70</v>
      </c>
      <c r="S583" s="4">
        <v>12</v>
      </c>
      <c r="T583" s="4">
        <v>12</v>
      </c>
      <c r="U583" s="5" t="s">
        <v>2994</v>
      </c>
      <c r="V583" s="5" t="s">
        <v>2994</v>
      </c>
      <c r="W583" s="5" t="s">
        <v>72</v>
      </c>
      <c r="X583" s="5" t="s">
        <v>72</v>
      </c>
      <c r="Y583" s="4">
        <v>302</v>
      </c>
      <c r="Z583" s="4">
        <v>23</v>
      </c>
      <c r="AA583" s="4">
        <v>110</v>
      </c>
      <c r="AB583" s="4">
        <v>1</v>
      </c>
      <c r="AC583" s="4">
        <v>17</v>
      </c>
      <c r="AD583" s="4">
        <v>93</v>
      </c>
      <c r="AE583" s="4">
        <v>143</v>
      </c>
      <c r="AF583" s="4">
        <v>0</v>
      </c>
      <c r="AG583" s="4">
        <v>8</v>
      </c>
      <c r="AH583" s="4">
        <v>81</v>
      </c>
      <c r="AI583" s="4">
        <v>103</v>
      </c>
      <c r="AJ583" s="4">
        <v>14</v>
      </c>
      <c r="AK583" s="4">
        <v>25</v>
      </c>
      <c r="AL583" s="4">
        <v>42</v>
      </c>
      <c r="AM583" s="4">
        <v>52</v>
      </c>
      <c r="AN583" s="4">
        <v>0</v>
      </c>
      <c r="AO583" s="4">
        <v>0</v>
      </c>
      <c r="AP583" s="4">
        <v>17</v>
      </c>
      <c r="AQ583" s="4">
        <v>47</v>
      </c>
      <c r="AR583" s="3" t="s">
        <v>64</v>
      </c>
      <c r="AS583" s="3" t="s">
        <v>64</v>
      </c>
      <c r="AT583" s="3" t="s">
        <v>64</v>
      </c>
      <c r="AV583" s="6" t="str">
        <f>HYPERLINK("http://mcgill.on.worldcat.org/oclc/42934603","Catalog Record")</f>
        <v>Catalog Record</v>
      </c>
      <c r="AW583" s="6" t="str">
        <f>HYPERLINK("http://www.worldcat.org/oclc/42934603","WorldCat Record")</f>
        <v>WorldCat Record</v>
      </c>
      <c r="AX583" s="3" t="s">
        <v>6085</v>
      </c>
      <c r="AY583" s="3" t="s">
        <v>6086</v>
      </c>
      <c r="AZ583" s="3" t="s">
        <v>6087</v>
      </c>
      <c r="BA583" s="3" t="s">
        <v>6087</v>
      </c>
      <c r="BB583" s="3" t="s">
        <v>6088</v>
      </c>
      <c r="BC583" s="3" t="s">
        <v>78</v>
      </c>
      <c r="BD583" s="3" t="s">
        <v>79</v>
      </c>
      <c r="BE583" s="3" t="s">
        <v>6089</v>
      </c>
      <c r="BF583" s="3" t="s">
        <v>6088</v>
      </c>
      <c r="BG583" s="3" t="s">
        <v>6090</v>
      </c>
    </row>
    <row r="584" spans="1:59" ht="58" x14ac:dyDescent="0.35">
      <c r="A584" s="2" t="s">
        <v>59</v>
      </c>
      <c r="B584" s="2" t="s">
        <v>94</v>
      </c>
      <c r="C584" s="2" t="s">
        <v>6091</v>
      </c>
      <c r="D584" s="2" t="s">
        <v>6092</v>
      </c>
      <c r="E584" s="2" t="s">
        <v>6093</v>
      </c>
      <c r="G584" s="3" t="s">
        <v>64</v>
      </c>
      <c r="I584" s="3" t="s">
        <v>64</v>
      </c>
      <c r="J584" s="3" t="s">
        <v>64</v>
      </c>
      <c r="K584" s="3" t="s">
        <v>65</v>
      </c>
      <c r="L584" s="2" t="s">
        <v>6094</v>
      </c>
      <c r="M584" s="2" t="s">
        <v>2153</v>
      </c>
      <c r="N584" s="3" t="s">
        <v>499</v>
      </c>
      <c r="P584" s="3" t="s">
        <v>69</v>
      </c>
      <c r="Q584" s="2" t="s">
        <v>6095</v>
      </c>
      <c r="R584" s="3" t="s">
        <v>70</v>
      </c>
      <c r="S584" s="4">
        <v>18</v>
      </c>
      <c r="T584" s="4">
        <v>18</v>
      </c>
      <c r="U584" s="5" t="s">
        <v>6096</v>
      </c>
      <c r="V584" s="5" t="s">
        <v>6096</v>
      </c>
      <c r="W584" s="5" t="s">
        <v>72</v>
      </c>
      <c r="X584" s="5" t="s">
        <v>72</v>
      </c>
      <c r="Y584" s="4">
        <v>404</v>
      </c>
      <c r="Z584" s="4">
        <v>22</v>
      </c>
      <c r="AA584" s="4">
        <v>29</v>
      </c>
      <c r="AB584" s="4">
        <v>2</v>
      </c>
      <c r="AC584" s="4">
        <v>4</v>
      </c>
      <c r="AD584" s="4">
        <v>83</v>
      </c>
      <c r="AE584" s="4">
        <v>98</v>
      </c>
      <c r="AF584" s="4">
        <v>1</v>
      </c>
      <c r="AG584" s="4">
        <v>2</v>
      </c>
      <c r="AH584" s="4">
        <v>73</v>
      </c>
      <c r="AI584" s="4">
        <v>83</v>
      </c>
      <c r="AJ584" s="4">
        <v>13</v>
      </c>
      <c r="AK584" s="4">
        <v>17</v>
      </c>
      <c r="AL584" s="4">
        <v>41</v>
      </c>
      <c r="AM584" s="4">
        <v>44</v>
      </c>
      <c r="AN584" s="4">
        <v>0</v>
      </c>
      <c r="AO584" s="4">
        <v>0</v>
      </c>
      <c r="AP584" s="4">
        <v>16</v>
      </c>
      <c r="AQ584" s="4">
        <v>21</v>
      </c>
      <c r="AR584" s="3" t="s">
        <v>64</v>
      </c>
      <c r="AS584" s="3" t="s">
        <v>64</v>
      </c>
      <c r="AT584" s="3" t="s">
        <v>64</v>
      </c>
      <c r="AV584" s="6" t="str">
        <f>HYPERLINK("http://mcgill.on.worldcat.org/oclc/56347947","Catalog Record")</f>
        <v>Catalog Record</v>
      </c>
      <c r="AW584" s="6" t="str">
        <f>HYPERLINK("http://www.worldcat.org/oclc/56347947","WorldCat Record")</f>
        <v>WorldCat Record</v>
      </c>
      <c r="AX584" s="3" t="s">
        <v>6097</v>
      </c>
      <c r="AY584" s="3" t="s">
        <v>6098</v>
      </c>
      <c r="AZ584" s="3" t="s">
        <v>6099</v>
      </c>
      <c r="BA584" s="3" t="s">
        <v>6099</v>
      </c>
      <c r="BB584" s="3" t="s">
        <v>6100</v>
      </c>
      <c r="BC584" s="3" t="s">
        <v>78</v>
      </c>
      <c r="BD584" s="3" t="s">
        <v>79</v>
      </c>
      <c r="BE584" s="3" t="s">
        <v>6101</v>
      </c>
      <c r="BF584" s="3" t="s">
        <v>6100</v>
      </c>
      <c r="BG584" s="3" t="s">
        <v>6102</v>
      </c>
    </row>
    <row r="585" spans="1:59" ht="58" x14ac:dyDescent="0.35">
      <c r="A585" s="2" t="s">
        <v>59</v>
      </c>
      <c r="B585" s="2" t="s">
        <v>94</v>
      </c>
      <c r="C585" s="2" t="s">
        <v>6103</v>
      </c>
      <c r="D585" s="2" t="s">
        <v>6104</v>
      </c>
      <c r="E585" s="2" t="s">
        <v>6105</v>
      </c>
      <c r="G585" s="3" t="s">
        <v>64</v>
      </c>
      <c r="I585" s="3" t="s">
        <v>64</v>
      </c>
      <c r="J585" s="3" t="s">
        <v>64</v>
      </c>
      <c r="K585" s="3" t="s">
        <v>65</v>
      </c>
      <c r="M585" s="2" t="s">
        <v>6106</v>
      </c>
      <c r="N585" s="3" t="s">
        <v>861</v>
      </c>
      <c r="P585" s="3" t="s">
        <v>69</v>
      </c>
      <c r="R585" s="3" t="s">
        <v>70</v>
      </c>
      <c r="S585" s="4">
        <v>4</v>
      </c>
      <c r="T585" s="4">
        <v>4</v>
      </c>
      <c r="U585" s="5" t="s">
        <v>652</v>
      </c>
      <c r="V585" s="5" t="s">
        <v>652</v>
      </c>
      <c r="W585" s="5" t="s">
        <v>72</v>
      </c>
      <c r="X585" s="5" t="s">
        <v>72</v>
      </c>
      <c r="Y585" s="4">
        <v>135</v>
      </c>
      <c r="Z585" s="4">
        <v>6</v>
      </c>
      <c r="AA585" s="4">
        <v>10</v>
      </c>
      <c r="AB585" s="4">
        <v>1</v>
      </c>
      <c r="AC585" s="4">
        <v>1</v>
      </c>
      <c r="AD585" s="4">
        <v>71</v>
      </c>
      <c r="AE585" s="4">
        <v>78</v>
      </c>
      <c r="AF585" s="4">
        <v>0</v>
      </c>
      <c r="AG585" s="4">
        <v>0</v>
      </c>
      <c r="AH585" s="4">
        <v>69</v>
      </c>
      <c r="AI585" s="4">
        <v>73</v>
      </c>
      <c r="AJ585" s="4">
        <v>4</v>
      </c>
      <c r="AK585" s="4">
        <v>8</v>
      </c>
      <c r="AL585" s="4">
        <v>37</v>
      </c>
      <c r="AM585" s="4">
        <v>38</v>
      </c>
      <c r="AN585" s="4">
        <v>0</v>
      </c>
      <c r="AO585" s="4">
        <v>0</v>
      </c>
      <c r="AP585" s="4">
        <v>4</v>
      </c>
      <c r="AQ585" s="4">
        <v>7</v>
      </c>
      <c r="AR585" s="3" t="s">
        <v>64</v>
      </c>
      <c r="AS585" s="3" t="s">
        <v>64</v>
      </c>
      <c r="AT585" s="3" t="s">
        <v>64</v>
      </c>
      <c r="AV585" s="6" t="str">
        <f>HYPERLINK("http://mcgill.on.worldcat.org/oclc/54029360","Catalog Record")</f>
        <v>Catalog Record</v>
      </c>
      <c r="AW585" s="6" t="str">
        <f>HYPERLINK("http://www.worldcat.org/oclc/54029360","WorldCat Record")</f>
        <v>WorldCat Record</v>
      </c>
      <c r="AX585" s="3" t="s">
        <v>6107</v>
      </c>
      <c r="AY585" s="3" t="s">
        <v>6108</v>
      </c>
      <c r="AZ585" s="3" t="s">
        <v>6109</v>
      </c>
      <c r="BA585" s="3" t="s">
        <v>6109</v>
      </c>
      <c r="BB585" s="3" t="s">
        <v>6110</v>
      </c>
      <c r="BC585" s="3" t="s">
        <v>78</v>
      </c>
      <c r="BD585" s="3" t="s">
        <v>79</v>
      </c>
      <c r="BE585" s="3" t="s">
        <v>6111</v>
      </c>
      <c r="BF585" s="3" t="s">
        <v>6110</v>
      </c>
      <c r="BG585" s="3" t="s">
        <v>6112</v>
      </c>
    </row>
    <row r="586" spans="1:59" ht="58" x14ac:dyDescent="0.35">
      <c r="A586" s="2" t="s">
        <v>59</v>
      </c>
      <c r="B586" s="2" t="s">
        <v>94</v>
      </c>
      <c r="C586" s="2" t="s">
        <v>6113</v>
      </c>
      <c r="D586" s="2" t="s">
        <v>6114</v>
      </c>
      <c r="E586" s="2" t="s">
        <v>6115</v>
      </c>
      <c r="G586" s="3" t="s">
        <v>64</v>
      </c>
      <c r="I586" s="3" t="s">
        <v>64</v>
      </c>
      <c r="J586" s="3" t="s">
        <v>64</v>
      </c>
      <c r="K586" s="3" t="s">
        <v>65</v>
      </c>
      <c r="L586" s="2" t="s">
        <v>6116</v>
      </c>
      <c r="M586" s="2" t="s">
        <v>1904</v>
      </c>
      <c r="N586" s="3" t="s">
        <v>328</v>
      </c>
      <c r="O586" s="2" t="s">
        <v>1294</v>
      </c>
      <c r="P586" s="3" t="s">
        <v>69</v>
      </c>
      <c r="R586" s="3" t="s">
        <v>70</v>
      </c>
      <c r="S586" s="4">
        <v>2</v>
      </c>
      <c r="T586" s="4">
        <v>2</v>
      </c>
      <c r="U586" s="5" t="s">
        <v>6117</v>
      </c>
      <c r="V586" s="5" t="s">
        <v>6117</v>
      </c>
      <c r="W586" s="5" t="s">
        <v>72</v>
      </c>
      <c r="X586" s="5" t="s">
        <v>72</v>
      </c>
      <c r="Y586" s="4">
        <v>123</v>
      </c>
      <c r="Z586" s="4">
        <v>6</v>
      </c>
      <c r="AA586" s="4">
        <v>13</v>
      </c>
      <c r="AB586" s="4">
        <v>2</v>
      </c>
      <c r="AC586" s="4">
        <v>5</v>
      </c>
      <c r="AD586" s="4">
        <v>51</v>
      </c>
      <c r="AE586" s="4">
        <v>60</v>
      </c>
      <c r="AF586" s="4">
        <v>1</v>
      </c>
      <c r="AG586" s="4">
        <v>2</v>
      </c>
      <c r="AH586" s="4">
        <v>47</v>
      </c>
      <c r="AI586" s="4">
        <v>54</v>
      </c>
      <c r="AJ586" s="4">
        <v>4</v>
      </c>
      <c r="AK586" s="4">
        <v>9</v>
      </c>
      <c r="AL586" s="4">
        <v>33</v>
      </c>
      <c r="AM586" s="4">
        <v>36</v>
      </c>
      <c r="AN586" s="4">
        <v>0</v>
      </c>
      <c r="AO586" s="4">
        <v>0</v>
      </c>
      <c r="AP586" s="4">
        <v>4</v>
      </c>
      <c r="AQ586" s="4">
        <v>9</v>
      </c>
      <c r="AR586" s="3" t="s">
        <v>64</v>
      </c>
      <c r="AS586" s="3" t="s">
        <v>64</v>
      </c>
      <c r="AT586" s="3" t="s">
        <v>64</v>
      </c>
      <c r="AV586" s="6" t="str">
        <f>HYPERLINK("http://mcgill.on.worldcat.org/oclc/711864654","Catalog Record")</f>
        <v>Catalog Record</v>
      </c>
      <c r="AW586" s="6" t="str">
        <f>HYPERLINK("http://www.worldcat.org/oclc/711864654","WorldCat Record")</f>
        <v>WorldCat Record</v>
      </c>
      <c r="AX586" s="3" t="s">
        <v>6118</v>
      </c>
      <c r="AY586" s="3" t="s">
        <v>6119</v>
      </c>
      <c r="AZ586" s="3" t="s">
        <v>6120</v>
      </c>
      <c r="BA586" s="3" t="s">
        <v>6120</v>
      </c>
      <c r="BB586" s="3" t="s">
        <v>6121</v>
      </c>
      <c r="BC586" s="3" t="s">
        <v>78</v>
      </c>
      <c r="BD586" s="3" t="s">
        <v>79</v>
      </c>
      <c r="BE586" s="3" t="s">
        <v>6122</v>
      </c>
      <c r="BF586" s="3" t="s">
        <v>6121</v>
      </c>
      <c r="BG586" s="3" t="s">
        <v>6123</v>
      </c>
    </row>
    <row r="587" spans="1:59" ht="58" x14ac:dyDescent="0.35">
      <c r="A587" s="2" t="s">
        <v>59</v>
      </c>
      <c r="B587" s="2" t="s">
        <v>94</v>
      </c>
      <c r="C587" s="2" t="s">
        <v>6124</v>
      </c>
      <c r="D587" s="2" t="s">
        <v>6125</v>
      </c>
      <c r="E587" s="2" t="s">
        <v>6126</v>
      </c>
      <c r="G587" s="3" t="s">
        <v>64</v>
      </c>
      <c r="I587" s="3" t="s">
        <v>64</v>
      </c>
      <c r="J587" s="3" t="s">
        <v>64</v>
      </c>
      <c r="K587" s="3" t="s">
        <v>65</v>
      </c>
      <c r="L587" s="2" t="s">
        <v>6127</v>
      </c>
      <c r="M587" s="2" t="s">
        <v>6128</v>
      </c>
      <c r="N587" s="3" t="s">
        <v>861</v>
      </c>
      <c r="P587" s="3" t="s">
        <v>69</v>
      </c>
      <c r="R587" s="3" t="s">
        <v>70</v>
      </c>
      <c r="S587" s="4">
        <v>21</v>
      </c>
      <c r="T587" s="4">
        <v>21</v>
      </c>
      <c r="U587" s="5" t="s">
        <v>6129</v>
      </c>
      <c r="V587" s="5" t="s">
        <v>6129</v>
      </c>
      <c r="W587" s="5" t="s">
        <v>72</v>
      </c>
      <c r="X587" s="5" t="s">
        <v>72</v>
      </c>
      <c r="Y587" s="4">
        <v>446</v>
      </c>
      <c r="Z587" s="4">
        <v>26</v>
      </c>
      <c r="AA587" s="4">
        <v>39</v>
      </c>
      <c r="AB587" s="4">
        <v>3</v>
      </c>
      <c r="AC587" s="4">
        <v>8</v>
      </c>
      <c r="AD587" s="4">
        <v>86</v>
      </c>
      <c r="AE587" s="4">
        <v>105</v>
      </c>
      <c r="AF587" s="4">
        <v>1</v>
      </c>
      <c r="AG587" s="4">
        <v>3</v>
      </c>
      <c r="AH587" s="4">
        <v>76</v>
      </c>
      <c r="AI587" s="4">
        <v>90</v>
      </c>
      <c r="AJ587" s="4">
        <v>10</v>
      </c>
      <c r="AK587" s="4">
        <v>15</v>
      </c>
      <c r="AL587" s="4">
        <v>41</v>
      </c>
      <c r="AM587" s="4">
        <v>47</v>
      </c>
      <c r="AN587" s="4">
        <v>0</v>
      </c>
      <c r="AO587" s="4">
        <v>0</v>
      </c>
      <c r="AP587" s="4">
        <v>17</v>
      </c>
      <c r="AQ587" s="4">
        <v>23</v>
      </c>
      <c r="AR587" s="3" t="s">
        <v>64</v>
      </c>
      <c r="AS587" s="3" t="s">
        <v>64</v>
      </c>
      <c r="AT587" s="3" t="s">
        <v>64</v>
      </c>
      <c r="AV587" s="6" t="str">
        <f>HYPERLINK("http://mcgill.on.worldcat.org/oclc/52542088","Catalog Record")</f>
        <v>Catalog Record</v>
      </c>
      <c r="AW587" s="6" t="str">
        <f>HYPERLINK("http://www.worldcat.org/oclc/52542088","WorldCat Record")</f>
        <v>WorldCat Record</v>
      </c>
      <c r="AX587" s="3" t="s">
        <v>6130</v>
      </c>
      <c r="AY587" s="3" t="s">
        <v>6131</v>
      </c>
      <c r="AZ587" s="3" t="s">
        <v>6132</v>
      </c>
      <c r="BA587" s="3" t="s">
        <v>6132</v>
      </c>
      <c r="BB587" s="3" t="s">
        <v>6133</v>
      </c>
      <c r="BC587" s="3" t="s">
        <v>78</v>
      </c>
      <c r="BD587" s="3" t="s">
        <v>79</v>
      </c>
      <c r="BE587" s="3" t="s">
        <v>6134</v>
      </c>
      <c r="BF587" s="3" t="s">
        <v>6133</v>
      </c>
      <c r="BG587" s="3" t="s">
        <v>6135</v>
      </c>
    </row>
    <row r="588" spans="1:59" ht="58" x14ac:dyDescent="0.35">
      <c r="A588" s="2" t="s">
        <v>59</v>
      </c>
      <c r="B588" s="2" t="s">
        <v>94</v>
      </c>
      <c r="C588" s="2" t="s">
        <v>6136</v>
      </c>
      <c r="D588" s="2" t="s">
        <v>6137</v>
      </c>
      <c r="E588" s="2" t="s">
        <v>6138</v>
      </c>
      <c r="G588" s="3" t="s">
        <v>64</v>
      </c>
      <c r="I588" s="3" t="s">
        <v>64</v>
      </c>
      <c r="J588" s="3" t="s">
        <v>64</v>
      </c>
      <c r="K588" s="3" t="s">
        <v>65</v>
      </c>
      <c r="L588" s="2" t="s">
        <v>6139</v>
      </c>
      <c r="M588" s="2" t="s">
        <v>6140</v>
      </c>
      <c r="N588" s="3" t="s">
        <v>861</v>
      </c>
      <c r="P588" s="3" t="s">
        <v>69</v>
      </c>
      <c r="Q588" s="2" t="s">
        <v>1996</v>
      </c>
      <c r="R588" s="3" t="s">
        <v>70</v>
      </c>
      <c r="S588" s="4">
        <v>9</v>
      </c>
      <c r="T588" s="4">
        <v>9</v>
      </c>
      <c r="U588" s="5" t="s">
        <v>6141</v>
      </c>
      <c r="V588" s="5" t="s">
        <v>6141</v>
      </c>
      <c r="W588" s="5" t="s">
        <v>72</v>
      </c>
      <c r="X588" s="5" t="s">
        <v>72</v>
      </c>
      <c r="Y588" s="4">
        <v>343</v>
      </c>
      <c r="Z588" s="4">
        <v>17</v>
      </c>
      <c r="AA588" s="4">
        <v>19</v>
      </c>
      <c r="AB588" s="4">
        <v>2</v>
      </c>
      <c r="AC588" s="4">
        <v>4</v>
      </c>
      <c r="AD588" s="4">
        <v>83</v>
      </c>
      <c r="AE588" s="4">
        <v>84</v>
      </c>
      <c r="AF588" s="4">
        <v>0</v>
      </c>
      <c r="AG588" s="4">
        <v>1</v>
      </c>
      <c r="AH588" s="4">
        <v>77</v>
      </c>
      <c r="AI588" s="4">
        <v>77</v>
      </c>
      <c r="AJ588" s="4">
        <v>9</v>
      </c>
      <c r="AK588" s="4">
        <v>10</v>
      </c>
      <c r="AL588" s="4">
        <v>42</v>
      </c>
      <c r="AM588" s="4">
        <v>42</v>
      </c>
      <c r="AN588" s="4">
        <v>0</v>
      </c>
      <c r="AO588" s="4">
        <v>0</v>
      </c>
      <c r="AP588" s="4">
        <v>11</v>
      </c>
      <c r="AQ588" s="4">
        <v>11</v>
      </c>
      <c r="AR588" s="3" t="s">
        <v>64</v>
      </c>
      <c r="AS588" s="3" t="s">
        <v>64</v>
      </c>
      <c r="AT588" s="3" t="s">
        <v>73</v>
      </c>
      <c r="AU588" s="6" t="str">
        <f>HYPERLINK("http://catalog.hathitrust.org/Record/004364297","HathiTrust Record")</f>
        <v>HathiTrust Record</v>
      </c>
      <c r="AV588" s="6" t="str">
        <f>HYPERLINK("http://mcgill.on.worldcat.org/oclc/53038755","Catalog Record")</f>
        <v>Catalog Record</v>
      </c>
      <c r="AW588" s="6" t="str">
        <f>HYPERLINK("http://www.worldcat.org/oclc/53038755","WorldCat Record")</f>
        <v>WorldCat Record</v>
      </c>
      <c r="AX588" s="3" t="s">
        <v>6142</v>
      </c>
      <c r="AY588" s="3" t="s">
        <v>6143</v>
      </c>
      <c r="AZ588" s="3" t="s">
        <v>6144</v>
      </c>
      <c r="BA588" s="3" t="s">
        <v>6144</v>
      </c>
      <c r="BB588" s="3" t="s">
        <v>6145</v>
      </c>
      <c r="BC588" s="3" t="s">
        <v>78</v>
      </c>
      <c r="BD588" s="3" t="s">
        <v>79</v>
      </c>
      <c r="BE588" s="3" t="s">
        <v>6146</v>
      </c>
      <c r="BF588" s="3" t="s">
        <v>6145</v>
      </c>
      <c r="BG588" s="3" t="s">
        <v>6147</v>
      </c>
    </row>
    <row r="589" spans="1:59" ht="58" x14ac:dyDescent="0.35">
      <c r="A589" s="2" t="s">
        <v>59</v>
      </c>
      <c r="B589" s="2" t="s">
        <v>94</v>
      </c>
      <c r="C589" s="2" t="s">
        <v>6148</v>
      </c>
      <c r="D589" s="2" t="s">
        <v>6149</v>
      </c>
      <c r="E589" s="2" t="s">
        <v>6150</v>
      </c>
      <c r="G589" s="3" t="s">
        <v>64</v>
      </c>
      <c r="I589" s="3" t="s">
        <v>64</v>
      </c>
      <c r="J589" s="3" t="s">
        <v>64</v>
      </c>
      <c r="K589" s="3" t="s">
        <v>65</v>
      </c>
      <c r="L589" s="2" t="s">
        <v>6151</v>
      </c>
      <c r="M589" s="2" t="s">
        <v>6152</v>
      </c>
      <c r="N589" s="3" t="s">
        <v>328</v>
      </c>
      <c r="P589" s="3" t="s">
        <v>69</v>
      </c>
      <c r="Q589" s="2" t="s">
        <v>6153</v>
      </c>
      <c r="R589" s="3" t="s">
        <v>70</v>
      </c>
      <c r="S589" s="4">
        <v>4</v>
      </c>
      <c r="T589" s="4">
        <v>4</v>
      </c>
      <c r="U589" s="5" t="s">
        <v>474</v>
      </c>
      <c r="V589" s="5" t="s">
        <v>474</v>
      </c>
      <c r="W589" s="5" t="s">
        <v>72</v>
      </c>
      <c r="X589" s="5" t="s">
        <v>72</v>
      </c>
      <c r="Y589" s="4">
        <v>148</v>
      </c>
      <c r="Z589" s="4">
        <v>6</v>
      </c>
      <c r="AA589" s="4">
        <v>99</v>
      </c>
      <c r="AB589" s="4">
        <v>1</v>
      </c>
      <c r="AC589" s="4">
        <v>19</v>
      </c>
      <c r="AD589" s="4">
        <v>55</v>
      </c>
      <c r="AE589" s="4">
        <v>128</v>
      </c>
      <c r="AF589" s="4">
        <v>0</v>
      </c>
      <c r="AG589" s="4">
        <v>8</v>
      </c>
      <c r="AH589" s="4">
        <v>53</v>
      </c>
      <c r="AI589" s="4">
        <v>92</v>
      </c>
      <c r="AJ589" s="4">
        <v>4</v>
      </c>
      <c r="AK589" s="4">
        <v>22</v>
      </c>
      <c r="AL589" s="4">
        <v>36</v>
      </c>
      <c r="AM589" s="4">
        <v>52</v>
      </c>
      <c r="AN589" s="4">
        <v>0</v>
      </c>
      <c r="AO589" s="4">
        <v>0</v>
      </c>
      <c r="AP589" s="4">
        <v>4</v>
      </c>
      <c r="AQ589" s="4">
        <v>43</v>
      </c>
      <c r="AR589" s="3" t="s">
        <v>64</v>
      </c>
      <c r="AS589" s="3" t="s">
        <v>64</v>
      </c>
      <c r="AT589" s="3" t="s">
        <v>64</v>
      </c>
      <c r="AV589" s="6" t="str">
        <f>HYPERLINK("http://mcgill.on.worldcat.org/oclc/711777290","Catalog Record")</f>
        <v>Catalog Record</v>
      </c>
      <c r="AW589" s="6" t="str">
        <f>HYPERLINK("http://www.worldcat.org/oclc/711777290","WorldCat Record")</f>
        <v>WorldCat Record</v>
      </c>
      <c r="AX589" s="3" t="s">
        <v>6154</v>
      </c>
      <c r="AY589" s="3" t="s">
        <v>6155</v>
      </c>
      <c r="AZ589" s="3" t="s">
        <v>6156</v>
      </c>
      <c r="BA589" s="3" t="s">
        <v>6156</v>
      </c>
      <c r="BB589" s="3" t="s">
        <v>6157</v>
      </c>
      <c r="BC589" s="3" t="s">
        <v>78</v>
      </c>
      <c r="BD589" s="3" t="s">
        <v>79</v>
      </c>
      <c r="BE589" s="3" t="s">
        <v>6158</v>
      </c>
      <c r="BF589" s="3" t="s">
        <v>6157</v>
      </c>
      <c r="BG589" s="3" t="s">
        <v>6159</v>
      </c>
    </row>
    <row r="590" spans="1:59" ht="58" x14ac:dyDescent="0.35">
      <c r="A590" s="2" t="s">
        <v>59</v>
      </c>
      <c r="B590" s="2" t="s">
        <v>94</v>
      </c>
      <c r="C590" s="2" t="s">
        <v>6160</v>
      </c>
      <c r="D590" s="2" t="s">
        <v>6161</v>
      </c>
      <c r="E590" s="2" t="s">
        <v>6162</v>
      </c>
      <c r="G590" s="3" t="s">
        <v>64</v>
      </c>
      <c r="I590" s="3" t="s">
        <v>64</v>
      </c>
      <c r="J590" s="3" t="s">
        <v>64</v>
      </c>
      <c r="K590" s="3" t="s">
        <v>65</v>
      </c>
      <c r="M590" s="2" t="s">
        <v>6163</v>
      </c>
      <c r="N590" s="3" t="s">
        <v>1645</v>
      </c>
      <c r="P590" s="3" t="s">
        <v>69</v>
      </c>
      <c r="Q590" s="2" t="s">
        <v>6164</v>
      </c>
      <c r="R590" s="3" t="s">
        <v>70</v>
      </c>
      <c r="S590" s="4">
        <v>2</v>
      </c>
      <c r="T590" s="4">
        <v>2</v>
      </c>
      <c r="U590" s="5" t="s">
        <v>6165</v>
      </c>
      <c r="V590" s="5" t="s">
        <v>6165</v>
      </c>
      <c r="W590" s="5" t="s">
        <v>72</v>
      </c>
      <c r="X590" s="5" t="s">
        <v>72</v>
      </c>
      <c r="Y590" s="4">
        <v>44</v>
      </c>
      <c r="Z590" s="4">
        <v>1</v>
      </c>
      <c r="AA590" s="4">
        <v>12</v>
      </c>
      <c r="AB590" s="4">
        <v>1</v>
      </c>
      <c r="AC590" s="4">
        <v>5</v>
      </c>
      <c r="AD590" s="4">
        <v>15</v>
      </c>
      <c r="AE590" s="4">
        <v>36</v>
      </c>
      <c r="AF590" s="4">
        <v>0</v>
      </c>
      <c r="AG590" s="4">
        <v>2</v>
      </c>
      <c r="AH590" s="4">
        <v>14</v>
      </c>
      <c r="AI590" s="4">
        <v>27</v>
      </c>
      <c r="AJ590" s="4">
        <v>0</v>
      </c>
      <c r="AK590" s="4">
        <v>6</v>
      </c>
      <c r="AL590" s="4">
        <v>12</v>
      </c>
      <c r="AM590" s="4">
        <v>19</v>
      </c>
      <c r="AN590" s="4">
        <v>0</v>
      </c>
      <c r="AO590" s="4">
        <v>0</v>
      </c>
      <c r="AP590" s="4">
        <v>0</v>
      </c>
      <c r="AQ590" s="4">
        <v>9</v>
      </c>
      <c r="AR590" s="3" t="s">
        <v>64</v>
      </c>
      <c r="AS590" s="3" t="s">
        <v>64</v>
      </c>
      <c r="AT590" s="3" t="s">
        <v>64</v>
      </c>
      <c r="AV590" s="6" t="str">
        <f>HYPERLINK("http://mcgill.on.worldcat.org/oclc/969727647","Catalog Record")</f>
        <v>Catalog Record</v>
      </c>
      <c r="AW590" s="6" t="str">
        <f>HYPERLINK("http://www.worldcat.org/oclc/969727647","WorldCat Record")</f>
        <v>WorldCat Record</v>
      </c>
      <c r="AX590" s="3" t="s">
        <v>6166</v>
      </c>
      <c r="AY590" s="3" t="s">
        <v>6167</v>
      </c>
      <c r="AZ590" s="3" t="s">
        <v>6168</v>
      </c>
      <c r="BA590" s="3" t="s">
        <v>6168</v>
      </c>
      <c r="BB590" s="3" t="s">
        <v>6169</v>
      </c>
      <c r="BC590" s="3" t="s">
        <v>78</v>
      </c>
      <c r="BD590" s="3" t="s">
        <v>79</v>
      </c>
      <c r="BE590" s="3" t="s">
        <v>6170</v>
      </c>
      <c r="BF590" s="3" t="s">
        <v>6169</v>
      </c>
      <c r="BG590" s="3" t="s">
        <v>6171</v>
      </c>
    </row>
    <row r="591" spans="1:59" ht="58" x14ac:dyDescent="0.35">
      <c r="A591" s="2" t="s">
        <v>59</v>
      </c>
      <c r="B591" s="2" t="s">
        <v>94</v>
      </c>
      <c r="C591" s="2" t="s">
        <v>6172</v>
      </c>
      <c r="D591" s="2" t="s">
        <v>6173</v>
      </c>
      <c r="E591" s="2" t="s">
        <v>6174</v>
      </c>
      <c r="G591" s="3" t="s">
        <v>64</v>
      </c>
      <c r="I591" s="3" t="s">
        <v>64</v>
      </c>
      <c r="J591" s="3" t="s">
        <v>64</v>
      </c>
      <c r="K591" s="3" t="s">
        <v>65</v>
      </c>
      <c r="L591" s="2" t="s">
        <v>6175</v>
      </c>
      <c r="M591" s="2" t="s">
        <v>6176</v>
      </c>
      <c r="N591" s="3" t="s">
        <v>449</v>
      </c>
      <c r="P591" s="3" t="s">
        <v>69</v>
      </c>
      <c r="R591" s="3" t="s">
        <v>70</v>
      </c>
      <c r="S591" s="4">
        <v>6</v>
      </c>
      <c r="T591" s="4">
        <v>6</v>
      </c>
      <c r="U591" s="5" t="s">
        <v>6060</v>
      </c>
      <c r="V591" s="5" t="s">
        <v>6060</v>
      </c>
      <c r="W591" s="5" t="s">
        <v>72</v>
      </c>
      <c r="X591" s="5" t="s">
        <v>72</v>
      </c>
      <c r="Y591" s="4">
        <v>247</v>
      </c>
      <c r="Z591" s="4">
        <v>18</v>
      </c>
      <c r="AA591" s="4">
        <v>60</v>
      </c>
      <c r="AB591" s="4">
        <v>2</v>
      </c>
      <c r="AC591" s="4">
        <v>17</v>
      </c>
      <c r="AD591" s="4">
        <v>67</v>
      </c>
      <c r="AE591" s="4">
        <v>106</v>
      </c>
      <c r="AF591" s="4">
        <v>1</v>
      </c>
      <c r="AG591" s="4">
        <v>8</v>
      </c>
      <c r="AH591" s="4">
        <v>62</v>
      </c>
      <c r="AI591" s="4">
        <v>72</v>
      </c>
      <c r="AJ591" s="4">
        <v>10</v>
      </c>
      <c r="AK591" s="4">
        <v>21</v>
      </c>
      <c r="AL591" s="4">
        <v>34</v>
      </c>
      <c r="AM591" s="4">
        <v>36</v>
      </c>
      <c r="AN591" s="4">
        <v>0</v>
      </c>
      <c r="AO591" s="4">
        <v>0</v>
      </c>
      <c r="AP591" s="4">
        <v>11</v>
      </c>
      <c r="AQ591" s="4">
        <v>44</v>
      </c>
      <c r="AR591" s="3" t="s">
        <v>64</v>
      </c>
      <c r="AS591" s="3" t="s">
        <v>64</v>
      </c>
      <c r="AT591" s="3" t="s">
        <v>64</v>
      </c>
      <c r="AV591" s="6" t="str">
        <f>HYPERLINK("http://mcgill.on.worldcat.org/oclc/173243811","Catalog Record")</f>
        <v>Catalog Record</v>
      </c>
      <c r="AW591" s="6" t="str">
        <f>HYPERLINK("http://www.worldcat.org/oclc/173243811","WorldCat Record")</f>
        <v>WorldCat Record</v>
      </c>
      <c r="AX591" s="3" t="s">
        <v>6177</v>
      </c>
      <c r="AY591" s="3" t="s">
        <v>6178</v>
      </c>
      <c r="AZ591" s="3" t="s">
        <v>6179</v>
      </c>
      <c r="BA591" s="3" t="s">
        <v>6179</v>
      </c>
      <c r="BB591" s="3" t="s">
        <v>6180</v>
      </c>
      <c r="BC591" s="3" t="s">
        <v>78</v>
      </c>
      <c r="BD591" s="3" t="s">
        <v>79</v>
      </c>
      <c r="BE591" s="3" t="s">
        <v>6181</v>
      </c>
      <c r="BF591" s="3" t="s">
        <v>6180</v>
      </c>
      <c r="BG591" s="3" t="s">
        <v>6182</v>
      </c>
    </row>
    <row r="592" spans="1:59" ht="58" x14ac:dyDescent="0.35">
      <c r="A592" s="2" t="s">
        <v>59</v>
      </c>
      <c r="B592" s="2" t="s">
        <v>94</v>
      </c>
      <c r="C592" s="2" t="s">
        <v>6183</v>
      </c>
      <c r="D592" s="2" t="s">
        <v>6184</v>
      </c>
      <c r="E592" s="2" t="s">
        <v>6185</v>
      </c>
      <c r="G592" s="3" t="s">
        <v>64</v>
      </c>
      <c r="I592" s="3" t="s">
        <v>64</v>
      </c>
      <c r="J592" s="3" t="s">
        <v>64</v>
      </c>
      <c r="K592" s="3" t="s">
        <v>65</v>
      </c>
      <c r="L592" s="2" t="s">
        <v>6186</v>
      </c>
      <c r="M592" s="2" t="s">
        <v>2030</v>
      </c>
      <c r="N592" s="3" t="s">
        <v>524</v>
      </c>
      <c r="P592" s="3" t="s">
        <v>69</v>
      </c>
      <c r="R592" s="3" t="s">
        <v>70</v>
      </c>
      <c r="S592" s="4">
        <v>0</v>
      </c>
      <c r="T592" s="4">
        <v>0</v>
      </c>
      <c r="W592" s="5" t="s">
        <v>72</v>
      </c>
      <c r="X592" s="5" t="s">
        <v>72</v>
      </c>
      <c r="Y592" s="4">
        <v>68</v>
      </c>
      <c r="Z592" s="4">
        <v>4</v>
      </c>
      <c r="AA592" s="4">
        <v>32</v>
      </c>
      <c r="AB592" s="4">
        <v>1</v>
      </c>
      <c r="AC592" s="4">
        <v>6</v>
      </c>
      <c r="AD592" s="4">
        <v>39</v>
      </c>
      <c r="AE592" s="4">
        <v>93</v>
      </c>
      <c r="AF592" s="4">
        <v>0</v>
      </c>
      <c r="AG592" s="4">
        <v>2</v>
      </c>
      <c r="AH592" s="4">
        <v>38</v>
      </c>
      <c r="AI592" s="4">
        <v>76</v>
      </c>
      <c r="AJ592" s="4">
        <v>3</v>
      </c>
      <c r="AK592" s="4">
        <v>13</v>
      </c>
      <c r="AL592" s="4">
        <v>20</v>
      </c>
      <c r="AM592" s="4">
        <v>41</v>
      </c>
      <c r="AN592" s="4">
        <v>0</v>
      </c>
      <c r="AO592" s="4">
        <v>0</v>
      </c>
      <c r="AP592" s="4">
        <v>3</v>
      </c>
      <c r="AQ592" s="4">
        <v>23</v>
      </c>
      <c r="AR592" s="3" t="s">
        <v>64</v>
      </c>
      <c r="AS592" s="3" t="s">
        <v>64</v>
      </c>
      <c r="AT592" s="3" t="s">
        <v>64</v>
      </c>
      <c r="AV592" s="6" t="str">
        <f>HYPERLINK("http://mcgill.on.worldcat.org/oclc/843026070","Catalog Record")</f>
        <v>Catalog Record</v>
      </c>
      <c r="AW592" s="6" t="str">
        <f>HYPERLINK("http://www.worldcat.org/oclc/843026070","WorldCat Record")</f>
        <v>WorldCat Record</v>
      </c>
      <c r="AX592" s="3" t="s">
        <v>6187</v>
      </c>
      <c r="AY592" s="3" t="s">
        <v>6188</v>
      </c>
      <c r="AZ592" s="3" t="s">
        <v>6189</v>
      </c>
      <c r="BA592" s="3" t="s">
        <v>6189</v>
      </c>
      <c r="BB592" s="3" t="s">
        <v>6190</v>
      </c>
      <c r="BC592" s="3" t="s">
        <v>78</v>
      </c>
      <c r="BD592" s="3" t="s">
        <v>79</v>
      </c>
      <c r="BE592" s="3" t="s">
        <v>6191</v>
      </c>
      <c r="BF592" s="3" t="s">
        <v>6190</v>
      </c>
      <c r="BG592" s="3" t="s">
        <v>6192</v>
      </c>
    </row>
    <row r="593" spans="1:59" ht="58" x14ac:dyDescent="0.35">
      <c r="A593" s="2" t="s">
        <v>59</v>
      </c>
      <c r="B593" s="2" t="s">
        <v>94</v>
      </c>
      <c r="C593" s="2" t="s">
        <v>6193</v>
      </c>
      <c r="D593" s="2" t="s">
        <v>6194</v>
      </c>
      <c r="E593" s="2" t="s">
        <v>6195</v>
      </c>
      <c r="G593" s="3" t="s">
        <v>64</v>
      </c>
      <c r="I593" s="3" t="s">
        <v>64</v>
      </c>
      <c r="J593" s="3" t="s">
        <v>64</v>
      </c>
      <c r="K593" s="3" t="s">
        <v>65</v>
      </c>
      <c r="M593" s="2" t="s">
        <v>6196</v>
      </c>
      <c r="N593" s="3" t="s">
        <v>68</v>
      </c>
      <c r="P593" s="3" t="s">
        <v>69</v>
      </c>
      <c r="Q593" s="2" t="s">
        <v>6197</v>
      </c>
      <c r="R593" s="3" t="s">
        <v>70</v>
      </c>
      <c r="S593" s="4">
        <v>13</v>
      </c>
      <c r="T593" s="4">
        <v>13</v>
      </c>
      <c r="U593" s="5" t="s">
        <v>5525</v>
      </c>
      <c r="V593" s="5" t="s">
        <v>5525</v>
      </c>
      <c r="W593" s="5" t="s">
        <v>72</v>
      </c>
      <c r="X593" s="5" t="s">
        <v>72</v>
      </c>
      <c r="Y593" s="4">
        <v>293</v>
      </c>
      <c r="Z593" s="4">
        <v>17</v>
      </c>
      <c r="AA593" s="4">
        <v>19</v>
      </c>
      <c r="AB593" s="4">
        <v>2</v>
      </c>
      <c r="AC593" s="4">
        <v>4</v>
      </c>
      <c r="AD593" s="4">
        <v>92</v>
      </c>
      <c r="AE593" s="4">
        <v>94</v>
      </c>
      <c r="AF593" s="4">
        <v>1</v>
      </c>
      <c r="AG593" s="4">
        <v>2</v>
      </c>
      <c r="AH593" s="4">
        <v>82</v>
      </c>
      <c r="AI593" s="4">
        <v>84</v>
      </c>
      <c r="AJ593" s="4">
        <v>12</v>
      </c>
      <c r="AK593" s="4">
        <v>13</v>
      </c>
      <c r="AL593" s="4">
        <v>47</v>
      </c>
      <c r="AM593" s="4">
        <v>48</v>
      </c>
      <c r="AN593" s="4">
        <v>0</v>
      </c>
      <c r="AO593" s="4">
        <v>0</v>
      </c>
      <c r="AP593" s="4">
        <v>12</v>
      </c>
      <c r="AQ593" s="4">
        <v>13</v>
      </c>
      <c r="AR593" s="3" t="s">
        <v>64</v>
      </c>
      <c r="AS593" s="3" t="s">
        <v>64</v>
      </c>
      <c r="AT593" s="3" t="s">
        <v>73</v>
      </c>
      <c r="AU593" s="6" t="str">
        <f>HYPERLINK("http://catalog.hathitrust.org/Record/005287819","HathiTrust Record")</f>
        <v>HathiTrust Record</v>
      </c>
      <c r="AV593" s="6" t="str">
        <f>HYPERLINK("http://mcgill.on.worldcat.org/oclc/68800024","Catalog Record")</f>
        <v>Catalog Record</v>
      </c>
      <c r="AW593" s="6" t="str">
        <f>HYPERLINK("http://www.worldcat.org/oclc/68800024","WorldCat Record")</f>
        <v>WorldCat Record</v>
      </c>
      <c r="AX593" s="3" t="s">
        <v>6198</v>
      </c>
      <c r="AY593" s="3" t="s">
        <v>6199</v>
      </c>
      <c r="AZ593" s="3" t="s">
        <v>6200</v>
      </c>
      <c r="BA593" s="3" t="s">
        <v>6200</v>
      </c>
      <c r="BB593" s="3" t="s">
        <v>6201</v>
      </c>
      <c r="BC593" s="3" t="s">
        <v>78</v>
      </c>
      <c r="BD593" s="3" t="s">
        <v>79</v>
      </c>
      <c r="BE593" s="3" t="s">
        <v>6202</v>
      </c>
      <c r="BF593" s="3" t="s">
        <v>6201</v>
      </c>
      <c r="BG593" s="3" t="s">
        <v>6203</v>
      </c>
    </row>
    <row r="594" spans="1:59" ht="58" x14ac:dyDescent="0.35">
      <c r="A594" s="2" t="s">
        <v>59</v>
      </c>
      <c r="B594" s="2" t="s">
        <v>94</v>
      </c>
      <c r="C594" s="2" t="s">
        <v>6204</v>
      </c>
      <c r="D594" s="2" t="s">
        <v>6205</v>
      </c>
      <c r="E594" s="2" t="s">
        <v>6206</v>
      </c>
      <c r="G594" s="3" t="s">
        <v>64</v>
      </c>
      <c r="I594" s="3" t="s">
        <v>64</v>
      </c>
      <c r="J594" s="3" t="s">
        <v>64</v>
      </c>
      <c r="K594" s="3" t="s">
        <v>65</v>
      </c>
      <c r="L594" s="2" t="s">
        <v>6207</v>
      </c>
      <c r="M594" s="2" t="s">
        <v>6208</v>
      </c>
      <c r="N594" s="3" t="s">
        <v>407</v>
      </c>
      <c r="P594" s="3" t="s">
        <v>69</v>
      </c>
      <c r="R594" s="3" t="s">
        <v>70</v>
      </c>
      <c r="S594" s="4">
        <v>8</v>
      </c>
      <c r="T594" s="4">
        <v>8</v>
      </c>
      <c r="U594" s="5" t="s">
        <v>1881</v>
      </c>
      <c r="V594" s="5" t="s">
        <v>1881</v>
      </c>
      <c r="W594" s="5" t="s">
        <v>72</v>
      </c>
      <c r="X594" s="5" t="s">
        <v>72</v>
      </c>
      <c r="Y594" s="4">
        <v>258</v>
      </c>
      <c r="Z594" s="4">
        <v>15</v>
      </c>
      <c r="AA594" s="4">
        <v>16</v>
      </c>
      <c r="AB594" s="4">
        <v>1</v>
      </c>
      <c r="AC594" s="4">
        <v>1</v>
      </c>
      <c r="AD594" s="4">
        <v>87</v>
      </c>
      <c r="AE594" s="4">
        <v>87</v>
      </c>
      <c r="AF594" s="4">
        <v>0</v>
      </c>
      <c r="AG594" s="4">
        <v>0</v>
      </c>
      <c r="AH594" s="4">
        <v>82</v>
      </c>
      <c r="AI594" s="4">
        <v>82</v>
      </c>
      <c r="AJ594" s="4">
        <v>11</v>
      </c>
      <c r="AK594" s="4">
        <v>11</v>
      </c>
      <c r="AL594" s="4">
        <v>42</v>
      </c>
      <c r="AM594" s="4">
        <v>42</v>
      </c>
      <c r="AN594" s="4">
        <v>0</v>
      </c>
      <c r="AO594" s="4">
        <v>0</v>
      </c>
      <c r="AP594" s="4">
        <v>12</v>
      </c>
      <c r="AQ594" s="4">
        <v>12</v>
      </c>
      <c r="AR594" s="3" t="s">
        <v>64</v>
      </c>
      <c r="AS594" s="3" t="s">
        <v>64</v>
      </c>
      <c r="AT594" s="3" t="s">
        <v>73</v>
      </c>
      <c r="AU594" s="6" t="str">
        <f>HYPERLINK("http://catalog.hathitrust.org/Record/000667135","HathiTrust Record")</f>
        <v>HathiTrust Record</v>
      </c>
      <c r="AV594" s="6" t="str">
        <f>HYPERLINK("http://mcgill.on.worldcat.org/oclc/13094183","Catalog Record")</f>
        <v>Catalog Record</v>
      </c>
      <c r="AW594" s="6" t="str">
        <f>HYPERLINK("http://www.worldcat.org/oclc/13094183","WorldCat Record")</f>
        <v>WorldCat Record</v>
      </c>
      <c r="AX594" s="3" t="s">
        <v>6209</v>
      </c>
      <c r="AY594" s="3" t="s">
        <v>6210</v>
      </c>
      <c r="AZ594" s="3" t="s">
        <v>6211</v>
      </c>
      <c r="BA594" s="3" t="s">
        <v>6211</v>
      </c>
      <c r="BB594" s="3" t="s">
        <v>6212</v>
      </c>
      <c r="BC594" s="3" t="s">
        <v>78</v>
      </c>
      <c r="BD594" s="3" t="s">
        <v>79</v>
      </c>
      <c r="BE594" s="3" t="s">
        <v>6213</v>
      </c>
      <c r="BF594" s="3" t="s">
        <v>6212</v>
      </c>
      <c r="BG594" s="3" t="s">
        <v>6214</v>
      </c>
    </row>
    <row r="595" spans="1:59" ht="87" x14ac:dyDescent="0.35">
      <c r="A595" s="2" t="s">
        <v>59</v>
      </c>
      <c r="B595" s="2" t="s">
        <v>94</v>
      </c>
      <c r="C595" s="2" t="s">
        <v>6215</v>
      </c>
      <c r="D595" s="2" t="s">
        <v>6216</v>
      </c>
      <c r="E595" s="2" t="s">
        <v>6217</v>
      </c>
      <c r="G595" s="3" t="s">
        <v>64</v>
      </c>
      <c r="I595" s="3" t="s">
        <v>64</v>
      </c>
      <c r="J595" s="3" t="s">
        <v>64</v>
      </c>
      <c r="K595" s="3" t="s">
        <v>65</v>
      </c>
      <c r="M595" s="2" t="s">
        <v>6218</v>
      </c>
      <c r="N595" s="3" t="s">
        <v>328</v>
      </c>
      <c r="P595" s="3" t="s">
        <v>69</v>
      </c>
      <c r="R595" s="3" t="s">
        <v>70</v>
      </c>
      <c r="S595" s="4">
        <v>4</v>
      </c>
      <c r="T595" s="4">
        <v>4</v>
      </c>
      <c r="U595" s="5" t="s">
        <v>474</v>
      </c>
      <c r="V595" s="5" t="s">
        <v>474</v>
      </c>
      <c r="W595" s="5" t="s">
        <v>72</v>
      </c>
      <c r="X595" s="5" t="s">
        <v>72</v>
      </c>
      <c r="Y595" s="4">
        <v>42</v>
      </c>
      <c r="Z595" s="4">
        <v>3</v>
      </c>
      <c r="AA595" s="4">
        <v>6</v>
      </c>
      <c r="AB595" s="4">
        <v>1</v>
      </c>
      <c r="AC595" s="4">
        <v>4</v>
      </c>
      <c r="AD595" s="4">
        <v>18</v>
      </c>
      <c r="AE595" s="4">
        <v>20</v>
      </c>
      <c r="AF595" s="4">
        <v>0</v>
      </c>
      <c r="AG595" s="4">
        <v>2</v>
      </c>
      <c r="AH595" s="4">
        <v>18</v>
      </c>
      <c r="AI595" s="4">
        <v>19</v>
      </c>
      <c r="AJ595" s="4">
        <v>2</v>
      </c>
      <c r="AK595" s="4">
        <v>4</v>
      </c>
      <c r="AL595" s="4">
        <v>11</v>
      </c>
      <c r="AM595" s="4">
        <v>11</v>
      </c>
      <c r="AN595" s="4">
        <v>0</v>
      </c>
      <c r="AO595" s="4">
        <v>0</v>
      </c>
      <c r="AP595" s="4">
        <v>2</v>
      </c>
      <c r="AQ595" s="4">
        <v>4</v>
      </c>
      <c r="AR595" s="3" t="s">
        <v>64</v>
      </c>
      <c r="AS595" s="3" t="s">
        <v>64</v>
      </c>
      <c r="AT595" s="3" t="s">
        <v>64</v>
      </c>
      <c r="AV595" s="6" t="str">
        <f>HYPERLINK("http://mcgill.on.worldcat.org/oclc/727021112","Catalog Record")</f>
        <v>Catalog Record</v>
      </c>
      <c r="AW595" s="6" t="str">
        <f>HYPERLINK("http://www.worldcat.org/oclc/727021112","WorldCat Record")</f>
        <v>WorldCat Record</v>
      </c>
      <c r="AX595" s="3" t="s">
        <v>6219</v>
      </c>
      <c r="AY595" s="3" t="s">
        <v>6220</v>
      </c>
      <c r="AZ595" s="3" t="s">
        <v>6221</v>
      </c>
      <c r="BA595" s="3" t="s">
        <v>6221</v>
      </c>
      <c r="BB595" s="3" t="s">
        <v>6222</v>
      </c>
      <c r="BC595" s="3" t="s">
        <v>78</v>
      </c>
      <c r="BD595" s="3" t="s">
        <v>79</v>
      </c>
      <c r="BE595" s="3" t="s">
        <v>6223</v>
      </c>
      <c r="BF595" s="3" t="s">
        <v>6222</v>
      </c>
      <c r="BG595" s="3" t="s">
        <v>6224</v>
      </c>
    </row>
    <row r="596" spans="1:59" ht="72.5" x14ac:dyDescent="0.35">
      <c r="A596" s="2" t="s">
        <v>59</v>
      </c>
      <c r="B596" s="2" t="s">
        <v>94</v>
      </c>
      <c r="C596" s="2" t="s">
        <v>6225</v>
      </c>
      <c r="D596" s="2" t="s">
        <v>6226</v>
      </c>
      <c r="E596" s="2" t="s">
        <v>6227</v>
      </c>
      <c r="G596" s="3" t="s">
        <v>64</v>
      </c>
      <c r="I596" s="3" t="s">
        <v>64</v>
      </c>
      <c r="J596" s="3" t="s">
        <v>64</v>
      </c>
      <c r="K596" s="3" t="s">
        <v>65</v>
      </c>
      <c r="L596" s="2" t="s">
        <v>6228</v>
      </c>
      <c r="M596" s="2" t="s">
        <v>6229</v>
      </c>
      <c r="N596" s="3" t="s">
        <v>1530</v>
      </c>
      <c r="P596" s="3" t="s">
        <v>69</v>
      </c>
      <c r="R596" s="3" t="s">
        <v>70</v>
      </c>
      <c r="S596" s="4">
        <v>4</v>
      </c>
      <c r="T596" s="4">
        <v>4</v>
      </c>
      <c r="U596" s="5" t="s">
        <v>579</v>
      </c>
      <c r="V596" s="5" t="s">
        <v>579</v>
      </c>
      <c r="W596" s="5" t="s">
        <v>72</v>
      </c>
      <c r="X596" s="5" t="s">
        <v>72</v>
      </c>
      <c r="Y596" s="4">
        <v>261</v>
      </c>
      <c r="Z596" s="4">
        <v>18</v>
      </c>
      <c r="AA596" s="4">
        <v>24</v>
      </c>
      <c r="AB596" s="4">
        <v>2</v>
      </c>
      <c r="AC596" s="4">
        <v>7</v>
      </c>
      <c r="AD596" s="4">
        <v>57</v>
      </c>
      <c r="AE596" s="4">
        <v>64</v>
      </c>
      <c r="AF596" s="4">
        <v>1</v>
      </c>
      <c r="AG596" s="4">
        <v>3</v>
      </c>
      <c r="AH596" s="4">
        <v>49</v>
      </c>
      <c r="AI596" s="4">
        <v>53</v>
      </c>
      <c r="AJ596" s="4">
        <v>10</v>
      </c>
      <c r="AK596" s="4">
        <v>12</v>
      </c>
      <c r="AL596" s="4">
        <v>26</v>
      </c>
      <c r="AM596" s="4">
        <v>29</v>
      </c>
      <c r="AN596" s="4">
        <v>0</v>
      </c>
      <c r="AO596" s="4">
        <v>0</v>
      </c>
      <c r="AP596" s="4">
        <v>13</v>
      </c>
      <c r="AQ596" s="4">
        <v>16</v>
      </c>
      <c r="AR596" s="3" t="s">
        <v>64</v>
      </c>
      <c r="AS596" s="3" t="s">
        <v>64</v>
      </c>
      <c r="AT596" s="3" t="s">
        <v>64</v>
      </c>
      <c r="AV596" s="6" t="str">
        <f>HYPERLINK("http://mcgill.on.worldcat.org/oclc/49421631","Catalog Record")</f>
        <v>Catalog Record</v>
      </c>
      <c r="AW596" s="6" t="str">
        <f>HYPERLINK("http://www.worldcat.org/oclc/49421631","WorldCat Record")</f>
        <v>WorldCat Record</v>
      </c>
      <c r="AX596" s="3" t="s">
        <v>6230</v>
      </c>
      <c r="AY596" s="3" t="s">
        <v>6231</v>
      </c>
      <c r="AZ596" s="3" t="s">
        <v>6232</v>
      </c>
      <c r="BA596" s="3" t="s">
        <v>6232</v>
      </c>
      <c r="BB596" s="3" t="s">
        <v>6233</v>
      </c>
      <c r="BC596" s="3" t="s">
        <v>78</v>
      </c>
      <c r="BD596" s="3" t="s">
        <v>79</v>
      </c>
      <c r="BE596" s="3" t="s">
        <v>6234</v>
      </c>
      <c r="BF596" s="3" t="s">
        <v>6233</v>
      </c>
      <c r="BG596" s="3" t="s">
        <v>6235</v>
      </c>
    </row>
    <row r="597" spans="1:59" ht="58" x14ac:dyDescent="0.35">
      <c r="A597" s="2" t="s">
        <v>59</v>
      </c>
      <c r="B597" s="2" t="s">
        <v>94</v>
      </c>
      <c r="C597" s="2" t="s">
        <v>6236</v>
      </c>
      <c r="D597" s="2" t="s">
        <v>6237</v>
      </c>
      <c r="E597" s="2" t="s">
        <v>6238</v>
      </c>
      <c r="G597" s="3" t="s">
        <v>64</v>
      </c>
      <c r="I597" s="3" t="s">
        <v>64</v>
      </c>
      <c r="J597" s="3" t="s">
        <v>64</v>
      </c>
      <c r="K597" s="3" t="s">
        <v>65</v>
      </c>
      <c r="L597" s="2" t="s">
        <v>6239</v>
      </c>
      <c r="M597" s="2" t="s">
        <v>6240</v>
      </c>
      <c r="N597" s="3" t="s">
        <v>377</v>
      </c>
      <c r="P597" s="3" t="s">
        <v>69</v>
      </c>
      <c r="Q597" s="2" t="s">
        <v>5134</v>
      </c>
      <c r="R597" s="3" t="s">
        <v>70</v>
      </c>
      <c r="S597" s="4">
        <v>3</v>
      </c>
      <c r="T597" s="4">
        <v>3</v>
      </c>
      <c r="U597" s="5" t="s">
        <v>2154</v>
      </c>
      <c r="V597" s="5" t="s">
        <v>2154</v>
      </c>
      <c r="W597" s="5" t="s">
        <v>72</v>
      </c>
      <c r="X597" s="5" t="s">
        <v>72</v>
      </c>
      <c r="Y597" s="4">
        <v>88</v>
      </c>
      <c r="Z597" s="4">
        <v>6</v>
      </c>
      <c r="AA597" s="4">
        <v>114</v>
      </c>
      <c r="AB597" s="4">
        <v>1</v>
      </c>
      <c r="AC597" s="4">
        <v>17</v>
      </c>
      <c r="AD597" s="4">
        <v>45</v>
      </c>
      <c r="AE597" s="4">
        <v>133</v>
      </c>
      <c r="AF597" s="4">
        <v>0</v>
      </c>
      <c r="AG597" s="4">
        <v>8</v>
      </c>
      <c r="AH597" s="4">
        <v>44</v>
      </c>
      <c r="AI597" s="4">
        <v>92</v>
      </c>
      <c r="AJ597" s="4">
        <v>3</v>
      </c>
      <c r="AK597" s="4">
        <v>22</v>
      </c>
      <c r="AL597" s="4">
        <v>25</v>
      </c>
      <c r="AM597" s="4">
        <v>49</v>
      </c>
      <c r="AN597" s="4">
        <v>0</v>
      </c>
      <c r="AO597" s="4">
        <v>0</v>
      </c>
      <c r="AP597" s="4">
        <v>4</v>
      </c>
      <c r="AQ597" s="4">
        <v>46</v>
      </c>
      <c r="AR597" s="3" t="s">
        <v>64</v>
      </c>
      <c r="AS597" s="3" t="s">
        <v>64</v>
      </c>
      <c r="AT597" s="3" t="s">
        <v>64</v>
      </c>
      <c r="AV597" s="6" t="str">
        <f>HYPERLINK("http://mcgill.on.worldcat.org/oclc/818866331","Catalog Record")</f>
        <v>Catalog Record</v>
      </c>
      <c r="AW597" s="6" t="str">
        <f>HYPERLINK("http://www.worldcat.org/oclc/818866331","WorldCat Record")</f>
        <v>WorldCat Record</v>
      </c>
      <c r="AX597" s="3" t="s">
        <v>6241</v>
      </c>
      <c r="AY597" s="3" t="s">
        <v>6242</v>
      </c>
      <c r="AZ597" s="3" t="s">
        <v>6243</v>
      </c>
      <c r="BA597" s="3" t="s">
        <v>6243</v>
      </c>
      <c r="BB597" s="3" t="s">
        <v>6244</v>
      </c>
      <c r="BC597" s="3" t="s">
        <v>78</v>
      </c>
      <c r="BD597" s="3" t="s">
        <v>79</v>
      </c>
      <c r="BE597" s="3" t="s">
        <v>6245</v>
      </c>
      <c r="BF597" s="3" t="s">
        <v>6244</v>
      </c>
      <c r="BG597" s="3" t="s">
        <v>6246</v>
      </c>
    </row>
    <row r="598" spans="1:59" ht="58" x14ac:dyDescent="0.35">
      <c r="A598" s="2" t="s">
        <v>59</v>
      </c>
      <c r="B598" s="2" t="s">
        <v>94</v>
      </c>
      <c r="C598" s="2" t="s">
        <v>6247</v>
      </c>
      <c r="D598" s="2" t="s">
        <v>6248</v>
      </c>
      <c r="E598" s="2" t="s">
        <v>6249</v>
      </c>
      <c r="G598" s="3" t="s">
        <v>64</v>
      </c>
      <c r="I598" s="3" t="s">
        <v>64</v>
      </c>
      <c r="J598" s="3" t="s">
        <v>64</v>
      </c>
      <c r="K598" s="3" t="s">
        <v>65</v>
      </c>
      <c r="L598" s="2" t="s">
        <v>6239</v>
      </c>
      <c r="M598" s="2" t="s">
        <v>6250</v>
      </c>
      <c r="N598" s="3" t="s">
        <v>538</v>
      </c>
      <c r="P598" s="3" t="s">
        <v>69</v>
      </c>
      <c r="R598" s="3" t="s">
        <v>70</v>
      </c>
      <c r="S598" s="4">
        <v>4</v>
      </c>
      <c r="T598" s="4">
        <v>4</v>
      </c>
      <c r="U598" s="5" t="s">
        <v>474</v>
      </c>
      <c r="V598" s="5" t="s">
        <v>474</v>
      </c>
      <c r="W598" s="5" t="s">
        <v>72</v>
      </c>
      <c r="X598" s="5" t="s">
        <v>72</v>
      </c>
      <c r="Y598" s="4">
        <v>382</v>
      </c>
      <c r="Z598" s="4">
        <v>21</v>
      </c>
      <c r="AA598" s="4">
        <v>26</v>
      </c>
      <c r="AB598" s="4">
        <v>2</v>
      </c>
      <c r="AC598" s="4">
        <v>6</v>
      </c>
      <c r="AD598" s="4">
        <v>94</v>
      </c>
      <c r="AE598" s="4">
        <v>98</v>
      </c>
      <c r="AF598" s="4">
        <v>1</v>
      </c>
      <c r="AG598" s="4">
        <v>3</v>
      </c>
      <c r="AH598" s="4">
        <v>86</v>
      </c>
      <c r="AI598" s="4">
        <v>87</v>
      </c>
      <c r="AJ598" s="4">
        <v>14</v>
      </c>
      <c r="AK598" s="4">
        <v>16</v>
      </c>
      <c r="AL598" s="4">
        <v>42</v>
      </c>
      <c r="AM598" s="4">
        <v>43</v>
      </c>
      <c r="AN598" s="4">
        <v>0</v>
      </c>
      <c r="AO598" s="4">
        <v>0</v>
      </c>
      <c r="AP598" s="4">
        <v>18</v>
      </c>
      <c r="AQ598" s="4">
        <v>20</v>
      </c>
      <c r="AR598" s="3" t="s">
        <v>64</v>
      </c>
      <c r="AS598" s="3" t="s">
        <v>64</v>
      </c>
      <c r="AT598" s="3" t="s">
        <v>64</v>
      </c>
      <c r="AV598" s="6" t="str">
        <f>HYPERLINK("http://mcgill.on.worldcat.org/oclc/71552276","Catalog Record")</f>
        <v>Catalog Record</v>
      </c>
      <c r="AW598" s="6" t="str">
        <f>HYPERLINK("http://www.worldcat.org/oclc/71552276","WorldCat Record")</f>
        <v>WorldCat Record</v>
      </c>
      <c r="AX598" s="3" t="s">
        <v>6251</v>
      </c>
      <c r="AY598" s="3" t="s">
        <v>6252</v>
      </c>
      <c r="AZ598" s="3" t="s">
        <v>6253</v>
      </c>
      <c r="BA598" s="3" t="s">
        <v>6253</v>
      </c>
      <c r="BB598" s="3" t="s">
        <v>6254</v>
      </c>
      <c r="BC598" s="3" t="s">
        <v>78</v>
      </c>
      <c r="BD598" s="3" t="s">
        <v>79</v>
      </c>
      <c r="BE598" s="3" t="s">
        <v>6255</v>
      </c>
      <c r="BF598" s="3" t="s">
        <v>6254</v>
      </c>
      <c r="BG598" s="3" t="s">
        <v>6256</v>
      </c>
    </row>
    <row r="599" spans="1:59" ht="58" x14ac:dyDescent="0.35">
      <c r="A599" s="2" t="s">
        <v>59</v>
      </c>
      <c r="B599" s="2" t="s">
        <v>94</v>
      </c>
      <c r="C599" s="2" t="s">
        <v>6257</v>
      </c>
      <c r="D599" s="2" t="s">
        <v>6258</v>
      </c>
      <c r="E599" s="2" t="s">
        <v>6259</v>
      </c>
      <c r="G599" s="3" t="s">
        <v>64</v>
      </c>
      <c r="I599" s="3" t="s">
        <v>64</v>
      </c>
      <c r="J599" s="3" t="s">
        <v>64</v>
      </c>
      <c r="K599" s="3" t="s">
        <v>65</v>
      </c>
      <c r="L599" s="2" t="s">
        <v>6239</v>
      </c>
      <c r="M599" s="2" t="s">
        <v>6046</v>
      </c>
      <c r="N599" s="3" t="s">
        <v>1029</v>
      </c>
      <c r="P599" s="3" t="s">
        <v>69</v>
      </c>
      <c r="Q599" s="2" t="s">
        <v>6260</v>
      </c>
      <c r="R599" s="3" t="s">
        <v>70</v>
      </c>
      <c r="S599" s="4">
        <v>10</v>
      </c>
      <c r="T599" s="4">
        <v>10</v>
      </c>
      <c r="U599" s="5" t="s">
        <v>474</v>
      </c>
      <c r="V599" s="5" t="s">
        <v>474</v>
      </c>
      <c r="W599" s="5" t="s">
        <v>72</v>
      </c>
      <c r="X599" s="5" t="s">
        <v>72</v>
      </c>
      <c r="Y599" s="4">
        <v>270</v>
      </c>
      <c r="Z599" s="4">
        <v>11</v>
      </c>
      <c r="AA599" s="4">
        <v>107</v>
      </c>
      <c r="AB599" s="4">
        <v>2</v>
      </c>
      <c r="AC599" s="4">
        <v>21</v>
      </c>
      <c r="AD599" s="4">
        <v>73</v>
      </c>
      <c r="AE599" s="4">
        <v>145</v>
      </c>
      <c r="AF599" s="4">
        <v>0</v>
      </c>
      <c r="AG599" s="4">
        <v>8</v>
      </c>
      <c r="AH599" s="4">
        <v>68</v>
      </c>
      <c r="AI599" s="4">
        <v>103</v>
      </c>
      <c r="AJ599" s="4">
        <v>7</v>
      </c>
      <c r="AK599" s="4">
        <v>23</v>
      </c>
      <c r="AL599" s="4">
        <v>39</v>
      </c>
      <c r="AM599" s="4">
        <v>56</v>
      </c>
      <c r="AN599" s="4">
        <v>0</v>
      </c>
      <c r="AO599" s="4">
        <v>0</v>
      </c>
      <c r="AP599" s="4">
        <v>8</v>
      </c>
      <c r="AQ599" s="4">
        <v>47</v>
      </c>
      <c r="AR599" s="3" t="s">
        <v>64</v>
      </c>
      <c r="AS599" s="3" t="s">
        <v>64</v>
      </c>
      <c r="AT599" s="3" t="s">
        <v>64</v>
      </c>
      <c r="AV599" s="6" t="str">
        <f>HYPERLINK("http://mcgill.on.worldcat.org/oclc/428819545","Catalog Record")</f>
        <v>Catalog Record</v>
      </c>
      <c r="AW599" s="6" t="str">
        <f>HYPERLINK("http://www.worldcat.org/oclc/428819545","WorldCat Record")</f>
        <v>WorldCat Record</v>
      </c>
      <c r="AX599" s="3" t="s">
        <v>6261</v>
      </c>
      <c r="AY599" s="3" t="s">
        <v>6262</v>
      </c>
      <c r="AZ599" s="3" t="s">
        <v>6263</v>
      </c>
      <c r="BA599" s="3" t="s">
        <v>6263</v>
      </c>
      <c r="BB599" s="3" t="s">
        <v>6264</v>
      </c>
      <c r="BC599" s="3" t="s">
        <v>78</v>
      </c>
      <c r="BD599" s="3" t="s">
        <v>79</v>
      </c>
      <c r="BE599" s="3" t="s">
        <v>6265</v>
      </c>
      <c r="BF599" s="3" t="s">
        <v>6264</v>
      </c>
      <c r="BG599" s="3" t="s">
        <v>6266</v>
      </c>
    </row>
    <row r="600" spans="1:59" ht="58" x14ac:dyDescent="0.35">
      <c r="A600" s="2" t="s">
        <v>59</v>
      </c>
      <c r="B600" s="2" t="s">
        <v>94</v>
      </c>
      <c r="C600" s="2" t="s">
        <v>6267</v>
      </c>
      <c r="D600" s="2" t="s">
        <v>6268</v>
      </c>
      <c r="E600" s="2" t="s">
        <v>6269</v>
      </c>
      <c r="G600" s="3" t="s">
        <v>64</v>
      </c>
      <c r="I600" s="3" t="s">
        <v>64</v>
      </c>
      <c r="J600" s="3" t="s">
        <v>64</v>
      </c>
      <c r="K600" s="3" t="s">
        <v>65</v>
      </c>
      <c r="L600" s="2" t="s">
        <v>2992</v>
      </c>
      <c r="M600" s="2" t="s">
        <v>6270</v>
      </c>
      <c r="N600" s="3" t="s">
        <v>1029</v>
      </c>
      <c r="P600" s="3" t="s">
        <v>69</v>
      </c>
      <c r="R600" s="3" t="s">
        <v>70</v>
      </c>
      <c r="S600" s="4">
        <v>19</v>
      </c>
      <c r="T600" s="4">
        <v>19</v>
      </c>
      <c r="U600" s="5" t="s">
        <v>3599</v>
      </c>
      <c r="V600" s="5" t="s">
        <v>3599</v>
      </c>
      <c r="W600" s="5" t="s">
        <v>72</v>
      </c>
      <c r="X600" s="5" t="s">
        <v>72</v>
      </c>
      <c r="Y600" s="4">
        <v>694</v>
      </c>
      <c r="Z600" s="4">
        <v>48</v>
      </c>
      <c r="AA600" s="4">
        <v>128</v>
      </c>
      <c r="AB600" s="4">
        <v>2</v>
      </c>
      <c r="AC600" s="4">
        <v>19</v>
      </c>
      <c r="AD600" s="4">
        <v>102</v>
      </c>
      <c r="AE600" s="4">
        <v>138</v>
      </c>
      <c r="AF600" s="4">
        <v>0</v>
      </c>
      <c r="AG600" s="4">
        <v>8</v>
      </c>
      <c r="AH600" s="4">
        <v>90</v>
      </c>
      <c r="AI600" s="4">
        <v>101</v>
      </c>
      <c r="AJ600" s="4">
        <v>13</v>
      </c>
      <c r="AK600" s="4">
        <v>24</v>
      </c>
      <c r="AL600" s="4">
        <v>50</v>
      </c>
      <c r="AM600" s="4">
        <v>53</v>
      </c>
      <c r="AN600" s="4">
        <v>0</v>
      </c>
      <c r="AO600" s="4">
        <v>0</v>
      </c>
      <c r="AP600" s="4">
        <v>21</v>
      </c>
      <c r="AQ600" s="4">
        <v>48</v>
      </c>
      <c r="AR600" s="3" t="s">
        <v>64</v>
      </c>
      <c r="AS600" s="3" t="s">
        <v>64</v>
      </c>
      <c r="AT600" s="3" t="s">
        <v>64</v>
      </c>
      <c r="AV600" s="6" t="str">
        <f>HYPERLINK("http://mcgill.on.worldcat.org/oclc/317361758","Catalog Record")</f>
        <v>Catalog Record</v>
      </c>
      <c r="AW600" s="6" t="str">
        <f>HYPERLINK("http://www.worldcat.org/oclc/317361758","WorldCat Record")</f>
        <v>WorldCat Record</v>
      </c>
      <c r="AX600" s="3" t="s">
        <v>6271</v>
      </c>
      <c r="AY600" s="3" t="s">
        <v>6272</v>
      </c>
      <c r="AZ600" s="3" t="s">
        <v>6273</v>
      </c>
      <c r="BA600" s="3" t="s">
        <v>6273</v>
      </c>
      <c r="BB600" s="3" t="s">
        <v>6274</v>
      </c>
      <c r="BC600" s="3" t="s">
        <v>78</v>
      </c>
      <c r="BD600" s="3" t="s">
        <v>79</v>
      </c>
      <c r="BE600" s="3" t="s">
        <v>6275</v>
      </c>
      <c r="BF600" s="3" t="s">
        <v>6274</v>
      </c>
      <c r="BG600" s="3" t="s">
        <v>6276</v>
      </c>
    </row>
    <row r="601" spans="1:59" ht="58" x14ac:dyDescent="0.35">
      <c r="A601" s="2" t="s">
        <v>59</v>
      </c>
      <c r="B601" s="2" t="s">
        <v>94</v>
      </c>
      <c r="C601" s="2" t="s">
        <v>6277</v>
      </c>
      <c r="D601" s="2" t="s">
        <v>6278</v>
      </c>
      <c r="E601" s="2" t="s">
        <v>6279</v>
      </c>
      <c r="G601" s="3" t="s">
        <v>64</v>
      </c>
      <c r="I601" s="3" t="s">
        <v>64</v>
      </c>
      <c r="J601" s="3" t="s">
        <v>64</v>
      </c>
      <c r="K601" s="3" t="s">
        <v>65</v>
      </c>
      <c r="L601" s="2" t="s">
        <v>6280</v>
      </c>
      <c r="M601" s="2" t="s">
        <v>6281</v>
      </c>
      <c r="N601" s="3" t="s">
        <v>377</v>
      </c>
      <c r="P601" s="3" t="s">
        <v>69</v>
      </c>
      <c r="Q601" s="2" t="s">
        <v>6282</v>
      </c>
      <c r="R601" s="3" t="s">
        <v>70</v>
      </c>
      <c r="S601" s="4">
        <v>5</v>
      </c>
      <c r="T601" s="4">
        <v>5</v>
      </c>
      <c r="U601" s="5" t="s">
        <v>5367</v>
      </c>
      <c r="V601" s="5" t="s">
        <v>5367</v>
      </c>
      <c r="W601" s="5" t="s">
        <v>72</v>
      </c>
      <c r="X601" s="5" t="s">
        <v>72</v>
      </c>
      <c r="Y601" s="4">
        <v>111</v>
      </c>
      <c r="Z601" s="4">
        <v>8</v>
      </c>
      <c r="AA601" s="4">
        <v>11</v>
      </c>
      <c r="AB601" s="4">
        <v>1</v>
      </c>
      <c r="AC601" s="4">
        <v>3</v>
      </c>
      <c r="AD601" s="4">
        <v>41</v>
      </c>
      <c r="AE601" s="4">
        <v>42</v>
      </c>
      <c r="AF601" s="4">
        <v>0</v>
      </c>
      <c r="AG601" s="4">
        <v>0</v>
      </c>
      <c r="AH601" s="4">
        <v>40</v>
      </c>
      <c r="AI601" s="4">
        <v>41</v>
      </c>
      <c r="AJ601" s="4">
        <v>3</v>
      </c>
      <c r="AK601" s="4">
        <v>3</v>
      </c>
      <c r="AL601" s="4">
        <v>24</v>
      </c>
      <c r="AM601" s="4">
        <v>25</v>
      </c>
      <c r="AN601" s="4">
        <v>0</v>
      </c>
      <c r="AO601" s="4">
        <v>0</v>
      </c>
      <c r="AP601" s="4">
        <v>3</v>
      </c>
      <c r="AQ601" s="4">
        <v>3</v>
      </c>
      <c r="AR601" s="3" t="s">
        <v>64</v>
      </c>
      <c r="AS601" s="3" t="s">
        <v>64</v>
      </c>
      <c r="AT601" s="3" t="s">
        <v>64</v>
      </c>
      <c r="AV601" s="6" t="str">
        <f>HYPERLINK("http://mcgill.on.worldcat.org/oclc/758973682","Catalog Record")</f>
        <v>Catalog Record</v>
      </c>
      <c r="AW601" s="6" t="str">
        <f>HYPERLINK("http://www.worldcat.org/oclc/758973682","WorldCat Record")</f>
        <v>WorldCat Record</v>
      </c>
      <c r="AX601" s="3" t="s">
        <v>6283</v>
      </c>
      <c r="AY601" s="3" t="s">
        <v>6284</v>
      </c>
      <c r="AZ601" s="3" t="s">
        <v>6285</v>
      </c>
      <c r="BA601" s="3" t="s">
        <v>6285</v>
      </c>
      <c r="BB601" s="3" t="s">
        <v>6286</v>
      </c>
      <c r="BC601" s="3" t="s">
        <v>78</v>
      </c>
      <c r="BD601" s="3" t="s">
        <v>79</v>
      </c>
      <c r="BE601" s="3" t="s">
        <v>6287</v>
      </c>
      <c r="BF601" s="3" t="s">
        <v>6286</v>
      </c>
      <c r="BG601" s="3" t="s">
        <v>6288</v>
      </c>
    </row>
    <row r="602" spans="1:59" ht="58" x14ac:dyDescent="0.35">
      <c r="A602" s="2" t="s">
        <v>59</v>
      </c>
      <c r="B602" s="2" t="s">
        <v>94</v>
      </c>
      <c r="C602" s="2" t="s">
        <v>6289</v>
      </c>
      <c r="D602" s="2" t="s">
        <v>6290</v>
      </c>
      <c r="E602" s="2" t="s">
        <v>6291</v>
      </c>
      <c r="G602" s="3" t="s">
        <v>64</v>
      </c>
      <c r="I602" s="3" t="s">
        <v>64</v>
      </c>
      <c r="J602" s="3" t="s">
        <v>64</v>
      </c>
      <c r="K602" s="3" t="s">
        <v>65</v>
      </c>
      <c r="L602" s="2" t="s">
        <v>6292</v>
      </c>
      <c r="M602" s="2" t="s">
        <v>6293</v>
      </c>
      <c r="N602" s="3" t="s">
        <v>449</v>
      </c>
      <c r="P602" s="3" t="s">
        <v>69</v>
      </c>
      <c r="R602" s="3" t="s">
        <v>70</v>
      </c>
      <c r="S602" s="4">
        <v>3</v>
      </c>
      <c r="T602" s="4">
        <v>3</v>
      </c>
      <c r="U602" s="5" t="s">
        <v>1881</v>
      </c>
      <c r="V602" s="5" t="s">
        <v>1881</v>
      </c>
      <c r="W602" s="5" t="s">
        <v>72</v>
      </c>
      <c r="X602" s="5" t="s">
        <v>72</v>
      </c>
      <c r="Y602" s="4">
        <v>356</v>
      </c>
      <c r="Z602" s="4">
        <v>22</v>
      </c>
      <c r="AA602" s="4">
        <v>36</v>
      </c>
      <c r="AB602" s="4">
        <v>2</v>
      </c>
      <c r="AC602" s="4">
        <v>5</v>
      </c>
      <c r="AD602" s="4">
        <v>99</v>
      </c>
      <c r="AE602" s="4">
        <v>115</v>
      </c>
      <c r="AF602" s="4">
        <v>1</v>
      </c>
      <c r="AG602" s="4">
        <v>1</v>
      </c>
      <c r="AH602" s="4">
        <v>88</v>
      </c>
      <c r="AI602" s="4">
        <v>98</v>
      </c>
      <c r="AJ602" s="4">
        <v>14</v>
      </c>
      <c r="AK602" s="4">
        <v>15</v>
      </c>
      <c r="AL602" s="4">
        <v>46</v>
      </c>
      <c r="AM602" s="4">
        <v>52</v>
      </c>
      <c r="AN602" s="4">
        <v>0</v>
      </c>
      <c r="AO602" s="4">
        <v>0</v>
      </c>
      <c r="AP602" s="4">
        <v>18</v>
      </c>
      <c r="AQ602" s="4">
        <v>24</v>
      </c>
      <c r="AR602" s="3" t="s">
        <v>64</v>
      </c>
      <c r="AS602" s="3" t="s">
        <v>64</v>
      </c>
      <c r="AT602" s="3" t="s">
        <v>64</v>
      </c>
      <c r="AV602" s="6" t="str">
        <f>HYPERLINK("http://mcgill.on.worldcat.org/oclc/182656648","Catalog Record")</f>
        <v>Catalog Record</v>
      </c>
      <c r="AW602" s="6" t="str">
        <f>HYPERLINK("http://www.worldcat.org/oclc/182656648","WorldCat Record")</f>
        <v>WorldCat Record</v>
      </c>
      <c r="AX602" s="3" t="s">
        <v>6294</v>
      </c>
      <c r="AY602" s="3" t="s">
        <v>6295</v>
      </c>
      <c r="AZ602" s="3" t="s">
        <v>6296</v>
      </c>
      <c r="BA602" s="3" t="s">
        <v>6296</v>
      </c>
      <c r="BB602" s="3" t="s">
        <v>6297</v>
      </c>
      <c r="BC602" s="3" t="s">
        <v>78</v>
      </c>
      <c r="BD602" s="3" t="s">
        <v>79</v>
      </c>
      <c r="BE602" s="3" t="s">
        <v>6298</v>
      </c>
      <c r="BF602" s="3" t="s">
        <v>6297</v>
      </c>
      <c r="BG602" s="3" t="s">
        <v>6299</v>
      </c>
    </row>
    <row r="603" spans="1:59" ht="58" x14ac:dyDescent="0.35">
      <c r="A603" s="2" t="s">
        <v>59</v>
      </c>
      <c r="B603" s="2" t="s">
        <v>94</v>
      </c>
      <c r="C603" s="2" t="s">
        <v>6300</v>
      </c>
      <c r="D603" s="2" t="s">
        <v>6301</v>
      </c>
      <c r="E603" s="2" t="s">
        <v>6302</v>
      </c>
      <c r="G603" s="3" t="s">
        <v>64</v>
      </c>
      <c r="I603" s="3" t="s">
        <v>64</v>
      </c>
      <c r="J603" s="3" t="s">
        <v>64</v>
      </c>
      <c r="K603" s="3" t="s">
        <v>65</v>
      </c>
      <c r="M603" s="2" t="s">
        <v>6303</v>
      </c>
      <c r="N603" s="3" t="s">
        <v>499</v>
      </c>
      <c r="P603" s="3" t="s">
        <v>69</v>
      </c>
      <c r="R603" s="3" t="s">
        <v>70</v>
      </c>
      <c r="S603" s="4">
        <v>4</v>
      </c>
      <c r="T603" s="4">
        <v>4</v>
      </c>
      <c r="U603" s="5" t="s">
        <v>6304</v>
      </c>
      <c r="V603" s="5" t="s">
        <v>6304</v>
      </c>
      <c r="W603" s="5" t="s">
        <v>72</v>
      </c>
      <c r="X603" s="5" t="s">
        <v>72</v>
      </c>
      <c r="Y603" s="4">
        <v>59</v>
      </c>
      <c r="Z603" s="4">
        <v>39</v>
      </c>
      <c r="AA603" s="4">
        <v>48</v>
      </c>
      <c r="AB603" s="4">
        <v>3</v>
      </c>
      <c r="AC603" s="4">
        <v>10</v>
      </c>
      <c r="AD603" s="4">
        <v>30</v>
      </c>
      <c r="AE603" s="4">
        <v>37</v>
      </c>
      <c r="AF603" s="4">
        <v>2</v>
      </c>
      <c r="AG603" s="4">
        <v>7</v>
      </c>
      <c r="AH603" s="4">
        <v>13</v>
      </c>
      <c r="AI603" s="4">
        <v>14</v>
      </c>
      <c r="AJ603" s="4">
        <v>18</v>
      </c>
      <c r="AK603" s="4">
        <v>23</v>
      </c>
      <c r="AL603" s="4">
        <v>2</v>
      </c>
      <c r="AM603" s="4">
        <v>2</v>
      </c>
      <c r="AN603" s="4">
        <v>0</v>
      </c>
      <c r="AO603" s="4">
        <v>0</v>
      </c>
      <c r="AP603" s="4">
        <v>27</v>
      </c>
      <c r="AQ603" s="4">
        <v>33</v>
      </c>
      <c r="AR603" s="3" t="s">
        <v>73</v>
      </c>
      <c r="AS603" s="3" t="s">
        <v>64</v>
      </c>
      <c r="AT603" s="3" t="s">
        <v>64</v>
      </c>
      <c r="AV603" s="6" t="str">
        <f>HYPERLINK("http://mcgill.on.worldcat.org/oclc/61127979","Catalog Record")</f>
        <v>Catalog Record</v>
      </c>
      <c r="AW603" s="6" t="str">
        <f>HYPERLINK("http://www.worldcat.org/oclc/61127979","WorldCat Record")</f>
        <v>WorldCat Record</v>
      </c>
      <c r="AX603" s="3" t="s">
        <v>6305</v>
      </c>
      <c r="AY603" s="3" t="s">
        <v>6306</v>
      </c>
      <c r="AZ603" s="3" t="s">
        <v>6307</v>
      </c>
      <c r="BA603" s="3" t="s">
        <v>6307</v>
      </c>
      <c r="BB603" s="3" t="s">
        <v>6308</v>
      </c>
      <c r="BC603" s="3" t="s">
        <v>78</v>
      </c>
      <c r="BD603" s="3" t="s">
        <v>79</v>
      </c>
      <c r="BE603" s="3" t="s">
        <v>6309</v>
      </c>
      <c r="BF603" s="3" t="s">
        <v>6308</v>
      </c>
      <c r="BG603" s="3" t="s">
        <v>6310</v>
      </c>
    </row>
    <row r="604" spans="1:59" ht="58" x14ac:dyDescent="0.35">
      <c r="A604" s="2" t="s">
        <v>59</v>
      </c>
      <c r="B604" s="2" t="s">
        <v>94</v>
      </c>
      <c r="C604" s="2" t="s">
        <v>6311</v>
      </c>
      <c r="D604" s="2" t="s">
        <v>6312</v>
      </c>
      <c r="E604" s="2" t="s">
        <v>6313</v>
      </c>
      <c r="G604" s="3" t="s">
        <v>64</v>
      </c>
      <c r="I604" s="3" t="s">
        <v>64</v>
      </c>
      <c r="J604" s="3" t="s">
        <v>64</v>
      </c>
      <c r="K604" s="3" t="s">
        <v>65</v>
      </c>
      <c r="L604" s="2" t="s">
        <v>6314</v>
      </c>
      <c r="M604" s="2" t="s">
        <v>6315</v>
      </c>
      <c r="N604" s="3" t="s">
        <v>524</v>
      </c>
      <c r="P604" s="3" t="s">
        <v>69</v>
      </c>
      <c r="R604" s="3" t="s">
        <v>70</v>
      </c>
      <c r="S604" s="4">
        <v>5</v>
      </c>
      <c r="T604" s="4">
        <v>5</v>
      </c>
      <c r="U604" s="5" t="s">
        <v>474</v>
      </c>
      <c r="V604" s="5" t="s">
        <v>474</v>
      </c>
      <c r="W604" s="5" t="s">
        <v>72</v>
      </c>
      <c r="X604" s="5" t="s">
        <v>72</v>
      </c>
      <c r="Y604" s="4">
        <v>67</v>
      </c>
      <c r="Z604" s="4">
        <v>5</v>
      </c>
      <c r="AA604" s="4">
        <v>101</v>
      </c>
      <c r="AB604" s="4">
        <v>1</v>
      </c>
      <c r="AC604" s="4">
        <v>14</v>
      </c>
      <c r="AD604" s="4">
        <v>15</v>
      </c>
      <c r="AE604" s="4">
        <v>121</v>
      </c>
      <c r="AF604" s="4">
        <v>0</v>
      </c>
      <c r="AG604" s="4">
        <v>8</v>
      </c>
      <c r="AH604" s="4">
        <v>15</v>
      </c>
      <c r="AI604" s="4">
        <v>84</v>
      </c>
      <c r="AJ604" s="4">
        <v>2</v>
      </c>
      <c r="AK604" s="4">
        <v>22</v>
      </c>
      <c r="AL604" s="4">
        <v>11</v>
      </c>
      <c r="AM604" s="4">
        <v>45</v>
      </c>
      <c r="AN604" s="4">
        <v>0</v>
      </c>
      <c r="AO604" s="4">
        <v>0</v>
      </c>
      <c r="AP604" s="4">
        <v>2</v>
      </c>
      <c r="AQ604" s="4">
        <v>42</v>
      </c>
      <c r="AR604" s="3" t="s">
        <v>64</v>
      </c>
      <c r="AS604" s="3" t="s">
        <v>64</v>
      </c>
      <c r="AT604" s="3" t="s">
        <v>64</v>
      </c>
      <c r="AV604" s="6" t="str">
        <f>HYPERLINK("http://mcgill.on.worldcat.org/oclc/822960071","Catalog Record")</f>
        <v>Catalog Record</v>
      </c>
      <c r="AW604" s="6" t="str">
        <f>HYPERLINK("http://www.worldcat.org/oclc/822960071","WorldCat Record")</f>
        <v>WorldCat Record</v>
      </c>
      <c r="AX604" s="3" t="s">
        <v>6316</v>
      </c>
      <c r="AY604" s="3" t="s">
        <v>6317</v>
      </c>
      <c r="AZ604" s="3" t="s">
        <v>6318</v>
      </c>
      <c r="BA604" s="3" t="s">
        <v>6318</v>
      </c>
      <c r="BB604" s="3" t="s">
        <v>6319</v>
      </c>
      <c r="BC604" s="3" t="s">
        <v>78</v>
      </c>
      <c r="BD604" s="3" t="s">
        <v>79</v>
      </c>
      <c r="BE604" s="3" t="s">
        <v>6320</v>
      </c>
      <c r="BF604" s="3" t="s">
        <v>6319</v>
      </c>
      <c r="BG604" s="3" t="s">
        <v>6321</v>
      </c>
    </row>
    <row r="605" spans="1:59" ht="58" x14ac:dyDescent="0.35">
      <c r="A605" s="2" t="s">
        <v>59</v>
      </c>
      <c r="B605" s="2" t="s">
        <v>94</v>
      </c>
      <c r="C605" s="2" t="s">
        <v>6322</v>
      </c>
      <c r="D605" s="2" t="s">
        <v>6323</v>
      </c>
      <c r="E605" s="2" t="s">
        <v>6324</v>
      </c>
      <c r="G605" s="3" t="s">
        <v>64</v>
      </c>
      <c r="I605" s="3" t="s">
        <v>64</v>
      </c>
      <c r="J605" s="3" t="s">
        <v>64</v>
      </c>
      <c r="K605" s="3" t="s">
        <v>65</v>
      </c>
      <c r="L605" s="2" t="s">
        <v>6325</v>
      </c>
      <c r="M605" s="2" t="s">
        <v>6326</v>
      </c>
      <c r="N605" s="3" t="s">
        <v>524</v>
      </c>
      <c r="P605" s="3" t="s">
        <v>69</v>
      </c>
      <c r="Q605" s="2" t="s">
        <v>6327</v>
      </c>
      <c r="R605" s="3" t="s">
        <v>70</v>
      </c>
      <c r="S605" s="4">
        <v>2</v>
      </c>
      <c r="T605" s="4">
        <v>2</v>
      </c>
      <c r="U605" s="5" t="s">
        <v>552</v>
      </c>
      <c r="V605" s="5" t="s">
        <v>552</v>
      </c>
      <c r="W605" s="5" t="s">
        <v>72</v>
      </c>
      <c r="X605" s="5" t="s">
        <v>72</v>
      </c>
      <c r="Y605" s="4">
        <v>222</v>
      </c>
      <c r="Z605" s="4">
        <v>4</v>
      </c>
      <c r="AA605" s="4">
        <v>50</v>
      </c>
      <c r="AB605" s="4">
        <v>1</v>
      </c>
      <c r="AC605" s="4">
        <v>8</v>
      </c>
      <c r="AD605" s="4">
        <v>30</v>
      </c>
      <c r="AE605" s="4">
        <v>63</v>
      </c>
      <c r="AF605" s="4">
        <v>0</v>
      </c>
      <c r="AG605" s="4">
        <v>4</v>
      </c>
      <c r="AH605" s="4">
        <v>29</v>
      </c>
      <c r="AI605" s="4">
        <v>49</v>
      </c>
      <c r="AJ605" s="4">
        <v>1</v>
      </c>
      <c r="AK605" s="4">
        <v>10</v>
      </c>
      <c r="AL605" s="4">
        <v>21</v>
      </c>
      <c r="AM605" s="4">
        <v>32</v>
      </c>
      <c r="AN605" s="4">
        <v>0</v>
      </c>
      <c r="AO605" s="4">
        <v>0</v>
      </c>
      <c r="AP605" s="4">
        <v>1</v>
      </c>
      <c r="AQ605" s="4">
        <v>16</v>
      </c>
      <c r="AR605" s="3" t="s">
        <v>64</v>
      </c>
      <c r="AS605" s="3" t="s">
        <v>64</v>
      </c>
      <c r="AT605" s="3" t="s">
        <v>64</v>
      </c>
      <c r="AV605" s="6" t="str">
        <f>HYPERLINK("http://mcgill.on.worldcat.org/oclc/780481148","Catalog Record")</f>
        <v>Catalog Record</v>
      </c>
      <c r="AW605" s="6" t="str">
        <f>HYPERLINK("http://www.worldcat.org/oclc/780481148","WorldCat Record")</f>
        <v>WorldCat Record</v>
      </c>
      <c r="AX605" s="3" t="s">
        <v>6328</v>
      </c>
      <c r="AY605" s="3" t="s">
        <v>6329</v>
      </c>
      <c r="AZ605" s="3" t="s">
        <v>6330</v>
      </c>
      <c r="BA605" s="3" t="s">
        <v>6330</v>
      </c>
      <c r="BB605" s="3" t="s">
        <v>6331</v>
      </c>
      <c r="BC605" s="3" t="s">
        <v>78</v>
      </c>
      <c r="BD605" s="3" t="s">
        <v>79</v>
      </c>
      <c r="BE605" s="3" t="s">
        <v>6332</v>
      </c>
      <c r="BF605" s="3" t="s">
        <v>6331</v>
      </c>
      <c r="BG605" s="3" t="s">
        <v>6333</v>
      </c>
    </row>
    <row r="606" spans="1:59" ht="58" x14ac:dyDescent="0.35">
      <c r="A606" s="2" t="s">
        <v>59</v>
      </c>
      <c r="B606" s="2" t="s">
        <v>94</v>
      </c>
      <c r="C606" s="2" t="s">
        <v>6334</v>
      </c>
      <c r="D606" s="2" t="s">
        <v>6335</v>
      </c>
      <c r="E606" s="2" t="s">
        <v>6336</v>
      </c>
      <c r="G606" s="3" t="s">
        <v>64</v>
      </c>
      <c r="I606" s="3" t="s">
        <v>64</v>
      </c>
      <c r="J606" s="3" t="s">
        <v>64</v>
      </c>
      <c r="K606" s="3" t="s">
        <v>65</v>
      </c>
      <c r="L606" s="2" t="s">
        <v>6337</v>
      </c>
      <c r="M606" s="2" t="s">
        <v>6338</v>
      </c>
      <c r="N606" s="3" t="s">
        <v>214</v>
      </c>
      <c r="P606" s="3" t="s">
        <v>69</v>
      </c>
      <c r="R606" s="3" t="s">
        <v>70</v>
      </c>
      <c r="S606" s="4">
        <v>0</v>
      </c>
      <c r="T606" s="4">
        <v>0</v>
      </c>
      <c r="W606" s="5" t="s">
        <v>72</v>
      </c>
      <c r="X606" s="5" t="s">
        <v>72</v>
      </c>
      <c r="Y606" s="4">
        <v>54</v>
      </c>
      <c r="Z606" s="4">
        <v>18</v>
      </c>
      <c r="AA606" s="4">
        <v>36</v>
      </c>
      <c r="AB606" s="4">
        <v>1</v>
      </c>
      <c r="AC606" s="4">
        <v>5</v>
      </c>
      <c r="AD606" s="4">
        <v>23</v>
      </c>
      <c r="AE606" s="4">
        <v>33</v>
      </c>
      <c r="AF606" s="4">
        <v>0</v>
      </c>
      <c r="AG606" s="4">
        <v>2</v>
      </c>
      <c r="AH606" s="4">
        <v>18</v>
      </c>
      <c r="AI606" s="4">
        <v>20</v>
      </c>
      <c r="AJ606" s="4">
        <v>8</v>
      </c>
      <c r="AK606" s="4">
        <v>10</v>
      </c>
      <c r="AL606" s="4">
        <v>12</v>
      </c>
      <c r="AM606" s="4">
        <v>13</v>
      </c>
      <c r="AN606" s="4">
        <v>0</v>
      </c>
      <c r="AO606" s="4">
        <v>0</v>
      </c>
      <c r="AP606" s="4">
        <v>7</v>
      </c>
      <c r="AQ606" s="4">
        <v>16</v>
      </c>
      <c r="AR606" s="3" t="s">
        <v>73</v>
      </c>
      <c r="AS606" s="3" t="s">
        <v>64</v>
      </c>
      <c r="AT606" s="3" t="s">
        <v>64</v>
      </c>
      <c r="AV606" s="6" t="str">
        <f>HYPERLINK("http://mcgill.on.worldcat.org/oclc/593992781","Catalog Record")</f>
        <v>Catalog Record</v>
      </c>
      <c r="AW606" s="6" t="str">
        <f>HYPERLINK("http://www.worldcat.org/oclc/593992781","WorldCat Record")</f>
        <v>WorldCat Record</v>
      </c>
      <c r="AX606" s="3" t="s">
        <v>6339</v>
      </c>
      <c r="AY606" s="3" t="s">
        <v>6340</v>
      </c>
      <c r="AZ606" s="3" t="s">
        <v>6341</v>
      </c>
      <c r="BA606" s="3" t="s">
        <v>6341</v>
      </c>
      <c r="BB606" s="3" t="s">
        <v>6342</v>
      </c>
      <c r="BC606" s="3" t="s">
        <v>78</v>
      </c>
      <c r="BD606" s="3" t="s">
        <v>79</v>
      </c>
      <c r="BE606" s="3" t="s">
        <v>6343</v>
      </c>
      <c r="BF606" s="3" t="s">
        <v>6342</v>
      </c>
      <c r="BG606" s="3" t="s">
        <v>6344</v>
      </c>
    </row>
    <row r="607" spans="1:59" ht="58" x14ac:dyDescent="0.35">
      <c r="A607" s="2" t="s">
        <v>59</v>
      </c>
      <c r="B607" s="2" t="s">
        <v>94</v>
      </c>
      <c r="C607" s="2" t="s">
        <v>6345</v>
      </c>
      <c r="D607" s="2" t="s">
        <v>6346</v>
      </c>
      <c r="E607" s="2" t="s">
        <v>6347</v>
      </c>
      <c r="G607" s="3" t="s">
        <v>64</v>
      </c>
      <c r="I607" s="3" t="s">
        <v>64</v>
      </c>
      <c r="J607" s="3" t="s">
        <v>64</v>
      </c>
      <c r="K607" s="3" t="s">
        <v>65</v>
      </c>
      <c r="L607" s="2" t="s">
        <v>6348</v>
      </c>
      <c r="M607" s="2" t="s">
        <v>6349</v>
      </c>
      <c r="N607" s="3" t="s">
        <v>538</v>
      </c>
      <c r="P607" s="3" t="s">
        <v>69</v>
      </c>
      <c r="R607" s="3" t="s">
        <v>70</v>
      </c>
      <c r="S607" s="4">
        <v>15</v>
      </c>
      <c r="T607" s="4">
        <v>15</v>
      </c>
      <c r="U607" s="5" t="s">
        <v>5645</v>
      </c>
      <c r="V607" s="5" t="s">
        <v>5645</v>
      </c>
      <c r="W607" s="5" t="s">
        <v>72</v>
      </c>
      <c r="X607" s="5" t="s">
        <v>72</v>
      </c>
      <c r="Y607" s="4">
        <v>301</v>
      </c>
      <c r="Z607" s="4">
        <v>18</v>
      </c>
      <c r="AA607" s="4">
        <v>21</v>
      </c>
      <c r="AB607" s="4">
        <v>2</v>
      </c>
      <c r="AC607" s="4">
        <v>4</v>
      </c>
      <c r="AD607" s="4">
        <v>85</v>
      </c>
      <c r="AE607" s="4">
        <v>87</v>
      </c>
      <c r="AF607" s="4">
        <v>1</v>
      </c>
      <c r="AG607" s="4">
        <v>3</v>
      </c>
      <c r="AH607" s="4">
        <v>76</v>
      </c>
      <c r="AI607" s="4">
        <v>77</v>
      </c>
      <c r="AJ607" s="4">
        <v>13</v>
      </c>
      <c r="AK607" s="4">
        <v>15</v>
      </c>
      <c r="AL607" s="4">
        <v>44</v>
      </c>
      <c r="AM607" s="4">
        <v>44</v>
      </c>
      <c r="AN607" s="4">
        <v>0</v>
      </c>
      <c r="AO607" s="4">
        <v>0</v>
      </c>
      <c r="AP607" s="4">
        <v>16</v>
      </c>
      <c r="AQ607" s="4">
        <v>17</v>
      </c>
      <c r="AR607" s="3" t="s">
        <v>64</v>
      </c>
      <c r="AS607" s="3" t="s">
        <v>64</v>
      </c>
      <c r="AT607" s="3" t="s">
        <v>64</v>
      </c>
      <c r="AV607" s="6" t="str">
        <f>HYPERLINK("http://mcgill.on.worldcat.org/oclc/69732620","Catalog Record")</f>
        <v>Catalog Record</v>
      </c>
      <c r="AW607" s="6" t="str">
        <f>HYPERLINK("http://www.worldcat.org/oclc/69732620","WorldCat Record")</f>
        <v>WorldCat Record</v>
      </c>
      <c r="AX607" s="3" t="s">
        <v>6350</v>
      </c>
      <c r="AY607" s="3" t="s">
        <v>6351</v>
      </c>
      <c r="AZ607" s="3" t="s">
        <v>6352</v>
      </c>
      <c r="BA607" s="3" t="s">
        <v>6352</v>
      </c>
      <c r="BB607" s="3" t="s">
        <v>6353</v>
      </c>
      <c r="BC607" s="3" t="s">
        <v>78</v>
      </c>
      <c r="BD607" s="3" t="s">
        <v>79</v>
      </c>
      <c r="BE607" s="3" t="s">
        <v>6354</v>
      </c>
      <c r="BF607" s="3" t="s">
        <v>6353</v>
      </c>
      <c r="BG607" s="3" t="s">
        <v>6355</v>
      </c>
    </row>
    <row r="608" spans="1:59" ht="58" x14ac:dyDescent="0.35">
      <c r="A608" s="2" t="s">
        <v>59</v>
      </c>
      <c r="B608" s="2" t="s">
        <v>94</v>
      </c>
      <c r="C608" s="2" t="s">
        <v>6356</v>
      </c>
      <c r="D608" s="2" t="s">
        <v>6357</v>
      </c>
      <c r="E608" s="2" t="s">
        <v>6358</v>
      </c>
      <c r="G608" s="3" t="s">
        <v>64</v>
      </c>
      <c r="I608" s="3" t="s">
        <v>73</v>
      </c>
      <c r="J608" s="3" t="s">
        <v>64</v>
      </c>
      <c r="K608" s="3" t="s">
        <v>65</v>
      </c>
      <c r="L608" s="2" t="s">
        <v>1087</v>
      </c>
      <c r="M608" s="2" t="s">
        <v>6359</v>
      </c>
      <c r="N608" s="3" t="s">
        <v>136</v>
      </c>
      <c r="P608" s="3" t="s">
        <v>69</v>
      </c>
      <c r="R608" s="3" t="s">
        <v>70</v>
      </c>
      <c r="S608" s="4">
        <v>18</v>
      </c>
      <c r="T608" s="4">
        <v>34</v>
      </c>
      <c r="U608" s="5" t="s">
        <v>4346</v>
      </c>
      <c r="V608" s="5" t="s">
        <v>4346</v>
      </c>
      <c r="W608" s="5" t="s">
        <v>72</v>
      </c>
      <c r="X608" s="5" t="s">
        <v>72</v>
      </c>
      <c r="Y608" s="4">
        <v>279</v>
      </c>
      <c r="Z608" s="4">
        <v>25</v>
      </c>
      <c r="AA608" s="4">
        <v>41</v>
      </c>
      <c r="AB608" s="4">
        <v>3</v>
      </c>
      <c r="AC608" s="4">
        <v>4</v>
      </c>
      <c r="AD608" s="4">
        <v>89</v>
      </c>
      <c r="AE608" s="4">
        <v>119</v>
      </c>
      <c r="AF608" s="4">
        <v>1</v>
      </c>
      <c r="AG608" s="4">
        <v>2</v>
      </c>
      <c r="AH608" s="4">
        <v>76</v>
      </c>
      <c r="AI608" s="4">
        <v>97</v>
      </c>
      <c r="AJ608" s="4">
        <v>13</v>
      </c>
      <c r="AK608" s="4">
        <v>20</v>
      </c>
      <c r="AL608" s="4">
        <v>45</v>
      </c>
      <c r="AM608" s="4">
        <v>54</v>
      </c>
      <c r="AN608" s="4">
        <v>0</v>
      </c>
      <c r="AO608" s="4">
        <v>0</v>
      </c>
      <c r="AP608" s="4">
        <v>18</v>
      </c>
      <c r="AQ608" s="4">
        <v>31</v>
      </c>
      <c r="AR608" s="3" t="s">
        <v>64</v>
      </c>
      <c r="AS608" s="3" t="s">
        <v>64</v>
      </c>
      <c r="AT608" s="3" t="s">
        <v>73</v>
      </c>
      <c r="AU608" s="6" t="str">
        <f>HYPERLINK("http://catalog.hathitrust.org/Record/004114407","HathiTrust Record")</f>
        <v>HathiTrust Record</v>
      </c>
      <c r="AV608" s="6" t="str">
        <f>HYPERLINK("http://mcgill.on.worldcat.org/oclc/44506901","Catalog Record")</f>
        <v>Catalog Record</v>
      </c>
      <c r="AW608" s="6" t="str">
        <f>HYPERLINK("http://www.worldcat.org/oclc/44506901","WorldCat Record")</f>
        <v>WorldCat Record</v>
      </c>
      <c r="AX608" s="3" t="s">
        <v>6360</v>
      </c>
      <c r="AY608" s="3" t="s">
        <v>6361</v>
      </c>
      <c r="AZ608" s="3" t="s">
        <v>6362</v>
      </c>
      <c r="BA608" s="3" t="s">
        <v>6362</v>
      </c>
      <c r="BB608" s="3" t="s">
        <v>6363</v>
      </c>
      <c r="BC608" s="3" t="s">
        <v>78</v>
      </c>
      <c r="BD608" s="3" t="s">
        <v>79</v>
      </c>
      <c r="BE608" s="3" t="s">
        <v>6364</v>
      </c>
      <c r="BF608" s="3" t="s">
        <v>6363</v>
      </c>
      <c r="BG608" s="3" t="s">
        <v>6365</v>
      </c>
    </row>
    <row r="609" spans="1:59" ht="58" x14ac:dyDescent="0.35">
      <c r="A609" s="2" t="s">
        <v>59</v>
      </c>
      <c r="B609" s="2" t="s">
        <v>94</v>
      </c>
      <c r="C609" s="2" t="s">
        <v>6356</v>
      </c>
      <c r="D609" s="2" t="s">
        <v>6357</v>
      </c>
      <c r="E609" s="2" t="s">
        <v>6358</v>
      </c>
      <c r="G609" s="3" t="s">
        <v>64</v>
      </c>
      <c r="I609" s="3" t="s">
        <v>73</v>
      </c>
      <c r="J609" s="3" t="s">
        <v>64</v>
      </c>
      <c r="K609" s="3" t="s">
        <v>65</v>
      </c>
      <c r="L609" s="2" t="s">
        <v>1087</v>
      </c>
      <c r="M609" s="2" t="s">
        <v>6359</v>
      </c>
      <c r="N609" s="3" t="s">
        <v>136</v>
      </c>
      <c r="P609" s="3" t="s">
        <v>69</v>
      </c>
      <c r="R609" s="3" t="s">
        <v>70</v>
      </c>
      <c r="S609" s="4">
        <v>16</v>
      </c>
      <c r="T609" s="4">
        <v>34</v>
      </c>
      <c r="U609" s="5" t="s">
        <v>6366</v>
      </c>
      <c r="V609" s="5" t="s">
        <v>4346</v>
      </c>
      <c r="W609" s="5" t="s">
        <v>72</v>
      </c>
      <c r="X609" s="5" t="s">
        <v>72</v>
      </c>
      <c r="Y609" s="4">
        <v>279</v>
      </c>
      <c r="Z609" s="4">
        <v>25</v>
      </c>
      <c r="AA609" s="4">
        <v>41</v>
      </c>
      <c r="AB609" s="4">
        <v>3</v>
      </c>
      <c r="AC609" s="4">
        <v>4</v>
      </c>
      <c r="AD609" s="4">
        <v>89</v>
      </c>
      <c r="AE609" s="4">
        <v>119</v>
      </c>
      <c r="AF609" s="4">
        <v>1</v>
      </c>
      <c r="AG609" s="4">
        <v>2</v>
      </c>
      <c r="AH609" s="4">
        <v>76</v>
      </c>
      <c r="AI609" s="4">
        <v>97</v>
      </c>
      <c r="AJ609" s="4">
        <v>13</v>
      </c>
      <c r="AK609" s="4">
        <v>20</v>
      </c>
      <c r="AL609" s="4">
        <v>45</v>
      </c>
      <c r="AM609" s="4">
        <v>54</v>
      </c>
      <c r="AN609" s="4">
        <v>0</v>
      </c>
      <c r="AO609" s="4">
        <v>0</v>
      </c>
      <c r="AP609" s="4">
        <v>18</v>
      </c>
      <c r="AQ609" s="4">
        <v>31</v>
      </c>
      <c r="AR609" s="3" t="s">
        <v>64</v>
      </c>
      <c r="AS609" s="3" t="s">
        <v>64</v>
      </c>
      <c r="AT609" s="3" t="s">
        <v>73</v>
      </c>
      <c r="AU609" s="6" t="str">
        <f>HYPERLINK("http://catalog.hathitrust.org/Record/004114407","HathiTrust Record")</f>
        <v>HathiTrust Record</v>
      </c>
      <c r="AV609" s="6" t="str">
        <f>HYPERLINK("http://mcgill.on.worldcat.org/oclc/44506901","Catalog Record")</f>
        <v>Catalog Record</v>
      </c>
      <c r="AW609" s="6" t="str">
        <f>HYPERLINK("http://www.worldcat.org/oclc/44506901","WorldCat Record")</f>
        <v>WorldCat Record</v>
      </c>
      <c r="AX609" s="3" t="s">
        <v>6360</v>
      </c>
      <c r="AY609" s="3" t="s">
        <v>6361</v>
      </c>
      <c r="AZ609" s="3" t="s">
        <v>6362</v>
      </c>
      <c r="BA609" s="3" t="s">
        <v>6362</v>
      </c>
      <c r="BB609" s="3" t="s">
        <v>6367</v>
      </c>
      <c r="BC609" s="3" t="s">
        <v>78</v>
      </c>
      <c r="BD609" s="3" t="s">
        <v>79</v>
      </c>
      <c r="BE609" s="3" t="s">
        <v>6364</v>
      </c>
      <c r="BF609" s="3" t="s">
        <v>6367</v>
      </c>
      <c r="BG609" s="3" t="s">
        <v>6368</v>
      </c>
    </row>
    <row r="610" spans="1:59" ht="58" x14ac:dyDescent="0.35">
      <c r="A610" s="2" t="s">
        <v>59</v>
      </c>
      <c r="B610" s="2" t="s">
        <v>94</v>
      </c>
      <c r="C610" s="2" t="s">
        <v>6369</v>
      </c>
      <c r="D610" s="2" t="s">
        <v>6370</v>
      </c>
      <c r="E610" s="2" t="s">
        <v>6371</v>
      </c>
      <c r="G610" s="3" t="s">
        <v>64</v>
      </c>
      <c r="I610" s="3" t="s">
        <v>64</v>
      </c>
      <c r="J610" s="3" t="s">
        <v>64</v>
      </c>
      <c r="K610" s="3" t="s">
        <v>65</v>
      </c>
      <c r="M610" s="2" t="s">
        <v>6372</v>
      </c>
      <c r="N610" s="3" t="s">
        <v>1029</v>
      </c>
      <c r="P610" s="3" t="s">
        <v>69</v>
      </c>
      <c r="R610" s="3" t="s">
        <v>70</v>
      </c>
      <c r="S610" s="4">
        <v>1</v>
      </c>
      <c r="T610" s="4">
        <v>1</v>
      </c>
      <c r="U610" s="5" t="s">
        <v>6373</v>
      </c>
      <c r="V610" s="5" t="s">
        <v>6373</v>
      </c>
      <c r="W610" s="5" t="s">
        <v>72</v>
      </c>
      <c r="X610" s="5" t="s">
        <v>72</v>
      </c>
      <c r="Y610" s="4">
        <v>32</v>
      </c>
      <c r="Z610" s="4">
        <v>3</v>
      </c>
      <c r="AA610" s="4">
        <v>3</v>
      </c>
      <c r="AB610" s="4">
        <v>2</v>
      </c>
      <c r="AC610" s="4">
        <v>2</v>
      </c>
      <c r="AD610" s="4">
        <v>10</v>
      </c>
      <c r="AE610" s="4">
        <v>10</v>
      </c>
      <c r="AF610" s="4">
        <v>0</v>
      </c>
      <c r="AG610" s="4">
        <v>0</v>
      </c>
      <c r="AH610" s="4">
        <v>10</v>
      </c>
      <c r="AI610" s="4">
        <v>10</v>
      </c>
      <c r="AJ610" s="4">
        <v>1</v>
      </c>
      <c r="AK610" s="4">
        <v>1</v>
      </c>
      <c r="AL610" s="4">
        <v>6</v>
      </c>
      <c r="AM610" s="4">
        <v>6</v>
      </c>
      <c r="AN610" s="4">
        <v>0</v>
      </c>
      <c r="AO610" s="4">
        <v>0</v>
      </c>
      <c r="AP610" s="4">
        <v>1</v>
      </c>
      <c r="AQ610" s="4">
        <v>1</v>
      </c>
      <c r="AR610" s="3" t="s">
        <v>64</v>
      </c>
      <c r="AS610" s="3" t="s">
        <v>64</v>
      </c>
      <c r="AT610" s="3" t="s">
        <v>64</v>
      </c>
      <c r="AV610" s="6" t="str">
        <f>HYPERLINK("http://mcgill.on.worldcat.org/oclc/301889674","Catalog Record")</f>
        <v>Catalog Record</v>
      </c>
      <c r="AW610" s="6" t="str">
        <f>HYPERLINK("http://www.worldcat.org/oclc/301889674","WorldCat Record")</f>
        <v>WorldCat Record</v>
      </c>
      <c r="AX610" s="3" t="s">
        <v>6374</v>
      </c>
      <c r="AY610" s="3" t="s">
        <v>6375</v>
      </c>
      <c r="AZ610" s="3" t="s">
        <v>6376</v>
      </c>
      <c r="BA610" s="3" t="s">
        <v>6376</v>
      </c>
      <c r="BB610" s="3" t="s">
        <v>6377</v>
      </c>
      <c r="BC610" s="3" t="s">
        <v>78</v>
      </c>
      <c r="BD610" s="3" t="s">
        <v>79</v>
      </c>
      <c r="BE610" s="3" t="s">
        <v>6378</v>
      </c>
      <c r="BF610" s="3" t="s">
        <v>6377</v>
      </c>
      <c r="BG610" s="3" t="s">
        <v>6379</v>
      </c>
    </row>
    <row r="611" spans="1:59" ht="58" x14ac:dyDescent="0.35">
      <c r="A611" s="2" t="s">
        <v>59</v>
      </c>
      <c r="B611" s="2" t="s">
        <v>94</v>
      </c>
      <c r="C611" s="2" t="s">
        <v>6380</v>
      </c>
      <c r="D611" s="2" t="s">
        <v>6381</v>
      </c>
      <c r="E611" s="2" t="s">
        <v>6382</v>
      </c>
      <c r="G611" s="3" t="s">
        <v>64</v>
      </c>
      <c r="I611" s="3" t="s">
        <v>64</v>
      </c>
      <c r="J611" s="3" t="s">
        <v>64</v>
      </c>
      <c r="K611" s="3" t="s">
        <v>65</v>
      </c>
      <c r="L611" s="2" t="s">
        <v>6383</v>
      </c>
      <c r="M611" s="2" t="s">
        <v>6384</v>
      </c>
      <c r="N611" s="3" t="s">
        <v>689</v>
      </c>
      <c r="O611" s="2" t="s">
        <v>6385</v>
      </c>
      <c r="P611" s="3" t="s">
        <v>69</v>
      </c>
      <c r="R611" s="3" t="s">
        <v>70</v>
      </c>
      <c r="S611" s="4">
        <v>28</v>
      </c>
      <c r="T611" s="4">
        <v>28</v>
      </c>
      <c r="U611" s="5" t="s">
        <v>6386</v>
      </c>
      <c r="V611" s="5" t="s">
        <v>6386</v>
      </c>
      <c r="W611" s="5" t="s">
        <v>72</v>
      </c>
      <c r="X611" s="5" t="s">
        <v>72</v>
      </c>
      <c r="Y611" s="4">
        <v>112</v>
      </c>
      <c r="Z611" s="4">
        <v>3</v>
      </c>
      <c r="AA611" s="4">
        <v>14</v>
      </c>
      <c r="AB611" s="4">
        <v>1</v>
      </c>
      <c r="AC611" s="4">
        <v>2</v>
      </c>
      <c r="AD611" s="4">
        <v>11</v>
      </c>
      <c r="AE611" s="4">
        <v>36</v>
      </c>
      <c r="AF611" s="4">
        <v>0</v>
      </c>
      <c r="AG611" s="4">
        <v>0</v>
      </c>
      <c r="AH611" s="4">
        <v>11</v>
      </c>
      <c r="AI611" s="4">
        <v>34</v>
      </c>
      <c r="AJ611" s="4">
        <v>1</v>
      </c>
      <c r="AK611" s="4">
        <v>6</v>
      </c>
      <c r="AL611" s="4">
        <v>6</v>
      </c>
      <c r="AM611" s="4">
        <v>18</v>
      </c>
      <c r="AN611" s="4">
        <v>0</v>
      </c>
      <c r="AO611" s="4">
        <v>0</v>
      </c>
      <c r="AP611" s="4">
        <v>1</v>
      </c>
      <c r="AQ611" s="4">
        <v>8</v>
      </c>
      <c r="AR611" s="3" t="s">
        <v>64</v>
      </c>
      <c r="AS611" s="3" t="s">
        <v>64</v>
      </c>
      <c r="AT611" s="3" t="s">
        <v>64</v>
      </c>
      <c r="AV611" s="6" t="str">
        <f>HYPERLINK("http://mcgill.on.worldcat.org/oclc/22509853","Catalog Record")</f>
        <v>Catalog Record</v>
      </c>
      <c r="AW611" s="6" t="str">
        <f>HYPERLINK("http://www.worldcat.org/oclc/22509853","WorldCat Record")</f>
        <v>WorldCat Record</v>
      </c>
      <c r="AX611" s="3" t="s">
        <v>6387</v>
      </c>
      <c r="AY611" s="3" t="s">
        <v>6388</v>
      </c>
      <c r="AZ611" s="3" t="s">
        <v>6389</v>
      </c>
      <c r="BA611" s="3" t="s">
        <v>6389</v>
      </c>
      <c r="BB611" s="3" t="s">
        <v>6390</v>
      </c>
      <c r="BC611" s="3" t="s">
        <v>78</v>
      </c>
      <c r="BD611" s="3" t="s">
        <v>79</v>
      </c>
      <c r="BE611" s="3" t="s">
        <v>6391</v>
      </c>
      <c r="BF611" s="3" t="s">
        <v>6390</v>
      </c>
      <c r="BG611" s="3" t="s">
        <v>6392</v>
      </c>
    </row>
    <row r="612" spans="1:59" ht="58" x14ac:dyDescent="0.35">
      <c r="A612" s="2" t="s">
        <v>59</v>
      </c>
      <c r="B612" s="2" t="s">
        <v>94</v>
      </c>
      <c r="C612" s="2" t="s">
        <v>6393</v>
      </c>
      <c r="D612" s="2" t="s">
        <v>6394</v>
      </c>
      <c r="E612" s="2" t="s">
        <v>6395</v>
      </c>
      <c r="G612" s="3" t="s">
        <v>64</v>
      </c>
      <c r="I612" s="3" t="s">
        <v>64</v>
      </c>
      <c r="J612" s="3" t="s">
        <v>64</v>
      </c>
      <c r="K612" s="3" t="s">
        <v>65</v>
      </c>
      <c r="L612" s="2" t="s">
        <v>6396</v>
      </c>
      <c r="M612" s="2" t="s">
        <v>6397</v>
      </c>
      <c r="N612" s="3" t="s">
        <v>4535</v>
      </c>
      <c r="P612" s="3" t="s">
        <v>69</v>
      </c>
      <c r="R612" s="3" t="s">
        <v>70</v>
      </c>
      <c r="S612" s="4">
        <v>1</v>
      </c>
      <c r="T612" s="4">
        <v>1</v>
      </c>
      <c r="U612" s="5" t="s">
        <v>6398</v>
      </c>
      <c r="V612" s="5" t="s">
        <v>6398</v>
      </c>
      <c r="W612" s="5" t="s">
        <v>72</v>
      </c>
      <c r="X612" s="5" t="s">
        <v>72</v>
      </c>
      <c r="Y612" s="4">
        <v>106</v>
      </c>
      <c r="Z612" s="4">
        <v>9</v>
      </c>
      <c r="AA612" s="4">
        <v>18</v>
      </c>
      <c r="AB612" s="4">
        <v>1</v>
      </c>
      <c r="AC612" s="4">
        <v>5</v>
      </c>
      <c r="AD612" s="4">
        <v>33</v>
      </c>
      <c r="AE612" s="4">
        <v>52</v>
      </c>
      <c r="AF612" s="4">
        <v>0</v>
      </c>
      <c r="AG612" s="4">
        <v>3</v>
      </c>
      <c r="AH612" s="4">
        <v>30</v>
      </c>
      <c r="AI612" s="4">
        <v>43</v>
      </c>
      <c r="AJ612" s="4">
        <v>6</v>
      </c>
      <c r="AK612" s="4">
        <v>11</v>
      </c>
      <c r="AL612" s="4">
        <v>20</v>
      </c>
      <c r="AM612" s="4">
        <v>25</v>
      </c>
      <c r="AN612" s="4">
        <v>0</v>
      </c>
      <c r="AO612" s="4">
        <v>0</v>
      </c>
      <c r="AP612" s="4">
        <v>6</v>
      </c>
      <c r="AQ612" s="4">
        <v>14</v>
      </c>
      <c r="AR612" s="3" t="s">
        <v>64</v>
      </c>
      <c r="AS612" s="3" t="s">
        <v>64</v>
      </c>
      <c r="AT612" s="3" t="s">
        <v>64</v>
      </c>
      <c r="AV612" s="6" t="str">
        <f>HYPERLINK("http://mcgill.on.worldcat.org/oclc/1022986089","Catalog Record")</f>
        <v>Catalog Record</v>
      </c>
      <c r="AW612" s="6" t="str">
        <f>HYPERLINK("http://www.worldcat.org/oclc/1022986089","WorldCat Record")</f>
        <v>WorldCat Record</v>
      </c>
      <c r="AX612" s="3" t="s">
        <v>6399</v>
      </c>
      <c r="AY612" s="3" t="s">
        <v>6400</v>
      </c>
      <c r="AZ612" s="3" t="s">
        <v>6401</v>
      </c>
      <c r="BA612" s="3" t="s">
        <v>6401</v>
      </c>
      <c r="BB612" s="3" t="s">
        <v>6402</v>
      </c>
      <c r="BC612" s="3" t="s">
        <v>78</v>
      </c>
      <c r="BD612" s="3" t="s">
        <v>79</v>
      </c>
      <c r="BE612" s="3" t="s">
        <v>6403</v>
      </c>
      <c r="BF612" s="3" t="s">
        <v>6402</v>
      </c>
      <c r="BG612" s="3" t="s">
        <v>6404</v>
      </c>
    </row>
    <row r="613" spans="1:59" ht="58" x14ac:dyDescent="0.35">
      <c r="A613" s="2" t="s">
        <v>59</v>
      </c>
      <c r="B613" s="2" t="s">
        <v>94</v>
      </c>
      <c r="C613" s="2" t="s">
        <v>6405</v>
      </c>
      <c r="D613" s="2" t="s">
        <v>6406</v>
      </c>
      <c r="E613" s="2" t="s">
        <v>6407</v>
      </c>
      <c r="G613" s="3" t="s">
        <v>64</v>
      </c>
      <c r="I613" s="3" t="s">
        <v>64</v>
      </c>
      <c r="J613" s="3" t="s">
        <v>64</v>
      </c>
      <c r="K613" s="3" t="s">
        <v>65</v>
      </c>
      <c r="L613" s="2" t="s">
        <v>6408</v>
      </c>
      <c r="M613" s="2" t="s">
        <v>6409</v>
      </c>
      <c r="N613" s="3" t="s">
        <v>422</v>
      </c>
      <c r="P613" s="3" t="s">
        <v>69</v>
      </c>
      <c r="Q613" s="2" t="s">
        <v>1996</v>
      </c>
      <c r="R613" s="3" t="s">
        <v>70</v>
      </c>
      <c r="S613" s="4">
        <v>8</v>
      </c>
      <c r="T613" s="4">
        <v>8</v>
      </c>
      <c r="U613" s="5" t="s">
        <v>6386</v>
      </c>
      <c r="V613" s="5" t="s">
        <v>6386</v>
      </c>
      <c r="W613" s="5" t="s">
        <v>72</v>
      </c>
      <c r="X613" s="5" t="s">
        <v>72</v>
      </c>
      <c r="Y613" s="4">
        <v>242</v>
      </c>
      <c r="Z613" s="4">
        <v>11</v>
      </c>
      <c r="AA613" s="4">
        <v>12</v>
      </c>
      <c r="AB613" s="4">
        <v>1</v>
      </c>
      <c r="AC613" s="4">
        <v>2</v>
      </c>
      <c r="AD613" s="4">
        <v>56</v>
      </c>
      <c r="AE613" s="4">
        <v>57</v>
      </c>
      <c r="AF613" s="4">
        <v>0</v>
      </c>
      <c r="AG613" s="4">
        <v>1</v>
      </c>
      <c r="AH613" s="4">
        <v>54</v>
      </c>
      <c r="AI613" s="4">
        <v>54</v>
      </c>
      <c r="AJ613" s="4">
        <v>5</v>
      </c>
      <c r="AK613" s="4">
        <v>6</v>
      </c>
      <c r="AL613" s="4">
        <v>31</v>
      </c>
      <c r="AM613" s="4">
        <v>31</v>
      </c>
      <c r="AN613" s="4">
        <v>0</v>
      </c>
      <c r="AO613" s="4">
        <v>0</v>
      </c>
      <c r="AP613" s="4">
        <v>5</v>
      </c>
      <c r="AQ613" s="4">
        <v>5</v>
      </c>
      <c r="AR613" s="3" t="s">
        <v>64</v>
      </c>
      <c r="AS613" s="3" t="s">
        <v>64</v>
      </c>
      <c r="AT613" s="3" t="s">
        <v>73</v>
      </c>
      <c r="AU613" s="6" t="str">
        <f>HYPERLINK("http://catalog.hathitrust.org/Record/004176454","HathiTrust Record")</f>
        <v>HathiTrust Record</v>
      </c>
      <c r="AV613" s="6" t="str">
        <f>HYPERLINK("http://mcgill.on.worldcat.org/oclc/45506040","Catalog Record")</f>
        <v>Catalog Record</v>
      </c>
      <c r="AW613" s="6" t="str">
        <f>HYPERLINK("http://www.worldcat.org/oclc/45506040","WorldCat Record")</f>
        <v>WorldCat Record</v>
      </c>
      <c r="AX613" s="3" t="s">
        <v>6410</v>
      </c>
      <c r="AY613" s="3" t="s">
        <v>6411</v>
      </c>
      <c r="AZ613" s="3" t="s">
        <v>6412</v>
      </c>
      <c r="BA613" s="3" t="s">
        <v>6412</v>
      </c>
      <c r="BB613" s="3" t="s">
        <v>6413</v>
      </c>
      <c r="BC613" s="3" t="s">
        <v>78</v>
      </c>
      <c r="BD613" s="3" t="s">
        <v>79</v>
      </c>
      <c r="BE613" s="3" t="s">
        <v>6414</v>
      </c>
      <c r="BF613" s="3" t="s">
        <v>6413</v>
      </c>
      <c r="BG613" s="3" t="s">
        <v>6415</v>
      </c>
    </row>
    <row r="614" spans="1:59" ht="116" x14ac:dyDescent="0.35">
      <c r="A614" s="2" t="s">
        <v>59</v>
      </c>
      <c r="B614" s="2" t="s">
        <v>3778</v>
      </c>
      <c r="C614" s="2" t="s">
        <v>6416</v>
      </c>
      <c r="D614" s="2" t="s">
        <v>6417</v>
      </c>
      <c r="E614" s="2" t="s">
        <v>6418</v>
      </c>
      <c r="G614" s="3" t="s">
        <v>64</v>
      </c>
      <c r="I614" s="3" t="s">
        <v>64</v>
      </c>
      <c r="J614" s="3" t="s">
        <v>64</v>
      </c>
      <c r="K614" s="3" t="s">
        <v>65</v>
      </c>
      <c r="M614" s="2" t="s">
        <v>6419</v>
      </c>
      <c r="N614" s="3" t="s">
        <v>538</v>
      </c>
      <c r="O614" s="2" t="s">
        <v>3783</v>
      </c>
      <c r="P614" s="3" t="s">
        <v>3784</v>
      </c>
      <c r="R614" s="3" t="s">
        <v>70</v>
      </c>
      <c r="S614" s="4">
        <v>2</v>
      </c>
      <c r="T614" s="4">
        <v>2</v>
      </c>
      <c r="U614" s="5" t="s">
        <v>6420</v>
      </c>
      <c r="V614" s="5" t="s">
        <v>6420</v>
      </c>
      <c r="W614" s="5" t="s">
        <v>72</v>
      </c>
      <c r="X614" s="5" t="s">
        <v>72</v>
      </c>
      <c r="Y614" s="4">
        <v>5</v>
      </c>
      <c r="Z614" s="4">
        <v>1</v>
      </c>
      <c r="AA614" s="4">
        <v>1</v>
      </c>
      <c r="AB614" s="4">
        <v>1</v>
      </c>
      <c r="AC614" s="4">
        <v>1</v>
      </c>
      <c r="AD614" s="4">
        <v>0</v>
      </c>
      <c r="AE614" s="4">
        <v>0</v>
      </c>
      <c r="AF614" s="4">
        <v>0</v>
      </c>
      <c r="AG614" s="4">
        <v>0</v>
      </c>
      <c r="AH614" s="4">
        <v>0</v>
      </c>
      <c r="AI614" s="4">
        <v>0</v>
      </c>
      <c r="AJ614" s="4">
        <v>0</v>
      </c>
      <c r="AK614" s="4">
        <v>0</v>
      </c>
      <c r="AL614" s="4">
        <v>0</v>
      </c>
      <c r="AM614" s="4">
        <v>0</v>
      </c>
      <c r="AN614" s="4">
        <v>0</v>
      </c>
      <c r="AO614" s="4">
        <v>0</v>
      </c>
      <c r="AP614" s="4">
        <v>0</v>
      </c>
      <c r="AQ614" s="4">
        <v>0</v>
      </c>
      <c r="AR614" s="3" t="s">
        <v>64</v>
      </c>
      <c r="AS614" s="3" t="s">
        <v>64</v>
      </c>
      <c r="AT614" s="3" t="s">
        <v>64</v>
      </c>
      <c r="AV614" s="6" t="str">
        <f>HYPERLINK("http://mcgill.on.worldcat.org/oclc/228114894","Catalog Record")</f>
        <v>Catalog Record</v>
      </c>
      <c r="AW614" s="6" t="str">
        <f>HYPERLINK("http://www.worldcat.org/oclc/228114894","WorldCat Record")</f>
        <v>WorldCat Record</v>
      </c>
      <c r="AX614" s="3" t="s">
        <v>6421</v>
      </c>
      <c r="AY614" s="3" t="s">
        <v>6422</v>
      </c>
      <c r="AZ614" s="3" t="s">
        <v>6423</v>
      </c>
      <c r="BA614" s="3" t="s">
        <v>6423</v>
      </c>
      <c r="BB614" s="3" t="s">
        <v>6424</v>
      </c>
      <c r="BC614" s="3" t="s">
        <v>78</v>
      </c>
      <c r="BD614" s="3" t="s">
        <v>79</v>
      </c>
      <c r="BE614" s="3" t="s">
        <v>6425</v>
      </c>
      <c r="BF614" s="3" t="s">
        <v>6424</v>
      </c>
      <c r="BG614" s="3" t="s">
        <v>6426</v>
      </c>
    </row>
    <row r="615" spans="1:59" ht="58" x14ac:dyDescent="0.35">
      <c r="A615" s="2" t="s">
        <v>59</v>
      </c>
      <c r="B615" s="2" t="s">
        <v>94</v>
      </c>
      <c r="C615" s="2" t="s">
        <v>6427</v>
      </c>
      <c r="D615" s="2" t="s">
        <v>6428</v>
      </c>
      <c r="E615" s="2" t="s">
        <v>6429</v>
      </c>
      <c r="G615" s="3" t="s">
        <v>64</v>
      </c>
      <c r="I615" s="3" t="s">
        <v>64</v>
      </c>
      <c r="J615" s="3" t="s">
        <v>64</v>
      </c>
      <c r="K615" s="3" t="s">
        <v>65</v>
      </c>
      <c r="M615" s="2" t="s">
        <v>6430</v>
      </c>
      <c r="N615" s="3" t="s">
        <v>214</v>
      </c>
      <c r="P615" s="3" t="s">
        <v>69</v>
      </c>
      <c r="Q615" s="2" t="s">
        <v>6431</v>
      </c>
      <c r="R615" s="3" t="s">
        <v>70</v>
      </c>
      <c r="S615" s="4">
        <v>2</v>
      </c>
      <c r="T615" s="4">
        <v>2</v>
      </c>
      <c r="U615" s="5" t="s">
        <v>6432</v>
      </c>
      <c r="V615" s="5" t="s">
        <v>6432</v>
      </c>
      <c r="W615" s="5" t="s">
        <v>72</v>
      </c>
      <c r="X615" s="5" t="s">
        <v>72</v>
      </c>
      <c r="Y615" s="4">
        <v>158</v>
      </c>
      <c r="Z615" s="4">
        <v>21</v>
      </c>
      <c r="AA615" s="4">
        <v>23</v>
      </c>
      <c r="AB615" s="4">
        <v>2</v>
      </c>
      <c r="AC615" s="4">
        <v>3</v>
      </c>
      <c r="AD615" s="4">
        <v>72</v>
      </c>
      <c r="AE615" s="4">
        <v>74</v>
      </c>
      <c r="AF615" s="4">
        <v>0</v>
      </c>
      <c r="AG615" s="4">
        <v>1</v>
      </c>
      <c r="AH615" s="4">
        <v>66</v>
      </c>
      <c r="AI615" s="4">
        <v>68</v>
      </c>
      <c r="AJ615" s="4">
        <v>15</v>
      </c>
      <c r="AK615" s="4">
        <v>16</v>
      </c>
      <c r="AL615" s="4">
        <v>37</v>
      </c>
      <c r="AM615" s="4">
        <v>38</v>
      </c>
      <c r="AN615" s="4">
        <v>0</v>
      </c>
      <c r="AO615" s="4">
        <v>0</v>
      </c>
      <c r="AP615" s="4">
        <v>16</v>
      </c>
      <c r="AQ615" s="4">
        <v>17</v>
      </c>
      <c r="AR615" s="3" t="s">
        <v>64</v>
      </c>
      <c r="AS615" s="3" t="s">
        <v>64</v>
      </c>
      <c r="AT615" s="3" t="s">
        <v>64</v>
      </c>
      <c r="AV615" s="6" t="str">
        <f>HYPERLINK("http://mcgill.on.worldcat.org/oclc/555622225","Catalog Record")</f>
        <v>Catalog Record</v>
      </c>
      <c r="AW615" s="6" t="str">
        <f>HYPERLINK("http://www.worldcat.org/oclc/555622225","WorldCat Record")</f>
        <v>WorldCat Record</v>
      </c>
      <c r="AX615" s="3" t="s">
        <v>6433</v>
      </c>
      <c r="AY615" s="3" t="s">
        <v>6434</v>
      </c>
      <c r="AZ615" s="3" t="s">
        <v>6435</v>
      </c>
      <c r="BA615" s="3" t="s">
        <v>6435</v>
      </c>
      <c r="BB615" s="3" t="s">
        <v>6436</v>
      </c>
      <c r="BC615" s="3" t="s">
        <v>78</v>
      </c>
      <c r="BD615" s="3" t="s">
        <v>79</v>
      </c>
      <c r="BE615" s="3" t="s">
        <v>6437</v>
      </c>
      <c r="BF615" s="3" t="s">
        <v>6436</v>
      </c>
      <c r="BG615" s="3" t="s">
        <v>6438</v>
      </c>
    </row>
    <row r="616" spans="1:59" ht="58" x14ac:dyDescent="0.35">
      <c r="A616" s="2" t="s">
        <v>59</v>
      </c>
      <c r="B616" s="2" t="s">
        <v>94</v>
      </c>
      <c r="C616" s="2" t="s">
        <v>6439</v>
      </c>
      <c r="D616" s="2" t="s">
        <v>6440</v>
      </c>
      <c r="E616" s="2" t="s">
        <v>6441</v>
      </c>
      <c r="G616" s="3" t="s">
        <v>64</v>
      </c>
      <c r="I616" s="3" t="s">
        <v>64</v>
      </c>
      <c r="J616" s="3" t="s">
        <v>64</v>
      </c>
      <c r="K616" s="3" t="s">
        <v>65</v>
      </c>
      <c r="M616" s="2" t="s">
        <v>6442</v>
      </c>
      <c r="N616" s="3" t="s">
        <v>1029</v>
      </c>
      <c r="P616" s="3" t="s">
        <v>69</v>
      </c>
      <c r="R616" s="3" t="s">
        <v>70</v>
      </c>
      <c r="S616" s="4">
        <v>3</v>
      </c>
      <c r="T616" s="4">
        <v>3</v>
      </c>
      <c r="U616" s="5" t="s">
        <v>6443</v>
      </c>
      <c r="V616" s="5" t="s">
        <v>6443</v>
      </c>
      <c r="W616" s="5" t="s">
        <v>72</v>
      </c>
      <c r="X616" s="5" t="s">
        <v>72</v>
      </c>
      <c r="Y616" s="4">
        <v>346</v>
      </c>
      <c r="Z616" s="4">
        <v>14</v>
      </c>
      <c r="AA616" s="4">
        <v>31</v>
      </c>
      <c r="AB616" s="4">
        <v>2</v>
      </c>
      <c r="AC616" s="4">
        <v>5</v>
      </c>
      <c r="AD616" s="4">
        <v>58</v>
      </c>
      <c r="AE616" s="4">
        <v>88</v>
      </c>
      <c r="AF616" s="4">
        <v>0</v>
      </c>
      <c r="AG616" s="4">
        <v>0</v>
      </c>
      <c r="AH616" s="4">
        <v>52</v>
      </c>
      <c r="AI616" s="4">
        <v>74</v>
      </c>
      <c r="AJ616" s="4">
        <v>6</v>
      </c>
      <c r="AK616" s="4">
        <v>9</v>
      </c>
      <c r="AL616" s="4">
        <v>31</v>
      </c>
      <c r="AM616" s="4">
        <v>40</v>
      </c>
      <c r="AN616" s="4">
        <v>0</v>
      </c>
      <c r="AO616" s="4">
        <v>0</v>
      </c>
      <c r="AP616" s="4">
        <v>7</v>
      </c>
      <c r="AQ616" s="4">
        <v>16</v>
      </c>
      <c r="AR616" s="3" t="s">
        <v>64</v>
      </c>
      <c r="AS616" s="3" t="s">
        <v>64</v>
      </c>
      <c r="AT616" s="3" t="s">
        <v>64</v>
      </c>
      <c r="AV616" s="6" t="str">
        <f>HYPERLINK("http://mcgill.on.worldcat.org/oclc/320799614","Catalog Record")</f>
        <v>Catalog Record</v>
      </c>
      <c r="AW616" s="6" t="str">
        <f>HYPERLINK("http://www.worldcat.org/oclc/320799614","WorldCat Record")</f>
        <v>WorldCat Record</v>
      </c>
      <c r="AX616" s="3" t="s">
        <v>6444</v>
      </c>
      <c r="AY616" s="3" t="s">
        <v>6445</v>
      </c>
      <c r="AZ616" s="3" t="s">
        <v>6446</v>
      </c>
      <c r="BA616" s="3" t="s">
        <v>6446</v>
      </c>
      <c r="BB616" s="3" t="s">
        <v>6447</v>
      </c>
      <c r="BC616" s="3" t="s">
        <v>78</v>
      </c>
      <c r="BD616" s="3" t="s">
        <v>79</v>
      </c>
      <c r="BE616" s="3" t="s">
        <v>6448</v>
      </c>
      <c r="BF616" s="3" t="s">
        <v>6447</v>
      </c>
      <c r="BG616" s="3" t="s">
        <v>6449</v>
      </c>
    </row>
    <row r="617" spans="1:59" ht="58" x14ac:dyDescent="0.35">
      <c r="A617" s="2" t="s">
        <v>59</v>
      </c>
      <c r="B617" s="2" t="s">
        <v>94</v>
      </c>
      <c r="C617" s="2" t="s">
        <v>6450</v>
      </c>
      <c r="D617" s="2" t="s">
        <v>6451</v>
      </c>
      <c r="E617" s="2" t="s">
        <v>6452</v>
      </c>
      <c r="G617" s="3" t="s">
        <v>64</v>
      </c>
      <c r="I617" s="3" t="s">
        <v>64</v>
      </c>
      <c r="J617" s="3" t="s">
        <v>64</v>
      </c>
      <c r="K617" s="3" t="s">
        <v>65</v>
      </c>
      <c r="L617" s="2" t="s">
        <v>6453</v>
      </c>
      <c r="M617" s="2" t="s">
        <v>6454</v>
      </c>
      <c r="N617" s="3" t="s">
        <v>524</v>
      </c>
      <c r="P617" s="3" t="s">
        <v>69</v>
      </c>
      <c r="R617" s="3" t="s">
        <v>70</v>
      </c>
      <c r="S617" s="4">
        <v>0</v>
      </c>
      <c r="T617" s="4">
        <v>0</v>
      </c>
      <c r="W617" s="5" t="s">
        <v>72</v>
      </c>
      <c r="X617" s="5" t="s">
        <v>72</v>
      </c>
      <c r="Y617" s="4">
        <v>75</v>
      </c>
      <c r="Z617" s="4">
        <v>6</v>
      </c>
      <c r="AA617" s="4">
        <v>68</v>
      </c>
      <c r="AB617" s="4">
        <v>1</v>
      </c>
      <c r="AC617" s="4">
        <v>14</v>
      </c>
      <c r="AD617" s="4">
        <v>35</v>
      </c>
      <c r="AE617" s="4">
        <v>93</v>
      </c>
      <c r="AF617" s="4">
        <v>0</v>
      </c>
      <c r="AG617" s="4">
        <v>8</v>
      </c>
      <c r="AH617" s="4">
        <v>34</v>
      </c>
      <c r="AI617" s="4">
        <v>66</v>
      </c>
      <c r="AJ617" s="4">
        <v>2</v>
      </c>
      <c r="AK617" s="4">
        <v>17</v>
      </c>
      <c r="AL617" s="4">
        <v>18</v>
      </c>
      <c r="AM617" s="4">
        <v>31</v>
      </c>
      <c r="AN617" s="4">
        <v>0</v>
      </c>
      <c r="AO617" s="4">
        <v>0</v>
      </c>
      <c r="AP617" s="4">
        <v>3</v>
      </c>
      <c r="AQ617" s="4">
        <v>34</v>
      </c>
      <c r="AR617" s="3" t="s">
        <v>64</v>
      </c>
      <c r="AS617" s="3" t="s">
        <v>64</v>
      </c>
      <c r="AT617" s="3" t="s">
        <v>64</v>
      </c>
      <c r="AV617" s="6" t="str">
        <f>HYPERLINK("http://mcgill.on.worldcat.org/oclc/852488302","Catalog Record")</f>
        <v>Catalog Record</v>
      </c>
      <c r="AW617" s="6" t="str">
        <f>HYPERLINK("http://www.worldcat.org/oclc/852488302","WorldCat Record")</f>
        <v>WorldCat Record</v>
      </c>
      <c r="AX617" s="3" t="s">
        <v>6455</v>
      </c>
      <c r="AY617" s="3" t="s">
        <v>6456</v>
      </c>
      <c r="AZ617" s="3" t="s">
        <v>6457</v>
      </c>
      <c r="BA617" s="3" t="s">
        <v>6457</v>
      </c>
      <c r="BB617" s="3" t="s">
        <v>6458</v>
      </c>
      <c r="BC617" s="3" t="s">
        <v>78</v>
      </c>
      <c r="BD617" s="3" t="s">
        <v>79</v>
      </c>
      <c r="BE617" s="3" t="s">
        <v>6459</v>
      </c>
      <c r="BF617" s="3" t="s">
        <v>6458</v>
      </c>
      <c r="BG617" s="3" t="s">
        <v>6460</v>
      </c>
    </row>
    <row r="618" spans="1:59" ht="58" x14ac:dyDescent="0.35">
      <c r="A618" s="2" t="s">
        <v>59</v>
      </c>
      <c r="B618" s="2" t="s">
        <v>94</v>
      </c>
      <c r="C618" s="2" t="s">
        <v>6461</v>
      </c>
      <c r="D618" s="2" t="s">
        <v>6462</v>
      </c>
      <c r="E618" s="2" t="s">
        <v>6463</v>
      </c>
      <c r="G618" s="3" t="s">
        <v>64</v>
      </c>
      <c r="I618" s="3" t="s">
        <v>64</v>
      </c>
      <c r="J618" s="3" t="s">
        <v>64</v>
      </c>
      <c r="K618" s="3" t="s">
        <v>65</v>
      </c>
      <c r="L618" s="2" t="s">
        <v>6464</v>
      </c>
      <c r="M618" s="2" t="s">
        <v>6465</v>
      </c>
      <c r="N618" s="3" t="s">
        <v>377</v>
      </c>
      <c r="P618" s="3" t="s">
        <v>69</v>
      </c>
      <c r="R618" s="3" t="s">
        <v>70</v>
      </c>
      <c r="S618" s="4">
        <v>0</v>
      </c>
      <c r="T618" s="4">
        <v>0</v>
      </c>
      <c r="W618" s="5" t="s">
        <v>72</v>
      </c>
      <c r="X618" s="5" t="s">
        <v>72</v>
      </c>
      <c r="Y618" s="4">
        <v>109</v>
      </c>
      <c r="Z618" s="4">
        <v>7</v>
      </c>
      <c r="AA618" s="4">
        <v>58</v>
      </c>
      <c r="AB618" s="4">
        <v>1</v>
      </c>
      <c r="AC618" s="4">
        <v>5</v>
      </c>
      <c r="AD618" s="4">
        <v>41</v>
      </c>
      <c r="AE618" s="4">
        <v>87</v>
      </c>
      <c r="AF618" s="4">
        <v>0</v>
      </c>
      <c r="AG618" s="4">
        <v>1</v>
      </c>
      <c r="AH618" s="4">
        <v>38</v>
      </c>
      <c r="AI618" s="4">
        <v>67</v>
      </c>
      <c r="AJ618" s="4">
        <v>3</v>
      </c>
      <c r="AK618" s="4">
        <v>11</v>
      </c>
      <c r="AL618" s="4">
        <v>23</v>
      </c>
      <c r="AM618" s="4">
        <v>36</v>
      </c>
      <c r="AN618" s="4">
        <v>0</v>
      </c>
      <c r="AO618" s="4">
        <v>0</v>
      </c>
      <c r="AP618" s="4">
        <v>4</v>
      </c>
      <c r="AQ618" s="4">
        <v>23</v>
      </c>
      <c r="AR618" s="3" t="s">
        <v>64</v>
      </c>
      <c r="AS618" s="3" t="s">
        <v>64</v>
      </c>
      <c r="AT618" s="3" t="s">
        <v>64</v>
      </c>
      <c r="AV618" s="6" t="str">
        <f>HYPERLINK("http://mcgill.on.worldcat.org/oclc/696100061","Catalog Record")</f>
        <v>Catalog Record</v>
      </c>
      <c r="AW618" s="6" t="str">
        <f>HYPERLINK("http://www.worldcat.org/oclc/696100061","WorldCat Record")</f>
        <v>WorldCat Record</v>
      </c>
      <c r="AX618" s="3" t="s">
        <v>6466</v>
      </c>
      <c r="AY618" s="3" t="s">
        <v>6467</v>
      </c>
      <c r="AZ618" s="3" t="s">
        <v>6468</v>
      </c>
      <c r="BA618" s="3" t="s">
        <v>6468</v>
      </c>
      <c r="BB618" s="3" t="s">
        <v>6469</v>
      </c>
      <c r="BC618" s="3" t="s">
        <v>78</v>
      </c>
      <c r="BD618" s="3" t="s">
        <v>79</v>
      </c>
      <c r="BE618" s="3" t="s">
        <v>6470</v>
      </c>
      <c r="BF618" s="3" t="s">
        <v>6469</v>
      </c>
      <c r="BG618" s="3" t="s">
        <v>6471</v>
      </c>
    </row>
    <row r="619" spans="1:59" ht="87" x14ac:dyDescent="0.35">
      <c r="A619" s="2" t="s">
        <v>59</v>
      </c>
      <c r="B619" s="2" t="s">
        <v>94</v>
      </c>
      <c r="C619" s="2" t="s">
        <v>6472</v>
      </c>
      <c r="D619" s="2" t="s">
        <v>6473</v>
      </c>
      <c r="E619" s="2" t="s">
        <v>6474</v>
      </c>
      <c r="G619" s="3" t="s">
        <v>64</v>
      </c>
      <c r="I619" s="3" t="s">
        <v>64</v>
      </c>
      <c r="J619" s="3" t="s">
        <v>64</v>
      </c>
      <c r="K619" s="3" t="s">
        <v>65</v>
      </c>
      <c r="L619" s="2" t="s">
        <v>6475</v>
      </c>
      <c r="M619" s="2" t="s">
        <v>2030</v>
      </c>
      <c r="N619" s="3" t="s">
        <v>524</v>
      </c>
      <c r="P619" s="3" t="s">
        <v>69</v>
      </c>
      <c r="R619" s="3" t="s">
        <v>70</v>
      </c>
      <c r="S619" s="4">
        <v>0</v>
      </c>
      <c r="T619" s="4">
        <v>0</v>
      </c>
      <c r="W619" s="5" t="s">
        <v>72</v>
      </c>
      <c r="X619" s="5" t="s">
        <v>72</v>
      </c>
      <c r="Y619" s="4">
        <v>75</v>
      </c>
      <c r="Z619" s="4">
        <v>4</v>
      </c>
      <c r="AA619" s="4">
        <v>110</v>
      </c>
      <c r="AB619" s="4">
        <v>1</v>
      </c>
      <c r="AC619" s="4">
        <v>17</v>
      </c>
      <c r="AD619" s="4">
        <v>44</v>
      </c>
      <c r="AE619" s="4">
        <v>132</v>
      </c>
      <c r="AF619" s="4">
        <v>0</v>
      </c>
      <c r="AG619" s="4">
        <v>8</v>
      </c>
      <c r="AH619" s="4">
        <v>43</v>
      </c>
      <c r="AI619" s="4">
        <v>91</v>
      </c>
      <c r="AJ619" s="4">
        <v>3</v>
      </c>
      <c r="AK619" s="4">
        <v>21</v>
      </c>
      <c r="AL619" s="4">
        <v>23</v>
      </c>
      <c r="AM619" s="4">
        <v>49</v>
      </c>
      <c r="AN619" s="4">
        <v>0</v>
      </c>
      <c r="AO619" s="4">
        <v>0</v>
      </c>
      <c r="AP619" s="4">
        <v>3</v>
      </c>
      <c r="AQ619" s="4">
        <v>44</v>
      </c>
      <c r="AR619" s="3" t="s">
        <v>64</v>
      </c>
      <c r="AS619" s="3" t="s">
        <v>64</v>
      </c>
      <c r="AT619" s="3" t="s">
        <v>64</v>
      </c>
      <c r="AV619" s="6" t="str">
        <f>HYPERLINK("http://mcgill.on.worldcat.org/oclc/865452280","Catalog Record")</f>
        <v>Catalog Record</v>
      </c>
      <c r="AW619" s="6" t="str">
        <f>HYPERLINK("http://www.worldcat.org/oclc/865452280","WorldCat Record")</f>
        <v>WorldCat Record</v>
      </c>
      <c r="AX619" s="3" t="s">
        <v>6476</v>
      </c>
      <c r="AY619" s="3" t="s">
        <v>6477</v>
      </c>
      <c r="AZ619" s="3" t="s">
        <v>6478</v>
      </c>
      <c r="BA619" s="3" t="s">
        <v>6478</v>
      </c>
      <c r="BB619" s="3" t="s">
        <v>6479</v>
      </c>
      <c r="BC619" s="3" t="s">
        <v>78</v>
      </c>
      <c r="BD619" s="3" t="s">
        <v>79</v>
      </c>
      <c r="BE619" s="3" t="s">
        <v>6480</v>
      </c>
      <c r="BF619" s="3" t="s">
        <v>6479</v>
      </c>
      <c r="BG619" s="3" t="s">
        <v>6481</v>
      </c>
    </row>
    <row r="620" spans="1:59" ht="58" x14ac:dyDescent="0.35">
      <c r="A620" s="2" t="s">
        <v>59</v>
      </c>
      <c r="B620" s="2" t="s">
        <v>94</v>
      </c>
      <c r="C620" s="2" t="s">
        <v>6482</v>
      </c>
      <c r="D620" s="2" t="s">
        <v>6483</v>
      </c>
      <c r="E620" s="2" t="s">
        <v>6484</v>
      </c>
      <c r="G620" s="3" t="s">
        <v>64</v>
      </c>
      <c r="I620" s="3" t="s">
        <v>64</v>
      </c>
      <c r="J620" s="3" t="s">
        <v>64</v>
      </c>
      <c r="K620" s="3" t="s">
        <v>65</v>
      </c>
      <c r="M620" s="2" t="s">
        <v>6485</v>
      </c>
      <c r="N620" s="3" t="s">
        <v>214</v>
      </c>
      <c r="P620" s="3" t="s">
        <v>69</v>
      </c>
      <c r="Q620" s="2" t="s">
        <v>6486</v>
      </c>
      <c r="R620" s="3" t="s">
        <v>70</v>
      </c>
      <c r="S620" s="4">
        <v>0</v>
      </c>
      <c r="T620" s="4">
        <v>0</v>
      </c>
      <c r="W620" s="5" t="s">
        <v>72</v>
      </c>
      <c r="X620" s="5" t="s">
        <v>72</v>
      </c>
      <c r="Y620" s="4">
        <v>110</v>
      </c>
      <c r="Z620" s="4">
        <v>5</v>
      </c>
      <c r="AA620" s="4">
        <v>103</v>
      </c>
      <c r="AB620" s="4">
        <v>1</v>
      </c>
      <c r="AC620" s="4">
        <v>20</v>
      </c>
      <c r="AD620" s="4">
        <v>54</v>
      </c>
      <c r="AE620" s="4">
        <v>138</v>
      </c>
      <c r="AF620" s="4">
        <v>0</v>
      </c>
      <c r="AG620" s="4">
        <v>8</v>
      </c>
      <c r="AH620" s="4">
        <v>53</v>
      </c>
      <c r="AI620" s="4">
        <v>99</v>
      </c>
      <c r="AJ620" s="4">
        <v>3</v>
      </c>
      <c r="AK620" s="4">
        <v>23</v>
      </c>
      <c r="AL620" s="4">
        <v>29</v>
      </c>
      <c r="AM620" s="4">
        <v>52</v>
      </c>
      <c r="AN620" s="4">
        <v>0</v>
      </c>
      <c r="AO620" s="4">
        <v>0</v>
      </c>
      <c r="AP620" s="4">
        <v>3</v>
      </c>
      <c r="AQ620" s="4">
        <v>46</v>
      </c>
      <c r="AR620" s="3" t="s">
        <v>64</v>
      </c>
      <c r="AS620" s="3" t="s">
        <v>64</v>
      </c>
      <c r="AT620" s="3" t="s">
        <v>64</v>
      </c>
      <c r="AV620" s="6" t="str">
        <f>HYPERLINK("http://mcgill.on.worldcat.org/oclc/609305226","Catalog Record")</f>
        <v>Catalog Record</v>
      </c>
      <c r="AW620" s="6" t="str">
        <f>HYPERLINK("http://www.worldcat.org/oclc/609305226","WorldCat Record")</f>
        <v>WorldCat Record</v>
      </c>
      <c r="AX620" s="3" t="s">
        <v>6487</v>
      </c>
      <c r="AY620" s="3" t="s">
        <v>6488</v>
      </c>
      <c r="AZ620" s="3" t="s">
        <v>6489</v>
      </c>
      <c r="BA620" s="3" t="s">
        <v>6489</v>
      </c>
      <c r="BB620" s="3" t="s">
        <v>6490</v>
      </c>
      <c r="BC620" s="3" t="s">
        <v>78</v>
      </c>
      <c r="BD620" s="3" t="s">
        <v>79</v>
      </c>
      <c r="BE620" s="3" t="s">
        <v>6491</v>
      </c>
      <c r="BF620" s="3" t="s">
        <v>6490</v>
      </c>
      <c r="BG620" s="3" t="s">
        <v>6492</v>
      </c>
    </row>
    <row r="621" spans="1:59" ht="58" x14ac:dyDescent="0.35">
      <c r="A621" s="2" t="s">
        <v>59</v>
      </c>
      <c r="B621" s="2" t="s">
        <v>94</v>
      </c>
      <c r="C621" s="2" t="s">
        <v>6493</v>
      </c>
      <c r="D621" s="2" t="s">
        <v>6494</v>
      </c>
      <c r="E621" s="2" t="s">
        <v>6495</v>
      </c>
      <c r="G621" s="3" t="s">
        <v>64</v>
      </c>
      <c r="I621" s="3" t="s">
        <v>64</v>
      </c>
      <c r="J621" s="3" t="s">
        <v>64</v>
      </c>
      <c r="K621" s="3" t="s">
        <v>65</v>
      </c>
      <c r="L621" s="2" t="s">
        <v>6496</v>
      </c>
      <c r="M621" s="2" t="s">
        <v>6497</v>
      </c>
      <c r="N621" s="3" t="s">
        <v>328</v>
      </c>
      <c r="P621" s="3" t="s">
        <v>69</v>
      </c>
      <c r="R621" s="3" t="s">
        <v>70</v>
      </c>
      <c r="S621" s="4">
        <v>9</v>
      </c>
      <c r="T621" s="4">
        <v>9</v>
      </c>
      <c r="U621" s="5" t="s">
        <v>4026</v>
      </c>
      <c r="V621" s="5" t="s">
        <v>4026</v>
      </c>
      <c r="W621" s="5" t="s">
        <v>72</v>
      </c>
      <c r="X621" s="5" t="s">
        <v>72</v>
      </c>
      <c r="Y621" s="4">
        <v>51</v>
      </c>
      <c r="Z621" s="4">
        <v>2</v>
      </c>
      <c r="AA621" s="4">
        <v>32</v>
      </c>
      <c r="AB621" s="4">
        <v>1</v>
      </c>
      <c r="AC621" s="4">
        <v>7</v>
      </c>
      <c r="AD621" s="4">
        <v>3</v>
      </c>
      <c r="AE621" s="4">
        <v>84</v>
      </c>
      <c r="AF621" s="4">
        <v>0</v>
      </c>
      <c r="AG621" s="4">
        <v>3</v>
      </c>
      <c r="AH621" s="4">
        <v>2</v>
      </c>
      <c r="AI621" s="4">
        <v>73</v>
      </c>
      <c r="AJ621" s="4">
        <v>1</v>
      </c>
      <c r="AK621" s="4">
        <v>19</v>
      </c>
      <c r="AL621" s="4">
        <v>2</v>
      </c>
      <c r="AM621" s="4">
        <v>44</v>
      </c>
      <c r="AN621" s="4">
        <v>0</v>
      </c>
      <c r="AO621" s="4">
        <v>0</v>
      </c>
      <c r="AP621" s="4">
        <v>0</v>
      </c>
      <c r="AQ621" s="4">
        <v>22</v>
      </c>
      <c r="AR621" s="3" t="s">
        <v>64</v>
      </c>
      <c r="AS621" s="3" t="s">
        <v>64</v>
      </c>
      <c r="AT621" s="3" t="s">
        <v>64</v>
      </c>
      <c r="AV621" s="6" t="str">
        <f>HYPERLINK("http://mcgill.on.worldcat.org/oclc/751832783","Catalog Record")</f>
        <v>Catalog Record</v>
      </c>
      <c r="AW621" s="6" t="str">
        <f>HYPERLINK("http://www.worldcat.org/oclc/751832783","WorldCat Record")</f>
        <v>WorldCat Record</v>
      </c>
      <c r="AX621" s="3" t="s">
        <v>6498</v>
      </c>
      <c r="AY621" s="3" t="s">
        <v>6499</v>
      </c>
      <c r="AZ621" s="3" t="s">
        <v>6500</v>
      </c>
      <c r="BA621" s="3" t="s">
        <v>6500</v>
      </c>
      <c r="BB621" s="3" t="s">
        <v>6501</v>
      </c>
      <c r="BC621" s="3" t="s">
        <v>78</v>
      </c>
      <c r="BD621" s="3" t="s">
        <v>79</v>
      </c>
      <c r="BE621" s="3" t="s">
        <v>6502</v>
      </c>
      <c r="BF621" s="3" t="s">
        <v>6501</v>
      </c>
      <c r="BG621" s="3" t="s">
        <v>6503</v>
      </c>
    </row>
    <row r="622" spans="1:59" ht="58" x14ac:dyDescent="0.35">
      <c r="A622" s="2" t="s">
        <v>59</v>
      </c>
      <c r="B622" s="2" t="s">
        <v>94</v>
      </c>
      <c r="C622" s="2" t="s">
        <v>6504</v>
      </c>
      <c r="D622" s="2" t="s">
        <v>6505</v>
      </c>
      <c r="E622" s="2" t="s">
        <v>6506</v>
      </c>
      <c r="G622" s="3" t="s">
        <v>64</v>
      </c>
      <c r="I622" s="3" t="s">
        <v>64</v>
      </c>
      <c r="J622" s="3" t="s">
        <v>64</v>
      </c>
      <c r="K622" s="3" t="s">
        <v>65</v>
      </c>
      <c r="L622" s="2" t="s">
        <v>6507</v>
      </c>
      <c r="M622" s="2" t="s">
        <v>6508</v>
      </c>
      <c r="N622" s="3" t="s">
        <v>1167</v>
      </c>
      <c r="P622" s="3" t="s">
        <v>69</v>
      </c>
      <c r="R622" s="3" t="s">
        <v>70</v>
      </c>
      <c r="S622" s="4">
        <v>42</v>
      </c>
      <c r="T622" s="4">
        <v>42</v>
      </c>
      <c r="U622" s="5" t="s">
        <v>6509</v>
      </c>
      <c r="V622" s="5" t="s">
        <v>6509</v>
      </c>
      <c r="W622" s="5" t="s">
        <v>72</v>
      </c>
      <c r="X622" s="5" t="s">
        <v>72</v>
      </c>
      <c r="Y622" s="4">
        <v>756</v>
      </c>
      <c r="Z622" s="4">
        <v>47</v>
      </c>
      <c r="AA622" s="4">
        <v>50</v>
      </c>
      <c r="AB622" s="4">
        <v>2</v>
      </c>
      <c r="AC622" s="4">
        <v>5</v>
      </c>
      <c r="AD622" s="4">
        <v>128</v>
      </c>
      <c r="AE622" s="4">
        <v>131</v>
      </c>
      <c r="AF622" s="4">
        <v>1</v>
      </c>
      <c r="AG622" s="4">
        <v>3</v>
      </c>
      <c r="AH622" s="4">
        <v>106</v>
      </c>
      <c r="AI622" s="4">
        <v>108</v>
      </c>
      <c r="AJ622" s="4">
        <v>20</v>
      </c>
      <c r="AK622" s="4">
        <v>22</v>
      </c>
      <c r="AL622" s="4">
        <v>57</v>
      </c>
      <c r="AM622" s="4">
        <v>57</v>
      </c>
      <c r="AN622" s="4">
        <v>0</v>
      </c>
      <c r="AO622" s="4">
        <v>0</v>
      </c>
      <c r="AP622" s="4">
        <v>32</v>
      </c>
      <c r="AQ622" s="4">
        <v>33</v>
      </c>
      <c r="AR622" s="3" t="s">
        <v>64</v>
      </c>
      <c r="AS622" s="3" t="s">
        <v>64</v>
      </c>
      <c r="AT622" s="3" t="s">
        <v>64</v>
      </c>
      <c r="AV622" s="6" t="str">
        <f>HYPERLINK("http://mcgill.on.worldcat.org/oclc/4220382","Catalog Record")</f>
        <v>Catalog Record</v>
      </c>
      <c r="AW622" s="6" t="str">
        <f>HYPERLINK("http://www.worldcat.org/oclc/4220382","WorldCat Record")</f>
        <v>WorldCat Record</v>
      </c>
      <c r="AX622" s="3" t="s">
        <v>6510</v>
      </c>
      <c r="AY622" s="3" t="s">
        <v>6511</v>
      </c>
      <c r="AZ622" s="3" t="s">
        <v>6512</v>
      </c>
      <c r="BA622" s="3" t="s">
        <v>6512</v>
      </c>
      <c r="BB622" s="3" t="s">
        <v>6513</v>
      </c>
      <c r="BC622" s="3" t="s">
        <v>78</v>
      </c>
      <c r="BD622" s="3" t="s">
        <v>79</v>
      </c>
      <c r="BE622" s="3" t="s">
        <v>6514</v>
      </c>
      <c r="BF622" s="3" t="s">
        <v>6513</v>
      </c>
      <c r="BG622" s="3" t="s">
        <v>6515</v>
      </c>
    </row>
    <row r="623" spans="1:59" ht="58" x14ac:dyDescent="0.35">
      <c r="A623" s="2" t="s">
        <v>59</v>
      </c>
      <c r="B623" s="2" t="s">
        <v>94</v>
      </c>
      <c r="C623" s="2" t="s">
        <v>6516</v>
      </c>
      <c r="D623" s="2" t="s">
        <v>6517</v>
      </c>
      <c r="E623" s="2" t="s">
        <v>6518</v>
      </c>
      <c r="G623" s="3" t="s">
        <v>64</v>
      </c>
      <c r="I623" s="3" t="s">
        <v>64</v>
      </c>
      <c r="J623" s="3" t="s">
        <v>64</v>
      </c>
      <c r="K623" s="3" t="s">
        <v>65</v>
      </c>
      <c r="M623" s="2" t="s">
        <v>6519</v>
      </c>
      <c r="N623" s="3" t="s">
        <v>303</v>
      </c>
      <c r="P623" s="3" t="s">
        <v>69</v>
      </c>
      <c r="Q623" s="2" t="s">
        <v>2430</v>
      </c>
      <c r="R623" s="3" t="s">
        <v>70</v>
      </c>
      <c r="S623" s="4">
        <v>16</v>
      </c>
      <c r="T623" s="4">
        <v>16</v>
      </c>
      <c r="U623" s="5" t="s">
        <v>6520</v>
      </c>
      <c r="V623" s="5" t="s">
        <v>6520</v>
      </c>
      <c r="W623" s="5" t="s">
        <v>72</v>
      </c>
      <c r="X623" s="5" t="s">
        <v>72</v>
      </c>
      <c r="Y623" s="4">
        <v>369</v>
      </c>
      <c r="Z623" s="4">
        <v>19</v>
      </c>
      <c r="AA623" s="4">
        <v>27</v>
      </c>
      <c r="AB623" s="4">
        <v>1</v>
      </c>
      <c r="AC623" s="4">
        <v>5</v>
      </c>
      <c r="AD623" s="4">
        <v>87</v>
      </c>
      <c r="AE623" s="4">
        <v>93</v>
      </c>
      <c r="AF623" s="4">
        <v>0</v>
      </c>
      <c r="AG623" s="4">
        <v>1</v>
      </c>
      <c r="AH623" s="4">
        <v>78</v>
      </c>
      <c r="AI623" s="4">
        <v>83</v>
      </c>
      <c r="AJ623" s="4">
        <v>11</v>
      </c>
      <c r="AK623" s="4">
        <v>14</v>
      </c>
      <c r="AL623" s="4">
        <v>45</v>
      </c>
      <c r="AM623" s="4">
        <v>47</v>
      </c>
      <c r="AN623" s="4">
        <v>0</v>
      </c>
      <c r="AO623" s="4">
        <v>0</v>
      </c>
      <c r="AP623" s="4">
        <v>15</v>
      </c>
      <c r="AQ623" s="4">
        <v>18</v>
      </c>
      <c r="AR623" s="3" t="s">
        <v>64</v>
      </c>
      <c r="AS623" s="3" t="s">
        <v>64</v>
      </c>
      <c r="AT623" s="3" t="s">
        <v>73</v>
      </c>
      <c r="AU623" s="6" t="str">
        <f>HYPERLINK("http://catalog.hathitrust.org/Record/002710319","HathiTrust Record")</f>
        <v>HathiTrust Record</v>
      </c>
      <c r="AV623" s="6" t="str">
        <f>HYPERLINK("http://mcgill.on.worldcat.org/oclc/26307640","Catalog Record")</f>
        <v>Catalog Record</v>
      </c>
      <c r="AW623" s="6" t="str">
        <f>HYPERLINK("http://www.worldcat.org/oclc/26307640","WorldCat Record")</f>
        <v>WorldCat Record</v>
      </c>
      <c r="AX623" s="3" t="s">
        <v>6521</v>
      </c>
      <c r="AY623" s="3" t="s">
        <v>6522</v>
      </c>
      <c r="AZ623" s="3" t="s">
        <v>6523</v>
      </c>
      <c r="BA623" s="3" t="s">
        <v>6523</v>
      </c>
      <c r="BB623" s="3" t="s">
        <v>6524</v>
      </c>
      <c r="BC623" s="3" t="s">
        <v>78</v>
      </c>
      <c r="BD623" s="3" t="s">
        <v>79</v>
      </c>
      <c r="BE623" s="3" t="s">
        <v>6525</v>
      </c>
      <c r="BF623" s="3" t="s">
        <v>6524</v>
      </c>
      <c r="BG623" s="3" t="s">
        <v>6526</v>
      </c>
    </row>
    <row r="624" spans="1:59" ht="58" x14ac:dyDescent="0.35">
      <c r="A624" s="2" t="s">
        <v>59</v>
      </c>
      <c r="B624" s="2" t="s">
        <v>94</v>
      </c>
      <c r="C624" s="2" t="s">
        <v>6527</v>
      </c>
      <c r="D624" s="2" t="s">
        <v>6528</v>
      </c>
      <c r="E624" s="2" t="s">
        <v>6529</v>
      </c>
      <c r="G624" s="3" t="s">
        <v>64</v>
      </c>
      <c r="I624" s="3" t="s">
        <v>64</v>
      </c>
      <c r="J624" s="3" t="s">
        <v>64</v>
      </c>
      <c r="K624" s="3" t="s">
        <v>65</v>
      </c>
      <c r="M624" s="2" t="s">
        <v>6530</v>
      </c>
      <c r="N624" s="3" t="s">
        <v>2214</v>
      </c>
      <c r="P624" s="3" t="s">
        <v>69</v>
      </c>
      <c r="Q624" s="2" t="s">
        <v>6531</v>
      </c>
      <c r="R624" s="3" t="s">
        <v>70</v>
      </c>
      <c r="S624" s="4">
        <v>5</v>
      </c>
      <c r="T624" s="4">
        <v>5</v>
      </c>
      <c r="U624" s="5" t="s">
        <v>6532</v>
      </c>
      <c r="V624" s="5" t="s">
        <v>6532</v>
      </c>
      <c r="W624" s="5" t="s">
        <v>72</v>
      </c>
      <c r="X624" s="5" t="s">
        <v>72</v>
      </c>
      <c r="Y624" s="4">
        <v>270</v>
      </c>
      <c r="Z624" s="4">
        <v>21</v>
      </c>
      <c r="AA624" s="4">
        <v>24</v>
      </c>
      <c r="AB624" s="4">
        <v>2</v>
      </c>
      <c r="AC624" s="4">
        <v>5</v>
      </c>
      <c r="AD624" s="4">
        <v>77</v>
      </c>
      <c r="AE624" s="4">
        <v>80</v>
      </c>
      <c r="AF624" s="4">
        <v>1</v>
      </c>
      <c r="AG624" s="4">
        <v>4</v>
      </c>
      <c r="AH624" s="4">
        <v>64</v>
      </c>
      <c r="AI624" s="4">
        <v>65</v>
      </c>
      <c r="AJ624" s="4">
        <v>15</v>
      </c>
      <c r="AK624" s="4">
        <v>17</v>
      </c>
      <c r="AL624" s="4">
        <v>33</v>
      </c>
      <c r="AM624" s="4">
        <v>33</v>
      </c>
      <c r="AN624" s="4">
        <v>0</v>
      </c>
      <c r="AO624" s="4">
        <v>0</v>
      </c>
      <c r="AP624" s="4">
        <v>19</v>
      </c>
      <c r="AQ624" s="4">
        <v>21</v>
      </c>
      <c r="AR624" s="3" t="s">
        <v>64</v>
      </c>
      <c r="AS624" s="3" t="s">
        <v>64</v>
      </c>
      <c r="AT624" s="3" t="s">
        <v>73</v>
      </c>
      <c r="AU624" s="6" t="str">
        <f>HYPERLINK("http://catalog.hathitrust.org/Record/000688871","HathiTrust Record")</f>
        <v>HathiTrust Record</v>
      </c>
      <c r="AV624" s="6" t="str">
        <f>HYPERLINK("http://mcgill.on.worldcat.org/oclc/1923638","Catalog Record")</f>
        <v>Catalog Record</v>
      </c>
      <c r="AW624" s="6" t="str">
        <f>HYPERLINK("http://www.worldcat.org/oclc/1923638","WorldCat Record")</f>
        <v>WorldCat Record</v>
      </c>
      <c r="AX624" s="3" t="s">
        <v>6533</v>
      </c>
      <c r="AY624" s="3" t="s">
        <v>6534</v>
      </c>
      <c r="AZ624" s="3" t="s">
        <v>6535</v>
      </c>
      <c r="BA624" s="3" t="s">
        <v>6535</v>
      </c>
      <c r="BB624" s="3" t="s">
        <v>6536</v>
      </c>
      <c r="BC624" s="3" t="s">
        <v>78</v>
      </c>
      <c r="BD624" s="3" t="s">
        <v>79</v>
      </c>
      <c r="BE624" s="3" t="s">
        <v>6537</v>
      </c>
      <c r="BF624" s="3" t="s">
        <v>6536</v>
      </c>
      <c r="BG624" s="3" t="s">
        <v>6538</v>
      </c>
    </row>
    <row r="625" spans="1:59" ht="58" x14ac:dyDescent="0.35">
      <c r="A625" s="2" t="s">
        <v>59</v>
      </c>
      <c r="B625" s="2" t="s">
        <v>94</v>
      </c>
      <c r="C625" s="2" t="s">
        <v>6539</v>
      </c>
      <c r="D625" s="2" t="s">
        <v>6540</v>
      </c>
      <c r="E625" s="2" t="s">
        <v>6541</v>
      </c>
      <c r="G625" s="3" t="s">
        <v>64</v>
      </c>
      <c r="I625" s="3" t="s">
        <v>73</v>
      </c>
      <c r="J625" s="3" t="s">
        <v>73</v>
      </c>
      <c r="K625" s="3" t="s">
        <v>65</v>
      </c>
      <c r="L625" s="2" t="s">
        <v>1292</v>
      </c>
      <c r="M625" s="2" t="s">
        <v>6542</v>
      </c>
      <c r="N625" s="3" t="s">
        <v>264</v>
      </c>
      <c r="P625" s="3" t="s">
        <v>69</v>
      </c>
      <c r="R625" s="3" t="s">
        <v>70</v>
      </c>
      <c r="S625" s="4">
        <v>28</v>
      </c>
      <c r="T625" s="4">
        <v>36</v>
      </c>
      <c r="U625" s="5" t="s">
        <v>6543</v>
      </c>
      <c r="V625" s="5" t="s">
        <v>6544</v>
      </c>
      <c r="W625" s="5" t="s">
        <v>72</v>
      </c>
      <c r="X625" s="5" t="s">
        <v>72</v>
      </c>
      <c r="Y625" s="4">
        <v>752</v>
      </c>
      <c r="Z625" s="4">
        <v>40</v>
      </c>
      <c r="AA625" s="4">
        <v>53</v>
      </c>
      <c r="AB625" s="4">
        <v>3</v>
      </c>
      <c r="AC625" s="4">
        <v>6</v>
      </c>
      <c r="AD625" s="4">
        <v>121</v>
      </c>
      <c r="AE625" s="4">
        <v>140</v>
      </c>
      <c r="AF625" s="4">
        <v>2</v>
      </c>
      <c r="AG625" s="4">
        <v>4</v>
      </c>
      <c r="AH625" s="4">
        <v>99</v>
      </c>
      <c r="AI625" s="4">
        <v>113</v>
      </c>
      <c r="AJ625" s="4">
        <v>20</v>
      </c>
      <c r="AK625" s="4">
        <v>23</v>
      </c>
      <c r="AL625" s="4">
        <v>51</v>
      </c>
      <c r="AM625" s="4">
        <v>59</v>
      </c>
      <c r="AN625" s="4">
        <v>0</v>
      </c>
      <c r="AO625" s="4">
        <v>0</v>
      </c>
      <c r="AP625" s="4">
        <v>31</v>
      </c>
      <c r="AQ625" s="4">
        <v>35</v>
      </c>
      <c r="AR625" s="3" t="s">
        <v>64</v>
      </c>
      <c r="AS625" s="3" t="s">
        <v>64</v>
      </c>
      <c r="AT625" s="3" t="s">
        <v>64</v>
      </c>
      <c r="AV625" s="6" t="str">
        <f>HYPERLINK("http://mcgill.on.worldcat.org/oclc/2896123","Catalog Record")</f>
        <v>Catalog Record</v>
      </c>
      <c r="AW625" s="6" t="str">
        <f>HYPERLINK("http://www.worldcat.org/oclc/2896123","WorldCat Record")</f>
        <v>WorldCat Record</v>
      </c>
      <c r="AX625" s="3" t="s">
        <v>6545</v>
      </c>
      <c r="AY625" s="3" t="s">
        <v>6546</v>
      </c>
      <c r="AZ625" s="3" t="s">
        <v>6547</v>
      </c>
      <c r="BA625" s="3" t="s">
        <v>6547</v>
      </c>
      <c r="BB625" s="3" t="s">
        <v>6548</v>
      </c>
      <c r="BC625" s="3" t="s">
        <v>78</v>
      </c>
      <c r="BD625" s="3" t="s">
        <v>79</v>
      </c>
      <c r="BE625" s="3" t="s">
        <v>6549</v>
      </c>
      <c r="BF625" s="3" t="s">
        <v>6548</v>
      </c>
      <c r="BG625" s="3" t="s">
        <v>6550</v>
      </c>
    </row>
    <row r="626" spans="1:59" ht="58" x14ac:dyDescent="0.35">
      <c r="A626" s="2" t="s">
        <v>59</v>
      </c>
      <c r="B626" s="2" t="s">
        <v>94</v>
      </c>
      <c r="C626" s="2" t="s">
        <v>6539</v>
      </c>
      <c r="D626" s="2" t="s">
        <v>6540</v>
      </c>
      <c r="E626" s="2" t="s">
        <v>6541</v>
      </c>
      <c r="G626" s="3" t="s">
        <v>64</v>
      </c>
      <c r="I626" s="3" t="s">
        <v>73</v>
      </c>
      <c r="J626" s="3" t="s">
        <v>73</v>
      </c>
      <c r="K626" s="3" t="s">
        <v>65</v>
      </c>
      <c r="L626" s="2" t="s">
        <v>1292</v>
      </c>
      <c r="M626" s="2" t="s">
        <v>6542</v>
      </c>
      <c r="N626" s="3" t="s">
        <v>264</v>
      </c>
      <c r="P626" s="3" t="s">
        <v>69</v>
      </c>
      <c r="R626" s="3" t="s">
        <v>70</v>
      </c>
      <c r="S626" s="4">
        <v>8</v>
      </c>
      <c r="T626" s="4">
        <v>36</v>
      </c>
      <c r="U626" s="5" t="s">
        <v>6544</v>
      </c>
      <c r="V626" s="5" t="s">
        <v>6544</v>
      </c>
      <c r="W626" s="5" t="s">
        <v>72</v>
      </c>
      <c r="X626" s="5" t="s">
        <v>72</v>
      </c>
      <c r="Y626" s="4">
        <v>752</v>
      </c>
      <c r="Z626" s="4">
        <v>40</v>
      </c>
      <c r="AA626" s="4">
        <v>53</v>
      </c>
      <c r="AB626" s="4">
        <v>3</v>
      </c>
      <c r="AC626" s="4">
        <v>6</v>
      </c>
      <c r="AD626" s="4">
        <v>121</v>
      </c>
      <c r="AE626" s="4">
        <v>140</v>
      </c>
      <c r="AF626" s="4">
        <v>2</v>
      </c>
      <c r="AG626" s="4">
        <v>4</v>
      </c>
      <c r="AH626" s="4">
        <v>99</v>
      </c>
      <c r="AI626" s="4">
        <v>113</v>
      </c>
      <c r="AJ626" s="4">
        <v>20</v>
      </c>
      <c r="AK626" s="4">
        <v>23</v>
      </c>
      <c r="AL626" s="4">
        <v>51</v>
      </c>
      <c r="AM626" s="4">
        <v>59</v>
      </c>
      <c r="AN626" s="4">
        <v>0</v>
      </c>
      <c r="AO626" s="4">
        <v>0</v>
      </c>
      <c r="AP626" s="4">
        <v>31</v>
      </c>
      <c r="AQ626" s="4">
        <v>35</v>
      </c>
      <c r="AR626" s="3" t="s">
        <v>64</v>
      </c>
      <c r="AS626" s="3" t="s">
        <v>64</v>
      </c>
      <c r="AT626" s="3" t="s">
        <v>64</v>
      </c>
      <c r="AV626" s="6" t="str">
        <f>HYPERLINK("http://mcgill.on.worldcat.org/oclc/2896123","Catalog Record")</f>
        <v>Catalog Record</v>
      </c>
      <c r="AW626" s="6" t="str">
        <f>HYPERLINK("http://www.worldcat.org/oclc/2896123","WorldCat Record")</f>
        <v>WorldCat Record</v>
      </c>
      <c r="AX626" s="3" t="s">
        <v>6545</v>
      </c>
      <c r="AY626" s="3" t="s">
        <v>6546</v>
      </c>
      <c r="AZ626" s="3" t="s">
        <v>6547</v>
      </c>
      <c r="BA626" s="3" t="s">
        <v>6547</v>
      </c>
      <c r="BB626" s="3" t="s">
        <v>6551</v>
      </c>
      <c r="BC626" s="3" t="s">
        <v>78</v>
      </c>
      <c r="BD626" s="3" t="s">
        <v>79</v>
      </c>
      <c r="BE626" s="3" t="s">
        <v>6549</v>
      </c>
      <c r="BF626" s="3" t="s">
        <v>6551</v>
      </c>
      <c r="BG626" s="3" t="s">
        <v>6552</v>
      </c>
    </row>
    <row r="627" spans="1:59" ht="58" x14ac:dyDescent="0.35">
      <c r="A627" s="2" t="s">
        <v>59</v>
      </c>
      <c r="B627" s="2" t="s">
        <v>94</v>
      </c>
      <c r="C627" s="2" t="s">
        <v>6553</v>
      </c>
      <c r="D627" s="2" t="s">
        <v>6554</v>
      </c>
      <c r="E627" s="2" t="s">
        <v>6541</v>
      </c>
      <c r="G627" s="3" t="s">
        <v>64</v>
      </c>
      <c r="I627" s="3" t="s">
        <v>64</v>
      </c>
      <c r="J627" s="3" t="s">
        <v>73</v>
      </c>
      <c r="K627" s="3" t="s">
        <v>65</v>
      </c>
      <c r="L627" s="2" t="s">
        <v>1292</v>
      </c>
      <c r="M627" s="2" t="s">
        <v>6555</v>
      </c>
      <c r="N627" s="3" t="s">
        <v>861</v>
      </c>
      <c r="O627" s="2" t="s">
        <v>638</v>
      </c>
      <c r="P627" s="3" t="s">
        <v>69</v>
      </c>
      <c r="R627" s="3" t="s">
        <v>70</v>
      </c>
      <c r="S627" s="4">
        <v>6</v>
      </c>
      <c r="T627" s="4">
        <v>6</v>
      </c>
      <c r="U627" s="5" t="s">
        <v>5645</v>
      </c>
      <c r="V627" s="5" t="s">
        <v>5645</v>
      </c>
      <c r="W627" s="5" t="s">
        <v>72</v>
      </c>
      <c r="X627" s="5" t="s">
        <v>72</v>
      </c>
      <c r="Y627" s="4">
        <v>254</v>
      </c>
      <c r="Z627" s="4">
        <v>16</v>
      </c>
      <c r="AA627" s="4">
        <v>53</v>
      </c>
      <c r="AB627" s="4">
        <v>2</v>
      </c>
      <c r="AC627" s="4">
        <v>6</v>
      </c>
      <c r="AD627" s="4">
        <v>51</v>
      </c>
      <c r="AE627" s="4">
        <v>140</v>
      </c>
      <c r="AF627" s="4">
        <v>0</v>
      </c>
      <c r="AG627" s="4">
        <v>4</v>
      </c>
      <c r="AH627" s="4">
        <v>44</v>
      </c>
      <c r="AI627" s="4">
        <v>113</v>
      </c>
      <c r="AJ627" s="4">
        <v>9</v>
      </c>
      <c r="AK627" s="4">
        <v>23</v>
      </c>
      <c r="AL627" s="4">
        <v>31</v>
      </c>
      <c r="AM627" s="4">
        <v>59</v>
      </c>
      <c r="AN627" s="4">
        <v>0</v>
      </c>
      <c r="AO627" s="4">
        <v>0</v>
      </c>
      <c r="AP627" s="4">
        <v>9</v>
      </c>
      <c r="AQ627" s="4">
        <v>35</v>
      </c>
      <c r="AR627" s="3" t="s">
        <v>64</v>
      </c>
      <c r="AS627" s="3" t="s">
        <v>64</v>
      </c>
      <c r="AT627" s="3" t="s">
        <v>64</v>
      </c>
      <c r="AV627" s="6" t="str">
        <f>HYPERLINK("http://mcgill.on.worldcat.org/oclc/53971675","Catalog Record")</f>
        <v>Catalog Record</v>
      </c>
      <c r="AW627" s="6" t="str">
        <f>HYPERLINK("http://www.worldcat.org/oclc/53971675","WorldCat Record")</f>
        <v>WorldCat Record</v>
      </c>
      <c r="AX627" s="3" t="s">
        <v>6545</v>
      </c>
      <c r="AY627" s="3" t="s">
        <v>6556</v>
      </c>
      <c r="AZ627" s="3" t="s">
        <v>6557</v>
      </c>
      <c r="BA627" s="3" t="s">
        <v>6557</v>
      </c>
      <c r="BB627" s="3" t="s">
        <v>6558</v>
      </c>
      <c r="BC627" s="3" t="s">
        <v>78</v>
      </c>
      <c r="BD627" s="3" t="s">
        <v>79</v>
      </c>
      <c r="BE627" s="3" t="s">
        <v>6559</v>
      </c>
      <c r="BF627" s="3" t="s">
        <v>6558</v>
      </c>
      <c r="BG627" s="3" t="s">
        <v>6560</v>
      </c>
    </row>
    <row r="628" spans="1:59" ht="58" x14ac:dyDescent="0.35">
      <c r="A628" s="2" t="s">
        <v>59</v>
      </c>
      <c r="B628" s="2" t="s">
        <v>94</v>
      </c>
      <c r="C628" s="2" t="s">
        <v>6561</v>
      </c>
      <c r="D628" s="2" t="s">
        <v>6562</v>
      </c>
      <c r="E628" s="2" t="s">
        <v>6563</v>
      </c>
      <c r="G628" s="3" t="s">
        <v>64</v>
      </c>
      <c r="I628" s="3" t="s">
        <v>64</v>
      </c>
      <c r="J628" s="3" t="s">
        <v>64</v>
      </c>
      <c r="K628" s="3" t="s">
        <v>65</v>
      </c>
      <c r="L628" s="2" t="s">
        <v>6564</v>
      </c>
      <c r="M628" s="2" t="s">
        <v>6565</v>
      </c>
      <c r="N628" s="3" t="s">
        <v>4535</v>
      </c>
      <c r="O628" s="2" t="s">
        <v>525</v>
      </c>
      <c r="P628" s="3" t="s">
        <v>69</v>
      </c>
      <c r="R628" s="3" t="s">
        <v>70</v>
      </c>
      <c r="S628" s="4">
        <v>1</v>
      </c>
      <c r="T628" s="4">
        <v>1</v>
      </c>
      <c r="U628" s="5" t="s">
        <v>6566</v>
      </c>
      <c r="V628" s="5" t="s">
        <v>6566</v>
      </c>
      <c r="W628" s="5" t="s">
        <v>72</v>
      </c>
      <c r="X628" s="5" t="s">
        <v>72</v>
      </c>
      <c r="Y628" s="4">
        <v>83</v>
      </c>
      <c r="Z628" s="4">
        <v>5</v>
      </c>
      <c r="AA628" s="4">
        <v>18</v>
      </c>
      <c r="AB628" s="4">
        <v>1</v>
      </c>
      <c r="AC628" s="4">
        <v>6</v>
      </c>
      <c r="AD628" s="4">
        <v>42</v>
      </c>
      <c r="AE628" s="4">
        <v>55</v>
      </c>
      <c r="AF628" s="4">
        <v>0</v>
      </c>
      <c r="AG628" s="4">
        <v>2</v>
      </c>
      <c r="AH628" s="4">
        <v>38</v>
      </c>
      <c r="AI628" s="4">
        <v>46</v>
      </c>
      <c r="AJ628" s="4">
        <v>4</v>
      </c>
      <c r="AK628" s="4">
        <v>13</v>
      </c>
      <c r="AL628" s="4">
        <v>27</v>
      </c>
      <c r="AM628" s="4">
        <v>27</v>
      </c>
      <c r="AN628" s="4">
        <v>0</v>
      </c>
      <c r="AO628" s="4">
        <v>0</v>
      </c>
      <c r="AP628" s="4">
        <v>3</v>
      </c>
      <c r="AQ628" s="4">
        <v>12</v>
      </c>
      <c r="AR628" s="3" t="s">
        <v>64</v>
      </c>
      <c r="AS628" s="3" t="s">
        <v>64</v>
      </c>
      <c r="AT628" s="3" t="s">
        <v>64</v>
      </c>
      <c r="AV628" s="6" t="str">
        <f>HYPERLINK("http://mcgill.on.worldcat.org/oclc/1023053293","Catalog Record")</f>
        <v>Catalog Record</v>
      </c>
      <c r="AW628" s="6" t="str">
        <f>HYPERLINK("http://www.worldcat.org/oclc/1023053293","WorldCat Record")</f>
        <v>WorldCat Record</v>
      </c>
      <c r="AX628" s="3" t="s">
        <v>6567</v>
      </c>
      <c r="AY628" s="3" t="s">
        <v>6568</v>
      </c>
      <c r="AZ628" s="3" t="s">
        <v>6569</v>
      </c>
      <c r="BA628" s="3" t="s">
        <v>6569</v>
      </c>
      <c r="BB628" s="3" t="s">
        <v>6570</v>
      </c>
      <c r="BC628" s="3" t="s">
        <v>78</v>
      </c>
      <c r="BD628" s="3" t="s">
        <v>79</v>
      </c>
      <c r="BE628" s="3" t="s">
        <v>6571</v>
      </c>
      <c r="BF628" s="3" t="s">
        <v>6570</v>
      </c>
      <c r="BG628" s="3" t="s">
        <v>6572</v>
      </c>
    </row>
    <row r="629" spans="1:59" ht="58" x14ac:dyDescent="0.35">
      <c r="A629" s="2" t="s">
        <v>59</v>
      </c>
      <c r="B629" s="2" t="s">
        <v>94</v>
      </c>
      <c r="C629" s="2" t="s">
        <v>6573</v>
      </c>
      <c r="D629" s="2" t="s">
        <v>6574</v>
      </c>
      <c r="E629" s="2" t="s">
        <v>6575</v>
      </c>
      <c r="G629" s="3" t="s">
        <v>64</v>
      </c>
      <c r="I629" s="3" t="s">
        <v>64</v>
      </c>
      <c r="J629" s="3" t="s">
        <v>64</v>
      </c>
      <c r="K629" s="3" t="s">
        <v>65</v>
      </c>
      <c r="L629" s="2" t="s">
        <v>6576</v>
      </c>
      <c r="M629" s="2" t="s">
        <v>6577</v>
      </c>
      <c r="N629" s="3" t="s">
        <v>4535</v>
      </c>
      <c r="P629" s="3" t="s">
        <v>69</v>
      </c>
      <c r="R629" s="3" t="s">
        <v>70</v>
      </c>
      <c r="S629" s="4">
        <v>1</v>
      </c>
      <c r="T629" s="4">
        <v>1</v>
      </c>
      <c r="U629" s="5" t="s">
        <v>6578</v>
      </c>
      <c r="V629" s="5" t="s">
        <v>6578</v>
      </c>
      <c r="W629" s="5" t="s">
        <v>72</v>
      </c>
      <c r="X629" s="5" t="s">
        <v>72</v>
      </c>
      <c r="Y629" s="4">
        <v>168</v>
      </c>
      <c r="Z629" s="4">
        <v>7</v>
      </c>
      <c r="AA629" s="4">
        <v>22</v>
      </c>
      <c r="AB629" s="4">
        <v>1</v>
      </c>
      <c r="AC629" s="4">
        <v>8</v>
      </c>
      <c r="AD629" s="4">
        <v>41</v>
      </c>
      <c r="AE629" s="4">
        <v>65</v>
      </c>
      <c r="AF629" s="4">
        <v>0</v>
      </c>
      <c r="AG629" s="4">
        <v>4</v>
      </c>
      <c r="AH629" s="4">
        <v>40</v>
      </c>
      <c r="AI629" s="4">
        <v>55</v>
      </c>
      <c r="AJ629" s="4">
        <v>3</v>
      </c>
      <c r="AK629" s="4">
        <v>11</v>
      </c>
      <c r="AL629" s="4">
        <v>26</v>
      </c>
      <c r="AM629" s="4">
        <v>35</v>
      </c>
      <c r="AN629" s="4">
        <v>0</v>
      </c>
      <c r="AO629" s="4">
        <v>0</v>
      </c>
      <c r="AP629" s="4">
        <v>3</v>
      </c>
      <c r="AQ629" s="4">
        <v>13</v>
      </c>
      <c r="AR629" s="3" t="s">
        <v>64</v>
      </c>
      <c r="AS629" s="3" t="s">
        <v>64</v>
      </c>
      <c r="AT629" s="3" t="s">
        <v>64</v>
      </c>
      <c r="AV629" s="6" t="str">
        <f>HYPERLINK("http://mcgill.on.worldcat.org/oclc/1004927100","Catalog Record")</f>
        <v>Catalog Record</v>
      </c>
      <c r="AW629" s="6" t="str">
        <f>HYPERLINK("http://www.worldcat.org/oclc/1004927100","WorldCat Record")</f>
        <v>WorldCat Record</v>
      </c>
      <c r="AX629" s="3" t="s">
        <v>6579</v>
      </c>
      <c r="AY629" s="3" t="s">
        <v>6580</v>
      </c>
      <c r="AZ629" s="3" t="s">
        <v>6581</v>
      </c>
      <c r="BA629" s="3" t="s">
        <v>6581</v>
      </c>
      <c r="BB629" s="3" t="s">
        <v>6582</v>
      </c>
      <c r="BC629" s="3" t="s">
        <v>78</v>
      </c>
      <c r="BD629" s="3" t="s">
        <v>79</v>
      </c>
      <c r="BE629" s="3" t="s">
        <v>6583</v>
      </c>
      <c r="BF629" s="3" t="s">
        <v>6582</v>
      </c>
      <c r="BG629" s="3" t="s">
        <v>6584</v>
      </c>
    </row>
    <row r="630" spans="1:59" ht="58" x14ac:dyDescent="0.35">
      <c r="A630" s="2" t="s">
        <v>59</v>
      </c>
      <c r="B630" s="2" t="s">
        <v>94</v>
      </c>
      <c r="C630" s="2" t="s">
        <v>6585</v>
      </c>
      <c r="D630" s="2" t="s">
        <v>6586</v>
      </c>
      <c r="E630" s="2" t="s">
        <v>6587</v>
      </c>
      <c r="G630" s="3" t="s">
        <v>64</v>
      </c>
      <c r="I630" s="3" t="s">
        <v>64</v>
      </c>
      <c r="J630" s="3" t="s">
        <v>64</v>
      </c>
      <c r="K630" s="3" t="s">
        <v>65</v>
      </c>
      <c r="L630" s="2" t="s">
        <v>6588</v>
      </c>
      <c r="M630" s="2" t="s">
        <v>6589</v>
      </c>
      <c r="N630" s="3" t="s">
        <v>1813</v>
      </c>
      <c r="P630" s="3" t="s">
        <v>69</v>
      </c>
      <c r="R630" s="3" t="s">
        <v>70</v>
      </c>
      <c r="S630" s="4">
        <v>6</v>
      </c>
      <c r="T630" s="4">
        <v>6</v>
      </c>
      <c r="U630" s="5" t="s">
        <v>6578</v>
      </c>
      <c r="V630" s="5" t="s">
        <v>6578</v>
      </c>
      <c r="W630" s="5" t="s">
        <v>72</v>
      </c>
      <c r="X630" s="5" t="s">
        <v>72</v>
      </c>
      <c r="Y630" s="4">
        <v>261</v>
      </c>
      <c r="Z630" s="4">
        <v>10</v>
      </c>
      <c r="AA630" s="4">
        <v>12</v>
      </c>
      <c r="AB630" s="4">
        <v>1</v>
      </c>
      <c r="AC630" s="4">
        <v>3</v>
      </c>
      <c r="AD630" s="4">
        <v>55</v>
      </c>
      <c r="AE630" s="4">
        <v>56</v>
      </c>
      <c r="AF630" s="4">
        <v>0</v>
      </c>
      <c r="AG630" s="4">
        <v>0</v>
      </c>
      <c r="AH630" s="4">
        <v>51</v>
      </c>
      <c r="AI630" s="4">
        <v>52</v>
      </c>
      <c r="AJ630" s="4">
        <v>4</v>
      </c>
      <c r="AK630" s="4">
        <v>4</v>
      </c>
      <c r="AL630" s="4">
        <v>33</v>
      </c>
      <c r="AM630" s="4">
        <v>33</v>
      </c>
      <c r="AN630" s="4">
        <v>0</v>
      </c>
      <c r="AO630" s="4">
        <v>0</v>
      </c>
      <c r="AP630" s="4">
        <v>6</v>
      </c>
      <c r="AQ630" s="4">
        <v>6</v>
      </c>
      <c r="AR630" s="3" t="s">
        <v>64</v>
      </c>
      <c r="AS630" s="3" t="s">
        <v>64</v>
      </c>
      <c r="AT630" s="3" t="s">
        <v>64</v>
      </c>
      <c r="AV630" s="6" t="str">
        <f>HYPERLINK("http://mcgill.on.worldcat.org/oclc/944086759","Catalog Record")</f>
        <v>Catalog Record</v>
      </c>
      <c r="AW630" s="6" t="str">
        <f>HYPERLINK("http://www.worldcat.org/oclc/944086759","WorldCat Record")</f>
        <v>WorldCat Record</v>
      </c>
      <c r="AX630" s="3" t="s">
        <v>6590</v>
      </c>
      <c r="AY630" s="3" t="s">
        <v>6591</v>
      </c>
      <c r="AZ630" s="3" t="s">
        <v>6592</v>
      </c>
      <c r="BA630" s="3" t="s">
        <v>6592</v>
      </c>
      <c r="BB630" s="3" t="s">
        <v>6593</v>
      </c>
      <c r="BC630" s="3" t="s">
        <v>78</v>
      </c>
      <c r="BD630" s="3" t="s">
        <v>414</v>
      </c>
      <c r="BE630" s="3" t="s">
        <v>6594</v>
      </c>
      <c r="BF630" s="3" t="s">
        <v>6593</v>
      </c>
      <c r="BG630" s="3" t="s">
        <v>6595</v>
      </c>
    </row>
    <row r="631" spans="1:59" ht="58" x14ac:dyDescent="0.35">
      <c r="A631" s="2" t="s">
        <v>59</v>
      </c>
      <c r="B631" s="2" t="s">
        <v>94</v>
      </c>
      <c r="C631" s="2" t="s">
        <v>6596</v>
      </c>
      <c r="D631" s="2" t="s">
        <v>6597</v>
      </c>
      <c r="E631" s="2" t="s">
        <v>6598</v>
      </c>
      <c r="G631" s="3" t="s">
        <v>64</v>
      </c>
      <c r="I631" s="3" t="s">
        <v>73</v>
      </c>
      <c r="J631" s="3" t="s">
        <v>64</v>
      </c>
      <c r="K631" s="3" t="s">
        <v>65</v>
      </c>
      <c r="M631" s="2" t="s">
        <v>6599</v>
      </c>
      <c r="N631" s="3" t="s">
        <v>1064</v>
      </c>
      <c r="P631" s="3" t="s">
        <v>69</v>
      </c>
      <c r="R631" s="3" t="s">
        <v>70</v>
      </c>
      <c r="S631" s="4">
        <v>104</v>
      </c>
      <c r="T631" s="4">
        <v>130</v>
      </c>
      <c r="U631" s="5" t="s">
        <v>4121</v>
      </c>
      <c r="V631" s="5" t="s">
        <v>4121</v>
      </c>
      <c r="W631" s="5" t="s">
        <v>72</v>
      </c>
      <c r="X631" s="5" t="s">
        <v>72</v>
      </c>
      <c r="Y631" s="4">
        <v>375</v>
      </c>
      <c r="Z631" s="4">
        <v>21</v>
      </c>
      <c r="AA631" s="4">
        <v>22</v>
      </c>
      <c r="AB631" s="4">
        <v>2</v>
      </c>
      <c r="AC631" s="4">
        <v>3</v>
      </c>
      <c r="AD631" s="4">
        <v>107</v>
      </c>
      <c r="AE631" s="4">
        <v>108</v>
      </c>
      <c r="AF631" s="4">
        <v>1</v>
      </c>
      <c r="AG631" s="4">
        <v>2</v>
      </c>
      <c r="AH631" s="4">
        <v>96</v>
      </c>
      <c r="AI631" s="4">
        <v>97</v>
      </c>
      <c r="AJ631" s="4">
        <v>14</v>
      </c>
      <c r="AK631" s="4">
        <v>15</v>
      </c>
      <c r="AL631" s="4">
        <v>53</v>
      </c>
      <c r="AM631" s="4">
        <v>53</v>
      </c>
      <c r="AN631" s="4">
        <v>0</v>
      </c>
      <c r="AO631" s="4">
        <v>0</v>
      </c>
      <c r="AP631" s="4">
        <v>18</v>
      </c>
      <c r="AQ631" s="4">
        <v>19</v>
      </c>
      <c r="AR631" s="3" t="s">
        <v>64</v>
      </c>
      <c r="AS631" s="3" t="s">
        <v>64</v>
      </c>
      <c r="AT631" s="3" t="s">
        <v>64</v>
      </c>
      <c r="AV631" s="6" t="str">
        <f>HYPERLINK("http://mcgill.on.worldcat.org/oclc/41049537","Catalog Record")</f>
        <v>Catalog Record</v>
      </c>
      <c r="AW631" s="6" t="str">
        <f>HYPERLINK("http://www.worldcat.org/oclc/41049537","WorldCat Record")</f>
        <v>WorldCat Record</v>
      </c>
      <c r="AX631" s="3" t="s">
        <v>6600</v>
      </c>
      <c r="AY631" s="3" t="s">
        <v>6601</v>
      </c>
      <c r="AZ631" s="3" t="s">
        <v>6602</v>
      </c>
      <c r="BA631" s="3" t="s">
        <v>6602</v>
      </c>
      <c r="BB631" s="3" t="s">
        <v>6603</v>
      </c>
      <c r="BC631" s="3" t="s">
        <v>78</v>
      </c>
      <c r="BD631" s="3" t="s">
        <v>79</v>
      </c>
      <c r="BE631" s="3" t="s">
        <v>6604</v>
      </c>
      <c r="BF631" s="3" t="s">
        <v>6603</v>
      </c>
      <c r="BG631" s="3" t="s">
        <v>6605</v>
      </c>
    </row>
    <row r="632" spans="1:59" ht="58" x14ac:dyDescent="0.35">
      <c r="A632" s="2" t="s">
        <v>59</v>
      </c>
      <c r="B632" s="2" t="s">
        <v>94</v>
      </c>
      <c r="C632" s="2" t="s">
        <v>6596</v>
      </c>
      <c r="D632" s="2" t="s">
        <v>6597</v>
      </c>
      <c r="E632" s="2" t="s">
        <v>6598</v>
      </c>
      <c r="G632" s="3" t="s">
        <v>64</v>
      </c>
      <c r="I632" s="3" t="s">
        <v>73</v>
      </c>
      <c r="J632" s="3" t="s">
        <v>64</v>
      </c>
      <c r="K632" s="3" t="s">
        <v>65</v>
      </c>
      <c r="M632" s="2" t="s">
        <v>6599</v>
      </c>
      <c r="N632" s="3" t="s">
        <v>1064</v>
      </c>
      <c r="P632" s="3" t="s">
        <v>69</v>
      </c>
      <c r="R632" s="3" t="s">
        <v>70</v>
      </c>
      <c r="S632" s="4">
        <v>26</v>
      </c>
      <c r="T632" s="4">
        <v>130</v>
      </c>
      <c r="U632" s="5" t="s">
        <v>6117</v>
      </c>
      <c r="V632" s="5" t="s">
        <v>4121</v>
      </c>
      <c r="W632" s="5" t="s">
        <v>72</v>
      </c>
      <c r="X632" s="5" t="s">
        <v>72</v>
      </c>
      <c r="Y632" s="4">
        <v>375</v>
      </c>
      <c r="Z632" s="4">
        <v>21</v>
      </c>
      <c r="AA632" s="4">
        <v>22</v>
      </c>
      <c r="AB632" s="4">
        <v>2</v>
      </c>
      <c r="AC632" s="4">
        <v>3</v>
      </c>
      <c r="AD632" s="4">
        <v>107</v>
      </c>
      <c r="AE632" s="4">
        <v>108</v>
      </c>
      <c r="AF632" s="4">
        <v>1</v>
      </c>
      <c r="AG632" s="4">
        <v>2</v>
      </c>
      <c r="AH632" s="4">
        <v>96</v>
      </c>
      <c r="AI632" s="4">
        <v>97</v>
      </c>
      <c r="AJ632" s="4">
        <v>14</v>
      </c>
      <c r="AK632" s="4">
        <v>15</v>
      </c>
      <c r="AL632" s="4">
        <v>53</v>
      </c>
      <c r="AM632" s="4">
        <v>53</v>
      </c>
      <c r="AN632" s="4">
        <v>0</v>
      </c>
      <c r="AO632" s="4">
        <v>0</v>
      </c>
      <c r="AP632" s="4">
        <v>18</v>
      </c>
      <c r="AQ632" s="4">
        <v>19</v>
      </c>
      <c r="AR632" s="3" t="s">
        <v>64</v>
      </c>
      <c r="AS632" s="3" t="s">
        <v>64</v>
      </c>
      <c r="AT632" s="3" t="s">
        <v>64</v>
      </c>
      <c r="AV632" s="6" t="str">
        <f>HYPERLINK("http://mcgill.on.worldcat.org/oclc/41049537","Catalog Record")</f>
        <v>Catalog Record</v>
      </c>
      <c r="AW632" s="6" t="str">
        <f>HYPERLINK("http://www.worldcat.org/oclc/41049537","WorldCat Record")</f>
        <v>WorldCat Record</v>
      </c>
      <c r="AX632" s="3" t="s">
        <v>6600</v>
      </c>
      <c r="AY632" s="3" t="s">
        <v>6601</v>
      </c>
      <c r="AZ632" s="3" t="s">
        <v>6602</v>
      </c>
      <c r="BA632" s="3" t="s">
        <v>6602</v>
      </c>
      <c r="BB632" s="3" t="s">
        <v>6606</v>
      </c>
      <c r="BC632" s="3" t="s">
        <v>78</v>
      </c>
      <c r="BD632" s="3" t="s">
        <v>79</v>
      </c>
      <c r="BE632" s="3" t="s">
        <v>6604</v>
      </c>
      <c r="BF632" s="3" t="s">
        <v>6606</v>
      </c>
      <c r="BG632" s="3" t="s">
        <v>6607</v>
      </c>
    </row>
    <row r="633" spans="1:59" ht="72.5" x14ac:dyDescent="0.35">
      <c r="A633" s="2" t="s">
        <v>59</v>
      </c>
      <c r="B633" s="2" t="s">
        <v>94</v>
      </c>
      <c r="C633" s="2" t="s">
        <v>6608</v>
      </c>
      <c r="D633" s="2" t="s">
        <v>6609</v>
      </c>
      <c r="E633" s="2" t="s">
        <v>6610</v>
      </c>
      <c r="G633" s="3" t="s">
        <v>64</v>
      </c>
      <c r="I633" s="3" t="s">
        <v>64</v>
      </c>
      <c r="J633" s="3" t="s">
        <v>73</v>
      </c>
      <c r="K633" s="3" t="s">
        <v>65</v>
      </c>
      <c r="L633" s="2" t="s">
        <v>6611</v>
      </c>
      <c r="M633" s="2" t="s">
        <v>6612</v>
      </c>
      <c r="N633" s="3" t="s">
        <v>1267</v>
      </c>
      <c r="P633" s="3" t="s">
        <v>69</v>
      </c>
      <c r="Q633" s="2" t="s">
        <v>6613</v>
      </c>
      <c r="R633" s="3" t="s">
        <v>70</v>
      </c>
      <c r="S633" s="4">
        <v>1</v>
      </c>
      <c r="T633" s="4">
        <v>1</v>
      </c>
      <c r="U633" s="5" t="s">
        <v>6614</v>
      </c>
      <c r="V633" s="5" t="s">
        <v>6614</v>
      </c>
      <c r="W633" s="5" t="s">
        <v>72</v>
      </c>
      <c r="X633" s="5" t="s">
        <v>72</v>
      </c>
      <c r="Y633" s="4">
        <v>6</v>
      </c>
      <c r="Z633" s="4">
        <v>3</v>
      </c>
      <c r="AA633" s="4">
        <v>61</v>
      </c>
      <c r="AB633" s="4">
        <v>1</v>
      </c>
      <c r="AC633" s="4">
        <v>6</v>
      </c>
      <c r="AD633" s="4">
        <v>1</v>
      </c>
      <c r="AE633" s="4">
        <v>145</v>
      </c>
      <c r="AF633" s="4">
        <v>0</v>
      </c>
      <c r="AG633" s="4">
        <v>3</v>
      </c>
      <c r="AH633" s="4">
        <v>1</v>
      </c>
      <c r="AI633" s="4">
        <v>110</v>
      </c>
      <c r="AJ633" s="4">
        <v>1</v>
      </c>
      <c r="AK633" s="4">
        <v>26</v>
      </c>
      <c r="AL633" s="4">
        <v>1</v>
      </c>
      <c r="AM633" s="4">
        <v>58</v>
      </c>
      <c r="AN633" s="4">
        <v>0</v>
      </c>
      <c r="AO633" s="4">
        <v>0</v>
      </c>
      <c r="AP633" s="4">
        <v>1</v>
      </c>
      <c r="AQ633" s="4">
        <v>43</v>
      </c>
      <c r="AR633" s="3" t="s">
        <v>64</v>
      </c>
      <c r="AS633" s="3" t="s">
        <v>64</v>
      </c>
      <c r="AT633" s="3" t="s">
        <v>64</v>
      </c>
      <c r="AV633" s="6" t="str">
        <f>HYPERLINK("http://mcgill.on.worldcat.org/oclc/862304751","Catalog Record")</f>
        <v>Catalog Record</v>
      </c>
      <c r="AW633" s="6" t="str">
        <f>HYPERLINK("http://www.worldcat.org/oclc/862304751","WorldCat Record")</f>
        <v>WorldCat Record</v>
      </c>
      <c r="AX633" s="3" t="s">
        <v>6615</v>
      </c>
      <c r="AY633" s="3" t="s">
        <v>6616</v>
      </c>
      <c r="AZ633" s="3" t="s">
        <v>6617</v>
      </c>
      <c r="BA633" s="3" t="s">
        <v>6617</v>
      </c>
      <c r="BB633" s="3" t="s">
        <v>6618</v>
      </c>
      <c r="BC633" s="3" t="s">
        <v>78</v>
      </c>
      <c r="BD633" s="3" t="s">
        <v>79</v>
      </c>
      <c r="BF633" s="3" t="s">
        <v>6618</v>
      </c>
      <c r="BG633" s="3" t="s">
        <v>6619</v>
      </c>
    </row>
    <row r="634" spans="1:59" ht="58" x14ac:dyDescent="0.35">
      <c r="A634" s="2" t="s">
        <v>59</v>
      </c>
      <c r="B634" s="2" t="s">
        <v>94</v>
      </c>
      <c r="C634" s="2" t="s">
        <v>6620</v>
      </c>
      <c r="D634" s="2" t="s">
        <v>6621</v>
      </c>
      <c r="E634" s="2" t="s">
        <v>6622</v>
      </c>
      <c r="G634" s="3" t="s">
        <v>64</v>
      </c>
      <c r="I634" s="3" t="s">
        <v>64</v>
      </c>
      <c r="J634" s="3" t="s">
        <v>64</v>
      </c>
      <c r="K634" s="3" t="s">
        <v>65</v>
      </c>
      <c r="M634" s="2" t="s">
        <v>6623</v>
      </c>
      <c r="N634" s="3" t="s">
        <v>651</v>
      </c>
      <c r="P634" s="3" t="s">
        <v>69</v>
      </c>
      <c r="Q634" s="2" t="s">
        <v>6624</v>
      </c>
      <c r="R634" s="3" t="s">
        <v>70</v>
      </c>
      <c r="S634" s="4">
        <v>11</v>
      </c>
      <c r="T634" s="4">
        <v>11</v>
      </c>
      <c r="U634" s="5" t="s">
        <v>6578</v>
      </c>
      <c r="V634" s="5" t="s">
        <v>6578</v>
      </c>
      <c r="W634" s="5" t="s">
        <v>72</v>
      </c>
      <c r="X634" s="5" t="s">
        <v>72</v>
      </c>
      <c r="Y634" s="4">
        <v>111</v>
      </c>
      <c r="Z634" s="4">
        <v>10</v>
      </c>
      <c r="AA634" s="4">
        <v>74</v>
      </c>
      <c r="AB634" s="4">
        <v>2</v>
      </c>
      <c r="AC634" s="4">
        <v>15</v>
      </c>
      <c r="AD634" s="4">
        <v>39</v>
      </c>
      <c r="AE634" s="4">
        <v>103</v>
      </c>
      <c r="AF634" s="4">
        <v>1</v>
      </c>
      <c r="AG634" s="4">
        <v>8</v>
      </c>
      <c r="AH634" s="4">
        <v>36</v>
      </c>
      <c r="AI634" s="4">
        <v>73</v>
      </c>
      <c r="AJ634" s="4">
        <v>7</v>
      </c>
      <c r="AK634" s="4">
        <v>21</v>
      </c>
      <c r="AL634" s="4">
        <v>17</v>
      </c>
      <c r="AM634" s="4">
        <v>36</v>
      </c>
      <c r="AN634" s="4">
        <v>0</v>
      </c>
      <c r="AO634" s="4">
        <v>0</v>
      </c>
      <c r="AP634" s="4">
        <v>7</v>
      </c>
      <c r="AQ634" s="4">
        <v>37</v>
      </c>
      <c r="AR634" s="3" t="s">
        <v>64</v>
      </c>
      <c r="AS634" s="3" t="s">
        <v>64</v>
      </c>
      <c r="AT634" s="3" t="s">
        <v>64</v>
      </c>
      <c r="AV634" s="6" t="str">
        <f>HYPERLINK("http://mcgill.on.worldcat.org/oclc/52373298","Catalog Record")</f>
        <v>Catalog Record</v>
      </c>
      <c r="AW634" s="6" t="str">
        <f>HYPERLINK("http://www.worldcat.org/oclc/52373298","WorldCat Record")</f>
        <v>WorldCat Record</v>
      </c>
      <c r="AX634" s="3" t="s">
        <v>6625</v>
      </c>
      <c r="AY634" s="3" t="s">
        <v>6626</v>
      </c>
      <c r="AZ634" s="3" t="s">
        <v>6627</v>
      </c>
      <c r="BA634" s="3" t="s">
        <v>6627</v>
      </c>
      <c r="BB634" s="3" t="s">
        <v>6628</v>
      </c>
      <c r="BC634" s="3" t="s">
        <v>78</v>
      </c>
      <c r="BD634" s="3" t="s">
        <v>79</v>
      </c>
      <c r="BE634" s="3" t="s">
        <v>6629</v>
      </c>
      <c r="BF634" s="3" t="s">
        <v>6628</v>
      </c>
      <c r="BG634" s="3" t="s">
        <v>6630</v>
      </c>
    </row>
    <row r="635" spans="1:59" ht="58" x14ac:dyDescent="0.35">
      <c r="A635" s="2" t="s">
        <v>59</v>
      </c>
      <c r="B635" s="2" t="s">
        <v>94</v>
      </c>
      <c r="C635" s="2" t="s">
        <v>6631</v>
      </c>
      <c r="D635" s="2" t="s">
        <v>6632</v>
      </c>
      <c r="E635" s="2" t="s">
        <v>6633</v>
      </c>
      <c r="G635" s="3" t="s">
        <v>64</v>
      </c>
      <c r="I635" s="3" t="s">
        <v>64</v>
      </c>
      <c r="J635" s="3" t="s">
        <v>64</v>
      </c>
      <c r="K635" s="3" t="s">
        <v>65</v>
      </c>
      <c r="L635" s="2" t="s">
        <v>6634</v>
      </c>
      <c r="M635" s="2" t="s">
        <v>6635</v>
      </c>
      <c r="N635" s="3" t="s">
        <v>1320</v>
      </c>
      <c r="P635" s="3" t="s">
        <v>69</v>
      </c>
      <c r="R635" s="3" t="s">
        <v>70</v>
      </c>
      <c r="S635" s="4">
        <v>32</v>
      </c>
      <c r="T635" s="4">
        <v>32</v>
      </c>
      <c r="U635" s="5" t="s">
        <v>6636</v>
      </c>
      <c r="V635" s="5" t="s">
        <v>6636</v>
      </c>
      <c r="W635" s="5" t="s">
        <v>72</v>
      </c>
      <c r="X635" s="5" t="s">
        <v>72</v>
      </c>
      <c r="Y635" s="4">
        <v>143</v>
      </c>
      <c r="Z635" s="4">
        <v>6</v>
      </c>
      <c r="AA635" s="4">
        <v>6</v>
      </c>
      <c r="AB635" s="4">
        <v>1</v>
      </c>
      <c r="AC635" s="4">
        <v>1</v>
      </c>
      <c r="AD635" s="4">
        <v>39</v>
      </c>
      <c r="AE635" s="4">
        <v>41</v>
      </c>
      <c r="AF635" s="4">
        <v>0</v>
      </c>
      <c r="AG635" s="4">
        <v>0</v>
      </c>
      <c r="AH635" s="4">
        <v>37</v>
      </c>
      <c r="AI635" s="4">
        <v>39</v>
      </c>
      <c r="AJ635" s="4">
        <v>3</v>
      </c>
      <c r="AK635" s="4">
        <v>3</v>
      </c>
      <c r="AL635" s="4">
        <v>22</v>
      </c>
      <c r="AM635" s="4">
        <v>24</v>
      </c>
      <c r="AN635" s="4">
        <v>0</v>
      </c>
      <c r="AO635" s="4">
        <v>0</v>
      </c>
      <c r="AP635" s="4">
        <v>4</v>
      </c>
      <c r="AQ635" s="4">
        <v>4</v>
      </c>
      <c r="AR635" s="3" t="s">
        <v>64</v>
      </c>
      <c r="AS635" s="3" t="s">
        <v>64</v>
      </c>
      <c r="AT635" s="3" t="s">
        <v>64</v>
      </c>
      <c r="AV635" s="6" t="str">
        <f>HYPERLINK("http://mcgill.on.worldcat.org/oclc/31938576","Catalog Record")</f>
        <v>Catalog Record</v>
      </c>
      <c r="AW635" s="6" t="str">
        <f>HYPERLINK("http://www.worldcat.org/oclc/31938576","WorldCat Record")</f>
        <v>WorldCat Record</v>
      </c>
      <c r="AX635" s="3" t="s">
        <v>6637</v>
      </c>
      <c r="AY635" s="3" t="s">
        <v>6638</v>
      </c>
      <c r="AZ635" s="3" t="s">
        <v>6639</v>
      </c>
      <c r="BA635" s="3" t="s">
        <v>6639</v>
      </c>
      <c r="BB635" s="3" t="s">
        <v>6640</v>
      </c>
      <c r="BC635" s="3" t="s">
        <v>78</v>
      </c>
      <c r="BD635" s="3" t="s">
        <v>79</v>
      </c>
      <c r="BE635" s="3" t="s">
        <v>6641</v>
      </c>
      <c r="BF635" s="3" t="s">
        <v>6640</v>
      </c>
      <c r="BG635" s="3" t="s">
        <v>6642</v>
      </c>
    </row>
    <row r="636" spans="1:59" ht="58" x14ac:dyDescent="0.35">
      <c r="A636" s="2" t="s">
        <v>59</v>
      </c>
      <c r="B636" s="2" t="s">
        <v>94</v>
      </c>
      <c r="C636" s="2" t="s">
        <v>6643</v>
      </c>
      <c r="D636" s="2" t="s">
        <v>6644</v>
      </c>
      <c r="E636" s="2" t="s">
        <v>6645</v>
      </c>
      <c r="G636" s="3" t="s">
        <v>64</v>
      </c>
      <c r="I636" s="3" t="s">
        <v>64</v>
      </c>
      <c r="J636" s="3" t="s">
        <v>64</v>
      </c>
      <c r="K636" s="3" t="s">
        <v>65</v>
      </c>
      <c r="L636" s="2" t="s">
        <v>6646</v>
      </c>
      <c r="M636" s="2" t="s">
        <v>6647</v>
      </c>
      <c r="N636" s="3" t="s">
        <v>689</v>
      </c>
      <c r="P636" s="3" t="s">
        <v>69</v>
      </c>
      <c r="Q636" s="2" t="s">
        <v>6648</v>
      </c>
      <c r="R636" s="3" t="s">
        <v>70</v>
      </c>
      <c r="S636" s="4">
        <v>7</v>
      </c>
      <c r="T636" s="4">
        <v>7</v>
      </c>
      <c r="U636" s="5" t="s">
        <v>6636</v>
      </c>
      <c r="V636" s="5" t="s">
        <v>6636</v>
      </c>
      <c r="W636" s="5" t="s">
        <v>72</v>
      </c>
      <c r="X636" s="5" t="s">
        <v>72</v>
      </c>
      <c r="Y636" s="4">
        <v>126</v>
      </c>
      <c r="Z636" s="4">
        <v>7</v>
      </c>
      <c r="AA636" s="4">
        <v>7</v>
      </c>
      <c r="AB636" s="4">
        <v>1</v>
      </c>
      <c r="AC636" s="4">
        <v>1</v>
      </c>
      <c r="AD636" s="4">
        <v>57</v>
      </c>
      <c r="AE636" s="4">
        <v>57</v>
      </c>
      <c r="AF636" s="4">
        <v>0</v>
      </c>
      <c r="AG636" s="4">
        <v>0</v>
      </c>
      <c r="AH636" s="4">
        <v>55</v>
      </c>
      <c r="AI636" s="4">
        <v>55</v>
      </c>
      <c r="AJ636" s="4">
        <v>4</v>
      </c>
      <c r="AK636" s="4">
        <v>4</v>
      </c>
      <c r="AL636" s="4">
        <v>33</v>
      </c>
      <c r="AM636" s="4">
        <v>33</v>
      </c>
      <c r="AN636" s="4">
        <v>0</v>
      </c>
      <c r="AO636" s="4">
        <v>0</v>
      </c>
      <c r="AP636" s="4">
        <v>4</v>
      </c>
      <c r="AQ636" s="4">
        <v>4</v>
      </c>
      <c r="AR636" s="3" t="s">
        <v>64</v>
      </c>
      <c r="AS636" s="3" t="s">
        <v>64</v>
      </c>
      <c r="AT636" s="3" t="s">
        <v>73</v>
      </c>
      <c r="AU636" s="6" t="str">
        <f>HYPERLINK("http://catalog.hathitrust.org/Record/002527005","HathiTrust Record")</f>
        <v>HathiTrust Record</v>
      </c>
      <c r="AV636" s="6" t="str">
        <f>HYPERLINK("http://mcgill.on.worldcat.org/oclc/23975786","Catalog Record")</f>
        <v>Catalog Record</v>
      </c>
      <c r="AW636" s="6" t="str">
        <f>HYPERLINK("http://www.worldcat.org/oclc/23975786","WorldCat Record")</f>
        <v>WorldCat Record</v>
      </c>
      <c r="AX636" s="3" t="s">
        <v>6649</v>
      </c>
      <c r="AY636" s="3" t="s">
        <v>6650</v>
      </c>
      <c r="AZ636" s="3" t="s">
        <v>6651</v>
      </c>
      <c r="BA636" s="3" t="s">
        <v>6651</v>
      </c>
      <c r="BB636" s="3" t="s">
        <v>6652</v>
      </c>
      <c r="BC636" s="3" t="s">
        <v>78</v>
      </c>
      <c r="BD636" s="3" t="s">
        <v>79</v>
      </c>
      <c r="BE636" s="3" t="s">
        <v>6653</v>
      </c>
      <c r="BF636" s="3" t="s">
        <v>6652</v>
      </c>
      <c r="BG636" s="3" t="s">
        <v>6654</v>
      </c>
    </row>
    <row r="637" spans="1:59" ht="58" x14ac:dyDescent="0.35">
      <c r="A637" s="2" t="s">
        <v>59</v>
      </c>
      <c r="B637" s="2" t="s">
        <v>94</v>
      </c>
      <c r="C637" s="2" t="s">
        <v>6655</v>
      </c>
      <c r="D637" s="2" t="s">
        <v>6656</v>
      </c>
      <c r="E637" s="2" t="s">
        <v>6657</v>
      </c>
      <c r="G637" s="3" t="s">
        <v>64</v>
      </c>
      <c r="I637" s="3" t="s">
        <v>64</v>
      </c>
      <c r="J637" s="3" t="s">
        <v>64</v>
      </c>
      <c r="K637" s="3" t="s">
        <v>65</v>
      </c>
      <c r="M637" s="2" t="s">
        <v>6658</v>
      </c>
      <c r="N637" s="3" t="s">
        <v>264</v>
      </c>
      <c r="P637" s="3" t="s">
        <v>69</v>
      </c>
      <c r="R637" s="3" t="s">
        <v>70</v>
      </c>
      <c r="S637" s="4">
        <v>24</v>
      </c>
      <c r="T637" s="4">
        <v>24</v>
      </c>
      <c r="U637" s="5" t="s">
        <v>603</v>
      </c>
      <c r="V637" s="5" t="s">
        <v>603</v>
      </c>
      <c r="W637" s="5" t="s">
        <v>72</v>
      </c>
      <c r="X637" s="5" t="s">
        <v>72</v>
      </c>
      <c r="Y637" s="4">
        <v>93</v>
      </c>
      <c r="Z637" s="4">
        <v>9</v>
      </c>
      <c r="AA637" s="4">
        <v>38</v>
      </c>
      <c r="AB637" s="4">
        <v>1</v>
      </c>
      <c r="AC637" s="4">
        <v>4</v>
      </c>
      <c r="AD637" s="4">
        <v>33</v>
      </c>
      <c r="AE637" s="4">
        <v>101</v>
      </c>
      <c r="AF637" s="4">
        <v>0</v>
      </c>
      <c r="AG637" s="4">
        <v>3</v>
      </c>
      <c r="AH637" s="4">
        <v>30</v>
      </c>
      <c r="AI637" s="4">
        <v>79</v>
      </c>
      <c r="AJ637" s="4">
        <v>4</v>
      </c>
      <c r="AK637" s="4">
        <v>21</v>
      </c>
      <c r="AL637" s="4">
        <v>21</v>
      </c>
      <c r="AM637" s="4">
        <v>44</v>
      </c>
      <c r="AN637" s="4">
        <v>0</v>
      </c>
      <c r="AO637" s="4">
        <v>0</v>
      </c>
      <c r="AP637" s="4">
        <v>4</v>
      </c>
      <c r="AQ637" s="4">
        <v>26</v>
      </c>
      <c r="AR637" s="3" t="s">
        <v>64</v>
      </c>
      <c r="AS637" s="3" t="s">
        <v>64</v>
      </c>
      <c r="AT637" s="3" t="s">
        <v>73</v>
      </c>
      <c r="AU637" s="6" t="str">
        <f>HYPERLINK("http://catalog.hathitrust.org/Record/000252041","HathiTrust Record")</f>
        <v>HathiTrust Record</v>
      </c>
      <c r="AV637" s="6" t="str">
        <f>HYPERLINK("http://mcgill.on.worldcat.org/oclc/11809055","Catalog Record")</f>
        <v>Catalog Record</v>
      </c>
      <c r="AW637" s="6" t="str">
        <f>HYPERLINK("http://www.worldcat.org/oclc/11809055","WorldCat Record")</f>
        <v>WorldCat Record</v>
      </c>
      <c r="AX637" s="3" t="s">
        <v>6659</v>
      </c>
      <c r="AY637" s="3" t="s">
        <v>6660</v>
      </c>
      <c r="AZ637" s="3" t="s">
        <v>6661</v>
      </c>
      <c r="BA637" s="3" t="s">
        <v>6661</v>
      </c>
      <c r="BB637" s="3" t="s">
        <v>6662</v>
      </c>
      <c r="BC637" s="3" t="s">
        <v>78</v>
      </c>
      <c r="BD637" s="3" t="s">
        <v>79</v>
      </c>
      <c r="BE637" s="3" t="s">
        <v>6663</v>
      </c>
      <c r="BF637" s="3" t="s">
        <v>6662</v>
      </c>
      <c r="BG637" s="3" t="s">
        <v>6664</v>
      </c>
    </row>
    <row r="638" spans="1:59" ht="58" x14ac:dyDescent="0.35">
      <c r="A638" s="2" t="s">
        <v>59</v>
      </c>
      <c r="B638" s="2" t="s">
        <v>94</v>
      </c>
      <c r="C638" s="2" t="s">
        <v>6665</v>
      </c>
      <c r="D638" s="2" t="s">
        <v>6666</v>
      </c>
      <c r="E638" s="2" t="s">
        <v>6667</v>
      </c>
      <c r="G638" s="3" t="s">
        <v>64</v>
      </c>
      <c r="I638" s="3" t="s">
        <v>64</v>
      </c>
      <c r="J638" s="3" t="s">
        <v>64</v>
      </c>
      <c r="K638" s="3" t="s">
        <v>65</v>
      </c>
      <c r="L638" s="2" t="s">
        <v>6668</v>
      </c>
      <c r="M638" s="2" t="s">
        <v>6669</v>
      </c>
      <c r="N638" s="3" t="s">
        <v>226</v>
      </c>
      <c r="O638" s="2" t="s">
        <v>275</v>
      </c>
      <c r="P638" s="3" t="s">
        <v>69</v>
      </c>
      <c r="Q638" s="2" t="s">
        <v>6670</v>
      </c>
      <c r="R638" s="3" t="s">
        <v>70</v>
      </c>
      <c r="S638" s="4">
        <v>50</v>
      </c>
      <c r="T638" s="4">
        <v>50</v>
      </c>
      <c r="U638" s="5" t="s">
        <v>6671</v>
      </c>
      <c r="V638" s="5" t="s">
        <v>6671</v>
      </c>
      <c r="W638" s="5" t="s">
        <v>72</v>
      </c>
      <c r="X638" s="5" t="s">
        <v>72</v>
      </c>
      <c r="Y638" s="4">
        <v>342</v>
      </c>
      <c r="Z638" s="4">
        <v>17</v>
      </c>
      <c r="AA638" s="4">
        <v>123</v>
      </c>
      <c r="AB638" s="4">
        <v>1</v>
      </c>
      <c r="AC638" s="4">
        <v>21</v>
      </c>
      <c r="AD638" s="4">
        <v>85</v>
      </c>
      <c r="AE638" s="4">
        <v>159</v>
      </c>
      <c r="AF638" s="4">
        <v>0</v>
      </c>
      <c r="AG638" s="4">
        <v>8</v>
      </c>
      <c r="AH638" s="4">
        <v>78</v>
      </c>
      <c r="AI638" s="4">
        <v>113</v>
      </c>
      <c r="AJ638" s="4">
        <v>10</v>
      </c>
      <c r="AK638" s="4">
        <v>26</v>
      </c>
      <c r="AL638" s="4">
        <v>44</v>
      </c>
      <c r="AM638" s="4">
        <v>60</v>
      </c>
      <c r="AN638" s="4">
        <v>0</v>
      </c>
      <c r="AO638" s="4">
        <v>0</v>
      </c>
      <c r="AP638" s="4">
        <v>13</v>
      </c>
      <c r="AQ638" s="4">
        <v>55</v>
      </c>
      <c r="AR638" s="3" t="s">
        <v>64</v>
      </c>
      <c r="AS638" s="3" t="s">
        <v>64</v>
      </c>
      <c r="AT638" s="3" t="s">
        <v>64</v>
      </c>
      <c r="AV638" s="6" t="str">
        <f>HYPERLINK("http://mcgill.on.worldcat.org/oclc/37030370","Catalog Record")</f>
        <v>Catalog Record</v>
      </c>
      <c r="AW638" s="6" t="str">
        <f>HYPERLINK("http://www.worldcat.org/oclc/37030370","WorldCat Record")</f>
        <v>WorldCat Record</v>
      </c>
      <c r="AX638" s="3" t="s">
        <v>6672</v>
      </c>
      <c r="AY638" s="3" t="s">
        <v>6673</v>
      </c>
      <c r="AZ638" s="3" t="s">
        <v>6674</v>
      </c>
      <c r="BA638" s="3" t="s">
        <v>6674</v>
      </c>
      <c r="BB638" s="3" t="s">
        <v>6675</v>
      </c>
      <c r="BC638" s="3" t="s">
        <v>78</v>
      </c>
      <c r="BD638" s="3" t="s">
        <v>414</v>
      </c>
      <c r="BE638" s="3" t="s">
        <v>6676</v>
      </c>
      <c r="BF638" s="3" t="s">
        <v>6675</v>
      </c>
      <c r="BG638" s="3" t="s">
        <v>6677</v>
      </c>
    </row>
    <row r="639" spans="1:59" ht="58" x14ac:dyDescent="0.35">
      <c r="A639" s="2" t="s">
        <v>59</v>
      </c>
      <c r="B639" s="2" t="s">
        <v>94</v>
      </c>
      <c r="C639" s="2" t="s">
        <v>6678</v>
      </c>
      <c r="D639" s="2" t="s">
        <v>6679</v>
      </c>
      <c r="E639" s="2" t="s">
        <v>6680</v>
      </c>
      <c r="G639" s="3" t="s">
        <v>64</v>
      </c>
      <c r="I639" s="3" t="s">
        <v>64</v>
      </c>
      <c r="J639" s="3" t="s">
        <v>73</v>
      </c>
      <c r="K639" s="3" t="s">
        <v>65</v>
      </c>
      <c r="L639" s="2" t="s">
        <v>6681</v>
      </c>
      <c r="M639" s="2" t="s">
        <v>6682</v>
      </c>
      <c r="N639" s="3" t="s">
        <v>1064</v>
      </c>
      <c r="P639" s="3" t="s">
        <v>69</v>
      </c>
      <c r="R639" s="3" t="s">
        <v>70</v>
      </c>
      <c r="S639" s="4">
        <v>10</v>
      </c>
      <c r="T639" s="4">
        <v>10</v>
      </c>
      <c r="U639" s="5" t="s">
        <v>1447</v>
      </c>
      <c r="V639" s="5" t="s">
        <v>1447</v>
      </c>
      <c r="W639" s="5" t="s">
        <v>72</v>
      </c>
      <c r="X639" s="5" t="s">
        <v>72</v>
      </c>
      <c r="Y639" s="4">
        <v>391</v>
      </c>
      <c r="Z639" s="4">
        <v>31</v>
      </c>
      <c r="AA639" s="4">
        <v>47</v>
      </c>
      <c r="AB639" s="4">
        <v>3</v>
      </c>
      <c r="AC639" s="4">
        <v>6</v>
      </c>
      <c r="AD639" s="4">
        <v>97</v>
      </c>
      <c r="AE639" s="4">
        <v>125</v>
      </c>
      <c r="AF639" s="4">
        <v>1</v>
      </c>
      <c r="AG639" s="4">
        <v>3</v>
      </c>
      <c r="AH639" s="4">
        <v>81</v>
      </c>
      <c r="AI639" s="4">
        <v>102</v>
      </c>
      <c r="AJ639" s="4">
        <v>14</v>
      </c>
      <c r="AK639" s="4">
        <v>21</v>
      </c>
      <c r="AL639" s="4">
        <v>42</v>
      </c>
      <c r="AM639" s="4">
        <v>55</v>
      </c>
      <c r="AN639" s="4">
        <v>0</v>
      </c>
      <c r="AO639" s="4">
        <v>0</v>
      </c>
      <c r="AP639" s="4">
        <v>20</v>
      </c>
      <c r="AQ639" s="4">
        <v>30</v>
      </c>
      <c r="AR639" s="3" t="s">
        <v>64</v>
      </c>
      <c r="AS639" s="3" t="s">
        <v>64</v>
      </c>
      <c r="AT639" s="3" t="s">
        <v>64</v>
      </c>
      <c r="AV639" s="6" t="str">
        <f>HYPERLINK("http://mcgill.on.worldcat.org/oclc/41326604","Catalog Record")</f>
        <v>Catalog Record</v>
      </c>
      <c r="AW639" s="6" t="str">
        <f>HYPERLINK("http://www.worldcat.org/oclc/41326604","WorldCat Record")</f>
        <v>WorldCat Record</v>
      </c>
      <c r="AX639" s="3" t="s">
        <v>6683</v>
      </c>
      <c r="AY639" s="3" t="s">
        <v>6684</v>
      </c>
      <c r="AZ639" s="3" t="s">
        <v>6685</v>
      </c>
      <c r="BA639" s="3" t="s">
        <v>6685</v>
      </c>
      <c r="BB639" s="3" t="s">
        <v>6686</v>
      </c>
      <c r="BC639" s="3" t="s">
        <v>78</v>
      </c>
      <c r="BD639" s="3" t="s">
        <v>79</v>
      </c>
      <c r="BE639" s="3" t="s">
        <v>6687</v>
      </c>
      <c r="BF639" s="3" t="s">
        <v>6686</v>
      </c>
      <c r="BG639" s="3" t="s">
        <v>6688</v>
      </c>
    </row>
    <row r="640" spans="1:59" ht="58" x14ac:dyDescent="0.35">
      <c r="A640" s="2" t="s">
        <v>59</v>
      </c>
      <c r="B640" s="2" t="s">
        <v>94</v>
      </c>
      <c r="C640" s="2" t="s">
        <v>6689</v>
      </c>
      <c r="D640" s="2" t="s">
        <v>6690</v>
      </c>
      <c r="E640" s="2" t="s">
        <v>6691</v>
      </c>
      <c r="G640" s="3" t="s">
        <v>64</v>
      </c>
      <c r="I640" s="3" t="s">
        <v>64</v>
      </c>
      <c r="J640" s="3" t="s">
        <v>64</v>
      </c>
      <c r="K640" s="3" t="s">
        <v>65</v>
      </c>
      <c r="L640" s="2" t="s">
        <v>6681</v>
      </c>
      <c r="M640" s="2" t="s">
        <v>6692</v>
      </c>
      <c r="N640" s="3" t="s">
        <v>538</v>
      </c>
      <c r="O640" s="2" t="s">
        <v>638</v>
      </c>
      <c r="P640" s="3" t="s">
        <v>69</v>
      </c>
      <c r="R640" s="3" t="s">
        <v>70</v>
      </c>
      <c r="S640" s="4">
        <v>14</v>
      </c>
      <c r="T640" s="4">
        <v>14</v>
      </c>
      <c r="U640" s="5" t="s">
        <v>6693</v>
      </c>
      <c r="V640" s="5" t="s">
        <v>6693</v>
      </c>
      <c r="W640" s="5" t="s">
        <v>72</v>
      </c>
      <c r="X640" s="5" t="s">
        <v>72</v>
      </c>
      <c r="Y640" s="4">
        <v>232</v>
      </c>
      <c r="Z640" s="4">
        <v>13</v>
      </c>
      <c r="AA640" s="4">
        <v>24</v>
      </c>
      <c r="AB640" s="4">
        <v>3</v>
      </c>
      <c r="AC640" s="4">
        <v>5</v>
      </c>
      <c r="AD640" s="4">
        <v>69</v>
      </c>
      <c r="AE640" s="4">
        <v>87</v>
      </c>
      <c r="AF640" s="4">
        <v>1</v>
      </c>
      <c r="AG640" s="4">
        <v>2</v>
      </c>
      <c r="AH640" s="4">
        <v>61</v>
      </c>
      <c r="AI640" s="4">
        <v>76</v>
      </c>
      <c r="AJ640" s="4">
        <v>9</v>
      </c>
      <c r="AK640" s="4">
        <v>15</v>
      </c>
      <c r="AL640" s="4">
        <v>34</v>
      </c>
      <c r="AM640" s="4">
        <v>42</v>
      </c>
      <c r="AN640" s="4">
        <v>0</v>
      </c>
      <c r="AO640" s="4">
        <v>0</v>
      </c>
      <c r="AP640" s="4">
        <v>10</v>
      </c>
      <c r="AQ640" s="4">
        <v>17</v>
      </c>
      <c r="AR640" s="3" t="s">
        <v>64</v>
      </c>
      <c r="AS640" s="3" t="s">
        <v>64</v>
      </c>
      <c r="AT640" s="3" t="s">
        <v>64</v>
      </c>
      <c r="AV640" s="6" t="str">
        <f>HYPERLINK("http://mcgill.on.worldcat.org/oclc/85479050","Catalog Record")</f>
        <v>Catalog Record</v>
      </c>
      <c r="AW640" s="6" t="str">
        <f>HYPERLINK("http://www.worldcat.org/oclc/85479050","WorldCat Record")</f>
        <v>WorldCat Record</v>
      </c>
      <c r="AX640" s="3" t="s">
        <v>6694</v>
      </c>
      <c r="AY640" s="3" t="s">
        <v>6695</v>
      </c>
      <c r="AZ640" s="3" t="s">
        <v>6696</v>
      </c>
      <c r="BA640" s="3" t="s">
        <v>6696</v>
      </c>
      <c r="BB640" s="3" t="s">
        <v>6697</v>
      </c>
      <c r="BC640" s="3" t="s">
        <v>78</v>
      </c>
      <c r="BD640" s="3" t="s">
        <v>79</v>
      </c>
      <c r="BE640" s="3" t="s">
        <v>6698</v>
      </c>
      <c r="BF640" s="3" t="s">
        <v>6697</v>
      </c>
      <c r="BG640" s="3" t="s">
        <v>6699</v>
      </c>
    </row>
    <row r="641" spans="1:59" ht="58" x14ac:dyDescent="0.35">
      <c r="A641" s="2" t="s">
        <v>59</v>
      </c>
      <c r="B641" s="2" t="s">
        <v>94</v>
      </c>
      <c r="C641" s="2" t="s">
        <v>6700</v>
      </c>
      <c r="D641" s="2" t="s">
        <v>6701</v>
      </c>
      <c r="E641" s="2" t="s">
        <v>6702</v>
      </c>
      <c r="G641" s="3" t="s">
        <v>64</v>
      </c>
      <c r="I641" s="3" t="s">
        <v>64</v>
      </c>
      <c r="J641" s="3" t="s">
        <v>73</v>
      </c>
      <c r="K641" s="3" t="s">
        <v>65</v>
      </c>
      <c r="L641" s="2" t="s">
        <v>6703</v>
      </c>
      <c r="M641" s="2" t="s">
        <v>6704</v>
      </c>
      <c r="N641" s="3" t="s">
        <v>377</v>
      </c>
      <c r="O641" s="2" t="s">
        <v>6705</v>
      </c>
      <c r="P641" s="3" t="s">
        <v>69</v>
      </c>
      <c r="R641" s="3" t="s">
        <v>70</v>
      </c>
      <c r="S641" s="4">
        <v>6</v>
      </c>
      <c r="T641" s="4">
        <v>6</v>
      </c>
      <c r="U641" s="5" t="s">
        <v>6706</v>
      </c>
      <c r="V641" s="5" t="s">
        <v>6706</v>
      </c>
      <c r="W641" s="5" t="s">
        <v>72</v>
      </c>
      <c r="X641" s="5" t="s">
        <v>72</v>
      </c>
      <c r="Y641" s="4">
        <v>129</v>
      </c>
      <c r="Z641" s="4">
        <v>9</v>
      </c>
      <c r="AA641" s="4">
        <v>47</v>
      </c>
      <c r="AB641" s="4">
        <v>1</v>
      </c>
      <c r="AC641" s="4">
        <v>6</v>
      </c>
      <c r="AD641" s="4">
        <v>43</v>
      </c>
      <c r="AE641" s="4">
        <v>125</v>
      </c>
      <c r="AF641" s="4">
        <v>0</v>
      </c>
      <c r="AG641" s="4">
        <v>3</v>
      </c>
      <c r="AH641" s="4">
        <v>39</v>
      </c>
      <c r="AI641" s="4">
        <v>102</v>
      </c>
      <c r="AJ641" s="4">
        <v>4</v>
      </c>
      <c r="AK641" s="4">
        <v>21</v>
      </c>
      <c r="AL641" s="4">
        <v>24</v>
      </c>
      <c r="AM641" s="4">
        <v>55</v>
      </c>
      <c r="AN641" s="4">
        <v>0</v>
      </c>
      <c r="AO641" s="4">
        <v>0</v>
      </c>
      <c r="AP641" s="4">
        <v>6</v>
      </c>
      <c r="AQ641" s="4">
        <v>30</v>
      </c>
      <c r="AR641" s="3" t="s">
        <v>64</v>
      </c>
      <c r="AS641" s="3" t="s">
        <v>64</v>
      </c>
      <c r="AT641" s="3" t="s">
        <v>64</v>
      </c>
      <c r="AV641" s="6" t="str">
        <f>HYPERLINK("http://mcgill.on.worldcat.org/oclc/826827895","Catalog Record")</f>
        <v>Catalog Record</v>
      </c>
      <c r="AW641" s="6" t="str">
        <f>HYPERLINK("http://www.worldcat.org/oclc/826827895","WorldCat Record")</f>
        <v>WorldCat Record</v>
      </c>
      <c r="AX641" s="3" t="s">
        <v>6683</v>
      </c>
      <c r="AY641" s="3" t="s">
        <v>6707</v>
      </c>
      <c r="AZ641" s="3" t="s">
        <v>6708</v>
      </c>
      <c r="BA641" s="3" t="s">
        <v>6708</v>
      </c>
      <c r="BB641" s="3" t="s">
        <v>6709</v>
      </c>
      <c r="BC641" s="3" t="s">
        <v>78</v>
      </c>
      <c r="BD641" s="3" t="s">
        <v>79</v>
      </c>
      <c r="BE641" s="3" t="s">
        <v>6710</v>
      </c>
      <c r="BF641" s="3" t="s">
        <v>6709</v>
      </c>
      <c r="BG641" s="3" t="s">
        <v>6711</v>
      </c>
    </row>
    <row r="642" spans="1:59" ht="58" x14ac:dyDescent="0.35">
      <c r="A642" s="2" t="s">
        <v>59</v>
      </c>
      <c r="B642" s="2" t="s">
        <v>94</v>
      </c>
      <c r="C642" s="2" t="s">
        <v>6712</v>
      </c>
      <c r="D642" s="2" t="s">
        <v>6713</v>
      </c>
      <c r="E642" s="2" t="s">
        <v>6714</v>
      </c>
      <c r="G642" s="3" t="s">
        <v>64</v>
      </c>
      <c r="I642" s="3" t="s">
        <v>73</v>
      </c>
      <c r="J642" s="3" t="s">
        <v>64</v>
      </c>
      <c r="K642" s="3" t="s">
        <v>65</v>
      </c>
      <c r="L642" s="2" t="s">
        <v>6715</v>
      </c>
      <c r="M642" s="2" t="s">
        <v>6716</v>
      </c>
      <c r="N642" s="3" t="s">
        <v>1029</v>
      </c>
      <c r="P642" s="3" t="s">
        <v>69</v>
      </c>
      <c r="R642" s="3" t="s">
        <v>70</v>
      </c>
      <c r="S642" s="4">
        <v>24</v>
      </c>
      <c r="T642" s="4">
        <v>45</v>
      </c>
      <c r="U642" s="5" t="s">
        <v>6717</v>
      </c>
      <c r="V642" s="5" t="s">
        <v>6717</v>
      </c>
      <c r="W642" s="5" t="s">
        <v>72</v>
      </c>
      <c r="X642" s="5" t="s">
        <v>72</v>
      </c>
      <c r="Y642" s="4">
        <v>1055</v>
      </c>
      <c r="Z642" s="4">
        <v>30</v>
      </c>
      <c r="AA642" s="4">
        <v>120</v>
      </c>
      <c r="AB642" s="4">
        <v>3</v>
      </c>
      <c r="AC642" s="4">
        <v>19</v>
      </c>
      <c r="AD642" s="4">
        <v>95</v>
      </c>
      <c r="AE642" s="4">
        <v>146</v>
      </c>
      <c r="AF642" s="4">
        <v>0</v>
      </c>
      <c r="AG642" s="4">
        <v>8</v>
      </c>
      <c r="AH642" s="4">
        <v>85</v>
      </c>
      <c r="AI642" s="4">
        <v>107</v>
      </c>
      <c r="AJ642" s="4">
        <v>10</v>
      </c>
      <c r="AK642" s="4">
        <v>25</v>
      </c>
      <c r="AL642" s="4">
        <v>48</v>
      </c>
      <c r="AM642" s="4">
        <v>56</v>
      </c>
      <c r="AN642" s="4">
        <v>0</v>
      </c>
      <c r="AO642" s="4">
        <v>0</v>
      </c>
      <c r="AP642" s="4">
        <v>15</v>
      </c>
      <c r="AQ642" s="4">
        <v>47</v>
      </c>
      <c r="AR642" s="3" t="s">
        <v>64</v>
      </c>
      <c r="AS642" s="3" t="s">
        <v>64</v>
      </c>
      <c r="AT642" s="3" t="s">
        <v>64</v>
      </c>
      <c r="AV642" s="6" t="str">
        <f>HYPERLINK("http://mcgill.on.worldcat.org/oclc/221155251","Catalog Record")</f>
        <v>Catalog Record</v>
      </c>
      <c r="AW642" s="6" t="str">
        <f>HYPERLINK("http://www.worldcat.org/oclc/221155251","WorldCat Record")</f>
        <v>WorldCat Record</v>
      </c>
      <c r="AX642" s="3" t="s">
        <v>6718</v>
      </c>
      <c r="AY642" s="3" t="s">
        <v>6719</v>
      </c>
      <c r="AZ642" s="3" t="s">
        <v>6720</v>
      </c>
      <c r="BA642" s="3" t="s">
        <v>6720</v>
      </c>
      <c r="BB642" s="3" t="s">
        <v>6721</v>
      </c>
      <c r="BC642" s="3" t="s">
        <v>78</v>
      </c>
      <c r="BD642" s="3" t="s">
        <v>79</v>
      </c>
      <c r="BE642" s="3" t="s">
        <v>6722</v>
      </c>
      <c r="BF642" s="3" t="s">
        <v>6721</v>
      </c>
      <c r="BG642" s="3" t="s">
        <v>6723</v>
      </c>
    </row>
    <row r="643" spans="1:59" ht="58" x14ac:dyDescent="0.35">
      <c r="A643" s="2" t="s">
        <v>59</v>
      </c>
      <c r="B643" s="2" t="s">
        <v>94</v>
      </c>
      <c r="C643" s="2" t="s">
        <v>6712</v>
      </c>
      <c r="D643" s="2" t="s">
        <v>6713</v>
      </c>
      <c r="E643" s="2" t="s">
        <v>6714</v>
      </c>
      <c r="G643" s="3" t="s">
        <v>64</v>
      </c>
      <c r="I643" s="3" t="s">
        <v>73</v>
      </c>
      <c r="J643" s="3" t="s">
        <v>64</v>
      </c>
      <c r="K643" s="3" t="s">
        <v>65</v>
      </c>
      <c r="L643" s="2" t="s">
        <v>6715</v>
      </c>
      <c r="M643" s="2" t="s">
        <v>6716</v>
      </c>
      <c r="N643" s="3" t="s">
        <v>1029</v>
      </c>
      <c r="P643" s="3" t="s">
        <v>69</v>
      </c>
      <c r="R643" s="3" t="s">
        <v>70</v>
      </c>
      <c r="S643" s="4">
        <v>21</v>
      </c>
      <c r="T643" s="4">
        <v>45</v>
      </c>
      <c r="U643" s="5" t="s">
        <v>2687</v>
      </c>
      <c r="V643" s="5" t="s">
        <v>6717</v>
      </c>
      <c r="W643" s="5" t="s">
        <v>72</v>
      </c>
      <c r="X643" s="5" t="s">
        <v>72</v>
      </c>
      <c r="Y643" s="4">
        <v>1055</v>
      </c>
      <c r="Z643" s="4">
        <v>30</v>
      </c>
      <c r="AA643" s="4">
        <v>120</v>
      </c>
      <c r="AB643" s="4">
        <v>3</v>
      </c>
      <c r="AC643" s="4">
        <v>19</v>
      </c>
      <c r="AD643" s="4">
        <v>95</v>
      </c>
      <c r="AE643" s="4">
        <v>146</v>
      </c>
      <c r="AF643" s="4">
        <v>0</v>
      </c>
      <c r="AG643" s="4">
        <v>8</v>
      </c>
      <c r="AH643" s="4">
        <v>85</v>
      </c>
      <c r="AI643" s="4">
        <v>107</v>
      </c>
      <c r="AJ643" s="4">
        <v>10</v>
      </c>
      <c r="AK643" s="4">
        <v>25</v>
      </c>
      <c r="AL643" s="4">
        <v>48</v>
      </c>
      <c r="AM643" s="4">
        <v>56</v>
      </c>
      <c r="AN643" s="4">
        <v>0</v>
      </c>
      <c r="AO643" s="4">
        <v>0</v>
      </c>
      <c r="AP643" s="4">
        <v>15</v>
      </c>
      <c r="AQ643" s="4">
        <v>47</v>
      </c>
      <c r="AR643" s="3" t="s">
        <v>64</v>
      </c>
      <c r="AS643" s="3" t="s">
        <v>64</v>
      </c>
      <c r="AT643" s="3" t="s">
        <v>64</v>
      </c>
      <c r="AV643" s="6" t="str">
        <f>HYPERLINK("http://mcgill.on.worldcat.org/oclc/221155251","Catalog Record")</f>
        <v>Catalog Record</v>
      </c>
      <c r="AW643" s="6" t="str">
        <f>HYPERLINK("http://www.worldcat.org/oclc/221155251","WorldCat Record")</f>
        <v>WorldCat Record</v>
      </c>
      <c r="AX643" s="3" t="s">
        <v>6718</v>
      </c>
      <c r="AY643" s="3" t="s">
        <v>6719</v>
      </c>
      <c r="AZ643" s="3" t="s">
        <v>6720</v>
      </c>
      <c r="BA643" s="3" t="s">
        <v>6720</v>
      </c>
      <c r="BB643" s="3" t="s">
        <v>6724</v>
      </c>
      <c r="BC643" s="3" t="s">
        <v>78</v>
      </c>
      <c r="BD643" s="3" t="s">
        <v>79</v>
      </c>
      <c r="BE643" s="3" t="s">
        <v>6722</v>
      </c>
      <c r="BF643" s="3" t="s">
        <v>6724</v>
      </c>
      <c r="BG643" s="3" t="s">
        <v>6725</v>
      </c>
    </row>
    <row r="644" spans="1:59" ht="58" x14ac:dyDescent="0.35">
      <c r="A644" s="2" t="s">
        <v>59</v>
      </c>
      <c r="B644" s="2" t="s">
        <v>94</v>
      </c>
      <c r="C644" s="2" t="s">
        <v>6726</v>
      </c>
      <c r="D644" s="2" t="s">
        <v>6727</v>
      </c>
      <c r="E644" s="2" t="s">
        <v>6728</v>
      </c>
      <c r="G644" s="3" t="s">
        <v>64</v>
      </c>
      <c r="I644" s="3" t="s">
        <v>73</v>
      </c>
      <c r="J644" s="3" t="s">
        <v>64</v>
      </c>
      <c r="K644" s="3" t="s">
        <v>65</v>
      </c>
      <c r="L644" s="2" t="s">
        <v>6729</v>
      </c>
      <c r="M644" s="2" t="s">
        <v>6730</v>
      </c>
      <c r="N644" s="3" t="s">
        <v>2116</v>
      </c>
      <c r="O644" s="2" t="s">
        <v>1294</v>
      </c>
      <c r="P644" s="3" t="s">
        <v>69</v>
      </c>
      <c r="R644" s="3" t="s">
        <v>70</v>
      </c>
      <c r="S644" s="4">
        <v>12</v>
      </c>
      <c r="T644" s="4">
        <v>22</v>
      </c>
      <c r="U644" s="5" t="s">
        <v>6731</v>
      </c>
      <c r="V644" s="5" t="s">
        <v>6732</v>
      </c>
      <c r="W644" s="5" t="s">
        <v>72</v>
      </c>
      <c r="X644" s="5" t="s">
        <v>72</v>
      </c>
      <c r="Y644" s="4">
        <v>722</v>
      </c>
      <c r="Z644" s="4">
        <v>25</v>
      </c>
      <c r="AA644" s="4">
        <v>47</v>
      </c>
      <c r="AB644" s="4">
        <v>3</v>
      </c>
      <c r="AC644" s="4">
        <v>8</v>
      </c>
      <c r="AD644" s="4">
        <v>100</v>
      </c>
      <c r="AE644" s="4">
        <v>123</v>
      </c>
      <c r="AF644" s="4">
        <v>1</v>
      </c>
      <c r="AG644" s="4">
        <v>4</v>
      </c>
      <c r="AH644" s="4">
        <v>90</v>
      </c>
      <c r="AI644" s="4">
        <v>104</v>
      </c>
      <c r="AJ644" s="4">
        <v>12</v>
      </c>
      <c r="AK644" s="4">
        <v>23</v>
      </c>
      <c r="AL644" s="4">
        <v>48</v>
      </c>
      <c r="AM644" s="4">
        <v>52</v>
      </c>
      <c r="AN644" s="4">
        <v>0</v>
      </c>
      <c r="AO644" s="4">
        <v>5</v>
      </c>
      <c r="AP644" s="4">
        <v>15</v>
      </c>
      <c r="AQ644" s="4">
        <v>27</v>
      </c>
      <c r="AR644" s="3" t="s">
        <v>64</v>
      </c>
      <c r="AS644" s="3" t="s">
        <v>64</v>
      </c>
      <c r="AT644" s="3" t="s">
        <v>64</v>
      </c>
      <c r="AV644" s="6" t="str">
        <f>HYPERLINK("http://mcgill.on.worldcat.org/oclc/2331543","Catalog Record")</f>
        <v>Catalog Record</v>
      </c>
      <c r="AW644" s="6" t="str">
        <f>HYPERLINK("http://www.worldcat.org/oclc/2331543","WorldCat Record")</f>
        <v>WorldCat Record</v>
      </c>
      <c r="AX644" s="3" t="s">
        <v>6733</v>
      </c>
      <c r="AY644" s="3" t="s">
        <v>6734</v>
      </c>
      <c r="AZ644" s="3" t="s">
        <v>6735</v>
      </c>
      <c r="BA644" s="3" t="s">
        <v>6735</v>
      </c>
      <c r="BB644" s="3" t="s">
        <v>6736</v>
      </c>
      <c r="BC644" s="3" t="s">
        <v>78</v>
      </c>
      <c r="BD644" s="3" t="s">
        <v>79</v>
      </c>
      <c r="BE644" s="3" t="s">
        <v>6737</v>
      </c>
      <c r="BF644" s="3" t="s">
        <v>6736</v>
      </c>
      <c r="BG644" s="3" t="s">
        <v>6738</v>
      </c>
    </row>
    <row r="645" spans="1:59" ht="58" x14ac:dyDescent="0.35">
      <c r="A645" s="2" t="s">
        <v>59</v>
      </c>
      <c r="B645" s="2" t="s">
        <v>94</v>
      </c>
      <c r="C645" s="2" t="s">
        <v>6726</v>
      </c>
      <c r="D645" s="2" t="s">
        <v>6727</v>
      </c>
      <c r="E645" s="2" t="s">
        <v>6728</v>
      </c>
      <c r="G645" s="3" t="s">
        <v>64</v>
      </c>
      <c r="I645" s="3" t="s">
        <v>73</v>
      </c>
      <c r="J645" s="3" t="s">
        <v>64</v>
      </c>
      <c r="K645" s="3" t="s">
        <v>65</v>
      </c>
      <c r="L645" s="2" t="s">
        <v>6729</v>
      </c>
      <c r="M645" s="2" t="s">
        <v>6730</v>
      </c>
      <c r="N645" s="3" t="s">
        <v>2116</v>
      </c>
      <c r="O645" s="2" t="s">
        <v>1294</v>
      </c>
      <c r="P645" s="3" t="s">
        <v>69</v>
      </c>
      <c r="R645" s="3" t="s">
        <v>70</v>
      </c>
      <c r="S645" s="4">
        <v>10</v>
      </c>
      <c r="T645" s="4">
        <v>22</v>
      </c>
      <c r="U645" s="5" t="s">
        <v>6732</v>
      </c>
      <c r="V645" s="5" t="s">
        <v>6732</v>
      </c>
      <c r="W645" s="5" t="s">
        <v>72</v>
      </c>
      <c r="X645" s="5" t="s">
        <v>72</v>
      </c>
      <c r="Y645" s="4">
        <v>722</v>
      </c>
      <c r="Z645" s="4">
        <v>25</v>
      </c>
      <c r="AA645" s="4">
        <v>47</v>
      </c>
      <c r="AB645" s="4">
        <v>3</v>
      </c>
      <c r="AC645" s="4">
        <v>8</v>
      </c>
      <c r="AD645" s="4">
        <v>100</v>
      </c>
      <c r="AE645" s="4">
        <v>123</v>
      </c>
      <c r="AF645" s="4">
        <v>1</v>
      </c>
      <c r="AG645" s="4">
        <v>4</v>
      </c>
      <c r="AH645" s="4">
        <v>90</v>
      </c>
      <c r="AI645" s="4">
        <v>104</v>
      </c>
      <c r="AJ645" s="4">
        <v>12</v>
      </c>
      <c r="AK645" s="4">
        <v>23</v>
      </c>
      <c r="AL645" s="4">
        <v>48</v>
      </c>
      <c r="AM645" s="4">
        <v>52</v>
      </c>
      <c r="AN645" s="4">
        <v>0</v>
      </c>
      <c r="AO645" s="4">
        <v>5</v>
      </c>
      <c r="AP645" s="4">
        <v>15</v>
      </c>
      <c r="AQ645" s="4">
        <v>27</v>
      </c>
      <c r="AR645" s="3" t="s">
        <v>64</v>
      </c>
      <c r="AS645" s="3" t="s">
        <v>64</v>
      </c>
      <c r="AT645" s="3" t="s">
        <v>64</v>
      </c>
      <c r="AV645" s="6" t="str">
        <f>HYPERLINK("http://mcgill.on.worldcat.org/oclc/2331543","Catalog Record")</f>
        <v>Catalog Record</v>
      </c>
      <c r="AW645" s="6" t="str">
        <f>HYPERLINK("http://www.worldcat.org/oclc/2331543","WorldCat Record")</f>
        <v>WorldCat Record</v>
      </c>
      <c r="AX645" s="3" t="s">
        <v>6733</v>
      </c>
      <c r="AY645" s="3" t="s">
        <v>6734</v>
      </c>
      <c r="AZ645" s="3" t="s">
        <v>6735</v>
      </c>
      <c r="BA645" s="3" t="s">
        <v>6735</v>
      </c>
      <c r="BB645" s="3" t="s">
        <v>6739</v>
      </c>
      <c r="BC645" s="3" t="s">
        <v>78</v>
      </c>
      <c r="BD645" s="3" t="s">
        <v>79</v>
      </c>
      <c r="BE645" s="3" t="s">
        <v>6737</v>
      </c>
      <c r="BF645" s="3" t="s">
        <v>6739</v>
      </c>
      <c r="BG645" s="3" t="s">
        <v>6740</v>
      </c>
    </row>
    <row r="646" spans="1:59" ht="58" x14ac:dyDescent="0.35">
      <c r="A646" s="2" t="s">
        <v>59</v>
      </c>
      <c r="B646" s="2" t="s">
        <v>94</v>
      </c>
      <c r="C646" s="2" t="s">
        <v>6741</v>
      </c>
      <c r="D646" s="2" t="s">
        <v>6742</v>
      </c>
      <c r="E646" s="2" t="s">
        <v>6743</v>
      </c>
      <c r="G646" s="3" t="s">
        <v>64</v>
      </c>
      <c r="I646" s="3" t="s">
        <v>64</v>
      </c>
      <c r="J646" s="3" t="s">
        <v>64</v>
      </c>
      <c r="K646" s="3" t="s">
        <v>65</v>
      </c>
      <c r="M646" s="2" t="s">
        <v>6744</v>
      </c>
      <c r="N646" s="3" t="s">
        <v>872</v>
      </c>
      <c r="P646" s="3" t="s">
        <v>69</v>
      </c>
      <c r="Q646" s="2" t="s">
        <v>6745</v>
      </c>
      <c r="R646" s="3" t="s">
        <v>70</v>
      </c>
      <c r="S646" s="4">
        <v>17</v>
      </c>
      <c r="T646" s="4">
        <v>17</v>
      </c>
      <c r="U646" s="5" t="s">
        <v>6746</v>
      </c>
      <c r="V646" s="5" t="s">
        <v>6746</v>
      </c>
      <c r="W646" s="5" t="s">
        <v>72</v>
      </c>
      <c r="X646" s="5" t="s">
        <v>72</v>
      </c>
      <c r="Y646" s="4">
        <v>310</v>
      </c>
      <c r="Z646" s="4">
        <v>15</v>
      </c>
      <c r="AA646" s="4">
        <v>15</v>
      </c>
      <c r="AB646" s="4">
        <v>1</v>
      </c>
      <c r="AC646" s="4">
        <v>1</v>
      </c>
      <c r="AD646" s="4">
        <v>85</v>
      </c>
      <c r="AE646" s="4">
        <v>85</v>
      </c>
      <c r="AF646" s="4">
        <v>0</v>
      </c>
      <c r="AG646" s="4">
        <v>0</v>
      </c>
      <c r="AH646" s="4">
        <v>77</v>
      </c>
      <c r="AI646" s="4">
        <v>77</v>
      </c>
      <c r="AJ646" s="4">
        <v>11</v>
      </c>
      <c r="AK646" s="4">
        <v>11</v>
      </c>
      <c r="AL646" s="4">
        <v>47</v>
      </c>
      <c r="AM646" s="4">
        <v>47</v>
      </c>
      <c r="AN646" s="4">
        <v>0</v>
      </c>
      <c r="AO646" s="4">
        <v>0</v>
      </c>
      <c r="AP646" s="4">
        <v>13</v>
      </c>
      <c r="AQ646" s="4">
        <v>13</v>
      </c>
      <c r="AR646" s="3" t="s">
        <v>64</v>
      </c>
      <c r="AS646" s="3" t="s">
        <v>64</v>
      </c>
      <c r="AT646" s="3" t="s">
        <v>73</v>
      </c>
      <c r="AU646" s="6" t="str">
        <f>HYPERLINK("http://catalog.hathitrust.org/Record/001542146","HathiTrust Record")</f>
        <v>HathiTrust Record</v>
      </c>
      <c r="AV646" s="6" t="str">
        <f>HYPERLINK("http://mcgill.on.worldcat.org/oclc/19515267","Catalog Record")</f>
        <v>Catalog Record</v>
      </c>
      <c r="AW646" s="6" t="str">
        <f>HYPERLINK("http://www.worldcat.org/oclc/19515267","WorldCat Record")</f>
        <v>WorldCat Record</v>
      </c>
      <c r="AX646" s="3" t="s">
        <v>6747</v>
      </c>
      <c r="AY646" s="3" t="s">
        <v>6748</v>
      </c>
      <c r="AZ646" s="3" t="s">
        <v>6749</v>
      </c>
      <c r="BA646" s="3" t="s">
        <v>6749</v>
      </c>
      <c r="BB646" s="3" t="s">
        <v>6750</v>
      </c>
      <c r="BC646" s="3" t="s">
        <v>78</v>
      </c>
      <c r="BD646" s="3" t="s">
        <v>79</v>
      </c>
      <c r="BE646" s="3" t="s">
        <v>6751</v>
      </c>
      <c r="BF646" s="3" t="s">
        <v>6750</v>
      </c>
      <c r="BG646" s="3" t="s">
        <v>6752</v>
      </c>
    </row>
    <row r="647" spans="1:59" ht="58" x14ac:dyDescent="0.35">
      <c r="A647" s="2" t="s">
        <v>59</v>
      </c>
      <c r="B647" s="2" t="s">
        <v>94</v>
      </c>
      <c r="C647" s="2" t="s">
        <v>6753</v>
      </c>
      <c r="D647" s="2" t="s">
        <v>6754</v>
      </c>
      <c r="E647" s="2" t="s">
        <v>6755</v>
      </c>
      <c r="G647" s="3" t="s">
        <v>64</v>
      </c>
      <c r="I647" s="3" t="s">
        <v>64</v>
      </c>
      <c r="J647" s="3" t="s">
        <v>64</v>
      </c>
      <c r="K647" s="3" t="s">
        <v>65</v>
      </c>
      <c r="L647" s="2" t="s">
        <v>6756</v>
      </c>
      <c r="M647" s="2" t="s">
        <v>6757</v>
      </c>
      <c r="N647" s="3" t="s">
        <v>3437</v>
      </c>
      <c r="P647" s="3" t="s">
        <v>69</v>
      </c>
      <c r="Q647" s="2" t="s">
        <v>6758</v>
      </c>
      <c r="R647" s="3" t="s">
        <v>70</v>
      </c>
      <c r="S647" s="4">
        <v>53</v>
      </c>
      <c r="T647" s="4">
        <v>53</v>
      </c>
      <c r="U647" s="5" t="s">
        <v>6759</v>
      </c>
      <c r="V647" s="5" t="s">
        <v>6759</v>
      </c>
      <c r="W647" s="5" t="s">
        <v>72</v>
      </c>
      <c r="X647" s="5" t="s">
        <v>72</v>
      </c>
      <c r="Y647" s="4">
        <v>857</v>
      </c>
      <c r="Z647" s="4">
        <v>36</v>
      </c>
      <c r="AA647" s="4">
        <v>51</v>
      </c>
      <c r="AB647" s="4">
        <v>5</v>
      </c>
      <c r="AC647" s="4">
        <v>8</v>
      </c>
      <c r="AD647" s="4">
        <v>118</v>
      </c>
      <c r="AE647" s="4">
        <v>132</v>
      </c>
      <c r="AF647" s="4">
        <v>2</v>
      </c>
      <c r="AG647" s="4">
        <v>2</v>
      </c>
      <c r="AH647" s="4">
        <v>99</v>
      </c>
      <c r="AI647" s="4">
        <v>106</v>
      </c>
      <c r="AJ647" s="4">
        <v>15</v>
      </c>
      <c r="AK647" s="4">
        <v>22</v>
      </c>
      <c r="AL647" s="4">
        <v>54</v>
      </c>
      <c r="AM647" s="4">
        <v>57</v>
      </c>
      <c r="AN647" s="4">
        <v>0</v>
      </c>
      <c r="AO647" s="4">
        <v>0</v>
      </c>
      <c r="AP647" s="4">
        <v>26</v>
      </c>
      <c r="AQ647" s="4">
        <v>34</v>
      </c>
      <c r="AR647" s="3" t="s">
        <v>64</v>
      </c>
      <c r="AS647" s="3" t="s">
        <v>64</v>
      </c>
      <c r="AT647" s="3" t="s">
        <v>73</v>
      </c>
      <c r="AU647" s="6" t="str">
        <f>HYPERLINK("http://catalog.hathitrust.org/Record/001116226","HathiTrust Record")</f>
        <v>HathiTrust Record</v>
      </c>
      <c r="AV647" s="6" t="str">
        <f>HYPERLINK("http://mcgill.on.worldcat.org/oclc/671717","Catalog Record")</f>
        <v>Catalog Record</v>
      </c>
      <c r="AW647" s="6" t="str">
        <f>HYPERLINK("http://www.worldcat.org/oclc/671717","WorldCat Record")</f>
        <v>WorldCat Record</v>
      </c>
      <c r="AX647" s="3" t="s">
        <v>6760</v>
      </c>
      <c r="AY647" s="3" t="s">
        <v>6761</v>
      </c>
      <c r="AZ647" s="3" t="s">
        <v>6762</v>
      </c>
      <c r="BA647" s="3" t="s">
        <v>6762</v>
      </c>
      <c r="BB647" s="3" t="s">
        <v>6763</v>
      </c>
      <c r="BC647" s="3" t="s">
        <v>78</v>
      </c>
      <c r="BD647" s="3" t="s">
        <v>79</v>
      </c>
      <c r="BF647" s="3" t="s">
        <v>6763</v>
      </c>
      <c r="BG647" s="3" t="s">
        <v>6764</v>
      </c>
    </row>
    <row r="648" spans="1:59" ht="72.5" x14ac:dyDescent="0.35">
      <c r="A648" s="2" t="s">
        <v>59</v>
      </c>
      <c r="B648" s="2" t="s">
        <v>94</v>
      </c>
      <c r="C648" s="2" t="s">
        <v>6765</v>
      </c>
      <c r="D648" s="2" t="s">
        <v>6766</v>
      </c>
      <c r="E648" s="2" t="s">
        <v>6767</v>
      </c>
      <c r="G648" s="3" t="s">
        <v>64</v>
      </c>
      <c r="I648" s="3" t="s">
        <v>73</v>
      </c>
      <c r="J648" s="3" t="s">
        <v>64</v>
      </c>
      <c r="K648" s="3" t="s">
        <v>65</v>
      </c>
      <c r="L648" s="2" t="s">
        <v>6768</v>
      </c>
      <c r="M648" s="2" t="s">
        <v>6769</v>
      </c>
      <c r="N648" s="3" t="s">
        <v>1267</v>
      </c>
      <c r="O648" s="2" t="s">
        <v>6770</v>
      </c>
      <c r="P648" s="3" t="s">
        <v>69</v>
      </c>
      <c r="Q648" s="2" t="s">
        <v>6771</v>
      </c>
      <c r="R648" s="3" t="s">
        <v>70</v>
      </c>
      <c r="S648" s="4">
        <v>10</v>
      </c>
      <c r="T648" s="4">
        <v>21</v>
      </c>
      <c r="U648" s="5" t="s">
        <v>1917</v>
      </c>
      <c r="V648" s="5" t="s">
        <v>6772</v>
      </c>
      <c r="W648" s="5" t="s">
        <v>72</v>
      </c>
      <c r="X648" s="5" t="s">
        <v>72</v>
      </c>
      <c r="Y648" s="4">
        <v>491</v>
      </c>
      <c r="Z648" s="4">
        <v>31</v>
      </c>
      <c r="AA648" s="4">
        <v>35</v>
      </c>
      <c r="AB648" s="4">
        <v>4</v>
      </c>
      <c r="AC648" s="4">
        <v>5</v>
      </c>
      <c r="AD648" s="4">
        <v>100</v>
      </c>
      <c r="AE648" s="4">
        <v>105</v>
      </c>
      <c r="AF648" s="4">
        <v>2</v>
      </c>
      <c r="AG648" s="4">
        <v>3</v>
      </c>
      <c r="AH648" s="4">
        <v>81</v>
      </c>
      <c r="AI648" s="4">
        <v>84</v>
      </c>
      <c r="AJ648" s="4">
        <v>16</v>
      </c>
      <c r="AK648" s="4">
        <v>20</v>
      </c>
      <c r="AL648" s="4">
        <v>45</v>
      </c>
      <c r="AM648" s="4">
        <v>45</v>
      </c>
      <c r="AN648" s="4">
        <v>0</v>
      </c>
      <c r="AO648" s="4">
        <v>0</v>
      </c>
      <c r="AP648" s="4">
        <v>26</v>
      </c>
      <c r="AQ648" s="4">
        <v>30</v>
      </c>
      <c r="AR648" s="3" t="s">
        <v>64</v>
      </c>
      <c r="AS648" s="3" t="s">
        <v>64</v>
      </c>
      <c r="AT648" s="3" t="s">
        <v>73</v>
      </c>
      <c r="AU648" s="6" t="str">
        <f>HYPERLINK("http://catalog.hathitrust.org/Record/001114804","HathiTrust Record")</f>
        <v>HathiTrust Record</v>
      </c>
      <c r="AV648" s="6" t="str">
        <f>HYPERLINK("http://mcgill.on.worldcat.org/oclc/451709","Catalog Record")</f>
        <v>Catalog Record</v>
      </c>
      <c r="AW648" s="6" t="str">
        <f>HYPERLINK("http://www.worldcat.org/oclc/451709","WorldCat Record")</f>
        <v>WorldCat Record</v>
      </c>
      <c r="AX648" s="3" t="s">
        <v>6773</v>
      </c>
      <c r="AY648" s="3" t="s">
        <v>6774</v>
      </c>
      <c r="AZ648" s="3" t="s">
        <v>6775</v>
      </c>
      <c r="BA648" s="3" t="s">
        <v>6775</v>
      </c>
      <c r="BB648" s="3" t="s">
        <v>6776</v>
      </c>
      <c r="BC648" s="3" t="s">
        <v>78</v>
      </c>
      <c r="BD648" s="3" t="s">
        <v>79</v>
      </c>
      <c r="BE648" s="3" t="s">
        <v>6777</v>
      </c>
      <c r="BF648" s="3" t="s">
        <v>6776</v>
      </c>
      <c r="BG648" s="3" t="s">
        <v>6778</v>
      </c>
    </row>
    <row r="649" spans="1:59" ht="72.5" x14ac:dyDescent="0.35">
      <c r="A649" s="2" t="s">
        <v>59</v>
      </c>
      <c r="B649" s="2" t="s">
        <v>94</v>
      </c>
      <c r="C649" s="2" t="s">
        <v>6765</v>
      </c>
      <c r="D649" s="2" t="s">
        <v>6766</v>
      </c>
      <c r="E649" s="2" t="s">
        <v>6767</v>
      </c>
      <c r="G649" s="3" t="s">
        <v>64</v>
      </c>
      <c r="I649" s="3" t="s">
        <v>73</v>
      </c>
      <c r="J649" s="3" t="s">
        <v>64</v>
      </c>
      <c r="K649" s="3" t="s">
        <v>65</v>
      </c>
      <c r="L649" s="2" t="s">
        <v>6768</v>
      </c>
      <c r="M649" s="2" t="s">
        <v>6769</v>
      </c>
      <c r="N649" s="3" t="s">
        <v>1267</v>
      </c>
      <c r="O649" s="2" t="s">
        <v>6770</v>
      </c>
      <c r="P649" s="3" t="s">
        <v>69</v>
      </c>
      <c r="Q649" s="2" t="s">
        <v>6771</v>
      </c>
      <c r="R649" s="3" t="s">
        <v>70</v>
      </c>
      <c r="S649" s="4">
        <v>11</v>
      </c>
      <c r="T649" s="4">
        <v>21</v>
      </c>
      <c r="U649" s="5" t="s">
        <v>6772</v>
      </c>
      <c r="V649" s="5" t="s">
        <v>6772</v>
      </c>
      <c r="W649" s="5" t="s">
        <v>72</v>
      </c>
      <c r="X649" s="5" t="s">
        <v>72</v>
      </c>
      <c r="Y649" s="4">
        <v>491</v>
      </c>
      <c r="Z649" s="4">
        <v>31</v>
      </c>
      <c r="AA649" s="4">
        <v>35</v>
      </c>
      <c r="AB649" s="4">
        <v>4</v>
      </c>
      <c r="AC649" s="4">
        <v>5</v>
      </c>
      <c r="AD649" s="4">
        <v>100</v>
      </c>
      <c r="AE649" s="4">
        <v>105</v>
      </c>
      <c r="AF649" s="4">
        <v>2</v>
      </c>
      <c r="AG649" s="4">
        <v>3</v>
      </c>
      <c r="AH649" s="4">
        <v>81</v>
      </c>
      <c r="AI649" s="4">
        <v>84</v>
      </c>
      <c r="AJ649" s="4">
        <v>16</v>
      </c>
      <c r="AK649" s="4">
        <v>20</v>
      </c>
      <c r="AL649" s="4">
        <v>45</v>
      </c>
      <c r="AM649" s="4">
        <v>45</v>
      </c>
      <c r="AN649" s="4">
        <v>0</v>
      </c>
      <c r="AO649" s="4">
        <v>0</v>
      </c>
      <c r="AP649" s="4">
        <v>26</v>
      </c>
      <c r="AQ649" s="4">
        <v>30</v>
      </c>
      <c r="AR649" s="3" t="s">
        <v>64</v>
      </c>
      <c r="AS649" s="3" t="s">
        <v>64</v>
      </c>
      <c r="AT649" s="3" t="s">
        <v>73</v>
      </c>
      <c r="AU649" s="6" t="str">
        <f>HYPERLINK("http://catalog.hathitrust.org/Record/001114804","HathiTrust Record")</f>
        <v>HathiTrust Record</v>
      </c>
      <c r="AV649" s="6" t="str">
        <f>HYPERLINK("http://mcgill.on.worldcat.org/oclc/451709","Catalog Record")</f>
        <v>Catalog Record</v>
      </c>
      <c r="AW649" s="6" t="str">
        <f>HYPERLINK("http://www.worldcat.org/oclc/451709","WorldCat Record")</f>
        <v>WorldCat Record</v>
      </c>
      <c r="AX649" s="3" t="s">
        <v>6773</v>
      </c>
      <c r="AY649" s="3" t="s">
        <v>6774</v>
      </c>
      <c r="AZ649" s="3" t="s">
        <v>6775</v>
      </c>
      <c r="BA649" s="3" t="s">
        <v>6775</v>
      </c>
      <c r="BB649" s="3" t="s">
        <v>6779</v>
      </c>
      <c r="BC649" s="3" t="s">
        <v>78</v>
      </c>
      <c r="BD649" s="3" t="s">
        <v>79</v>
      </c>
      <c r="BE649" s="3" t="s">
        <v>6777</v>
      </c>
      <c r="BF649" s="3" t="s">
        <v>6779</v>
      </c>
      <c r="BG649" s="3" t="s">
        <v>6780</v>
      </c>
    </row>
    <row r="650" spans="1:59" ht="72.5" x14ac:dyDescent="0.35">
      <c r="A650" s="2" t="s">
        <v>59</v>
      </c>
      <c r="B650" s="2" t="s">
        <v>94</v>
      </c>
      <c r="C650" s="2" t="s">
        <v>6765</v>
      </c>
      <c r="D650" s="2" t="s">
        <v>6766</v>
      </c>
      <c r="E650" s="2" t="s">
        <v>6767</v>
      </c>
      <c r="G650" s="3" t="s">
        <v>64</v>
      </c>
      <c r="I650" s="3" t="s">
        <v>73</v>
      </c>
      <c r="J650" s="3" t="s">
        <v>64</v>
      </c>
      <c r="K650" s="3" t="s">
        <v>65</v>
      </c>
      <c r="L650" s="2" t="s">
        <v>6768</v>
      </c>
      <c r="M650" s="2" t="s">
        <v>6769</v>
      </c>
      <c r="N650" s="3" t="s">
        <v>1267</v>
      </c>
      <c r="O650" s="2" t="s">
        <v>6770</v>
      </c>
      <c r="P650" s="3" t="s">
        <v>69</v>
      </c>
      <c r="Q650" s="2" t="s">
        <v>6771</v>
      </c>
      <c r="R650" s="3" t="s">
        <v>70</v>
      </c>
      <c r="S650" s="4">
        <v>0</v>
      </c>
      <c r="T650" s="4">
        <v>21</v>
      </c>
      <c r="V650" s="5" t="s">
        <v>6772</v>
      </c>
      <c r="W650" s="5" t="s">
        <v>72</v>
      </c>
      <c r="X650" s="5" t="s">
        <v>72</v>
      </c>
      <c r="Y650" s="4">
        <v>491</v>
      </c>
      <c r="Z650" s="4">
        <v>31</v>
      </c>
      <c r="AA650" s="4">
        <v>35</v>
      </c>
      <c r="AB650" s="4">
        <v>4</v>
      </c>
      <c r="AC650" s="4">
        <v>5</v>
      </c>
      <c r="AD650" s="4">
        <v>100</v>
      </c>
      <c r="AE650" s="4">
        <v>105</v>
      </c>
      <c r="AF650" s="4">
        <v>2</v>
      </c>
      <c r="AG650" s="4">
        <v>3</v>
      </c>
      <c r="AH650" s="4">
        <v>81</v>
      </c>
      <c r="AI650" s="4">
        <v>84</v>
      </c>
      <c r="AJ650" s="4">
        <v>16</v>
      </c>
      <c r="AK650" s="4">
        <v>20</v>
      </c>
      <c r="AL650" s="4">
        <v>45</v>
      </c>
      <c r="AM650" s="4">
        <v>45</v>
      </c>
      <c r="AN650" s="4">
        <v>0</v>
      </c>
      <c r="AO650" s="4">
        <v>0</v>
      </c>
      <c r="AP650" s="4">
        <v>26</v>
      </c>
      <c r="AQ650" s="4">
        <v>30</v>
      </c>
      <c r="AR650" s="3" t="s">
        <v>64</v>
      </c>
      <c r="AS650" s="3" t="s">
        <v>64</v>
      </c>
      <c r="AT650" s="3" t="s">
        <v>73</v>
      </c>
      <c r="AU650" s="6" t="str">
        <f>HYPERLINK("http://catalog.hathitrust.org/Record/001114804","HathiTrust Record")</f>
        <v>HathiTrust Record</v>
      </c>
      <c r="AV650" s="6" t="str">
        <f>HYPERLINK("http://mcgill.on.worldcat.org/oclc/451709","Catalog Record")</f>
        <v>Catalog Record</v>
      </c>
      <c r="AW650" s="6" t="str">
        <f>HYPERLINK("http://www.worldcat.org/oclc/451709","WorldCat Record")</f>
        <v>WorldCat Record</v>
      </c>
      <c r="AX650" s="3" t="s">
        <v>6773</v>
      </c>
      <c r="AY650" s="3" t="s">
        <v>6774</v>
      </c>
      <c r="AZ650" s="3" t="s">
        <v>6775</v>
      </c>
      <c r="BA650" s="3" t="s">
        <v>6775</v>
      </c>
      <c r="BB650" s="3" t="s">
        <v>6781</v>
      </c>
      <c r="BC650" s="3" t="s">
        <v>78</v>
      </c>
      <c r="BD650" s="3" t="s">
        <v>79</v>
      </c>
      <c r="BE650" s="3" t="s">
        <v>6777</v>
      </c>
      <c r="BF650" s="3" t="s">
        <v>6781</v>
      </c>
      <c r="BG650" s="3" t="s">
        <v>6782</v>
      </c>
    </row>
    <row r="651" spans="1:59" ht="72.5" x14ac:dyDescent="0.35">
      <c r="A651" s="2" t="s">
        <v>59</v>
      </c>
      <c r="B651" s="2" t="s">
        <v>94</v>
      </c>
      <c r="C651" s="2" t="s">
        <v>6765</v>
      </c>
      <c r="D651" s="2" t="s">
        <v>6766</v>
      </c>
      <c r="E651" s="2" t="s">
        <v>6767</v>
      </c>
      <c r="G651" s="3" t="s">
        <v>64</v>
      </c>
      <c r="I651" s="3" t="s">
        <v>73</v>
      </c>
      <c r="J651" s="3" t="s">
        <v>64</v>
      </c>
      <c r="K651" s="3" t="s">
        <v>65</v>
      </c>
      <c r="L651" s="2" t="s">
        <v>6768</v>
      </c>
      <c r="M651" s="2" t="s">
        <v>6769</v>
      </c>
      <c r="N651" s="3" t="s">
        <v>1267</v>
      </c>
      <c r="O651" s="2" t="s">
        <v>6770</v>
      </c>
      <c r="P651" s="3" t="s">
        <v>69</v>
      </c>
      <c r="Q651" s="2" t="s">
        <v>6771</v>
      </c>
      <c r="R651" s="3" t="s">
        <v>70</v>
      </c>
      <c r="S651" s="4">
        <v>0</v>
      </c>
      <c r="T651" s="4">
        <v>21</v>
      </c>
      <c r="V651" s="5" t="s">
        <v>6772</v>
      </c>
      <c r="W651" s="5" t="s">
        <v>72</v>
      </c>
      <c r="X651" s="5" t="s">
        <v>72</v>
      </c>
      <c r="Y651" s="4">
        <v>491</v>
      </c>
      <c r="Z651" s="4">
        <v>31</v>
      </c>
      <c r="AA651" s="4">
        <v>35</v>
      </c>
      <c r="AB651" s="4">
        <v>4</v>
      </c>
      <c r="AC651" s="4">
        <v>5</v>
      </c>
      <c r="AD651" s="4">
        <v>100</v>
      </c>
      <c r="AE651" s="4">
        <v>105</v>
      </c>
      <c r="AF651" s="4">
        <v>2</v>
      </c>
      <c r="AG651" s="4">
        <v>3</v>
      </c>
      <c r="AH651" s="4">
        <v>81</v>
      </c>
      <c r="AI651" s="4">
        <v>84</v>
      </c>
      <c r="AJ651" s="4">
        <v>16</v>
      </c>
      <c r="AK651" s="4">
        <v>20</v>
      </c>
      <c r="AL651" s="4">
        <v>45</v>
      </c>
      <c r="AM651" s="4">
        <v>45</v>
      </c>
      <c r="AN651" s="4">
        <v>0</v>
      </c>
      <c r="AO651" s="4">
        <v>0</v>
      </c>
      <c r="AP651" s="4">
        <v>26</v>
      </c>
      <c r="AQ651" s="4">
        <v>30</v>
      </c>
      <c r="AR651" s="3" t="s">
        <v>64</v>
      </c>
      <c r="AS651" s="3" t="s">
        <v>64</v>
      </c>
      <c r="AT651" s="3" t="s">
        <v>73</v>
      </c>
      <c r="AU651" s="6" t="str">
        <f>HYPERLINK("http://catalog.hathitrust.org/Record/001114804","HathiTrust Record")</f>
        <v>HathiTrust Record</v>
      </c>
      <c r="AV651" s="6" t="str">
        <f>HYPERLINK("http://mcgill.on.worldcat.org/oclc/451709","Catalog Record")</f>
        <v>Catalog Record</v>
      </c>
      <c r="AW651" s="6" t="str">
        <f>HYPERLINK("http://www.worldcat.org/oclc/451709","WorldCat Record")</f>
        <v>WorldCat Record</v>
      </c>
      <c r="AX651" s="3" t="s">
        <v>6773</v>
      </c>
      <c r="AY651" s="3" t="s">
        <v>6774</v>
      </c>
      <c r="AZ651" s="3" t="s">
        <v>6775</v>
      </c>
      <c r="BA651" s="3" t="s">
        <v>6775</v>
      </c>
      <c r="BB651" s="3" t="s">
        <v>6783</v>
      </c>
      <c r="BC651" s="3" t="s">
        <v>78</v>
      </c>
      <c r="BD651" s="3" t="s">
        <v>79</v>
      </c>
      <c r="BE651" s="3" t="s">
        <v>6777</v>
      </c>
      <c r="BF651" s="3" t="s">
        <v>6783</v>
      </c>
      <c r="BG651" s="3" t="s">
        <v>6784</v>
      </c>
    </row>
    <row r="652" spans="1:59" ht="58" x14ac:dyDescent="0.35">
      <c r="A652" s="2" t="s">
        <v>59</v>
      </c>
      <c r="B652" s="2" t="s">
        <v>94</v>
      </c>
      <c r="C652" s="2" t="s">
        <v>6785</v>
      </c>
      <c r="D652" s="2" t="s">
        <v>6786</v>
      </c>
      <c r="E652" s="2" t="s">
        <v>6787</v>
      </c>
      <c r="G652" s="3" t="s">
        <v>64</v>
      </c>
      <c r="I652" s="3" t="s">
        <v>64</v>
      </c>
      <c r="J652" s="3" t="s">
        <v>64</v>
      </c>
      <c r="K652" s="3" t="s">
        <v>65</v>
      </c>
      <c r="L652" s="2" t="s">
        <v>6788</v>
      </c>
      <c r="M652" s="2" t="s">
        <v>6789</v>
      </c>
      <c r="N652" s="3" t="s">
        <v>524</v>
      </c>
      <c r="P652" s="3" t="s">
        <v>69</v>
      </c>
      <c r="R652" s="3" t="s">
        <v>70</v>
      </c>
      <c r="S652" s="4">
        <v>7</v>
      </c>
      <c r="T652" s="4">
        <v>7</v>
      </c>
      <c r="U652" s="5" t="s">
        <v>2687</v>
      </c>
      <c r="V652" s="5" t="s">
        <v>2687</v>
      </c>
      <c r="W652" s="5" t="s">
        <v>72</v>
      </c>
      <c r="X652" s="5" t="s">
        <v>72</v>
      </c>
      <c r="Y652" s="4">
        <v>270</v>
      </c>
      <c r="Z652" s="4">
        <v>13</v>
      </c>
      <c r="AA652" s="4">
        <v>64</v>
      </c>
      <c r="AB652" s="4">
        <v>1</v>
      </c>
      <c r="AC652" s="4">
        <v>16</v>
      </c>
      <c r="AD652" s="4">
        <v>63</v>
      </c>
      <c r="AE652" s="4">
        <v>94</v>
      </c>
      <c r="AF652" s="4">
        <v>0</v>
      </c>
      <c r="AG652" s="4">
        <v>7</v>
      </c>
      <c r="AH652" s="4">
        <v>58</v>
      </c>
      <c r="AI652" s="4">
        <v>77</v>
      </c>
      <c r="AJ652" s="4">
        <v>8</v>
      </c>
      <c r="AK652" s="4">
        <v>13</v>
      </c>
      <c r="AL652" s="4">
        <v>35</v>
      </c>
      <c r="AM652" s="4">
        <v>42</v>
      </c>
      <c r="AN652" s="4">
        <v>0</v>
      </c>
      <c r="AO652" s="4">
        <v>0</v>
      </c>
      <c r="AP652" s="4">
        <v>10</v>
      </c>
      <c r="AQ652" s="4">
        <v>22</v>
      </c>
      <c r="AR652" s="3" t="s">
        <v>64</v>
      </c>
      <c r="AS652" s="3" t="s">
        <v>64</v>
      </c>
      <c r="AT652" s="3" t="s">
        <v>64</v>
      </c>
      <c r="AV652" s="6" t="str">
        <f>HYPERLINK("http://mcgill.on.worldcat.org/oclc/813414777","Catalog Record")</f>
        <v>Catalog Record</v>
      </c>
      <c r="AW652" s="6" t="str">
        <f>HYPERLINK("http://www.worldcat.org/oclc/813414777","WorldCat Record")</f>
        <v>WorldCat Record</v>
      </c>
      <c r="AX652" s="3" t="s">
        <v>6790</v>
      </c>
      <c r="AY652" s="3" t="s">
        <v>6791</v>
      </c>
      <c r="AZ652" s="3" t="s">
        <v>6792</v>
      </c>
      <c r="BA652" s="3" t="s">
        <v>6792</v>
      </c>
      <c r="BB652" s="3" t="s">
        <v>6793</v>
      </c>
      <c r="BC652" s="3" t="s">
        <v>78</v>
      </c>
      <c r="BD652" s="3" t="s">
        <v>79</v>
      </c>
      <c r="BE652" s="3" t="s">
        <v>6794</v>
      </c>
      <c r="BF652" s="3" t="s">
        <v>6793</v>
      </c>
      <c r="BG652" s="3" t="s">
        <v>6795</v>
      </c>
    </row>
    <row r="653" spans="1:59" ht="58" x14ac:dyDescent="0.35">
      <c r="A653" s="2" t="s">
        <v>59</v>
      </c>
      <c r="B653" s="2" t="s">
        <v>94</v>
      </c>
      <c r="C653" s="2" t="s">
        <v>6796</v>
      </c>
      <c r="D653" s="2" t="s">
        <v>6797</v>
      </c>
      <c r="E653" s="2" t="s">
        <v>6798</v>
      </c>
      <c r="G653" s="3" t="s">
        <v>64</v>
      </c>
      <c r="I653" s="3" t="s">
        <v>64</v>
      </c>
      <c r="J653" s="3" t="s">
        <v>64</v>
      </c>
      <c r="K653" s="3" t="s">
        <v>65</v>
      </c>
      <c r="M653" s="2" t="s">
        <v>6799</v>
      </c>
      <c r="N653" s="3" t="s">
        <v>2214</v>
      </c>
      <c r="P653" s="3" t="s">
        <v>69</v>
      </c>
      <c r="R653" s="3" t="s">
        <v>70</v>
      </c>
      <c r="S653" s="4">
        <v>17</v>
      </c>
      <c r="T653" s="4">
        <v>17</v>
      </c>
      <c r="U653" s="5" t="s">
        <v>6732</v>
      </c>
      <c r="V653" s="5" t="s">
        <v>6732</v>
      </c>
      <c r="W653" s="5" t="s">
        <v>72</v>
      </c>
      <c r="X653" s="5" t="s">
        <v>72</v>
      </c>
      <c r="Y653" s="4">
        <v>324</v>
      </c>
      <c r="Z653" s="4">
        <v>26</v>
      </c>
      <c r="AA653" s="4">
        <v>29</v>
      </c>
      <c r="AB653" s="4">
        <v>2</v>
      </c>
      <c r="AC653" s="4">
        <v>5</v>
      </c>
      <c r="AD653" s="4">
        <v>90</v>
      </c>
      <c r="AE653" s="4">
        <v>91</v>
      </c>
      <c r="AF653" s="4">
        <v>0</v>
      </c>
      <c r="AG653" s="4">
        <v>0</v>
      </c>
      <c r="AH653" s="4">
        <v>78</v>
      </c>
      <c r="AI653" s="4">
        <v>79</v>
      </c>
      <c r="AJ653" s="4">
        <v>16</v>
      </c>
      <c r="AK653" s="4">
        <v>16</v>
      </c>
      <c r="AL653" s="4">
        <v>45</v>
      </c>
      <c r="AM653" s="4">
        <v>45</v>
      </c>
      <c r="AN653" s="4">
        <v>0</v>
      </c>
      <c r="AO653" s="4">
        <v>0</v>
      </c>
      <c r="AP653" s="4">
        <v>19</v>
      </c>
      <c r="AQ653" s="4">
        <v>19</v>
      </c>
      <c r="AR653" s="3" t="s">
        <v>64</v>
      </c>
      <c r="AS653" s="3" t="s">
        <v>64</v>
      </c>
      <c r="AT653" s="3" t="s">
        <v>64</v>
      </c>
      <c r="AV653" s="6" t="str">
        <f>HYPERLINK("http://mcgill.on.worldcat.org/oclc/1733152","Catalog Record")</f>
        <v>Catalog Record</v>
      </c>
      <c r="AW653" s="6" t="str">
        <f>HYPERLINK("http://www.worldcat.org/oclc/1733152","WorldCat Record")</f>
        <v>WorldCat Record</v>
      </c>
      <c r="AX653" s="3" t="s">
        <v>6800</v>
      </c>
      <c r="AY653" s="3" t="s">
        <v>6801</v>
      </c>
      <c r="AZ653" s="3" t="s">
        <v>6802</v>
      </c>
      <c r="BA653" s="3" t="s">
        <v>6802</v>
      </c>
      <c r="BB653" s="3" t="s">
        <v>6803</v>
      </c>
      <c r="BC653" s="3" t="s">
        <v>78</v>
      </c>
      <c r="BD653" s="3" t="s">
        <v>79</v>
      </c>
      <c r="BE653" s="3" t="s">
        <v>6804</v>
      </c>
      <c r="BF653" s="3" t="s">
        <v>6803</v>
      </c>
      <c r="BG653" s="3" t="s">
        <v>6805</v>
      </c>
    </row>
    <row r="654" spans="1:59" ht="58" x14ac:dyDescent="0.35">
      <c r="A654" s="2" t="s">
        <v>59</v>
      </c>
      <c r="B654" s="2" t="s">
        <v>94</v>
      </c>
      <c r="C654" s="2" t="s">
        <v>6806</v>
      </c>
      <c r="D654" s="2" t="s">
        <v>6807</v>
      </c>
      <c r="E654" s="2" t="s">
        <v>6808</v>
      </c>
      <c r="G654" s="3" t="s">
        <v>64</v>
      </c>
      <c r="I654" s="3" t="s">
        <v>64</v>
      </c>
      <c r="J654" s="3" t="s">
        <v>64</v>
      </c>
      <c r="K654" s="3" t="s">
        <v>65</v>
      </c>
      <c r="L654" s="2" t="s">
        <v>6809</v>
      </c>
      <c r="M654" s="2" t="s">
        <v>6810</v>
      </c>
      <c r="N654" s="3" t="s">
        <v>68</v>
      </c>
      <c r="P654" s="3" t="s">
        <v>69</v>
      </c>
      <c r="R654" s="3" t="s">
        <v>70</v>
      </c>
      <c r="S654" s="4">
        <v>12</v>
      </c>
      <c r="T654" s="4">
        <v>12</v>
      </c>
      <c r="U654" s="5" t="s">
        <v>2395</v>
      </c>
      <c r="V654" s="5" t="s">
        <v>2395</v>
      </c>
      <c r="W654" s="5" t="s">
        <v>72</v>
      </c>
      <c r="X654" s="5" t="s">
        <v>72</v>
      </c>
      <c r="Y654" s="4">
        <v>798</v>
      </c>
      <c r="Z654" s="4">
        <v>35</v>
      </c>
      <c r="AA654" s="4">
        <v>117</v>
      </c>
      <c r="AB654" s="4">
        <v>2</v>
      </c>
      <c r="AC654" s="4">
        <v>18</v>
      </c>
      <c r="AD654" s="4">
        <v>103</v>
      </c>
      <c r="AE654" s="4">
        <v>143</v>
      </c>
      <c r="AF654" s="4">
        <v>1</v>
      </c>
      <c r="AG654" s="4">
        <v>8</v>
      </c>
      <c r="AH654" s="4">
        <v>87</v>
      </c>
      <c r="AI654" s="4">
        <v>99</v>
      </c>
      <c r="AJ654" s="4">
        <v>15</v>
      </c>
      <c r="AK654" s="4">
        <v>23</v>
      </c>
      <c r="AL654" s="4">
        <v>47</v>
      </c>
      <c r="AM654" s="4">
        <v>52</v>
      </c>
      <c r="AN654" s="4">
        <v>0</v>
      </c>
      <c r="AO654" s="4">
        <v>0</v>
      </c>
      <c r="AP654" s="4">
        <v>20</v>
      </c>
      <c r="AQ654" s="4">
        <v>49</v>
      </c>
      <c r="AR654" s="3" t="s">
        <v>64</v>
      </c>
      <c r="AS654" s="3" t="s">
        <v>64</v>
      </c>
      <c r="AT654" s="3" t="s">
        <v>64</v>
      </c>
      <c r="AV654" s="6" t="str">
        <f>HYPERLINK("http://mcgill.on.worldcat.org/oclc/62342763","Catalog Record")</f>
        <v>Catalog Record</v>
      </c>
      <c r="AW654" s="6" t="str">
        <f>HYPERLINK("http://www.worldcat.org/oclc/62342763","WorldCat Record")</f>
        <v>WorldCat Record</v>
      </c>
      <c r="AX654" s="3" t="s">
        <v>6811</v>
      </c>
      <c r="AY654" s="3" t="s">
        <v>6812</v>
      </c>
      <c r="AZ654" s="3" t="s">
        <v>6813</v>
      </c>
      <c r="BA654" s="3" t="s">
        <v>6813</v>
      </c>
      <c r="BB654" s="3" t="s">
        <v>6814</v>
      </c>
      <c r="BC654" s="3" t="s">
        <v>78</v>
      </c>
      <c r="BD654" s="3" t="s">
        <v>79</v>
      </c>
      <c r="BE654" s="3" t="s">
        <v>6815</v>
      </c>
      <c r="BF654" s="3" t="s">
        <v>6814</v>
      </c>
      <c r="BG654" s="3" t="s">
        <v>6816</v>
      </c>
    </row>
    <row r="655" spans="1:59" ht="58" x14ac:dyDescent="0.35">
      <c r="A655" s="2" t="s">
        <v>59</v>
      </c>
      <c r="B655" s="2" t="s">
        <v>94</v>
      </c>
      <c r="C655" s="2" t="s">
        <v>6817</v>
      </c>
      <c r="D655" s="2" t="s">
        <v>6818</v>
      </c>
      <c r="E655" s="2" t="s">
        <v>6819</v>
      </c>
      <c r="G655" s="3" t="s">
        <v>64</v>
      </c>
      <c r="I655" s="3" t="s">
        <v>64</v>
      </c>
      <c r="J655" s="3" t="s">
        <v>64</v>
      </c>
      <c r="K655" s="3" t="s">
        <v>65</v>
      </c>
      <c r="L655" s="2" t="s">
        <v>6820</v>
      </c>
      <c r="M655" s="2" t="s">
        <v>6821</v>
      </c>
      <c r="N655" s="3" t="s">
        <v>5739</v>
      </c>
      <c r="P655" s="3" t="s">
        <v>69</v>
      </c>
      <c r="Q655" s="2" t="s">
        <v>6822</v>
      </c>
      <c r="R655" s="3" t="s">
        <v>70</v>
      </c>
      <c r="S655" s="4">
        <v>10</v>
      </c>
      <c r="T655" s="4">
        <v>10</v>
      </c>
      <c r="U655" s="5" t="s">
        <v>6823</v>
      </c>
      <c r="V655" s="5" t="s">
        <v>6823</v>
      </c>
      <c r="W655" s="5" t="s">
        <v>72</v>
      </c>
      <c r="X655" s="5" t="s">
        <v>72</v>
      </c>
      <c r="Y655" s="4">
        <v>377</v>
      </c>
      <c r="Z655" s="4">
        <v>18</v>
      </c>
      <c r="AA655" s="4">
        <v>58</v>
      </c>
      <c r="AB655" s="4">
        <v>3</v>
      </c>
      <c r="AC655" s="4">
        <v>9</v>
      </c>
      <c r="AD655" s="4">
        <v>84</v>
      </c>
      <c r="AE655" s="4">
        <v>102</v>
      </c>
      <c r="AF655" s="4">
        <v>1</v>
      </c>
      <c r="AG655" s="4">
        <v>2</v>
      </c>
      <c r="AH655" s="4">
        <v>73</v>
      </c>
      <c r="AI655" s="4">
        <v>87</v>
      </c>
      <c r="AJ655" s="4">
        <v>10</v>
      </c>
      <c r="AK655" s="4">
        <v>15</v>
      </c>
      <c r="AL655" s="4">
        <v>41</v>
      </c>
      <c r="AM655" s="4">
        <v>49</v>
      </c>
      <c r="AN655" s="4">
        <v>0</v>
      </c>
      <c r="AO655" s="4">
        <v>0</v>
      </c>
      <c r="AP655" s="4">
        <v>14</v>
      </c>
      <c r="AQ655" s="4">
        <v>23</v>
      </c>
      <c r="AR655" s="3" t="s">
        <v>64</v>
      </c>
      <c r="AS655" s="3" t="s">
        <v>64</v>
      </c>
      <c r="AT655" s="3" t="s">
        <v>73</v>
      </c>
      <c r="AU655" s="6" t="str">
        <f>HYPERLINK("http://catalog.hathitrust.org/Record/001047347","HathiTrust Record")</f>
        <v>HathiTrust Record</v>
      </c>
      <c r="AV655" s="6" t="str">
        <f>HYPERLINK("http://mcgill.on.worldcat.org/oclc/567649","Catalog Record")</f>
        <v>Catalog Record</v>
      </c>
      <c r="AW655" s="6" t="str">
        <f>HYPERLINK("http://www.worldcat.org/oclc/567649","WorldCat Record")</f>
        <v>WorldCat Record</v>
      </c>
      <c r="AX655" s="3" t="s">
        <v>6824</v>
      </c>
      <c r="AY655" s="3" t="s">
        <v>6825</v>
      </c>
      <c r="AZ655" s="3" t="s">
        <v>6826</v>
      </c>
      <c r="BA655" s="3" t="s">
        <v>6826</v>
      </c>
      <c r="BB655" s="3" t="s">
        <v>6827</v>
      </c>
      <c r="BC655" s="3" t="s">
        <v>78</v>
      </c>
      <c r="BD655" s="3" t="s">
        <v>79</v>
      </c>
      <c r="BF655" s="3" t="s">
        <v>6827</v>
      </c>
      <c r="BG655" s="3" t="s">
        <v>6828</v>
      </c>
    </row>
    <row r="656" spans="1:59" ht="58" x14ac:dyDescent="0.35">
      <c r="A656" s="2" t="s">
        <v>59</v>
      </c>
      <c r="B656" s="2" t="s">
        <v>94</v>
      </c>
      <c r="C656" s="2" t="s">
        <v>6829</v>
      </c>
      <c r="D656" s="2" t="s">
        <v>6830</v>
      </c>
      <c r="E656" s="2" t="s">
        <v>6831</v>
      </c>
      <c r="G656" s="3" t="s">
        <v>64</v>
      </c>
      <c r="I656" s="3" t="s">
        <v>64</v>
      </c>
      <c r="J656" s="3" t="s">
        <v>64</v>
      </c>
      <c r="K656" s="3" t="s">
        <v>65</v>
      </c>
      <c r="M656" s="2" t="s">
        <v>6832</v>
      </c>
      <c r="N656" s="3" t="s">
        <v>377</v>
      </c>
      <c r="P656" s="3" t="s">
        <v>69</v>
      </c>
      <c r="R656" s="3" t="s">
        <v>70</v>
      </c>
      <c r="S656" s="4">
        <v>1</v>
      </c>
      <c r="T656" s="4">
        <v>1</v>
      </c>
      <c r="U656" s="5" t="s">
        <v>6833</v>
      </c>
      <c r="V656" s="5" t="s">
        <v>6833</v>
      </c>
      <c r="W656" s="5" t="s">
        <v>72</v>
      </c>
      <c r="X656" s="5" t="s">
        <v>72</v>
      </c>
      <c r="Y656" s="4">
        <v>80</v>
      </c>
      <c r="Z656" s="4">
        <v>4</v>
      </c>
      <c r="AA656" s="4">
        <v>33</v>
      </c>
      <c r="AB656" s="4">
        <v>1</v>
      </c>
      <c r="AC656" s="4">
        <v>6</v>
      </c>
      <c r="AD656" s="4">
        <v>46</v>
      </c>
      <c r="AE656" s="4">
        <v>96</v>
      </c>
      <c r="AF656" s="4">
        <v>0</v>
      </c>
      <c r="AG656" s="4">
        <v>2</v>
      </c>
      <c r="AH656" s="4">
        <v>45</v>
      </c>
      <c r="AI656" s="4">
        <v>79</v>
      </c>
      <c r="AJ656" s="4">
        <v>2</v>
      </c>
      <c r="AK656" s="4">
        <v>13</v>
      </c>
      <c r="AL656" s="4">
        <v>27</v>
      </c>
      <c r="AM656" s="4">
        <v>44</v>
      </c>
      <c r="AN656" s="4">
        <v>0</v>
      </c>
      <c r="AO656" s="4">
        <v>0</v>
      </c>
      <c r="AP656" s="4">
        <v>2</v>
      </c>
      <c r="AQ656" s="4">
        <v>23</v>
      </c>
      <c r="AR656" s="3" t="s">
        <v>64</v>
      </c>
      <c r="AS656" s="3" t="s">
        <v>64</v>
      </c>
      <c r="AT656" s="3" t="s">
        <v>64</v>
      </c>
      <c r="AV656" s="6" t="str">
        <f>HYPERLINK("http://mcgill.on.worldcat.org/oclc/771425884","Catalog Record")</f>
        <v>Catalog Record</v>
      </c>
      <c r="AW656" s="6" t="str">
        <f>HYPERLINK("http://www.worldcat.org/oclc/771425884","WorldCat Record")</f>
        <v>WorldCat Record</v>
      </c>
      <c r="AX656" s="3" t="s">
        <v>6834</v>
      </c>
      <c r="AY656" s="3" t="s">
        <v>6835</v>
      </c>
      <c r="AZ656" s="3" t="s">
        <v>6836</v>
      </c>
      <c r="BA656" s="3" t="s">
        <v>6836</v>
      </c>
      <c r="BB656" s="3" t="s">
        <v>6837</v>
      </c>
      <c r="BC656" s="3" t="s">
        <v>78</v>
      </c>
      <c r="BD656" s="3" t="s">
        <v>79</v>
      </c>
      <c r="BE656" s="3" t="s">
        <v>6838</v>
      </c>
      <c r="BF656" s="3" t="s">
        <v>6837</v>
      </c>
      <c r="BG656" s="3" t="s">
        <v>6839</v>
      </c>
    </row>
    <row r="657" spans="1:59" ht="58" x14ac:dyDescent="0.35">
      <c r="A657" s="2" t="s">
        <v>59</v>
      </c>
      <c r="B657" s="2" t="s">
        <v>94</v>
      </c>
      <c r="C657" s="2" t="s">
        <v>6829</v>
      </c>
      <c r="D657" s="2" t="s">
        <v>6830</v>
      </c>
      <c r="E657" s="2" t="s">
        <v>6840</v>
      </c>
      <c r="G657" s="3" t="s">
        <v>64</v>
      </c>
      <c r="I657" s="3" t="s">
        <v>64</v>
      </c>
      <c r="J657" s="3" t="s">
        <v>64</v>
      </c>
      <c r="K657" s="3" t="s">
        <v>65</v>
      </c>
      <c r="M657" s="2" t="s">
        <v>6841</v>
      </c>
      <c r="N657" s="3" t="s">
        <v>377</v>
      </c>
      <c r="P657" s="3" t="s">
        <v>69</v>
      </c>
      <c r="Q657" s="2" t="s">
        <v>6842</v>
      </c>
      <c r="R657" s="3" t="s">
        <v>70</v>
      </c>
      <c r="S657" s="4">
        <v>0</v>
      </c>
      <c r="T657" s="4">
        <v>0</v>
      </c>
      <c r="W657" s="5" t="s">
        <v>72</v>
      </c>
      <c r="X657" s="5" t="s">
        <v>72</v>
      </c>
      <c r="Y657" s="4">
        <v>78</v>
      </c>
      <c r="Z657" s="4">
        <v>5</v>
      </c>
      <c r="AA657" s="4">
        <v>8</v>
      </c>
      <c r="AB657" s="4">
        <v>1</v>
      </c>
      <c r="AC657" s="4">
        <v>1</v>
      </c>
      <c r="AD657" s="4">
        <v>44</v>
      </c>
      <c r="AE657" s="4">
        <v>50</v>
      </c>
      <c r="AF657" s="4">
        <v>0</v>
      </c>
      <c r="AG657" s="4">
        <v>0</v>
      </c>
      <c r="AH657" s="4">
        <v>43</v>
      </c>
      <c r="AI657" s="4">
        <v>47</v>
      </c>
      <c r="AJ657" s="4">
        <v>3</v>
      </c>
      <c r="AK657" s="4">
        <v>6</v>
      </c>
      <c r="AL657" s="4">
        <v>26</v>
      </c>
      <c r="AM657" s="4">
        <v>27</v>
      </c>
      <c r="AN657" s="4">
        <v>0</v>
      </c>
      <c r="AO657" s="4">
        <v>0</v>
      </c>
      <c r="AP657" s="4">
        <v>3</v>
      </c>
      <c r="AQ657" s="4">
        <v>6</v>
      </c>
      <c r="AR657" s="3" t="s">
        <v>64</v>
      </c>
      <c r="AS657" s="3" t="s">
        <v>64</v>
      </c>
      <c r="AT657" s="3" t="s">
        <v>64</v>
      </c>
      <c r="AV657" s="6" t="str">
        <f>HYPERLINK("http://mcgill.on.worldcat.org/oclc/767825096","Catalog Record")</f>
        <v>Catalog Record</v>
      </c>
      <c r="AW657" s="6" t="str">
        <f>HYPERLINK("http://www.worldcat.org/oclc/767825096","WorldCat Record")</f>
        <v>WorldCat Record</v>
      </c>
      <c r="AX657" s="3" t="s">
        <v>6843</v>
      </c>
      <c r="AY657" s="3" t="s">
        <v>6844</v>
      </c>
      <c r="AZ657" s="3" t="s">
        <v>6845</v>
      </c>
      <c r="BA657" s="3" t="s">
        <v>6845</v>
      </c>
      <c r="BB657" s="3" t="s">
        <v>6846</v>
      </c>
      <c r="BC657" s="3" t="s">
        <v>78</v>
      </c>
      <c r="BD657" s="3" t="s">
        <v>79</v>
      </c>
      <c r="BE657" s="3" t="s">
        <v>6847</v>
      </c>
      <c r="BF657" s="3" t="s">
        <v>6846</v>
      </c>
      <c r="BG657" s="3" t="s">
        <v>6848</v>
      </c>
    </row>
    <row r="658" spans="1:59" ht="58" x14ac:dyDescent="0.35">
      <c r="A658" s="2" t="s">
        <v>59</v>
      </c>
      <c r="B658" s="2" t="s">
        <v>94</v>
      </c>
      <c r="C658" s="2" t="s">
        <v>6849</v>
      </c>
      <c r="D658" s="2" t="s">
        <v>6850</v>
      </c>
      <c r="E658" s="2" t="s">
        <v>6851</v>
      </c>
      <c r="G658" s="3" t="s">
        <v>64</v>
      </c>
      <c r="I658" s="3" t="s">
        <v>64</v>
      </c>
      <c r="J658" s="3" t="s">
        <v>64</v>
      </c>
      <c r="K658" s="3" t="s">
        <v>65</v>
      </c>
      <c r="L658" s="2" t="s">
        <v>6852</v>
      </c>
      <c r="M658" s="2" t="s">
        <v>6841</v>
      </c>
      <c r="N658" s="3" t="s">
        <v>377</v>
      </c>
      <c r="P658" s="3" t="s">
        <v>69</v>
      </c>
      <c r="Q658" s="2" t="s">
        <v>5134</v>
      </c>
      <c r="R658" s="3" t="s">
        <v>70</v>
      </c>
      <c r="S658" s="4">
        <v>1</v>
      </c>
      <c r="T658" s="4">
        <v>1</v>
      </c>
      <c r="U658" s="5" t="s">
        <v>5353</v>
      </c>
      <c r="V658" s="5" t="s">
        <v>5353</v>
      </c>
      <c r="W658" s="5" t="s">
        <v>72</v>
      </c>
      <c r="X658" s="5" t="s">
        <v>72</v>
      </c>
      <c r="Y658" s="4">
        <v>129</v>
      </c>
      <c r="Z658" s="4">
        <v>35</v>
      </c>
      <c r="AA658" s="4">
        <v>71</v>
      </c>
      <c r="AB658" s="4">
        <v>1</v>
      </c>
      <c r="AC658" s="4">
        <v>8</v>
      </c>
      <c r="AD658" s="4">
        <v>61</v>
      </c>
      <c r="AE658" s="4">
        <v>115</v>
      </c>
      <c r="AF658" s="4">
        <v>0</v>
      </c>
      <c r="AG658" s="4">
        <v>2</v>
      </c>
      <c r="AH658" s="4">
        <v>52</v>
      </c>
      <c r="AI658" s="4">
        <v>88</v>
      </c>
      <c r="AJ658" s="4">
        <v>6</v>
      </c>
      <c r="AK658" s="4">
        <v>17</v>
      </c>
      <c r="AL658" s="4">
        <v>29</v>
      </c>
      <c r="AM658" s="4">
        <v>47</v>
      </c>
      <c r="AN658" s="4">
        <v>0</v>
      </c>
      <c r="AO658" s="4">
        <v>0</v>
      </c>
      <c r="AP658" s="4">
        <v>12</v>
      </c>
      <c r="AQ658" s="4">
        <v>33</v>
      </c>
      <c r="AR658" s="3" t="s">
        <v>64</v>
      </c>
      <c r="AS658" s="3" t="s">
        <v>64</v>
      </c>
      <c r="AT658" s="3" t="s">
        <v>64</v>
      </c>
      <c r="AV658" s="6" t="str">
        <f>HYPERLINK("http://mcgill.on.worldcat.org/oclc/774021168","Catalog Record")</f>
        <v>Catalog Record</v>
      </c>
      <c r="AW658" s="6" t="str">
        <f>HYPERLINK("http://www.worldcat.org/oclc/774021168","WorldCat Record")</f>
        <v>WorldCat Record</v>
      </c>
      <c r="AX658" s="3" t="s">
        <v>6853</v>
      </c>
      <c r="AY658" s="3" t="s">
        <v>6854</v>
      </c>
      <c r="AZ658" s="3" t="s">
        <v>6855</v>
      </c>
      <c r="BA658" s="3" t="s">
        <v>6855</v>
      </c>
      <c r="BB658" s="3" t="s">
        <v>6856</v>
      </c>
      <c r="BC658" s="3" t="s">
        <v>78</v>
      </c>
      <c r="BD658" s="3" t="s">
        <v>79</v>
      </c>
      <c r="BE658" s="3" t="s">
        <v>6857</v>
      </c>
      <c r="BF658" s="3" t="s">
        <v>6856</v>
      </c>
      <c r="BG658" s="3" t="s">
        <v>6858</v>
      </c>
    </row>
    <row r="659" spans="1:59" ht="87" x14ac:dyDescent="0.35">
      <c r="A659" s="2" t="s">
        <v>59</v>
      </c>
      <c r="B659" s="2" t="s">
        <v>94</v>
      </c>
      <c r="C659" s="2" t="s">
        <v>6859</v>
      </c>
      <c r="D659" s="2" t="s">
        <v>6860</v>
      </c>
      <c r="E659" s="2" t="s">
        <v>6861</v>
      </c>
      <c r="G659" s="3" t="s">
        <v>64</v>
      </c>
      <c r="I659" s="3" t="s">
        <v>64</v>
      </c>
      <c r="J659" s="3" t="s">
        <v>64</v>
      </c>
      <c r="K659" s="3" t="s">
        <v>65</v>
      </c>
      <c r="L659" s="2" t="s">
        <v>6862</v>
      </c>
      <c r="M659" s="2" t="s">
        <v>5066</v>
      </c>
      <c r="N659" s="3" t="s">
        <v>175</v>
      </c>
      <c r="P659" s="3" t="s">
        <v>69</v>
      </c>
      <c r="R659" s="3" t="s">
        <v>70</v>
      </c>
      <c r="S659" s="4">
        <v>0</v>
      </c>
      <c r="T659" s="4">
        <v>0</v>
      </c>
      <c r="W659" s="5" t="s">
        <v>72</v>
      </c>
      <c r="X659" s="5" t="s">
        <v>72</v>
      </c>
      <c r="Y659" s="4">
        <v>80</v>
      </c>
      <c r="Z659" s="4">
        <v>7</v>
      </c>
      <c r="AA659" s="4">
        <v>35</v>
      </c>
      <c r="AB659" s="4">
        <v>1</v>
      </c>
      <c r="AC659" s="4">
        <v>6</v>
      </c>
      <c r="AD659" s="4">
        <v>47</v>
      </c>
      <c r="AE659" s="4">
        <v>97</v>
      </c>
      <c r="AF659" s="4">
        <v>0</v>
      </c>
      <c r="AG659" s="4">
        <v>2</v>
      </c>
      <c r="AH659" s="4">
        <v>46</v>
      </c>
      <c r="AI659" s="4">
        <v>80</v>
      </c>
      <c r="AJ659" s="4">
        <v>5</v>
      </c>
      <c r="AK659" s="4">
        <v>15</v>
      </c>
      <c r="AL659" s="4">
        <v>25</v>
      </c>
      <c r="AM659" s="4">
        <v>43</v>
      </c>
      <c r="AN659" s="4">
        <v>0</v>
      </c>
      <c r="AO659" s="4">
        <v>0</v>
      </c>
      <c r="AP659" s="4">
        <v>5</v>
      </c>
      <c r="AQ659" s="4">
        <v>25</v>
      </c>
      <c r="AR659" s="3" t="s">
        <v>64</v>
      </c>
      <c r="AS659" s="3" t="s">
        <v>64</v>
      </c>
      <c r="AT659" s="3" t="s">
        <v>64</v>
      </c>
      <c r="AV659" s="6" t="str">
        <f>HYPERLINK("http://mcgill.on.worldcat.org/oclc/866996440","Catalog Record")</f>
        <v>Catalog Record</v>
      </c>
      <c r="AW659" s="6" t="str">
        <f>HYPERLINK("http://www.worldcat.org/oclc/866996440","WorldCat Record")</f>
        <v>WorldCat Record</v>
      </c>
      <c r="AX659" s="3" t="s">
        <v>6863</v>
      </c>
      <c r="AY659" s="3" t="s">
        <v>6864</v>
      </c>
      <c r="AZ659" s="3" t="s">
        <v>6865</v>
      </c>
      <c r="BA659" s="3" t="s">
        <v>6865</v>
      </c>
      <c r="BB659" s="3" t="s">
        <v>6866</v>
      </c>
      <c r="BC659" s="3" t="s">
        <v>78</v>
      </c>
      <c r="BD659" s="3" t="s">
        <v>79</v>
      </c>
      <c r="BE659" s="3" t="s">
        <v>6867</v>
      </c>
      <c r="BF659" s="3" t="s">
        <v>6866</v>
      </c>
      <c r="BG659" s="3" t="s">
        <v>6868</v>
      </c>
    </row>
    <row r="660" spans="1:59" ht="58" x14ac:dyDescent="0.35">
      <c r="A660" s="2" t="s">
        <v>59</v>
      </c>
      <c r="B660" s="2" t="s">
        <v>94</v>
      </c>
      <c r="C660" s="2" t="s">
        <v>6869</v>
      </c>
      <c r="D660" s="2" t="s">
        <v>6870</v>
      </c>
      <c r="E660" s="2" t="s">
        <v>6871</v>
      </c>
      <c r="G660" s="3" t="s">
        <v>64</v>
      </c>
      <c r="I660" s="3" t="s">
        <v>64</v>
      </c>
      <c r="J660" s="3" t="s">
        <v>64</v>
      </c>
      <c r="K660" s="3" t="s">
        <v>65</v>
      </c>
      <c r="M660" s="2" t="s">
        <v>6872</v>
      </c>
      <c r="N660" s="3" t="s">
        <v>1029</v>
      </c>
      <c r="P660" s="3" t="s">
        <v>69</v>
      </c>
      <c r="R660" s="3" t="s">
        <v>70</v>
      </c>
      <c r="S660" s="4">
        <v>4</v>
      </c>
      <c r="T660" s="4">
        <v>4</v>
      </c>
      <c r="U660" s="5" t="s">
        <v>474</v>
      </c>
      <c r="V660" s="5" t="s">
        <v>474</v>
      </c>
      <c r="W660" s="5" t="s">
        <v>72</v>
      </c>
      <c r="X660" s="5" t="s">
        <v>72</v>
      </c>
      <c r="Y660" s="4">
        <v>108</v>
      </c>
      <c r="Z660" s="4">
        <v>65</v>
      </c>
      <c r="AA660" s="4">
        <v>78</v>
      </c>
      <c r="AB660" s="4">
        <v>4</v>
      </c>
      <c r="AC660" s="4">
        <v>9</v>
      </c>
      <c r="AD660" s="4">
        <v>59</v>
      </c>
      <c r="AE660" s="4">
        <v>66</v>
      </c>
      <c r="AF660" s="4">
        <v>2</v>
      </c>
      <c r="AG660" s="4">
        <v>5</v>
      </c>
      <c r="AH660" s="4">
        <v>27</v>
      </c>
      <c r="AI660" s="4">
        <v>32</v>
      </c>
      <c r="AJ660" s="4">
        <v>24</v>
      </c>
      <c r="AK660" s="4">
        <v>27</v>
      </c>
      <c r="AL660" s="4">
        <v>14</v>
      </c>
      <c r="AM660" s="4">
        <v>16</v>
      </c>
      <c r="AN660" s="4">
        <v>0</v>
      </c>
      <c r="AO660" s="4">
        <v>0</v>
      </c>
      <c r="AP660" s="4">
        <v>42</v>
      </c>
      <c r="AQ660" s="4">
        <v>45</v>
      </c>
      <c r="AR660" s="3" t="s">
        <v>73</v>
      </c>
      <c r="AS660" s="3" t="s">
        <v>64</v>
      </c>
      <c r="AT660" s="3" t="s">
        <v>64</v>
      </c>
      <c r="AV660" s="6" t="str">
        <f>HYPERLINK("http://mcgill.on.worldcat.org/oclc/319486908","Catalog Record")</f>
        <v>Catalog Record</v>
      </c>
      <c r="AW660" s="6" t="str">
        <f>HYPERLINK("http://www.worldcat.org/oclc/319486908","WorldCat Record")</f>
        <v>WorldCat Record</v>
      </c>
      <c r="AX660" s="3" t="s">
        <v>6873</v>
      </c>
      <c r="AY660" s="3" t="s">
        <v>6874</v>
      </c>
      <c r="AZ660" s="3" t="s">
        <v>6875</v>
      </c>
      <c r="BA660" s="3" t="s">
        <v>6875</v>
      </c>
      <c r="BB660" s="3" t="s">
        <v>6876</v>
      </c>
      <c r="BC660" s="3" t="s">
        <v>78</v>
      </c>
      <c r="BD660" s="3" t="s">
        <v>79</v>
      </c>
      <c r="BE660" s="3" t="s">
        <v>6877</v>
      </c>
      <c r="BF660" s="3" t="s">
        <v>6876</v>
      </c>
      <c r="BG660" s="3" t="s">
        <v>6878</v>
      </c>
    </row>
    <row r="661" spans="1:59" ht="58" x14ac:dyDescent="0.35">
      <c r="A661" s="2" t="s">
        <v>59</v>
      </c>
      <c r="B661" s="2" t="s">
        <v>94</v>
      </c>
      <c r="C661" s="2" t="s">
        <v>6879</v>
      </c>
      <c r="D661" s="2" t="s">
        <v>6880</v>
      </c>
      <c r="E661" s="2" t="s">
        <v>6881</v>
      </c>
      <c r="G661" s="3" t="s">
        <v>64</v>
      </c>
      <c r="I661" s="3" t="s">
        <v>64</v>
      </c>
      <c r="J661" s="3" t="s">
        <v>64</v>
      </c>
      <c r="K661" s="3" t="s">
        <v>65</v>
      </c>
      <c r="L661" s="2" t="s">
        <v>6882</v>
      </c>
      <c r="M661" s="2" t="s">
        <v>327</v>
      </c>
      <c r="N661" s="3" t="s">
        <v>328</v>
      </c>
      <c r="P661" s="3" t="s">
        <v>69</v>
      </c>
      <c r="R661" s="3" t="s">
        <v>70</v>
      </c>
      <c r="S661" s="4">
        <v>1</v>
      </c>
      <c r="T661" s="4">
        <v>1</v>
      </c>
      <c r="U661" s="5" t="s">
        <v>6883</v>
      </c>
      <c r="V661" s="5" t="s">
        <v>6883</v>
      </c>
      <c r="W661" s="5" t="s">
        <v>72</v>
      </c>
      <c r="X661" s="5" t="s">
        <v>72</v>
      </c>
      <c r="Y661" s="4">
        <v>180</v>
      </c>
      <c r="Z661" s="4">
        <v>18</v>
      </c>
      <c r="AA661" s="4">
        <v>26</v>
      </c>
      <c r="AB661" s="4">
        <v>1</v>
      </c>
      <c r="AC661" s="4">
        <v>5</v>
      </c>
      <c r="AD661" s="4">
        <v>67</v>
      </c>
      <c r="AE661" s="4">
        <v>78</v>
      </c>
      <c r="AF661" s="4">
        <v>0</v>
      </c>
      <c r="AG661" s="4">
        <v>1</v>
      </c>
      <c r="AH661" s="4">
        <v>58</v>
      </c>
      <c r="AI661" s="4">
        <v>66</v>
      </c>
      <c r="AJ661" s="4">
        <v>11</v>
      </c>
      <c r="AK661" s="4">
        <v>14</v>
      </c>
      <c r="AL661" s="4">
        <v>33</v>
      </c>
      <c r="AM661" s="4">
        <v>37</v>
      </c>
      <c r="AN661" s="4">
        <v>0</v>
      </c>
      <c r="AO661" s="4">
        <v>0</v>
      </c>
      <c r="AP661" s="4">
        <v>15</v>
      </c>
      <c r="AQ661" s="4">
        <v>20</v>
      </c>
      <c r="AR661" s="3" t="s">
        <v>64</v>
      </c>
      <c r="AS661" s="3" t="s">
        <v>64</v>
      </c>
      <c r="AT661" s="3" t="s">
        <v>64</v>
      </c>
      <c r="AV661" s="6" t="str">
        <f>HYPERLINK("http://mcgill.on.worldcat.org/oclc/751726089","Catalog Record")</f>
        <v>Catalog Record</v>
      </c>
      <c r="AW661" s="6" t="str">
        <f>HYPERLINK("http://www.worldcat.org/oclc/751726089","WorldCat Record")</f>
        <v>WorldCat Record</v>
      </c>
      <c r="AX661" s="3" t="s">
        <v>6884</v>
      </c>
      <c r="AY661" s="3" t="s">
        <v>6885</v>
      </c>
      <c r="AZ661" s="3" t="s">
        <v>6886</v>
      </c>
      <c r="BA661" s="3" t="s">
        <v>6886</v>
      </c>
      <c r="BB661" s="3" t="s">
        <v>6887</v>
      </c>
      <c r="BC661" s="3" t="s">
        <v>78</v>
      </c>
      <c r="BD661" s="3" t="s">
        <v>79</v>
      </c>
      <c r="BE661" s="3" t="s">
        <v>6888</v>
      </c>
      <c r="BF661" s="3" t="s">
        <v>6887</v>
      </c>
      <c r="BG661" s="3" t="s">
        <v>6889</v>
      </c>
    </row>
    <row r="662" spans="1:59" ht="58" x14ac:dyDescent="0.35">
      <c r="A662" s="2" t="s">
        <v>59</v>
      </c>
      <c r="B662" s="2" t="s">
        <v>94</v>
      </c>
      <c r="C662" s="2" t="s">
        <v>6890</v>
      </c>
      <c r="D662" s="2" t="s">
        <v>6891</v>
      </c>
      <c r="E662" s="2" t="s">
        <v>6892</v>
      </c>
      <c r="F662" s="3" t="s">
        <v>6893</v>
      </c>
      <c r="G662" s="3" t="s">
        <v>73</v>
      </c>
      <c r="I662" s="3" t="s">
        <v>64</v>
      </c>
      <c r="J662" s="3" t="s">
        <v>64</v>
      </c>
      <c r="K662" s="3" t="s">
        <v>65</v>
      </c>
      <c r="M662" s="2" t="s">
        <v>5077</v>
      </c>
      <c r="N662" s="3" t="s">
        <v>328</v>
      </c>
      <c r="P662" s="3" t="s">
        <v>69</v>
      </c>
      <c r="Q662" s="2" t="s">
        <v>5134</v>
      </c>
      <c r="R662" s="3" t="s">
        <v>70</v>
      </c>
      <c r="S662" s="4">
        <v>3</v>
      </c>
      <c r="T662" s="4">
        <v>6</v>
      </c>
      <c r="U662" s="5" t="s">
        <v>5353</v>
      </c>
      <c r="V662" s="5" t="s">
        <v>6894</v>
      </c>
      <c r="W662" s="5" t="s">
        <v>72</v>
      </c>
      <c r="X662" s="5" t="s">
        <v>72</v>
      </c>
      <c r="Y662" s="4">
        <v>107</v>
      </c>
      <c r="Z662" s="4">
        <v>5</v>
      </c>
      <c r="AA662" s="4">
        <v>41</v>
      </c>
      <c r="AB662" s="4">
        <v>1</v>
      </c>
      <c r="AC662" s="4">
        <v>7</v>
      </c>
      <c r="AD662" s="4">
        <v>52</v>
      </c>
      <c r="AE662" s="4">
        <v>108</v>
      </c>
      <c r="AF662" s="4">
        <v>0</v>
      </c>
      <c r="AG662" s="4">
        <v>2</v>
      </c>
      <c r="AH662" s="4">
        <v>51</v>
      </c>
      <c r="AI662" s="4">
        <v>88</v>
      </c>
      <c r="AJ662" s="4">
        <v>3</v>
      </c>
      <c r="AK662" s="4">
        <v>14</v>
      </c>
      <c r="AL662" s="4">
        <v>29</v>
      </c>
      <c r="AM662" s="4">
        <v>49</v>
      </c>
      <c r="AN662" s="4">
        <v>0</v>
      </c>
      <c r="AO662" s="4">
        <v>0</v>
      </c>
      <c r="AP662" s="4">
        <v>3</v>
      </c>
      <c r="AQ662" s="4">
        <v>26</v>
      </c>
      <c r="AR662" s="3" t="s">
        <v>64</v>
      </c>
      <c r="AS662" s="3" t="s">
        <v>64</v>
      </c>
      <c r="AT662" s="3" t="s">
        <v>64</v>
      </c>
      <c r="AV662" s="6" t="str">
        <f>HYPERLINK("http://mcgill.on.worldcat.org/oclc/743040141","Catalog Record")</f>
        <v>Catalog Record</v>
      </c>
      <c r="AW662" s="6" t="str">
        <f>HYPERLINK("http://www.worldcat.org/oclc/743040141","WorldCat Record")</f>
        <v>WorldCat Record</v>
      </c>
      <c r="AX662" s="3" t="s">
        <v>6895</v>
      </c>
      <c r="AY662" s="3" t="s">
        <v>6896</v>
      </c>
      <c r="AZ662" s="3" t="s">
        <v>6897</v>
      </c>
      <c r="BA662" s="3" t="s">
        <v>6897</v>
      </c>
      <c r="BB662" s="3" t="s">
        <v>6898</v>
      </c>
      <c r="BC662" s="3" t="s">
        <v>78</v>
      </c>
      <c r="BD662" s="3" t="s">
        <v>79</v>
      </c>
      <c r="BE662" s="3" t="s">
        <v>6899</v>
      </c>
      <c r="BF662" s="3" t="s">
        <v>6898</v>
      </c>
      <c r="BG662" s="3" t="s">
        <v>6900</v>
      </c>
    </row>
    <row r="663" spans="1:59" ht="58" x14ac:dyDescent="0.35">
      <c r="A663" s="2" t="s">
        <v>59</v>
      </c>
      <c r="B663" s="2" t="s">
        <v>94</v>
      </c>
      <c r="C663" s="2" t="s">
        <v>6890</v>
      </c>
      <c r="D663" s="2" t="s">
        <v>6891</v>
      </c>
      <c r="E663" s="2" t="s">
        <v>6892</v>
      </c>
      <c r="F663" s="3" t="s">
        <v>399</v>
      </c>
      <c r="G663" s="3" t="s">
        <v>73</v>
      </c>
      <c r="I663" s="3" t="s">
        <v>64</v>
      </c>
      <c r="J663" s="3" t="s">
        <v>64</v>
      </c>
      <c r="K663" s="3" t="s">
        <v>65</v>
      </c>
      <c r="M663" s="2" t="s">
        <v>5077</v>
      </c>
      <c r="N663" s="3" t="s">
        <v>328</v>
      </c>
      <c r="P663" s="3" t="s">
        <v>69</v>
      </c>
      <c r="Q663" s="2" t="s">
        <v>5134</v>
      </c>
      <c r="R663" s="3" t="s">
        <v>70</v>
      </c>
      <c r="S663" s="4">
        <v>3</v>
      </c>
      <c r="T663" s="4">
        <v>6</v>
      </c>
      <c r="U663" s="5" t="s">
        <v>6894</v>
      </c>
      <c r="V663" s="5" t="s">
        <v>6894</v>
      </c>
      <c r="W663" s="5" t="s">
        <v>72</v>
      </c>
      <c r="X663" s="5" t="s">
        <v>72</v>
      </c>
      <c r="Y663" s="4">
        <v>107</v>
      </c>
      <c r="Z663" s="4">
        <v>5</v>
      </c>
      <c r="AA663" s="4">
        <v>41</v>
      </c>
      <c r="AB663" s="4">
        <v>1</v>
      </c>
      <c r="AC663" s="4">
        <v>7</v>
      </c>
      <c r="AD663" s="4">
        <v>52</v>
      </c>
      <c r="AE663" s="4">
        <v>108</v>
      </c>
      <c r="AF663" s="4">
        <v>0</v>
      </c>
      <c r="AG663" s="4">
        <v>2</v>
      </c>
      <c r="AH663" s="4">
        <v>51</v>
      </c>
      <c r="AI663" s="4">
        <v>88</v>
      </c>
      <c r="AJ663" s="4">
        <v>3</v>
      </c>
      <c r="AK663" s="4">
        <v>14</v>
      </c>
      <c r="AL663" s="4">
        <v>29</v>
      </c>
      <c r="AM663" s="4">
        <v>49</v>
      </c>
      <c r="AN663" s="4">
        <v>0</v>
      </c>
      <c r="AO663" s="4">
        <v>0</v>
      </c>
      <c r="AP663" s="4">
        <v>3</v>
      </c>
      <c r="AQ663" s="4">
        <v>26</v>
      </c>
      <c r="AR663" s="3" t="s">
        <v>64</v>
      </c>
      <c r="AS663" s="3" t="s">
        <v>64</v>
      </c>
      <c r="AT663" s="3" t="s">
        <v>64</v>
      </c>
      <c r="AV663" s="6" t="str">
        <f>HYPERLINK("http://mcgill.on.worldcat.org/oclc/743040141","Catalog Record")</f>
        <v>Catalog Record</v>
      </c>
      <c r="AW663" s="6" t="str">
        <f>HYPERLINK("http://www.worldcat.org/oclc/743040141","WorldCat Record")</f>
        <v>WorldCat Record</v>
      </c>
      <c r="AX663" s="3" t="s">
        <v>6895</v>
      </c>
      <c r="AY663" s="3" t="s">
        <v>6896</v>
      </c>
      <c r="AZ663" s="3" t="s">
        <v>6897</v>
      </c>
      <c r="BA663" s="3" t="s">
        <v>6897</v>
      </c>
      <c r="BB663" s="3" t="s">
        <v>6901</v>
      </c>
      <c r="BC663" s="3" t="s">
        <v>78</v>
      </c>
      <c r="BD663" s="3" t="s">
        <v>79</v>
      </c>
      <c r="BE663" s="3" t="s">
        <v>6899</v>
      </c>
      <c r="BF663" s="3" t="s">
        <v>6901</v>
      </c>
      <c r="BG663" s="3" t="s">
        <v>6902</v>
      </c>
    </row>
    <row r="664" spans="1:59" ht="58" x14ac:dyDescent="0.35">
      <c r="A664" s="2" t="s">
        <v>59</v>
      </c>
      <c r="B664" s="2" t="s">
        <v>94</v>
      </c>
      <c r="C664" s="2" t="s">
        <v>6903</v>
      </c>
      <c r="D664" s="2" t="s">
        <v>6904</v>
      </c>
      <c r="E664" s="2" t="s">
        <v>6905</v>
      </c>
      <c r="G664" s="3" t="s">
        <v>64</v>
      </c>
      <c r="I664" s="3" t="s">
        <v>64</v>
      </c>
      <c r="J664" s="3" t="s">
        <v>64</v>
      </c>
      <c r="K664" s="3" t="s">
        <v>65</v>
      </c>
      <c r="L664" s="2" t="s">
        <v>6906</v>
      </c>
      <c r="M664" s="2" t="s">
        <v>6907</v>
      </c>
      <c r="N664" s="3" t="s">
        <v>524</v>
      </c>
      <c r="P664" s="3" t="s">
        <v>69</v>
      </c>
      <c r="R664" s="3" t="s">
        <v>70</v>
      </c>
      <c r="S664" s="4">
        <v>2</v>
      </c>
      <c r="T664" s="4">
        <v>2</v>
      </c>
      <c r="U664" s="5" t="s">
        <v>6908</v>
      </c>
      <c r="V664" s="5" t="s">
        <v>6908</v>
      </c>
      <c r="W664" s="5" t="s">
        <v>72</v>
      </c>
      <c r="X664" s="5" t="s">
        <v>72</v>
      </c>
      <c r="Y664" s="4">
        <v>353</v>
      </c>
      <c r="Z664" s="4">
        <v>11</v>
      </c>
      <c r="AA664" s="4">
        <v>16</v>
      </c>
      <c r="AB664" s="4">
        <v>2</v>
      </c>
      <c r="AC664" s="4">
        <v>4</v>
      </c>
      <c r="AD664" s="4">
        <v>53</v>
      </c>
      <c r="AE664" s="4">
        <v>63</v>
      </c>
      <c r="AF664" s="4">
        <v>1</v>
      </c>
      <c r="AG664" s="4">
        <v>1</v>
      </c>
      <c r="AH664" s="4">
        <v>50</v>
      </c>
      <c r="AI664" s="4">
        <v>60</v>
      </c>
      <c r="AJ664" s="4">
        <v>3</v>
      </c>
      <c r="AK664" s="4">
        <v>5</v>
      </c>
      <c r="AL664" s="4">
        <v>32</v>
      </c>
      <c r="AM664" s="4">
        <v>34</v>
      </c>
      <c r="AN664" s="4">
        <v>0</v>
      </c>
      <c r="AO664" s="4">
        <v>0</v>
      </c>
      <c r="AP664" s="4">
        <v>4</v>
      </c>
      <c r="AQ664" s="4">
        <v>6</v>
      </c>
      <c r="AR664" s="3" t="s">
        <v>64</v>
      </c>
      <c r="AS664" s="3" t="s">
        <v>64</v>
      </c>
      <c r="AT664" s="3" t="s">
        <v>64</v>
      </c>
      <c r="AV664" s="6" t="str">
        <f>HYPERLINK("http://mcgill.on.worldcat.org/oclc/807025091","Catalog Record")</f>
        <v>Catalog Record</v>
      </c>
      <c r="AW664" s="6" t="str">
        <f>HYPERLINK("http://www.worldcat.org/oclc/807025091","WorldCat Record")</f>
        <v>WorldCat Record</v>
      </c>
      <c r="AX664" s="3" t="s">
        <v>6909</v>
      </c>
      <c r="AY664" s="3" t="s">
        <v>6910</v>
      </c>
      <c r="AZ664" s="3" t="s">
        <v>6911</v>
      </c>
      <c r="BA664" s="3" t="s">
        <v>6911</v>
      </c>
      <c r="BB664" s="3" t="s">
        <v>6912</v>
      </c>
      <c r="BC664" s="3" t="s">
        <v>78</v>
      </c>
      <c r="BD664" s="3" t="s">
        <v>79</v>
      </c>
      <c r="BE664" s="3" t="s">
        <v>6913</v>
      </c>
      <c r="BF664" s="3" t="s">
        <v>6912</v>
      </c>
      <c r="BG664" s="3" t="s">
        <v>6914</v>
      </c>
    </row>
    <row r="665" spans="1:59" ht="58" x14ac:dyDescent="0.35">
      <c r="A665" s="2" t="s">
        <v>59</v>
      </c>
      <c r="B665" s="2" t="s">
        <v>94</v>
      </c>
      <c r="C665" s="2" t="s">
        <v>6915</v>
      </c>
      <c r="D665" s="2" t="s">
        <v>6916</v>
      </c>
      <c r="E665" s="2" t="s">
        <v>6917</v>
      </c>
      <c r="G665" s="3" t="s">
        <v>64</v>
      </c>
      <c r="I665" s="3" t="s">
        <v>64</v>
      </c>
      <c r="J665" s="3" t="s">
        <v>64</v>
      </c>
      <c r="K665" s="3" t="s">
        <v>65</v>
      </c>
      <c r="L665" s="2" t="s">
        <v>6918</v>
      </c>
      <c r="M665" s="2" t="s">
        <v>5100</v>
      </c>
      <c r="N665" s="3" t="s">
        <v>328</v>
      </c>
      <c r="P665" s="3" t="s">
        <v>69</v>
      </c>
      <c r="Q665" s="2" t="s">
        <v>5134</v>
      </c>
      <c r="R665" s="3" t="s">
        <v>70</v>
      </c>
      <c r="S665" s="4">
        <v>0</v>
      </c>
      <c r="T665" s="4">
        <v>0</v>
      </c>
      <c r="W665" s="5" t="s">
        <v>72</v>
      </c>
      <c r="X665" s="5" t="s">
        <v>72</v>
      </c>
      <c r="Y665" s="4">
        <v>93</v>
      </c>
      <c r="Z665" s="4">
        <v>4</v>
      </c>
      <c r="AA665" s="4">
        <v>46</v>
      </c>
      <c r="AB665" s="4">
        <v>1</v>
      </c>
      <c r="AC665" s="4">
        <v>8</v>
      </c>
      <c r="AD665" s="4">
        <v>47</v>
      </c>
      <c r="AE665" s="4">
        <v>108</v>
      </c>
      <c r="AF665" s="4">
        <v>0</v>
      </c>
      <c r="AG665" s="4">
        <v>2</v>
      </c>
      <c r="AH665" s="4">
        <v>46</v>
      </c>
      <c r="AI665" s="4">
        <v>87</v>
      </c>
      <c r="AJ665" s="4">
        <v>2</v>
      </c>
      <c r="AK665" s="4">
        <v>15</v>
      </c>
      <c r="AL665" s="4">
        <v>27</v>
      </c>
      <c r="AM665" s="4">
        <v>47</v>
      </c>
      <c r="AN665" s="4">
        <v>0</v>
      </c>
      <c r="AO665" s="4">
        <v>0</v>
      </c>
      <c r="AP665" s="4">
        <v>2</v>
      </c>
      <c r="AQ665" s="4">
        <v>28</v>
      </c>
      <c r="AR665" s="3" t="s">
        <v>64</v>
      </c>
      <c r="AS665" s="3" t="s">
        <v>64</v>
      </c>
      <c r="AT665" s="3" t="s">
        <v>64</v>
      </c>
      <c r="AV665" s="6" t="str">
        <f>HYPERLINK("http://mcgill.on.worldcat.org/oclc/762097807","Catalog Record")</f>
        <v>Catalog Record</v>
      </c>
      <c r="AW665" s="6" t="str">
        <f>HYPERLINK("http://www.worldcat.org/oclc/762097807","WorldCat Record")</f>
        <v>WorldCat Record</v>
      </c>
      <c r="AX665" s="3" t="s">
        <v>6919</v>
      </c>
      <c r="AY665" s="3" t="s">
        <v>6920</v>
      </c>
      <c r="AZ665" s="3" t="s">
        <v>6921</v>
      </c>
      <c r="BA665" s="3" t="s">
        <v>6921</v>
      </c>
      <c r="BB665" s="3" t="s">
        <v>6922</v>
      </c>
      <c r="BC665" s="3" t="s">
        <v>78</v>
      </c>
      <c r="BD665" s="3" t="s">
        <v>79</v>
      </c>
      <c r="BE665" s="3" t="s">
        <v>6923</v>
      </c>
      <c r="BF665" s="3" t="s">
        <v>6922</v>
      </c>
      <c r="BG665" s="3" t="s">
        <v>6924</v>
      </c>
    </row>
    <row r="666" spans="1:59" ht="58" x14ac:dyDescent="0.35">
      <c r="A666" s="2" t="s">
        <v>59</v>
      </c>
      <c r="B666" s="2" t="s">
        <v>94</v>
      </c>
      <c r="C666" s="2" t="s">
        <v>6925</v>
      </c>
      <c r="D666" s="2" t="s">
        <v>6926</v>
      </c>
      <c r="E666" s="2" t="s">
        <v>6927</v>
      </c>
      <c r="G666" s="3" t="s">
        <v>64</v>
      </c>
      <c r="I666" s="3" t="s">
        <v>64</v>
      </c>
      <c r="J666" s="3" t="s">
        <v>64</v>
      </c>
      <c r="K666" s="3" t="s">
        <v>65</v>
      </c>
      <c r="L666" s="2" t="s">
        <v>6928</v>
      </c>
      <c r="M666" s="2" t="s">
        <v>6929</v>
      </c>
      <c r="N666" s="3" t="s">
        <v>538</v>
      </c>
      <c r="P666" s="3" t="s">
        <v>69</v>
      </c>
      <c r="Q666" s="2" t="s">
        <v>6930</v>
      </c>
      <c r="R666" s="3" t="s">
        <v>70</v>
      </c>
      <c r="S666" s="4">
        <v>4</v>
      </c>
      <c r="T666" s="4">
        <v>4</v>
      </c>
      <c r="U666" s="5" t="s">
        <v>6833</v>
      </c>
      <c r="V666" s="5" t="s">
        <v>6833</v>
      </c>
      <c r="W666" s="5" t="s">
        <v>72</v>
      </c>
      <c r="X666" s="5" t="s">
        <v>72</v>
      </c>
      <c r="Y666" s="4">
        <v>139</v>
      </c>
      <c r="Z666" s="4">
        <v>6</v>
      </c>
      <c r="AA666" s="4">
        <v>105</v>
      </c>
      <c r="AB666" s="4">
        <v>1</v>
      </c>
      <c r="AC666" s="4">
        <v>20</v>
      </c>
      <c r="AD666" s="4">
        <v>69</v>
      </c>
      <c r="AE666" s="4">
        <v>138</v>
      </c>
      <c r="AF666" s="4">
        <v>0</v>
      </c>
      <c r="AG666" s="4">
        <v>8</v>
      </c>
      <c r="AH666" s="4">
        <v>67</v>
      </c>
      <c r="AI666" s="4">
        <v>97</v>
      </c>
      <c r="AJ666" s="4">
        <v>4</v>
      </c>
      <c r="AK666" s="4">
        <v>23</v>
      </c>
      <c r="AL666" s="4">
        <v>39</v>
      </c>
      <c r="AM666" s="4">
        <v>53</v>
      </c>
      <c r="AN666" s="4">
        <v>0</v>
      </c>
      <c r="AO666" s="4">
        <v>0</v>
      </c>
      <c r="AP666" s="4">
        <v>4</v>
      </c>
      <c r="AQ666" s="4">
        <v>45</v>
      </c>
      <c r="AR666" s="3" t="s">
        <v>64</v>
      </c>
      <c r="AS666" s="3" t="s">
        <v>64</v>
      </c>
      <c r="AT666" s="3" t="s">
        <v>73</v>
      </c>
      <c r="AU666" s="6" t="str">
        <f>HYPERLINK("http://catalog.hathitrust.org/Record/005562044","HathiTrust Record")</f>
        <v>HathiTrust Record</v>
      </c>
      <c r="AV666" s="6" t="str">
        <f>HYPERLINK("http://mcgill.on.worldcat.org/oclc/80917982","Catalog Record")</f>
        <v>Catalog Record</v>
      </c>
      <c r="AW666" s="6" t="str">
        <f>HYPERLINK("http://www.worldcat.org/oclc/80917982","WorldCat Record")</f>
        <v>WorldCat Record</v>
      </c>
      <c r="AX666" s="3" t="s">
        <v>6931</v>
      </c>
      <c r="AY666" s="3" t="s">
        <v>6932</v>
      </c>
      <c r="AZ666" s="3" t="s">
        <v>6933</v>
      </c>
      <c r="BA666" s="3" t="s">
        <v>6933</v>
      </c>
      <c r="BB666" s="3" t="s">
        <v>6934</v>
      </c>
      <c r="BC666" s="3" t="s">
        <v>78</v>
      </c>
      <c r="BD666" s="3" t="s">
        <v>79</v>
      </c>
      <c r="BE666" s="3" t="s">
        <v>6935</v>
      </c>
      <c r="BF666" s="3" t="s">
        <v>6934</v>
      </c>
      <c r="BG666" s="3" t="s">
        <v>6936</v>
      </c>
    </row>
    <row r="667" spans="1:59" ht="58" x14ac:dyDescent="0.35">
      <c r="A667" s="2" t="s">
        <v>59</v>
      </c>
      <c r="B667" s="2" t="s">
        <v>94</v>
      </c>
      <c r="C667" s="2" t="s">
        <v>6937</v>
      </c>
      <c r="D667" s="2" t="s">
        <v>6938</v>
      </c>
      <c r="E667" s="2" t="s">
        <v>6939</v>
      </c>
      <c r="G667" s="3" t="s">
        <v>64</v>
      </c>
      <c r="I667" s="3" t="s">
        <v>64</v>
      </c>
      <c r="J667" s="3" t="s">
        <v>64</v>
      </c>
      <c r="K667" s="3" t="s">
        <v>65</v>
      </c>
      <c r="M667" s="2" t="s">
        <v>6907</v>
      </c>
      <c r="N667" s="3" t="s">
        <v>524</v>
      </c>
      <c r="P667" s="3" t="s">
        <v>69</v>
      </c>
      <c r="Q667" s="2" t="s">
        <v>6940</v>
      </c>
      <c r="R667" s="3" t="s">
        <v>70</v>
      </c>
      <c r="S667" s="4">
        <v>6</v>
      </c>
      <c r="T667" s="4">
        <v>6</v>
      </c>
      <c r="U667" s="5" t="s">
        <v>6894</v>
      </c>
      <c r="V667" s="5" t="s">
        <v>6894</v>
      </c>
      <c r="W667" s="5" t="s">
        <v>72</v>
      </c>
      <c r="X667" s="5" t="s">
        <v>72</v>
      </c>
      <c r="Y667" s="4">
        <v>241</v>
      </c>
      <c r="Z667" s="4">
        <v>13</v>
      </c>
      <c r="AA667" s="4">
        <v>19</v>
      </c>
      <c r="AB667" s="4">
        <v>1</v>
      </c>
      <c r="AC667" s="4">
        <v>5</v>
      </c>
      <c r="AD667" s="4">
        <v>48</v>
      </c>
      <c r="AE667" s="4">
        <v>64</v>
      </c>
      <c r="AF667" s="4">
        <v>0</v>
      </c>
      <c r="AG667" s="4">
        <v>1</v>
      </c>
      <c r="AH667" s="4">
        <v>46</v>
      </c>
      <c r="AI667" s="4">
        <v>61</v>
      </c>
      <c r="AJ667" s="4">
        <v>4</v>
      </c>
      <c r="AK667" s="4">
        <v>6</v>
      </c>
      <c r="AL667" s="4">
        <v>29</v>
      </c>
      <c r="AM667" s="4">
        <v>36</v>
      </c>
      <c r="AN667" s="4">
        <v>0</v>
      </c>
      <c r="AO667" s="4">
        <v>0</v>
      </c>
      <c r="AP667" s="4">
        <v>5</v>
      </c>
      <c r="AQ667" s="4">
        <v>6</v>
      </c>
      <c r="AR667" s="3" t="s">
        <v>64</v>
      </c>
      <c r="AS667" s="3" t="s">
        <v>64</v>
      </c>
      <c r="AT667" s="3" t="s">
        <v>64</v>
      </c>
      <c r="AV667" s="6" t="str">
        <f>HYPERLINK("http://mcgill.on.worldcat.org/oclc/827974328","Catalog Record")</f>
        <v>Catalog Record</v>
      </c>
      <c r="AW667" s="6" t="str">
        <f>HYPERLINK("http://www.worldcat.org/oclc/827974328","WorldCat Record")</f>
        <v>WorldCat Record</v>
      </c>
      <c r="AX667" s="3" t="s">
        <v>6941</v>
      </c>
      <c r="AY667" s="3" t="s">
        <v>6942</v>
      </c>
      <c r="AZ667" s="3" t="s">
        <v>6943</v>
      </c>
      <c r="BA667" s="3" t="s">
        <v>6943</v>
      </c>
      <c r="BB667" s="3" t="s">
        <v>6944</v>
      </c>
      <c r="BC667" s="3" t="s">
        <v>78</v>
      </c>
      <c r="BD667" s="3" t="s">
        <v>79</v>
      </c>
      <c r="BE667" s="3" t="s">
        <v>6945</v>
      </c>
      <c r="BF667" s="3" t="s">
        <v>6944</v>
      </c>
      <c r="BG667" s="3" t="s">
        <v>6946</v>
      </c>
    </row>
    <row r="668" spans="1:59" ht="58" x14ac:dyDescent="0.35">
      <c r="A668" s="2" t="s">
        <v>59</v>
      </c>
      <c r="B668" s="2" t="s">
        <v>94</v>
      </c>
      <c r="C668" s="2" t="s">
        <v>6947</v>
      </c>
      <c r="D668" s="2" t="s">
        <v>6948</v>
      </c>
      <c r="E668" s="2" t="s">
        <v>6949</v>
      </c>
      <c r="G668" s="3" t="s">
        <v>64</v>
      </c>
      <c r="I668" s="3" t="s">
        <v>64</v>
      </c>
      <c r="J668" s="3" t="s">
        <v>64</v>
      </c>
      <c r="K668" s="3" t="s">
        <v>65</v>
      </c>
      <c r="L668" s="2" t="s">
        <v>6950</v>
      </c>
      <c r="M668" s="2" t="s">
        <v>6951</v>
      </c>
      <c r="N668" s="3" t="s">
        <v>473</v>
      </c>
      <c r="P668" s="3" t="s">
        <v>69</v>
      </c>
      <c r="R668" s="3" t="s">
        <v>70</v>
      </c>
      <c r="S668" s="4">
        <v>4</v>
      </c>
      <c r="T668" s="4">
        <v>4</v>
      </c>
      <c r="U668" s="5" t="s">
        <v>6833</v>
      </c>
      <c r="V668" s="5" t="s">
        <v>6833</v>
      </c>
      <c r="W668" s="5" t="s">
        <v>72</v>
      </c>
      <c r="X668" s="5" t="s">
        <v>72</v>
      </c>
      <c r="Y668" s="4">
        <v>111</v>
      </c>
      <c r="Z668" s="4">
        <v>4</v>
      </c>
      <c r="AA668" s="4">
        <v>6</v>
      </c>
      <c r="AB668" s="4">
        <v>1</v>
      </c>
      <c r="AC668" s="4">
        <v>1</v>
      </c>
      <c r="AD668" s="4">
        <v>43</v>
      </c>
      <c r="AE668" s="4">
        <v>52</v>
      </c>
      <c r="AF668" s="4">
        <v>0</v>
      </c>
      <c r="AG668" s="4">
        <v>0</v>
      </c>
      <c r="AH668" s="4">
        <v>41</v>
      </c>
      <c r="AI668" s="4">
        <v>50</v>
      </c>
      <c r="AJ668" s="4">
        <v>3</v>
      </c>
      <c r="AK668" s="4">
        <v>5</v>
      </c>
      <c r="AL668" s="4">
        <v>20</v>
      </c>
      <c r="AM668" s="4">
        <v>22</v>
      </c>
      <c r="AN668" s="4">
        <v>0</v>
      </c>
      <c r="AO668" s="4">
        <v>0</v>
      </c>
      <c r="AP668" s="4">
        <v>3</v>
      </c>
      <c r="AQ668" s="4">
        <v>5</v>
      </c>
      <c r="AR668" s="3" t="s">
        <v>64</v>
      </c>
      <c r="AS668" s="3" t="s">
        <v>64</v>
      </c>
      <c r="AT668" s="3" t="s">
        <v>64</v>
      </c>
      <c r="AV668" s="6" t="str">
        <f>HYPERLINK("http://mcgill.on.worldcat.org/oclc/23295121","Catalog Record")</f>
        <v>Catalog Record</v>
      </c>
      <c r="AW668" s="6" t="str">
        <f>HYPERLINK("http://www.worldcat.org/oclc/23295121","WorldCat Record")</f>
        <v>WorldCat Record</v>
      </c>
      <c r="AX668" s="3" t="s">
        <v>6952</v>
      </c>
      <c r="AY668" s="3" t="s">
        <v>6953</v>
      </c>
      <c r="AZ668" s="3" t="s">
        <v>6954</v>
      </c>
      <c r="BA668" s="3" t="s">
        <v>6954</v>
      </c>
      <c r="BB668" s="3" t="s">
        <v>6955</v>
      </c>
      <c r="BC668" s="3" t="s">
        <v>78</v>
      </c>
      <c r="BD668" s="3" t="s">
        <v>79</v>
      </c>
      <c r="BE668" s="3" t="s">
        <v>6956</v>
      </c>
      <c r="BF668" s="3" t="s">
        <v>6955</v>
      </c>
      <c r="BG668" s="3" t="s">
        <v>6957</v>
      </c>
    </row>
    <row r="669" spans="1:59" ht="58" x14ac:dyDescent="0.35">
      <c r="A669" s="2" t="s">
        <v>59</v>
      </c>
      <c r="B669" s="2" t="s">
        <v>94</v>
      </c>
      <c r="C669" s="2" t="s">
        <v>6958</v>
      </c>
      <c r="D669" s="2" t="s">
        <v>6959</v>
      </c>
      <c r="E669" s="2" t="s">
        <v>6960</v>
      </c>
      <c r="G669" s="3" t="s">
        <v>64</v>
      </c>
      <c r="I669" s="3" t="s">
        <v>64</v>
      </c>
      <c r="J669" s="3" t="s">
        <v>64</v>
      </c>
      <c r="K669" s="3" t="s">
        <v>65</v>
      </c>
      <c r="M669" s="2" t="s">
        <v>4901</v>
      </c>
      <c r="N669" s="3" t="s">
        <v>1029</v>
      </c>
      <c r="P669" s="3" t="s">
        <v>69</v>
      </c>
      <c r="Q669" s="2" t="s">
        <v>6961</v>
      </c>
      <c r="R669" s="3" t="s">
        <v>70</v>
      </c>
      <c r="S669" s="4">
        <v>4</v>
      </c>
      <c r="T669" s="4">
        <v>4</v>
      </c>
      <c r="U669" s="5" t="s">
        <v>1802</v>
      </c>
      <c r="V669" s="5" t="s">
        <v>1802</v>
      </c>
      <c r="W669" s="5" t="s">
        <v>72</v>
      </c>
      <c r="X669" s="5" t="s">
        <v>72</v>
      </c>
      <c r="Y669" s="4">
        <v>97</v>
      </c>
      <c r="Z669" s="4">
        <v>6</v>
      </c>
      <c r="AA669" s="4">
        <v>11</v>
      </c>
      <c r="AB669" s="4">
        <v>2</v>
      </c>
      <c r="AC669" s="4">
        <v>5</v>
      </c>
      <c r="AD669" s="4">
        <v>40</v>
      </c>
      <c r="AE669" s="4">
        <v>46</v>
      </c>
      <c r="AF669" s="4">
        <v>0</v>
      </c>
      <c r="AG669" s="4">
        <v>0</v>
      </c>
      <c r="AH669" s="4">
        <v>37</v>
      </c>
      <c r="AI669" s="4">
        <v>43</v>
      </c>
      <c r="AJ669" s="4">
        <v>3</v>
      </c>
      <c r="AK669" s="4">
        <v>5</v>
      </c>
      <c r="AL669" s="4">
        <v>29</v>
      </c>
      <c r="AM669" s="4">
        <v>31</v>
      </c>
      <c r="AN669" s="4">
        <v>0</v>
      </c>
      <c r="AO669" s="4">
        <v>0</v>
      </c>
      <c r="AP669" s="4">
        <v>3</v>
      </c>
      <c r="AQ669" s="4">
        <v>5</v>
      </c>
      <c r="AR669" s="3" t="s">
        <v>64</v>
      </c>
      <c r="AS669" s="3" t="s">
        <v>64</v>
      </c>
      <c r="AT669" s="3" t="s">
        <v>64</v>
      </c>
      <c r="AV669" s="6" t="str">
        <f>HYPERLINK("http://mcgill.on.worldcat.org/oclc/265078562","Catalog Record")</f>
        <v>Catalog Record</v>
      </c>
      <c r="AW669" s="6" t="str">
        <f>HYPERLINK("http://www.worldcat.org/oclc/265078562","WorldCat Record")</f>
        <v>WorldCat Record</v>
      </c>
      <c r="AX669" s="3" t="s">
        <v>6962</v>
      </c>
      <c r="AY669" s="3" t="s">
        <v>6963</v>
      </c>
      <c r="AZ669" s="3" t="s">
        <v>6964</v>
      </c>
      <c r="BA669" s="3" t="s">
        <v>6964</v>
      </c>
      <c r="BB669" s="3" t="s">
        <v>6965</v>
      </c>
      <c r="BC669" s="3" t="s">
        <v>78</v>
      </c>
      <c r="BD669" s="3" t="s">
        <v>79</v>
      </c>
      <c r="BE669" s="3" t="s">
        <v>6966</v>
      </c>
      <c r="BF669" s="3" t="s">
        <v>6965</v>
      </c>
      <c r="BG669" s="3" t="s">
        <v>6967</v>
      </c>
    </row>
    <row r="670" spans="1:59" ht="58" x14ac:dyDescent="0.35">
      <c r="A670" s="2" t="s">
        <v>59</v>
      </c>
      <c r="B670" s="2" t="s">
        <v>94</v>
      </c>
      <c r="C670" s="2" t="s">
        <v>6968</v>
      </c>
      <c r="D670" s="2" t="s">
        <v>6969</v>
      </c>
      <c r="E670" s="2" t="s">
        <v>6970</v>
      </c>
      <c r="G670" s="3" t="s">
        <v>64</v>
      </c>
      <c r="I670" s="3" t="s">
        <v>64</v>
      </c>
      <c r="J670" s="3" t="s">
        <v>64</v>
      </c>
      <c r="K670" s="3" t="s">
        <v>65</v>
      </c>
      <c r="L670" s="2" t="s">
        <v>6971</v>
      </c>
      <c r="M670" s="2" t="s">
        <v>6972</v>
      </c>
      <c r="N670" s="3" t="s">
        <v>861</v>
      </c>
      <c r="P670" s="3" t="s">
        <v>69</v>
      </c>
      <c r="R670" s="3" t="s">
        <v>70</v>
      </c>
      <c r="S670" s="4">
        <v>15</v>
      </c>
      <c r="T670" s="4">
        <v>15</v>
      </c>
      <c r="U670" s="5" t="s">
        <v>6759</v>
      </c>
      <c r="V670" s="5" t="s">
        <v>6759</v>
      </c>
      <c r="W670" s="5" t="s">
        <v>72</v>
      </c>
      <c r="X670" s="5" t="s">
        <v>72</v>
      </c>
      <c r="Y670" s="4">
        <v>304</v>
      </c>
      <c r="Z670" s="4">
        <v>15</v>
      </c>
      <c r="AA670" s="4">
        <v>104</v>
      </c>
      <c r="AB670" s="4">
        <v>2</v>
      </c>
      <c r="AC670" s="4">
        <v>19</v>
      </c>
      <c r="AD670" s="4">
        <v>85</v>
      </c>
      <c r="AE670" s="4">
        <v>144</v>
      </c>
      <c r="AF670" s="4">
        <v>0</v>
      </c>
      <c r="AG670" s="4">
        <v>8</v>
      </c>
      <c r="AH670" s="4">
        <v>78</v>
      </c>
      <c r="AI670" s="4">
        <v>103</v>
      </c>
      <c r="AJ670" s="4">
        <v>7</v>
      </c>
      <c r="AK670" s="4">
        <v>23</v>
      </c>
      <c r="AL670" s="4">
        <v>44</v>
      </c>
      <c r="AM670" s="4">
        <v>56</v>
      </c>
      <c r="AN670" s="4">
        <v>0</v>
      </c>
      <c r="AO670" s="4">
        <v>0</v>
      </c>
      <c r="AP670" s="4">
        <v>10</v>
      </c>
      <c r="AQ670" s="4">
        <v>47</v>
      </c>
      <c r="AR670" s="3" t="s">
        <v>64</v>
      </c>
      <c r="AS670" s="3" t="s">
        <v>64</v>
      </c>
      <c r="AT670" s="3" t="s">
        <v>64</v>
      </c>
      <c r="AV670" s="6" t="str">
        <f>HYPERLINK("http://mcgill.on.worldcat.org/oclc/55228462","Catalog Record")</f>
        <v>Catalog Record</v>
      </c>
      <c r="AW670" s="6" t="str">
        <f>HYPERLINK("http://www.worldcat.org/oclc/55228462","WorldCat Record")</f>
        <v>WorldCat Record</v>
      </c>
      <c r="AX670" s="3" t="s">
        <v>6973</v>
      </c>
      <c r="AY670" s="3" t="s">
        <v>6974</v>
      </c>
      <c r="AZ670" s="3" t="s">
        <v>6975</v>
      </c>
      <c r="BA670" s="3" t="s">
        <v>6975</v>
      </c>
      <c r="BB670" s="3" t="s">
        <v>6976</v>
      </c>
      <c r="BC670" s="3" t="s">
        <v>78</v>
      </c>
      <c r="BD670" s="3" t="s">
        <v>79</v>
      </c>
      <c r="BE670" s="3" t="s">
        <v>6977</v>
      </c>
      <c r="BF670" s="3" t="s">
        <v>6976</v>
      </c>
      <c r="BG670" s="3" t="s">
        <v>6978</v>
      </c>
    </row>
    <row r="671" spans="1:59" ht="72.5" x14ac:dyDescent="0.35">
      <c r="A671" s="2" t="s">
        <v>59</v>
      </c>
      <c r="B671" s="2" t="s">
        <v>94</v>
      </c>
      <c r="C671" s="2" t="s">
        <v>6979</v>
      </c>
      <c r="D671" s="2" t="s">
        <v>6980</v>
      </c>
      <c r="E671" s="2" t="s">
        <v>6981</v>
      </c>
      <c r="G671" s="3" t="s">
        <v>64</v>
      </c>
      <c r="I671" s="3" t="s">
        <v>64</v>
      </c>
      <c r="J671" s="3" t="s">
        <v>64</v>
      </c>
      <c r="K671" s="3" t="s">
        <v>65</v>
      </c>
      <c r="L671" s="2" t="s">
        <v>6982</v>
      </c>
      <c r="M671" s="2" t="s">
        <v>6983</v>
      </c>
      <c r="N671" s="3" t="s">
        <v>524</v>
      </c>
      <c r="O671" s="2" t="s">
        <v>6984</v>
      </c>
      <c r="P671" s="3" t="s">
        <v>69</v>
      </c>
      <c r="R671" s="3" t="s">
        <v>70</v>
      </c>
      <c r="S671" s="4">
        <v>2</v>
      </c>
      <c r="T671" s="4">
        <v>2</v>
      </c>
      <c r="U671" s="5" t="s">
        <v>474</v>
      </c>
      <c r="V671" s="5" t="s">
        <v>474</v>
      </c>
      <c r="W671" s="5" t="s">
        <v>72</v>
      </c>
      <c r="X671" s="5" t="s">
        <v>72</v>
      </c>
      <c r="Y671" s="4">
        <v>1203</v>
      </c>
      <c r="Z671" s="4">
        <v>23</v>
      </c>
      <c r="AA671" s="4">
        <v>29</v>
      </c>
      <c r="AB671" s="4">
        <v>1</v>
      </c>
      <c r="AC671" s="4">
        <v>6</v>
      </c>
      <c r="AD671" s="4">
        <v>88</v>
      </c>
      <c r="AE671" s="4">
        <v>89</v>
      </c>
      <c r="AF671" s="4">
        <v>0</v>
      </c>
      <c r="AG671" s="4">
        <v>1</v>
      </c>
      <c r="AH671" s="4">
        <v>84</v>
      </c>
      <c r="AI671" s="4">
        <v>84</v>
      </c>
      <c r="AJ671" s="4">
        <v>9</v>
      </c>
      <c r="AK671" s="4">
        <v>10</v>
      </c>
      <c r="AL671" s="4">
        <v>47</v>
      </c>
      <c r="AM671" s="4">
        <v>47</v>
      </c>
      <c r="AN671" s="4">
        <v>0</v>
      </c>
      <c r="AO671" s="4">
        <v>0</v>
      </c>
      <c r="AP671" s="4">
        <v>9</v>
      </c>
      <c r="AQ671" s="4">
        <v>9</v>
      </c>
      <c r="AR671" s="3" t="s">
        <v>64</v>
      </c>
      <c r="AS671" s="3" t="s">
        <v>64</v>
      </c>
      <c r="AT671" s="3" t="s">
        <v>64</v>
      </c>
      <c r="AV671" s="6" t="str">
        <f>HYPERLINK("http://mcgill.on.worldcat.org/oclc/795504258","Catalog Record")</f>
        <v>Catalog Record</v>
      </c>
      <c r="AW671" s="6" t="str">
        <f>HYPERLINK("http://www.worldcat.org/oclc/795504258","WorldCat Record")</f>
        <v>WorldCat Record</v>
      </c>
      <c r="AX671" s="3" t="s">
        <v>6985</v>
      </c>
      <c r="AY671" s="3" t="s">
        <v>6986</v>
      </c>
      <c r="AZ671" s="3" t="s">
        <v>6987</v>
      </c>
      <c r="BA671" s="3" t="s">
        <v>6987</v>
      </c>
      <c r="BB671" s="3" t="s">
        <v>6988</v>
      </c>
      <c r="BC671" s="3" t="s">
        <v>78</v>
      </c>
      <c r="BD671" s="3" t="s">
        <v>79</v>
      </c>
      <c r="BE671" s="3" t="s">
        <v>6989</v>
      </c>
      <c r="BF671" s="3" t="s">
        <v>6988</v>
      </c>
      <c r="BG671" s="3" t="s">
        <v>6990</v>
      </c>
    </row>
    <row r="672" spans="1:59" ht="58" x14ac:dyDescent="0.35">
      <c r="A672" s="2" t="s">
        <v>59</v>
      </c>
      <c r="B672" s="2" t="s">
        <v>94</v>
      </c>
      <c r="C672" s="2" t="s">
        <v>6991</v>
      </c>
      <c r="D672" s="2" t="s">
        <v>6992</v>
      </c>
      <c r="E672" s="2" t="s">
        <v>6993</v>
      </c>
      <c r="G672" s="3" t="s">
        <v>64</v>
      </c>
      <c r="I672" s="3" t="s">
        <v>64</v>
      </c>
      <c r="J672" s="3" t="s">
        <v>64</v>
      </c>
      <c r="K672" s="3" t="s">
        <v>65</v>
      </c>
      <c r="L672" s="2" t="s">
        <v>6994</v>
      </c>
      <c r="M672" s="2" t="s">
        <v>5877</v>
      </c>
      <c r="N672" s="3" t="s">
        <v>214</v>
      </c>
      <c r="P672" s="3" t="s">
        <v>69</v>
      </c>
      <c r="R672" s="3" t="s">
        <v>70</v>
      </c>
      <c r="S672" s="4">
        <v>12</v>
      </c>
      <c r="T672" s="4">
        <v>12</v>
      </c>
      <c r="U672" s="5" t="s">
        <v>692</v>
      </c>
      <c r="V672" s="5" t="s">
        <v>692</v>
      </c>
      <c r="W672" s="5" t="s">
        <v>72</v>
      </c>
      <c r="X672" s="5" t="s">
        <v>72</v>
      </c>
      <c r="Y672" s="4">
        <v>386</v>
      </c>
      <c r="Z672" s="4">
        <v>14</v>
      </c>
      <c r="AA672" s="4">
        <v>23</v>
      </c>
      <c r="AB672" s="4">
        <v>1</v>
      </c>
      <c r="AC672" s="4">
        <v>6</v>
      </c>
      <c r="AD672" s="4">
        <v>59</v>
      </c>
      <c r="AE672" s="4">
        <v>80</v>
      </c>
      <c r="AF672" s="4">
        <v>0</v>
      </c>
      <c r="AG672" s="4">
        <v>3</v>
      </c>
      <c r="AH672" s="4">
        <v>55</v>
      </c>
      <c r="AI672" s="4">
        <v>72</v>
      </c>
      <c r="AJ672" s="4">
        <v>7</v>
      </c>
      <c r="AK672" s="4">
        <v>12</v>
      </c>
      <c r="AL672" s="4">
        <v>35</v>
      </c>
      <c r="AM672" s="4">
        <v>43</v>
      </c>
      <c r="AN672" s="4">
        <v>0</v>
      </c>
      <c r="AO672" s="4">
        <v>0</v>
      </c>
      <c r="AP672" s="4">
        <v>8</v>
      </c>
      <c r="AQ672" s="4">
        <v>12</v>
      </c>
      <c r="AR672" s="3" t="s">
        <v>64</v>
      </c>
      <c r="AS672" s="3" t="s">
        <v>64</v>
      </c>
      <c r="AT672" s="3" t="s">
        <v>64</v>
      </c>
      <c r="AV672" s="6" t="str">
        <f>HYPERLINK("http://mcgill.on.worldcat.org/oclc/437300061","Catalog Record")</f>
        <v>Catalog Record</v>
      </c>
      <c r="AW672" s="6" t="str">
        <f>HYPERLINK("http://www.worldcat.org/oclc/437300061","WorldCat Record")</f>
        <v>WorldCat Record</v>
      </c>
      <c r="AX672" s="3" t="s">
        <v>6995</v>
      </c>
      <c r="AY672" s="3" t="s">
        <v>6996</v>
      </c>
      <c r="AZ672" s="3" t="s">
        <v>6997</v>
      </c>
      <c r="BA672" s="3" t="s">
        <v>6997</v>
      </c>
      <c r="BB672" s="3" t="s">
        <v>6998</v>
      </c>
      <c r="BC672" s="3" t="s">
        <v>78</v>
      </c>
      <c r="BD672" s="3" t="s">
        <v>79</v>
      </c>
      <c r="BE672" s="3" t="s">
        <v>6999</v>
      </c>
      <c r="BF672" s="3" t="s">
        <v>6998</v>
      </c>
      <c r="BG672" s="3" t="s">
        <v>7000</v>
      </c>
    </row>
    <row r="673" spans="1:59" ht="58" x14ac:dyDescent="0.35">
      <c r="A673" s="2" t="s">
        <v>59</v>
      </c>
      <c r="B673" s="2" t="s">
        <v>94</v>
      </c>
      <c r="C673" s="2" t="s">
        <v>7001</v>
      </c>
      <c r="D673" s="2" t="s">
        <v>7002</v>
      </c>
      <c r="E673" s="2" t="s">
        <v>7003</v>
      </c>
      <c r="G673" s="3" t="s">
        <v>64</v>
      </c>
      <c r="I673" s="3" t="s">
        <v>64</v>
      </c>
      <c r="J673" s="3" t="s">
        <v>64</v>
      </c>
      <c r="K673" s="3" t="s">
        <v>65</v>
      </c>
      <c r="M673" s="2" t="s">
        <v>7004</v>
      </c>
      <c r="N673" s="3" t="s">
        <v>377</v>
      </c>
      <c r="P673" s="3" t="s">
        <v>69</v>
      </c>
      <c r="Q673" s="2" t="s">
        <v>7005</v>
      </c>
      <c r="R673" s="3" t="s">
        <v>70</v>
      </c>
      <c r="S673" s="4">
        <v>4</v>
      </c>
      <c r="T673" s="4">
        <v>4</v>
      </c>
      <c r="U673" s="5" t="s">
        <v>7006</v>
      </c>
      <c r="V673" s="5" t="s">
        <v>7006</v>
      </c>
      <c r="W673" s="5" t="s">
        <v>72</v>
      </c>
      <c r="X673" s="5" t="s">
        <v>72</v>
      </c>
      <c r="Y673" s="4">
        <v>94</v>
      </c>
      <c r="Z673" s="4">
        <v>7</v>
      </c>
      <c r="AA673" s="4">
        <v>9</v>
      </c>
      <c r="AB673" s="4">
        <v>1</v>
      </c>
      <c r="AC673" s="4">
        <v>1</v>
      </c>
      <c r="AD673" s="4">
        <v>50</v>
      </c>
      <c r="AE673" s="4">
        <v>57</v>
      </c>
      <c r="AF673" s="4">
        <v>0</v>
      </c>
      <c r="AG673" s="4">
        <v>0</v>
      </c>
      <c r="AH673" s="4">
        <v>49</v>
      </c>
      <c r="AI673" s="4">
        <v>55</v>
      </c>
      <c r="AJ673" s="4">
        <v>5</v>
      </c>
      <c r="AK673" s="4">
        <v>7</v>
      </c>
      <c r="AL673" s="4">
        <v>27</v>
      </c>
      <c r="AM673" s="4">
        <v>30</v>
      </c>
      <c r="AN673" s="4">
        <v>0</v>
      </c>
      <c r="AO673" s="4">
        <v>0</v>
      </c>
      <c r="AP673" s="4">
        <v>5</v>
      </c>
      <c r="AQ673" s="4">
        <v>7</v>
      </c>
      <c r="AR673" s="3" t="s">
        <v>64</v>
      </c>
      <c r="AS673" s="3" t="s">
        <v>64</v>
      </c>
      <c r="AT673" s="3" t="s">
        <v>64</v>
      </c>
      <c r="AV673" s="6" t="str">
        <f>HYPERLINK("http://mcgill.on.worldcat.org/oclc/809250636","Catalog Record")</f>
        <v>Catalog Record</v>
      </c>
      <c r="AW673" s="6" t="str">
        <f>HYPERLINK("http://www.worldcat.org/oclc/809250636","WorldCat Record")</f>
        <v>WorldCat Record</v>
      </c>
      <c r="AX673" s="3" t="s">
        <v>7007</v>
      </c>
      <c r="AY673" s="3" t="s">
        <v>7008</v>
      </c>
      <c r="AZ673" s="3" t="s">
        <v>7009</v>
      </c>
      <c r="BA673" s="3" t="s">
        <v>7009</v>
      </c>
      <c r="BB673" s="3" t="s">
        <v>7010</v>
      </c>
      <c r="BC673" s="3" t="s">
        <v>78</v>
      </c>
      <c r="BD673" s="3" t="s">
        <v>79</v>
      </c>
      <c r="BE673" s="3" t="s">
        <v>7011</v>
      </c>
      <c r="BF673" s="3" t="s">
        <v>7010</v>
      </c>
      <c r="BG673" s="3" t="s">
        <v>7012</v>
      </c>
    </row>
    <row r="674" spans="1:59" ht="58" x14ac:dyDescent="0.35">
      <c r="A674" s="2" t="s">
        <v>59</v>
      </c>
      <c r="B674" s="2" t="s">
        <v>94</v>
      </c>
      <c r="C674" s="2" t="s">
        <v>7013</v>
      </c>
      <c r="D674" s="2" t="s">
        <v>7014</v>
      </c>
      <c r="E674" s="2" t="s">
        <v>7015</v>
      </c>
      <c r="G674" s="3" t="s">
        <v>64</v>
      </c>
      <c r="I674" s="3" t="s">
        <v>64</v>
      </c>
      <c r="J674" s="3" t="s">
        <v>64</v>
      </c>
      <c r="K674" s="3" t="s">
        <v>65</v>
      </c>
      <c r="L674" s="2" t="s">
        <v>7016</v>
      </c>
      <c r="M674" s="2" t="s">
        <v>7017</v>
      </c>
      <c r="N674" s="3" t="s">
        <v>449</v>
      </c>
      <c r="P674" s="3" t="s">
        <v>69</v>
      </c>
      <c r="Q674" s="2" t="s">
        <v>7018</v>
      </c>
      <c r="R674" s="3" t="s">
        <v>70</v>
      </c>
      <c r="S674" s="4">
        <v>3</v>
      </c>
      <c r="T674" s="4">
        <v>3</v>
      </c>
      <c r="U674" s="5" t="s">
        <v>6772</v>
      </c>
      <c r="V674" s="5" t="s">
        <v>6772</v>
      </c>
      <c r="W674" s="5" t="s">
        <v>72</v>
      </c>
      <c r="X674" s="5" t="s">
        <v>72</v>
      </c>
      <c r="Y674" s="4">
        <v>117</v>
      </c>
      <c r="Z674" s="4">
        <v>6</v>
      </c>
      <c r="AA674" s="4">
        <v>100</v>
      </c>
      <c r="AB674" s="4">
        <v>1</v>
      </c>
      <c r="AC674" s="4">
        <v>20</v>
      </c>
      <c r="AD674" s="4">
        <v>64</v>
      </c>
      <c r="AE674" s="4">
        <v>134</v>
      </c>
      <c r="AF674" s="4">
        <v>0</v>
      </c>
      <c r="AG674" s="4">
        <v>8</v>
      </c>
      <c r="AH674" s="4">
        <v>62</v>
      </c>
      <c r="AI674" s="4">
        <v>94</v>
      </c>
      <c r="AJ674" s="4">
        <v>4</v>
      </c>
      <c r="AK674" s="4">
        <v>22</v>
      </c>
      <c r="AL674" s="4">
        <v>36</v>
      </c>
      <c r="AM674" s="4">
        <v>50</v>
      </c>
      <c r="AN674" s="4">
        <v>0</v>
      </c>
      <c r="AO674" s="4">
        <v>0</v>
      </c>
      <c r="AP674" s="4">
        <v>4</v>
      </c>
      <c r="AQ674" s="4">
        <v>44</v>
      </c>
      <c r="AR674" s="3" t="s">
        <v>64</v>
      </c>
      <c r="AS674" s="3" t="s">
        <v>64</v>
      </c>
      <c r="AT674" s="3" t="s">
        <v>64</v>
      </c>
      <c r="AV674" s="6" t="str">
        <f>HYPERLINK("http://mcgill.on.worldcat.org/oclc/226304778","Catalog Record")</f>
        <v>Catalog Record</v>
      </c>
      <c r="AW674" s="6" t="str">
        <f>HYPERLINK("http://www.worldcat.org/oclc/226304778","WorldCat Record")</f>
        <v>WorldCat Record</v>
      </c>
      <c r="AX674" s="3" t="s">
        <v>7019</v>
      </c>
      <c r="AY674" s="3" t="s">
        <v>7020</v>
      </c>
      <c r="AZ674" s="3" t="s">
        <v>7021</v>
      </c>
      <c r="BA674" s="3" t="s">
        <v>7021</v>
      </c>
      <c r="BB674" s="3" t="s">
        <v>7022</v>
      </c>
      <c r="BC674" s="3" t="s">
        <v>78</v>
      </c>
      <c r="BD674" s="3" t="s">
        <v>79</v>
      </c>
      <c r="BE674" s="3" t="s">
        <v>7023</v>
      </c>
      <c r="BF674" s="3" t="s">
        <v>7022</v>
      </c>
      <c r="BG674" s="3" t="s">
        <v>7024</v>
      </c>
    </row>
    <row r="675" spans="1:59" ht="58" x14ac:dyDescent="0.35">
      <c r="A675" s="2" t="s">
        <v>59</v>
      </c>
      <c r="B675" s="2" t="s">
        <v>94</v>
      </c>
      <c r="C675" s="2" t="s">
        <v>7025</v>
      </c>
      <c r="D675" s="2" t="s">
        <v>7026</v>
      </c>
      <c r="E675" s="2" t="s">
        <v>7027</v>
      </c>
      <c r="G675" s="3" t="s">
        <v>64</v>
      </c>
      <c r="I675" s="3" t="s">
        <v>64</v>
      </c>
      <c r="J675" s="3" t="s">
        <v>64</v>
      </c>
      <c r="K675" s="3" t="s">
        <v>65</v>
      </c>
      <c r="L675" s="2" t="s">
        <v>7016</v>
      </c>
      <c r="M675" s="2" t="s">
        <v>7028</v>
      </c>
      <c r="N675" s="3" t="s">
        <v>68</v>
      </c>
      <c r="P675" s="3" t="s">
        <v>69</v>
      </c>
      <c r="R675" s="3" t="s">
        <v>70</v>
      </c>
      <c r="S675" s="4">
        <v>9</v>
      </c>
      <c r="T675" s="4">
        <v>9</v>
      </c>
      <c r="U675" s="5" t="s">
        <v>6833</v>
      </c>
      <c r="V675" s="5" t="s">
        <v>6833</v>
      </c>
      <c r="W675" s="5" t="s">
        <v>72</v>
      </c>
      <c r="X675" s="5" t="s">
        <v>72</v>
      </c>
      <c r="Y675" s="4">
        <v>209</v>
      </c>
      <c r="Z675" s="4">
        <v>7</v>
      </c>
      <c r="AA675" s="4">
        <v>107</v>
      </c>
      <c r="AB675" s="4">
        <v>1</v>
      </c>
      <c r="AC675" s="4">
        <v>20</v>
      </c>
      <c r="AD675" s="4">
        <v>80</v>
      </c>
      <c r="AE675" s="4">
        <v>141</v>
      </c>
      <c r="AF675" s="4">
        <v>0</v>
      </c>
      <c r="AG675" s="4">
        <v>8</v>
      </c>
      <c r="AH675" s="4">
        <v>78</v>
      </c>
      <c r="AI675" s="4">
        <v>100</v>
      </c>
      <c r="AJ675" s="4">
        <v>5</v>
      </c>
      <c r="AK675" s="4">
        <v>23</v>
      </c>
      <c r="AL675" s="4">
        <v>45</v>
      </c>
      <c r="AM675" s="4">
        <v>55</v>
      </c>
      <c r="AN675" s="4">
        <v>0</v>
      </c>
      <c r="AO675" s="4">
        <v>0</v>
      </c>
      <c r="AP675" s="4">
        <v>5</v>
      </c>
      <c r="AQ675" s="4">
        <v>45</v>
      </c>
      <c r="AR675" s="3" t="s">
        <v>64</v>
      </c>
      <c r="AS675" s="3" t="s">
        <v>64</v>
      </c>
      <c r="AT675" s="3" t="s">
        <v>64</v>
      </c>
      <c r="AV675" s="6" t="str">
        <f>HYPERLINK("http://mcgill.on.worldcat.org/oclc/64442922","Catalog Record")</f>
        <v>Catalog Record</v>
      </c>
      <c r="AW675" s="6" t="str">
        <f>HYPERLINK("http://www.worldcat.org/oclc/64442922","WorldCat Record")</f>
        <v>WorldCat Record</v>
      </c>
      <c r="AX675" s="3" t="s">
        <v>7029</v>
      </c>
      <c r="AY675" s="3" t="s">
        <v>7030</v>
      </c>
      <c r="AZ675" s="3" t="s">
        <v>7031</v>
      </c>
      <c r="BA675" s="3" t="s">
        <v>7031</v>
      </c>
      <c r="BB675" s="3" t="s">
        <v>7032</v>
      </c>
      <c r="BC675" s="3" t="s">
        <v>78</v>
      </c>
      <c r="BD675" s="3" t="s">
        <v>79</v>
      </c>
      <c r="BE675" s="3" t="s">
        <v>7033</v>
      </c>
      <c r="BF675" s="3" t="s">
        <v>7032</v>
      </c>
      <c r="BG675" s="3" t="s">
        <v>7034</v>
      </c>
    </row>
    <row r="676" spans="1:59" ht="58" x14ac:dyDescent="0.35">
      <c r="A676" s="2" t="s">
        <v>59</v>
      </c>
      <c r="B676" s="2" t="s">
        <v>94</v>
      </c>
      <c r="C676" s="2" t="s">
        <v>7035</v>
      </c>
      <c r="D676" s="2" t="s">
        <v>7036</v>
      </c>
      <c r="E676" s="2" t="s">
        <v>7037</v>
      </c>
      <c r="G676" s="3" t="s">
        <v>64</v>
      </c>
      <c r="I676" s="3" t="s">
        <v>64</v>
      </c>
      <c r="J676" s="3" t="s">
        <v>64</v>
      </c>
      <c r="K676" s="3" t="s">
        <v>65</v>
      </c>
      <c r="L676" s="2" t="s">
        <v>5350</v>
      </c>
      <c r="M676" s="2" t="s">
        <v>7017</v>
      </c>
      <c r="N676" s="3" t="s">
        <v>449</v>
      </c>
      <c r="P676" s="3" t="s">
        <v>69</v>
      </c>
      <c r="Q676" s="2" t="s">
        <v>7038</v>
      </c>
      <c r="R676" s="3" t="s">
        <v>70</v>
      </c>
      <c r="S676" s="4">
        <v>10</v>
      </c>
      <c r="T676" s="4">
        <v>10</v>
      </c>
      <c r="U676" s="5" t="s">
        <v>6833</v>
      </c>
      <c r="V676" s="5" t="s">
        <v>6833</v>
      </c>
      <c r="W676" s="5" t="s">
        <v>72</v>
      </c>
      <c r="X676" s="5" t="s">
        <v>72</v>
      </c>
      <c r="Y676" s="4">
        <v>152</v>
      </c>
      <c r="Z676" s="4">
        <v>7</v>
      </c>
      <c r="AA676" s="4">
        <v>107</v>
      </c>
      <c r="AB676" s="4">
        <v>1</v>
      </c>
      <c r="AC676" s="4">
        <v>20</v>
      </c>
      <c r="AD676" s="4">
        <v>72</v>
      </c>
      <c r="AE676" s="4">
        <v>144</v>
      </c>
      <c r="AF676" s="4">
        <v>0</v>
      </c>
      <c r="AG676" s="4">
        <v>8</v>
      </c>
      <c r="AH676" s="4">
        <v>70</v>
      </c>
      <c r="AI676" s="4">
        <v>101</v>
      </c>
      <c r="AJ676" s="4">
        <v>5</v>
      </c>
      <c r="AK676" s="4">
        <v>24</v>
      </c>
      <c r="AL676" s="4">
        <v>42</v>
      </c>
      <c r="AM676" s="4">
        <v>56</v>
      </c>
      <c r="AN676" s="4">
        <v>0</v>
      </c>
      <c r="AO676" s="4">
        <v>0</v>
      </c>
      <c r="AP676" s="4">
        <v>5</v>
      </c>
      <c r="AQ676" s="4">
        <v>47</v>
      </c>
      <c r="AR676" s="3" t="s">
        <v>64</v>
      </c>
      <c r="AS676" s="3" t="s">
        <v>64</v>
      </c>
      <c r="AT676" s="3" t="s">
        <v>64</v>
      </c>
      <c r="AV676" s="6" t="str">
        <f>HYPERLINK("http://mcgill.on.worldcat.org/oclc/225846802","Catalog Record")</f>
        <v>Catalog Record</v>
      </c>
      <c r="AW676" s="6" t="str">
        <f>HYPERLINK("http://www.worldcat.org/oclc/225846802","WorldCat Record")</f>
        <v>WorldCat Record</v>
      </c>
      <c r="AX676" s="3" t="s">
        <v>7039</v>
      </c>
      <c r="AY676" s="3" t="s">
        <v>7040</v>
      </c>
      <c r="AZ676" s="3" t="s">
        <v>7041</v>
      </c>
      <c r="BA676" s="3" t="s">
        <v>7041</v>
      </c>
      <c r="BB676" s="3" t="s">
        <v>7042</v>
      </c>
      <c r="BC676" s="3" t="s">
        <v>78</v>
      </c>
      <c r="BD676" s="3" t="s">
        <v>79</v>
      </c>
      <c r="BE676" s="3" t="s">
        <v>7043</v>
      </c>
      <c r="BF676" s="3" t="s">
        <v>7042</v>
      </c>
      <c r="BG676" s="3" t="s">
        <v>7044</v>
      </c>
    </row>
    <row r="677" spans="1:59" ht="58" x14ac:dyDescent="0.35">
      <c r="A677" s="2" t="s">
        <v>59</v>
      </c>
      <c r="B677" s="2" t="s">
        <v>94</v>
      </c>
      <c r="C677" s="2" t="s">
        <v>7045</v>
      </c>
      <c r="D677" s="2" t="s">
        <v>7046</v>
      </c>
      <c r="E677" s="2" t="s">
        <v>7047</v>
      </c>
      <c r="G677" s="3" t="s">
        <v>64</v>
      </c>
      <c r="I677" s="3" t="s">
        <v>64</v>
      </c>
      <c r="J677" s="3" t="s">
        <v>64</v>
      </c>
      <c r="K677" s="3" t="s">
        <v>65</v>
      </c>
      <c r="L677" s="2" t="s">
        <v>7048</v>
      </c>
      <c r="M677" s="2" t="s">
        <v>7049</v>
      </c>
      <c r="N677" s="3" t="s">
        <v>651</v>
      </c>
      <c r="P677" s="3" t="s">
        <v>69</v>
      </c>
      <c r="R677" s="3" t="s">
        <v>70</v>
      </c>
      <c r="S677" s="4">
        <v>31</v>
      </c>
      <c r="T677" s="4">
        <v>31</v>
      </c>
      <c r="U677" s="5" t="s">
        <v>6578</v>
      </c>
      <c r="V677" s="5" t="s">
        <v>6578</v>
      </c>
      <c r="W677" s="5" t="s">
        <v>72</v>
      </c>
      <c r="X677" s="5" t="s">
        <v>72</v>
      </c>
      <c r="Y677" s="4">
        <v>406</v>
      </c>
      <c r="Z677" s="4">
        <v>25</v>
      </c>
      <c r="AA677" s="4">
        <v>26</v>
      </c>
      <c r="AB677" s="4">
        <v>2</v>
      </c>
      <c r="AC677" s="4">
        <v>3</v>
      </c>
      <c r="AD677" s="4">
        <v>103</v>
      </c>
      <c r="AE677" s="4">
        <v>104</v>
      </c>
      <c r="AF677" s="4">
        <v>1</v>
      </c>
      <c r="AG677" s="4">
        <v>2</v>
      </c>
      <c r="AH677" s="4">
        <v>89</v>
      </c>
      <c r="AI677" s="4">
        <v>89</v>
      </c>
      <c r="AJ677" s="4">
        <v>15</v>
      </c>
      <c r="AK677" s="4">
        <v>16</v>
      </c>
      <c r="AL677" s="4">
        <v>50</v>
      </c>
      <c r="AM677" s="4">
        <v>50</v>
      </c>
      <c r="AN677" s="4">
        <v>0</v>
      </c>
      <c r="AO677" s="4">
        <v>0</v>
      </c>
      <c r="AP677" s="4">
        <v>20</v>
      </c>
      <c r="AQ677" s="4">
        <v>20</v>
      </c>
      <c r="AR677" s="3" t="s">
        <v>64</v>
      </c>
      <c r="AS677" s="3" t="s">
        <v>64</v>
      </c>
      <c r="AT677" s="3" t="s">
        <v>64</v>
      </c>
      <c r="AV677" s="6" t="str">
        <f>HYPERLINK("http://mcgill.on.worldcat.org/oclc/51274584","Catalog Record")</f>
        <v>Catalog Record</v>
      </c>
      <c r="AW677" s="6" t="str">
        <f>HYPERLINK("http://www.worldcat.org/oclc/51274584","WorldCat Record")</f>
        <v>WorldCat Record</v>
      </c>
      <c r="AX677" s="3" t="s">
        <v>7050</v>
      </c>
      <c r="AY677" s="3" t="s">
        <v>7051</v>
      </c>
      <c r="AZ677" s="3" t="s">
        <v>7052</v>
      </c>
      <c r="BA677" s="3" t="s">
        <v>7052</v>
      </c>
      <c r="BB677" s="3" t="s">
        <v>7053</v>
      </c>
      <c r="BC677" s="3" t="s">
        <v>78</v>
      </c>
      <c r="BD677" s="3" t="s">
        <v>79</v>
      </c>
      <c r="BE677" s="3" t="s">
        <v>7054</v>
      </c>
      <c r="BF677" s="3" t="s">
        <v>7053</v>
      </c>
      <c r="BG677" s="3" t="s">
        <v>7055</v>
      </c>
    </row>
    <row r="678" spans="1:59" ht="58" x14ac:dyDescent="0.35">
      <c r="A678" s="2" t="s">
        <v>59</v>
      </c>
      <c r="B678" s="2" t="s">
        <v>94</v>
      </c>
      <c r="C678" s="2" t="s">
        <v>7056</v>
      </c>
      <c r="D678" s="2" t="s">
        <v>7057</v>
      </c>
      <c r="E678" s="2" t="s">
        <v>7058</v>
      </c>
      <c r="G678" s="3" t="s">
        <v>64</v>
      </c>
      <c r="I678" s="3" t="s">
        <v>64</v>
      </c>
      <c r="J678" s="3" t="s">
        <v>64</v>
      </c>
      <c r="K678" s="3" t="s">
        <v>65</v>
      </c>
      <c r="L678" s="2" t="s">
        <v>7059</v>
      </c>
      <c r="M678" s="2" t="s">
        <v>7060</v>
      </c>
      <c r="N678" s="3" t="s">
        <v>1320</v>
      </c>
      <c r="P678" s="3" t="s">
        <v>69</v>
      </c>
      <c r="Q678" s="2" t="s">
        <v>7061</v>
      </c>
      <c r="R678" s="3" t="s">
        <v>70</v>
      </c>
      <c r="S678" s="4">
        <v>8</v>
      </c>
      <c r="T678" s="4">
        <v>8</v>
      </c>
      <c r="U678" s="5" t="s">
        <v>7062</v>
      </c>
      <c r="V678" s="5" t="s">
        <v>7062</v>
      </c>
      <c r="W678" s="5" t="s">
        <v>72</v>
      </c>
      <c r="X678" s="5" t="s">
        <v>72</v>
      </c>
      <c r="Y678" s="4">
        <v>186</v>
      </c>
      <c r="Z678" s="4">
        <v>12</v>
      </c>
      <c r="AA678" s="4">
        <v>12</v>
      </c>
      <c r="AB678" s="4">
        <v>1</v>
      </c>
      <c r="AC678" s="4">
        <v>1</v>
      </c>
      <c r="AD678" s="4">
        <v>67</v>
      </c>
      <c r="AE678" s="4">
        <v>67</v>
      </c>
      <c r="AF678" s="4">
        <v>0</v>
      </c>
      <c r="AG678" s="4">
        <v>0</v>
      </c>
      <c r="AH678" s="4">
        <v>60</v>
      </c>
      <c r="AI678" s="4">
        <v>60</v>
      </c>
      <c r="AJ678" s="4">
        <v>7</v>
      </c>
      <c r="AK678" s="4">
        <v>7</v>
      </c>
      <c r="AL678" s="4">
        <v>36</v>
      </c>
      <c r="AM678" s="4">
        <v>36</v>
      </c>
      <c r="AN678" s="4">
        <v>0</v>
      </c>
      <c r="AO678" s="4">
        <v>0</v>
      </c>
      <c r="AP678" s="4">
        <v>10</v>
      </c>
      <c r="AQ678" s="4">
        <v>10</v>
      </c>
      <c r="AR678" s="3" t="s">
        <v>64</v>
      </c>
      <c r="AS678" s="3" t="s">
        <v>64</v>
      </c>
      <c r="AT678" s="3" t="s">
        <v>64</v>
      </c>
      <c r="AV678" s="6" t="str">
        <f>HYPERLINK("http://mcgill.on.worldcat.org/oclc/30979429","Catalog Record")</f>
        <v>Catalog Record</v>
      </c>
      <c r="AW678" s="6" t="str">
        <f>HYPERLINK("http://www.worldcat.org/oclc/30979429","WorldCat Record")</f>
        <v>WorldCat Record</v>
      </c>
      <c r="AX678" s="3" t="s">
        <v>7063</v>
      </c>
      <c r="AY678" s="3" t="s">
        <v>7064</v>
      </c>
      <c r="AZ678" s="3" t="s">
        <v>7065</v>
      </c>
      <c r="BA678" s="3" t="s">
        <v>7065</v>
      </c>
      <c r="BB678" s="3" t="s">
        <v>7066</v>
      </c>
      <c r="BC678" s="3" t="s">
        <v>78</v>
      </c>
      <c r="BD678" s="3" t="s">
        <v>79</v>
      </c>
      <c r="BE678" s="3" t="s">
        <v>7067</v>
      </c>
      <c r="BF678" s="3" t="s">
        <v>7066</v>
      </c>
      <c r="BG678" s="3" t="s">
        <v>7068</v>
      </c>
    </row>
    <row r="679" spans="1:59" ht="58" x14ac:dyDescent="0.35">
      <c r="A679" s="2" t="s">
        <v>59</v>
      </c>
      <c r="B679" s="2" t="s">
        <v>94</v>
      </c>
      <c r="C679" s="2" t="s">
        <v>7069</v>
      </c>
      <c r="D679" s="2" t="s">
        <v>7070</v>
      </c>
      <c r="E679" s="2" t="s">
        <v>7071</v>
      </c>
      <c r="G679" s="3" t="s">
        <v>64</v>
      </c>
      <c r="I679" s="3" t="s">
        <v>64</v>
      </c>
      <c r="J679" s="3" t="s">
        <v>64</v>
      </c>
      <c r="K679" s="3" t="s">
        <v>65</v>
      </c>
      <c r="M679" s="2" t="s">
        <v>7072</v>
      </c>
      <c r="N679" s="3" t="s">
        <v>538</v>
      </c>
      <c r="P679" s="3" t="s">
        <v>69</v>
      </c>
      <c r="Q679" s="2" t="s">
        <v>3971</v>
      </c>
      <c r="R679" s="3" t="s">
        <v>70</v>
      </c>
      <c r="S679" s="4">
        <v>10</v>
      </c>
      <c r="T679" s="4">
        <v>10</v>
      </c>
      <c r="U679" s="5" t="s">
        <v>6833</v>
      </c>
      <c r="V679" s="5" t="s">
        <v>6833</v>
      </c>
      <c r="W679" s="5" t="s">
        <v>72</v>
      </c>
      <c r="X679" s="5" t="s">
        <v>72</v>
      </c>
      <c r="Y679" s="4">
        <v>95</v>
      </c>
      <c r="Z679" s="4">
        <v>3</v>
      </c>
      <c r="AA679" s="4">
        <v>8</v>
      </c>
      <c r="AB679" s="4">
        <v>1</v>
      </c>
      <c r="AC679" s="4">
        <v>4</v>
      </c>
      <c r="AD679" s="4">
        <v>22</v>
      </c>
      <c r="AE679" s="4">
        <v>25</v>
      </c>
      <c r="AF679" s="4">
        <v>0</v>
      </c>
      <c r="AG679" s="4">
        <v>0</v>
      </c>
      <c r="AH679" s="4">
        <v>21</v>
      </c>
      <c r="AI679" s="4">
        <v>24</v>
      </c>
      <c r="AJ679" s="4">
        <v>2</v>
      </c>
      <c r="AK679" s="4">
        <v>4</v>
      </c>
      <c r="AL679" s="4">
        <v>14</v>
      </c>
      <c r="AM679" s="4">
        <v>14</v>
      </c>
      <c r="AN679" s="4">
        <v>0</v>
      </c>
      <c r="AO679" s="4">
        <v>0</v>
      </c>
      <c r="AP679" s="4">
        <v>2</v>
      </c>
      <c r="AQ679" s="4">
        <v>4</v>
      </c>
      <c r="AR679" s="3" t="s">
        <v>64</v>
      </c>
      <c r="AS679" s="3" t="s">
        <v>64</v>
      </c>
      <c r="AT679" s="3" t="s">
        <v>64</v>
      </c>
      <c r="AV679" s="6" t="str">
        <f>HYPERLINK("http://mcgill.on.worldcat.org/oclc/72868496","Catalog Record")</f>
        <v>Catalog Record</v>
      </c>
      <c r="AW679" s="6" t="str">
        <f>HYPERLINK("http://www.worldcat.org/oclc/72868496","WorldCat Record")</f>
        <v>WorldCat Record</v>
      </c>
      <c r="AX679" s="3" t="s">
        <v>7073</v>
      </c>
      <c r="AY679" s="3" t="s">
        <v>7074</v>
      </c>
      <c r="AZ679" s="3" t="s">
        <v>7075</v>
      </c>
      <c r="BA679" s="3" t="s">
        <v>7075</v>
      </c>
      <c r="BB679" s="3" t="s">
        <v>7076</v>
      </c>
      <c r="BC679" s="3" t="s">
        <v>78</v>
      </c>
      <c r="BD679" s="3" t="s">
        <v>79</v>
      </c>
      <c r="BE679" s="3" t="s">
        <v>7077</v>
      </c>
      <c r="BF679" s="3" t="s">
        <v>7076</v>
      </c>
      <c r="BG679" s="3" t="s">
        <v>7078</v>
      </c>
    </row>
    <row r="680" spans="1:59" ht="58" x14ac:dyDescent="0.35">
      <c r="A680" s="2" t="s">
        <v>59</v>
      </c>
      <c r="B680" s="2" t="s">
        <v>94</v>
      </c>
      <c r="C680" s="2" t="s">
        <v>7079</v>
      </c>
      <c r="D680" s="2" t="s">
        <v>7080</v>
      </c>
      <c r="E680" s="2" t="s">
        <v>7081</v>
      </c>
      <c r="G680" s="3" t="s">
        <v>64</v>
      </c>
      <c r="I680" s="3" t="s">
        <v>64</v>
      </c>
      <c r="J680" s="3" t="s">
        <v>64</v>
      </c>
      <c r="K680" s="3" t="s">
        <v>65</v>
      </c>
      <c r="M680" s="2" t="s">
        <v>7082</v>
      </c>
      <c r="N680" s="3" t="s">
        <v>538</v>
      </c>
      <c r="P680" s="3" t="s">
        <v>69</v>
      </c>
      <c r="Q680" s="2" t="s">
        <v>7083</v>
      </c>
      <c r="R680" s="3" t="s">
        <v>70</v>
      </c>
      <c r="S680" s="4">
        <v>6</v>
      </c>
      <c r="T680" s="4">
        <v>6</v>
      </c>
      <c r="U680" s="5" t="s">
        <v>6833</v>
      </c>
      <c r="V680" s="5" t="s">
        <v>6833</v>
      </c>
      <c r="W680" s="5" t="s">
        <v>72</v>
      </c>
      <c r="X680" s="5" t="s">
        <v>72</v>
      </c>
      <c r="Y680" s="4">
        <v>137</v>
      </c>
      <c r="Z680" s="4">
        <v>6</v>
      </c>
      <c r="AA680" s="4">
        <v>104</v>
      </c>
      <c r="AB680" s="4">
        <v>1</v>
      </c>
      <c r="AC680" s="4">
        <v>20</v>
      </c>
      <c r="AD680" s="4">
        <v>67</v>
      </c>
      <c r="AE680" s="4">
        <v>140</v>
      </c>
      <c r="AF680" s="4">
        <v>0</v>
      </c>
      <c r="AG680" s="4">
        <v>8</v>
      </c>
      <c r="AH680" s="4">
        <v>65</v>
      </c>
      <c r="AI680" s="4">
        <v>99</v>
      </c>
      <c r="AJ680" s="4">
        <v>4</v>
      </c>
      <c r="AK680" s="4">
        <v>23</v>
      </c>
      <c r="AL680" s="4">
        <v>38</v>
      </c>
      <c r="AM680" s="4">
        <v>53</v>
      </c>
      <c r="AN680" s="4">
        <v>0</v>
      </c>
      <c r="AO680" s="4">
        <v>0</v>
      </c>
      <c r="AP680" s="4">
        <v>4</v>
      </c>
      <c r="AQ680" s="4">
        <v>45</v>
      </c>
      <c r="AR680" s="3" t="s">
        <v>64</v>
      </c>
      <c r="AS680" s="3" t="s">
        <v>64</v>
      </c>
      <c r="AT680" s="3" t="s">
        <v>64</v>
      </c>
      <c r="AV680" s="6" t="str">
        <f>HYPERLINK("http://mcgill.on.worldcat.org/oclc/167764234","Catalog Record")</f>
        <v>Catalog Record</v>
      </c>
      <c r="AW680" s="6" t="str">
        <f>HYPERLINK("http://www.worldcat.org/oclc/167764234","WorldCat Record")</f>
        <v>WorldCat Record</v>
      </c>
      <c r="AX680" s="3" t="s">
        <v>7084</v>
      </c>
      <c r="AY680" s="3" t="s">
        <v>7085</v>
      </c>
      <c r="AZ680" s="3" t="s">
        <v>7086</v>
      </c>
      <c r="BA680" s="3" t="s">
        <v>7086</v>
      </c>
      <c r="BB680" s="3" t="s">
        <v>7087</v>
      </c>
      <c r="BC680" s="3" t="s">
        <v>78</v>
      </c>
      <c r="BD680" s="3" t="s">
        <v>79</v>
      </c>
      <c r="BE680" s="3" t="s">
        <v>7088</v>
      </c>
      <c r="BF680" s="3" t="s">
        <v>7087</v>
      </c>
      <c r="BG680" s="3" t="s">
        <v>7089</v>
      </c>
    </row>
    <row r="681" spans="1:59" ht="58" x14ac:dyDescent="0.35">
      <c r="A681" s="2" t="s">
        <v>59</v>
      </c>
      <c r="B681" s="2" t="s">
        <v>94</v>
      </c>
      <c r="C681" s="2" t="s">
        <v>7090</v>
      </c>
      <c r="D681" s="2" t="s">
        <v>7091</v>
      </c>
      <c r="E681" s="2" t="s">
        <v>7092</v>
      </c>
      <c r="G681" s="3" t="s">
        <v>64</v>
      </c>
      <c r="I681" s="3" t="s">
        <v>64</v>
      </c>
      <c r="J681" s="3" t="s">
        <v>64</v>
      </c>
      <c r="K681" s="3" t="s">
        <v>65</v>
      </c>
      <c r="L681" s="2" t="s">
        <v>7093</v>
      </c>
      <c r="M681" s="2" t="s">
        <v>7094</v>
      </c>
      <c r="N681" s="3" t="s">
        <v>1029</v>
      </c>
      <c r="P681" s="3" t="s">
        <v>69</v>
      </c>
      <c r="Q681" s="2" t="s">
        <v>7095</v>
      </c>
      <c r="R681" s="3" t="s">
        <v>70</v>
      </c>
      <c r="S681" s="4">
        <v>16</v>
      </c>
      <c r="T681" s="4">
        <v>16</v>
      </c>
      <c r="U681" s="5" t="s">
        <v>6833</v>
      </c>
      <c r="V681" s="5" t="s">
        <v>6833</v>
      </c>
      <c r="W681" s="5" t="s">
        <v>72</v>
      </c>
      <c r="X681" s="5" t="s">
        <v>72</v>
      </c>
      <c r="Y681" s="4">
        <v>634</v>
      </c>
      <c r="Z681" s="4">
        <v>27</v>
      </c>
      <c r="AA681" s="4">
        <v>110</v>
      </c>
      <c r="AB681" s="4">
        <v>2</v>
      </c>
      <c r="AC681" s="4">
        <v>18</v>
      </c>
      <c r="AD681" s="4">
        <v>84</v>
      </c>
      <c r="AE681" s="4">
        <v>138</v>
      </c>
      <c r="AF681" s="4">
        <v>0</v>
      </c>
      <c r="AG681" s="4">
        <v>8</v>
      </c>
      <c r="AH681" s="4">
        <v>75</v>
      </c>
      <c r="AI681" s="4">
        <v>102</v>
      </c>
      <c r="AJ681" s="4">
        <v>12</v>
      </c>
      <c r="AK681" s="4">
        <v>24</v>
      </c>
      <c r="AL681" s="4">
        <v>43</v>
      </c>
      <c r="AM681" s="4">
        <v>53</v>
      </c>
      <c r="AN681" s="4">
        <v>0</v>
      </c>
      <c r="AO681" s="4">
        <v>0</v>
      </c>
      <c r="AP681" s="4">
        <v>15</v>
      </c>
      <c r="AQ681" s="4">
        <v>45</v>
      </c>
      <c r="AR681" s="3" t="s">
        <v>64</v>
      </c>
      <c r="AS681" s="3" t="s">
        <v>64</v>
      </c>
      <c r="AT681" s="3" t="s">
        <v>64</v>
      </c>
      <c r="AV681" s="6" t="str">
        <f>HYPERLINK("http://mcgill.on.worldcat.org/oclc/317471820","Catalog Record")</f>
        <v>Catalog Record</v>
      </c>
      <c r="AW681" s="6" t="str">
        <f>HYPERLINK("http://www.worldcat.org/oclc/317471820","WorldCat Record")</f>
        <v>WorldCat Record</v>
      </c>
      <c r="AX681" s="3" t="s">
        <v>7096</v>
      </c>
      <c r="AY681" s="3" t="s">
        <v>7097</v>
      </c>
      <c r="AZ681" s="3" t="s">
        <v>7098</v>
      </c>
      <c r="BA681" s="3" t="s">
        <v>7098</v>
      </c>
      <c r="BB681" s="3" t="s">
        <v>7099</v>
      </c>
      <c r="BC681" s="3" t="s">
        <v>78</v>
      </c>
      <c r="BD681" s="3" t="s">
        <v>414</v>
      </c>
      <c r="BE681" s="3" t="s">
        <v>7100</v>
      </c>
      <c r="BF681" s="3" t="s">
        <v>7099</v>
      </c>
      <c r="BG681" s="3" t="s">
        <v>7101</v>
      </c>
    </row>
    <row r="682" spans="1:59" ht="58" x14ac:dyDescent="0.35">
      <c r="A682" s="2" t="s">
        <v>59</v>
      </c>
      <c r="B682" s="2" t="s">
        <v>94</v>
      </c>
      <c r="C682" s="2" t="s">
        <v>7102</v>
      </c>
      <c r="D682" s="2" t="s">
        <v>7103</v>
      </c>
      <c r="E682" s="2" t="s">
        <v>7104</v>
      </c>
      <c r="G682" s="3" t="s">
        <v>64</v>
      </c>
      <c r="I682" s="3" t="s">
        <v>64</v>
      </c>
      <c r="J682" s="3" t="s">
        <v>64</v>
      </c>
      <c r="K682" s="3" t="s">
        <v>65</v>
      </c>
      <c r="L682" s="2" t="s">
        <v>7105</v>
      </c>
      <c r="M682" s="2" t="s">
        <v>2030</v>
      </c>
      <c r="N682" s="3" t="s">
        <v>524</v>
      </c>
      <c r="P682" s="3" t="s">
        <v>69</v>
      </c>
      <c r="Q682" s="2" t="s">
        <v>7106</v>
      </c>
      <c r="R682" s="3" t="s">
        <v>70</v>
      </c>
      <c r="S682" s="4">
        <v>2</v>
      </c>
      <c r="T682" s="4">
        <v>2</v>
      </c>
      <c r="U682" s="5" t="s">
        <v>7107</v>
      </c>
      <c r="V682" s="5" t="s">
        <v>7107</v>
      </c>
      <c r="W682" s="5" t="s">
        <v>72</v>
      </c>
      <c r="X682" s="5" t="s">
        <v>72</v>
      </c>
      <c r="Y682" s="4">
        <v>87</v>
      </c>
      <c r="Z682" s="4">
        <v>8</v>
      </c>
      <c r="AA682" s="4">
        <v>35</v>
      </c>
      <c r="AB682" s="4">
        <v>1</v>
      </c>
      <c r="AC682" s="4">
        <v>6</v>
      </c>
      <c r="AD682" s="4">
        <v>50</v>
      </c>
      <c r="AE682" s="4">
        <v>98</v>
      </c>
      <c r="AF682" s="4">
        <v>0</v>
      </c>
      <c r="AG682" s="4">
        <v>2</v>
      </c>
      <c r="AH682" s="4">
        <v>49</v>
      </c>
      <c r="AI682" s="4">
        <v>81</v>
      </c>
      <c r="AJ682" s="4">
        <v>5</v>
      </c>
      <c r="AK682" s="4">
        <v>15</v>
      </c>
      <c r="AL682" s="4">
        <v>26</v>
      </c>
      <c r="AM682" s="4">
        <v>43</v>
      </c>
      <c r="AN682" s="4">
        <v>0</v>
      </c>
      <c r="AO682" s="4">
        <v>0</v>
      </c>
      <c r="AP682" s="4">
        <v>6</v>
      </c>
      <c r="AQ682" s="4">
        <v>25</v>
      </c>
      <c r="AR682" s="3" t="s">
        <v>64</v>
      </c>
      <c r="AS682" s="3" t="s">
        <v>64</v>
      </c>
      <c r="AT682" s="3" t="s">
        <v>64</v>
      </c>
      <c r="AV682" s="6" t="str">
        <f>HYPERLINK("http://mcgill.on.worldcat.org/oclc/855491809","Catalog Record")</f>
        <v>Catalog Record</v>
      </c>
      <c r="AW682" s="6" t="str">
        <f>HYPERLINK("http://www.worldcat.org/oclc/855491809","WorldCat Record")</f>
        <v>WorldCat Record</v>
      </c>
      <c r="AX682" s="3" t="s">
        <v>7108</v>
      </c>
      <c r="AY682" s="3" t="s">
        <v>7109</v>
      </c>
      <c r="AZ682" s="3" t="s">
        <v>7110</v>
      </c>
      <c r="BA682" s="3" t="s">
        <v>7110</v>
      </c>
      <c r="BB682" s="3" t="s">
        <v>7111</v>
      </c>
      <c r="BC682" s="3" t="s">
        <v>78</v>
      </c>
      <c r="BD682" s="3" t="s">
        <v>79</v>
      </c>
      <c r="BE682" s="3" t="s">
        <v>7112</v>
      </c>
      <c r="BF682" s="3" t="s">
        <v>7111</v>
      </c>
      <c r="BG682" s="3" t="s">
        <v>7113</v>
      </c>
    </row>
    <row r="683" spans="1:59" ht="58" x14ac:dyDescent="0.35">
      <c r="A683" s="2" t="s">
        <v>59</v>
      </c>
      <c r="B683" s="2" t="s">
        <v>94</v>
      </c>
      <c r="C683" s="2" t="s">
        <v>7114</v>
      </c>
      <c r="D683" s="2" t="s">
        <v>7115</v>
      </c>
      <c r="E683" s="2" t="s">
        <v>7116</v>
      </c>
      <c r="G683" s="3" t="s">
        <v>64</v>
      </c>
      <c r="I683" s="3" t="s">
        <v>64</v>
      </c>
      <c r="J683" s="3" t="s">
        <v>64</v>
      </c>
      <c r="K683" s="3" t="s">
        <v>65</v>
      </c>
      <c r="L683" s="2" t="s">
        <v>7105</v>
      </c>
      <c r="M683" s="2" t="s">
        <v>7117</v>
      </c>
      <c r="N683" s="3" t="s">
        <v>214</v>
      </c>
      <c r="P683" s="3" t="s">
        <v>69</v>
      </c>
      <c r="Q683" s="2" t="s">
        <v>7118</v>
      </c>
      <c r="R683" s="3" t="s">
        <v>70</v>
      </c>
      <c r="S683" s="4">
        <v>13</v>
      </c>
      <c r="T683" s="4">
        <v>13</v>
      </c>
      <c r="U683" s="5" t="s">
        <v>6833</v>
      </c>
      <c r="V683" s="5" t="s">
        <v>6833</v>
      </c>
      <c r="W683" s="5" t="s">
        <v>72</v>
      </c>
      <c r="X683" s="5" t="s">
        <v>72</v>
      </c>
      <c r="Y683" s="4">
        <v>125</v>
      </c>
      <c r="Z683" s="4">
        <v>9</v>
      </c>
      <c r="AA683" s="4">
        <v>107</v>
      </c>
      <c r="AB683" s="4">
        <v>1</v>
      </c>
      <c r="AC683" s="4">
        <v>20</v>
      </c>
      <c r="AD683" s="4">
        <v>60</v>
      </c>
      <c r="AE683" s="4">
        <v>139</v>
      </c>
      <c r="AF683" s="4">
        <v>0</v>
      </c>
      <c r="AG683" s="4">
        <v>8</v>
      </c>
      <c r="AH683" s="4">
        <v>57</v>
      </c>
      <c r="AI683" s="4">
        <v>98</v>
      </c>
      <c r="AJ683" s="4">
        <v>5</v>
      </c>
      <c r="AK683" s="4">
        <v>23</v>
      </c>
      <c r="AL683" s="4">
        <v>31</v>
      </c>
      <c r="AM683" s="4">
        <v>53</v>
      </c>
      <c r="AN683" s="4">
        <v>0</v>
      </c>
      <c r="AO683" s="4">
        <v>0</v>
      </c>
      <c r="AP683" s="4">
        <v>7</v>
      </c>
      <c r="AQ683" s="4">
        <v>47</v>
      </c>
      <c r="AR683" s="3" t="s">
        <v>64</v>
      </c>
      <c r="AS683" s="3" t="s">
        <v>64</v>
      </c>
      <c r="AT683" s="3" t="s">
        <v>64</v>
      </c>
      <c r="AV683" s="6" t="str">
        <f>HYPERLINK("http://mcgill.on.worldcat.org/oclc/654426060","Catalog Record")</f>
        <v>Catalog Record</v>
      </c>
      <c r="AW683" s="6" t="str">
        <f>HYPERLINK("http://www.worldcat.org/oclc/654426060","WorldCat Record")</f>
        <v>WorldCat Record</v>
      </c>
      <c r="AX683" s="3" t="s">
        <v>7119</v>
      </c>
      <c r="AY683" s="3" t="s">
        <v>7120</v>
      </c>
      <c r="AZ683" s="3" t="s">
        <v>7121</v>
      </c>
      <c r="BA683" s="3" t="s">
        <v>7121</v>
      </c>
      <c r="BB683" s="3" t="s">
        <v>7122</v>
      </c>
      <c r="BC683" s="3" t="s">
        <v>78</v>
      </c>
      <c r="BD683" s="3" t="s">
        <v>414</v>
      </c>
      <c r="BE683" s="3" t="s">
        <v>7123</v>
      </c>
      <c r="BF683" s="3" t="s">
        <v>7122</v>
      </c>
      <c r="BG683" s="3" t="s">
        <v>7124</v>
      </c>
    </row>
    <row r="684" spans="1:59" ht="58" x14ac:dyDescent="0.35">
      <c r="A684" s="2" t="s">
        <v>59</v>
      </c>
      <c r="B684" s="2" t="s">
        <v>94</v>
      </c>
      <c r="C684" s="2" t="s">
        <v>7125</v>
      </c>
      <c r="D684" s="2" t="s">
        <v>7126</v>
      </c>
      <c r="E684" s="2" t="s">
        <v>7127</v>
      </c>
      <c r="G684" s="3" t="s">
        <v>64</v>
      </c>
      <c r="I684" s="3" t="s">
        <v>64</v>
      </c>
      <c r="J684" s="3" t="s">
        <v>64</v>
      </c>
      <c r="K684" s="3" t="s">
        <v>65</v>
      </c>
      <c r="L684" s="2" t="s">
        <v>7105</v>
      </c>
      <c r="M684" s="2" t="s">
        <v>7128</v>
      </c>
      <c r="N684" s="3" t="s">
        <v>214</v>
      </c>
      <c r="P684" s="3" t="s">
        <v>69</v>
      </c>
      <c r="Q684" s="2" t="s">
        <v>7129</v>
      </c>
      <c r="R684" s="3" t="s">
        <v>70</v>
      </c>
      <c r="S684" s="4">
        <v>2</v>
      </c>
      <c r="T684" s="4">
        <v>2</v>
      </c>
      <c r="U684" s="5" t="s">
        <v>6772</v>
      </c>
      <c r="V684" s="5" t="s">
        <v>6772</v>
      </c>
      <c r="W684" s="5" t="s">
        <v>72</v>
      </c>
      <c r="X684" s="5" t="s">
        <v>72</v>
      </c>
      <c r="Y684" s="4">
        <v>133</v>
      </c>
      <c r="Z684" s="4">
        <v>9</v>
      </c>
      <c r="AA684" s="4">
        <v>103</v>
      </c>
      <c r="AB684" s="4">
        <v>1</v>
      </c>
      <c r="AC684" s="4">
        <v>20</v>
      </c>
      <c r="AD684" s="4">
        <v>63</v>
      </c>
      <c r="AE684" s="4">
        <v>139</v>
      </c>
      <c r="AF684" s="4">
        <v>0</v>
      </c>
      <c r="AG684" s="4">
        <v>8</v>
      </c>
      <c r="AH684" s="4">
        <v>60</v>
      </c>
      <c r="AI684" s="4">
        <v>100</v>
      </c>
      <c r="AJ684" s="4">
        <v>5</v>
      </c>
      <c r="AK684" s="4">
        <v>22</v>
      </c>
      <c r="AL684" s="4">
        <v>34</v>
      </c>
      <c r="AM684" s="4">
        <v>55</v>
      </c>
      <c r="AN684" s="4">
        <v>0</v>
      </c>
      <c r="AO684" s="4">
        <v>0</v>
      </c>
      <c r="AP684" s="4">
        <v>7</v>
      </c>
      <c r="AQ684" s="4">
        <v>45</v>
      </c>
      <c r="AR684" s="3" t="s">
        <v>64</v>
      </c>
      <c r="AS684" s="3" t="s">
        <v>64</v>
      </c>
      <c r="AT684" s="3" t="s">
        <v>64</v>
      </c>
      <c r="AV684" s="6" t="str">
        <f>HYPERLINK("http://mcgill.on.worldcat.org/oclc/654417536","Catalog Record")</f>
        <v>Catalog Record</v>
      </c>
      <c r="AW684" s="6" t="str">
        <f>HYPERLINK("http://www.worldcat.org/oclc/654417536","WorldCat Record")</f>
        <v>WorldCat Record</v>
      </c>
      <c r="AX684" s="3" t="s">
        <v>7130</v>
      </c>
      <c r="AY684" s="3" t="s">
        <v>7131</v>
      </c>
      <c r="AZ684" s="3" t="s">
        <v>7132</v>
      </c>
      <c r="BA684" s="3" t="s">
        <v>7132</v>
      </c>
      <c r="BB684" s="3" t="s">
        <v>7133</v>
      </c>
      <c r="BC684" s="3" t="s">
        <v>78</v>
      </c>
      <c r="BD684" s="3" t="s">
        <v>79</v>
      </c>
      <c r="BE684" s="3" t="s">
        <v>7134</v>
      </c>
      <c r="BF684" s="3" t="s">
        <v>7133</v>
      </c>
      <c r="BG684" s="3" t="s">
        <v>7135</v>
      </c>
    </row>
    <row r="685" spans="1:59" ht="58" x14ac:dyDescent="0.35">
      <c r="A685" s="2" t="s">
        <v>59</v>
      </c>
      <c r="B685" s="2" t="s">
        <v>94</v>
      </c>
      <c r="C685" s="2" t="s">
        <v>7136</v>
      </c>
      <c r="D685" s="2" t="s">
        <v>7137</v>
      </c>
      <c r="E685" s="2" t="s">
        <v>7138</v>
      </c>
      <c r="G685" s="3" t="s">
        <v>64</v>
      </c>
      <c r="I685" s="3" t="s">
        <v>64</v>
      </c>
      <c r="J685" s="3" t="s">
        <v>64</v>
      </c>
      <c r="K685" s="3" t="s">
        <v>65</v>
      </c>
      <c r="L685" s="2" t="s">
        <v>7105</v>
      </c>
      <c r="M685" s="2" t="s">
        <v>2007</v>
      </c>
      <c r="N685" s="3" t="s">
        <v>328</v>
      </c>
      <c r="P685" s="3" t="s">
        <v>69</v>
      </c>
      <c r="Q685" s="2" t="s">
        <v>7139</v>
      </c>
      <c r="R685" s="3" t="s">
        <v>70</v>
      </c>
      <c r="S685" s="4">
        <v>2</v>
      </c>
      <c r="T685" s="4">
        <v>2</v>
      </c>
      <c r="U685" s="5" t="s">
        <v>7140</v>
      </c>
      <c r="V685" s="5" t="s">
        <v>7140</v>
      </c>
      <c r="W685" s="5" t="s">
        <v>72</v>
      </c>
      <c r="X685" s="5" t="s">
        <v>72</v>
      </c>
      <c r="Y685" s="4">
        <v>86</v>
      </c>
      <c r="Z685" s="4">
        <v>5</v>
      </c>
      <c r="AA685" s="4">
        <v>101</v>
      </c>
      <c r="AB685" s="4">
        <v>1</v>
      </c>
      <c r="AC685" s="4">
        <v>20</v>
      </c>
      <c r="AD685" s="4">
        <v>44</v>
      </c>
      <c r="AE685" s="4">
        <v>132</v>
      </c>
      <c r="AF685" s="4">
        <v>0</v>
      </c>
      <c r="AG685" s="4">
        <v>8</v>
      </c>
      <c r="AH685" s="4">
        <v>43</v>
      </c>
      <c r="AI685" s="4">
        <v>92</v>
      </c>
      <c r="AJ685" s="4">
        <v>3</v>
      </c>
      <c r="AK685" s="4">
        <v>21</v>
      </c>
      <c r="AL685" s="4">
        <v>23</v>
      </c>
      <c r="AM685" s="4">
        <v>50</v>
      </c>
      <c r="AN685" s="4">
        <v>0</v>
      </c>
      <c r="AO685" s="4">
        <v>0</v>
      </c>
      <c r="AP685" s="4">
        <v>3</v>
      </c>
      <c r="AQ685" s="4">
        <v>44</v>
      </c>
      <c r="AR685" s="3" t="s">
        <v>64</v>
      </c>
      <c r="AS685" s="3" t="s">
        <v>64</v>
      </c>
      <c r="AT685" s="3" t="s">
        <v>64</v>
      </c>
      <c r="AV685" s="6" t="str">
        <f>HYPERLINK("http://mcgill.on.worldcat.org/oclc/740456789","Catalog Record")</f>
        <v>Catalog Record</v>
      </c>
      <c r="AW685" s="6" t="str">
        <f>HYPERLINK("http://www.worldcat.org/oclc/740456789","WorldCat Record")</f>
        <v>WorldCat Record</v>
      </c>
      <c r="AX685" s="3" t="s">
        <v>7141</v>
      </c>
      <c r="AY685" s="3" t="s">
        <v>7142</v>
      </c>
      <c r="AZ685" s="3" t="s">
        <v>7143</v>
      </c>
      <c r="BA685" s="3" t="s">
        <v>7143</v>
      </c>
      <c r="BB685" s="3" t="s">
        <v>7144</v>
      </c>
      <c r="BC685" s="3" t="s">
        <v>78</v>
      </c>
      <c r="BD685" s="3" t="s">
        <v>79</v>
      </c>
      <c r="BE685" s="3" t="s">
        <v>7145</v>
      </c>
      <c r="BF685" s="3" t="s">
        <v>7144</v>
      </c>
      <c r="BG685" s="3" t="s">
        <v>7146</v>
      </c>
    </row>
    <row r="686" spans="1:59" ht="58" x14ac:dyDescent="0.35">
      <c r="A686" s="2" t="s">
        <v>59</v>
      </c>
      <c r="B686" s="2" t="s">
        <v>94</v>
      </c>
      <c r="C686" s="2" t="s">
        <v>7147</v>
      </c>
      <c r="D686" s="2" t="s">
        <v>7148</v>
      </c>
      <c r="E686" s="2" t="s">
        <v>7149</v>
      </c>
      <c r="G686" s="3" t="s">
        <v>64</v>
      </c>
      <c r="I686" s="3" t="s">
        <v>64</v>
      </c>
      <c r="J686" s="3" t="s">
        <v>64</v>
      </c>
      <c r="K686" s="3" t="s">
        <v>65</v>
      </c>
      <c r="L686" s="2" t="s">
        <v>7150</v>
      </c>
      <c r="M686" s="2" t="s">
        <v>7151</v>
      </c>
      <c r="N686" s="3" t="s">
        <v>524</v>
      </c>
      <c r="P686" s="3" t="s">
        <v>69</v>
      </c>
      <c r="R686" s="3" t="s">
        <v>70</v>
      </c>
      <c r="S686" s="4">
        <v>2</v>
      </c>
      <c r="T686" s="4">
        <v>2</v>
      </c>
      <c r="U686" s="5" t="s">
        <v>6772</v>
      </c>
      <c r="V686" s="5" t="s">
        <v>6772</v>
      </c>
      <c r="W686" s="5" t="s">
        <v>72</v>
      </c>
      <c r="X686" s="5" t="s">
        <v>72</v>
      </c>
      <c r="Y686" s="4">
        <v>58</v>
      </c>
      <c r="Z686" s="4">
        <v>2</v>
      </c>
      <c r="AA686" s="4">
        <v>32</v>
      </c>
      <c r="AB686" s="4">
        <v>1</v>
      </c>
      <c r="AC686" s="4">
        <v>6</v>
      </c>
      <c r="AD686" s="4">
        <v>34</v>
      </c>
      <c r="AE686" s="4">
        <v>94</v>
      </c>
      <c r="AF686" s="4">
        <v>0</v>
      </c>
      <c r="AG686" s="4">
        <v>2</v>
      </c>
      <c r="AH686" s="4">
        <v>33</v>
      </c>
      <c r="AI686" s="4">
        <v>77</v>
      </c>
      <c r="AJ686" s="4">
        <v>1</v>
      </c>
      <c r="AK686" s="4">
        <v>13</v>
      </c>
      <c r="AL686" s="4">
        <v>18</v>
      </c>
      <c r="AM686" s="4">
        <v>40</v>
      </c>
      <c r="AN686" s="4">
        <v>0</v>
      </c>
      <c r="AO686" s="4">
        <v>0</v>
      </c>
      <c r="AP686" s="4">
        <v>1</v>
      </c>
      <c r="AQ686" s="4">
        <v>23</v>
      </c>
      <c r="AR686" s="3" t="s">
        <v>64</v>
      </c>
      <c r="AS686" s="3" t="s">
        <v>64</v>
      </c>
      <c r="AT686" s="3" t="s">
        <v>64</v>
      </c>
      <c r="AV686" s="6" t="str">
        <f>HYPERLINK("http://mcgill.on.worldcat.org/oclc/862075047","Catalog Record")</f>
        <v>Catalog Record</v>
      </c>
      <c r="AW686" s="6" t="str">
        <f>HYPERLINK("http://www.worldcat.org/oclc/862075047","WorldCat Record")</f>
        <v>WorldCat Record</v>
      </c>
      <c r="AX686" s="3" t="s">
        <v>7152</v>
      </c>
      <c r="AY686" s="3" t="s">
        <v>7153</v>
      </c>
      <c r="AZ686" s="3" t="s">
        <v>7154</v>
      </c>
      <c r="BA686" s="3" t="s">
        <v>7154</v>
      </c>
      <c r="BB686" s="3" t="s">
        <v>7155</v>
      </c>
      <c r="BC686" s="3" t="s">
        <v>78</v>
      </c>
      <c r="BD686" s="3" t="s">
        <v>79</v>
      </c>
      <c r="BE686" s="3" t="s">
        <v>7156</v>
      </c>
      <c r="BF686" s="3" t="s">
        <v>7155</v>
      </c>
      <c r="BG686" s="3" t="s">
        <v>7157</v>
      </c>
    </row>
    <row r="687" spans="1:59" ht="58" x14ac:dyDescent="0.35">
      <c r="A687" s="2" t="s">
        <v>59</v>
      </c>
      <c r="B687" s="2" t="s">
        <v>94</v>
      </c>
      <c r="C687" s="2" t="s">
        <v>7158</v>
      </c>
      <c r="D687" s="2" t="s">
        <v>7159</v>
      </c>
      <c r="E687" s="2" t="s">
        <v>7160</v>
      </c>
      <c r="G687" s="3" t="s">
        <v>64</v>
      </c>
      <c r="I687" s="3" t="s">
        <v>64</v>
      </c>
      <c r="J687" s="3" t="s">
        <v>64</v>
      </c>
      <c r="K687" s="3" t="s">
        <v>65</v>
      </c>
      <c r="L687" s="2" t="s">
        <v>7105</v>
      </c>
      <c r="M687" s="2" t="s">
        <v>2030</v>
      </c>
      <c r="N687" s="3" t="s">
        <v>524</v>
      </c>
      <c r="P687" s="3" t="s">
        <v>69</v>
      </c>
      <c r="Q687" s="2" t="s">
        <v>7161</v>
      </c>
      <c r="R687" s="3" t="s">
        <v>70</v>
      </c>
      <c r="S687" s="4">
        <v>14</v>
      </c>
      <c r="T687" s="4">
        <v>14</v>
      </c>
      <c r="U687" s="5" t="s">
        <v>6833</v>
      </c>
      <c r="V687" s="5" t="s">
        <v>6833</v>
      </c>
      <c r="W687" s="5" t="s">
        <v>72</v>
      </c>
      <c r="X687" s="5" t="s">
        <v>72</v>
      </c>
      <c r="Y687" s="4">
        <v>83</v>
      </c>
      <c r="Z687" s="4">
        <v>9</v>
      </c>
      <c r="AA687" s="4">
        <v>36</v>
      </c>
      <c r="AB687" s="4">
        <v>1</v>
      </c>
      <c r="AC687" s="4">
        <v>6</v>
      </c>
      <c r="AD687" s="4">
        <v>50</v>
      </c>
      <c r="AE687" s="4">
        <v>100</v>
      </c>
      <c r="AF687" s="4">
        <v>0</v>
      </c>
      <c r="AG687" s="4">
        <v>2</v>
      </c>
      <c r="AH687" s="4">
        <v>49</v>
      </c>
      <c r="AI687" s="4">
        <v>83</v>
      </c>
      <c r="AJ687" s="4">
        <v>5</v>
      </c>
      <c r="AK687" s="4">
        <v>15</v>
      </c>
      <c r="AL687" s="4">
        <v>26</v>
      </c>
      <c r="AM687" s="4">
        <v>45</v>
      </c>
      <c r="AN687" s="4">
        <v>0</v>
      </c>
      <c r="AO687" s="4">
        <v>0</v>
      </c>
      <c r="AP687" s="4">
        <v>6</v>
      </c>
      <c r="AQ687" s="4">
        <v>25</v>
      </c>
      <c r="AR687" s="3" t="s">
        <v>64</v>
      </c>
      <c r="AS687" s="3" t="s">
        <v>64</v>
      </c>
      <c r="AT687" s="3" t="s">
        <v>64</v>
      </c>
      <c r="AV687" s="6" t="str">
        <f>HYPERLINK("http://mcgill.on.worldcat.org/oclc/860801706","Catalog Record")</f>
        <v>Catalog Record</v>
      </c>
      <c r="AW687" s="6" t="str">
        <f>HYPERLINK("http://www.worldcat.org/oclc/860801706","WorldCat Record")</f>
        <v>WorldCat Record</v>
      </c>
      <c r="AX687" s="3" t="s">
        <v>7162</v>
      </c>
      <c r="AY687" s="3" t="s">
        <v>7163</v>
      </c>
      <c r="AZ687" s="3" t="s">
        <v>7164</v>
      </c>
      <c r="BA687" s="3" t="s">
        <v>7164</v>
      </c>
      <c r="BB687" s="3" t="s">
        <v>7165</v>
      </c>
      <c r="BC687" s="3" t="s">
        <v>78</v>
      </c>
      <c r="BD687" s="3" t="s">
        <v>414</v>
      </c>
      <c r="BE687" s="3" t="s">
        <v>7166</v>
      </c>
      <c r="BF687" s="3" t="s">
        <v>7165</v>
      </c>
      <c r="BG687" s="3" t="s">
        <v>7167</v>
      </c>
    </row>
    <row r="688" spans="1:59" ht="58" x14ac:dyDescent="0.35">
      <c r="A688" s="2" t="s">
        <v>59</v>
      </c>
      <c r="B688" s="2" t="s">
        <v>94</v>
      </c>
      <c r="C688" s="2" t="s">
        <v>7168</v>
      </c>
      <c r="D688" s="2" t="s">
        <v>7169</v>
      </c>
      <c r="E688" s="2" t="s">
        <v>7170</v>
      </c>
      <c r="G688" s="3" t="s">
        <v>64</v>
      </c>
      <c r="I688" s="3" t="s">
        <v>64</v>
      </c>
      <c r="J688" s="3" t="s">
        <v>64</v>
      </c>
      <c r="K688" s="3" t="s">
        <v>65</v>
      </c>
      <c r="L688" s="2" t="s">
        <v>7171</v>
      </c>
      <c r="M688" s="2" t="s">
        <v>7172</v>
      </c>
      <c r="N688" s="3" t="s">
        <v>328</v>
      </c>
      <c r="P688" s="3" t="s">
        <v>69</v>
      </c>
      <c r="R688" s="3" t="s">
        <v>70</v>
      </c>
      <c r="S688" s="4">
        <v>5</v>
      </c>
      <c r="T688" s="4">
        <v>5</v>
      </c>
      <c r="U688" s="5" t="s">
        <v>6443</v>
      </c>
      <c r="V688" s="5" t="s">
        <v>6443</v>
      </c>
      <c r="W688" s="5" t="s">
        <v>72</v>
      </c>
      <c r="X688" s="5" t="s">
        <v>72</v>
      </c>
      <c r="Y688" s="4">
        <v>176</v>
      </c>
      <c r="Z688" s="4">
        <v>21</v>
      </c>
      <c r="AA688" s="4">
        <v>27</v>
      </c>
      <c r="AB688" s="4">
        <v>2</v>
      </c>
      <c r="AC688" s="4">
        <v>4</v>
      </c>
      <c r="AD688" s="4">
        <v>65</v>
      </c>
      <c r="AE688" s="4">
        <v>78</v>
      </c>
      <c r="AF688" s="4">
        <v>1</v>
      </c>
      <c r="AG688" s="4">
        <v>1</v>
      </c>
      <c r="AH688" s="4">
        <v>55</v>
      </c>
      <c r="AI688" s="4">
        <v>67</v>
      </c>
      <c r="AJ688" s="4">
        <v>15</v>
      </c>
      <c r="AK688" s="4">
        <v>16</v>
      </c>
      <c r="AL688" s="4">
        <v>34</v>
      </c>
      <c r="AM688" s="4">
        <v>42</v>
      </c>
      <c r="AN688" s="4">
        <v>0</v>
      </c>
      <c r="AO688" s="4">
        <v>0</v>
      </c>
      <c r="AP688" s="4">
        <v>18</v>
      </c>
      <c r="AQ688" s="4">
        <v>21</v>
      </c>
      <c r="AR688" s="3" t="s">
        <v>64</v>
      </c>
      <c r="AS688" s="3" t="s">
        <v>64</v>
      </c>
      <c r="AT688" s="3" t="s">
        <v>64</v>
      </c>
      <c r="AV688" s="6" t="str">
        <f>HYPERLINK("http://mcgill.on.worldcat.org/oclc/669754830","Catalog Record")</f>
        <v>Catalog Record</v>
      </c>
      <c r="AW688" s="6" t="str">
        <f>HYPERLINK("http://www.worldcat.org/oclc/669754830","WorldCat Record")</f>
        <v>WorldCat Record</v>
      </c>
      <c r="AX688" s="3" t="s">
        <v>7173</v>
      </c>
      <c r="AY688" s="3" t="s">
        <v>7174</v>
      </c>
      <c r="AZ688" s="3" t="s">
        <v>7175</v>
      </c>
      <c r="BA688" s="3" t="s">
        <v>7175</v>
      </c>
      <c r="BB688" s="3" t="s">
        <v>7176</v>
      </c>
      <c r="BC688" s="3" t="s">
        <v>78</v>
      </c>
      <c r="BD688" s="3" t="s">
        <v>79</v>
      </c>
      <c r="BE688" s="3" t="s">
        <v>7177</v>
      </c>
      <c r="BF688" s="3" t="s">
        <v>7176</v>
      </c>
      <c r="BG688" s="3" t="s">
        <v>7178</v>
      </c>
    </row>
    <row r="689" spans="1:59" ht="58" x14ac:dyDescent="0.35">
      <c r="A689" s="2" t="s">
        <v>59</v>
      </c>
      <c r="B689" s="2" t="s">
        <v>94</v>
      </c>
      <c r="C689" s="2" t="s">
        <v>7179</v>
      </c>
      <c r="D689" s="2" t="s">
        <v>7180</v>
      </c>
      <c r="E689" s="2" t="s">
        <v>7181</v>
      </c>
      <c r="G689" s="3" t="s">
        <v>64</v>
      </c>
      <c r="I689" s="3" t="s">
        <v>64</v>
      </c>
      <c r="J689" s="3" t="s">
        <v>64</v>
      </c>
      <c r="K689" s="3" t="s">
        <v>65</v>
      </c>
      <c r="M689" s="2" t="s">
        <v>7182</v>
      </c>
      <c r="N689" s="3" t="s">
        <v>1029</v>
      </c>
      <c r="P689" s="3" t="s">
        <v>69</v>
      </c>
      <c r="Q689" s="2" t="s">
        <v>5134</v>
      </c>
      <c r="R689" s="3" t="s">
        <v>70</v>
      </c>
      <c r="S689" s="4">
        <v>2</v>
      </c>
      <c r="T689" s="4">
        <v>2</v>
      </c>
      <c r="U689" s="5" t="s">
        <v>7140</v>
      </c>
      <c r="V689" s="5" t="s">
        <v>7140</v>
      </c>
      <c r="W689" s="5" t="s">
        <v>72</v>
      </c>
      <c r="X689" s="5" t="s">
        <v>72</v>
      </c>
      <c r="Y689" s="4">
        <v>132</v>
      </c>
      <c r="Z689" s="4">
        <v>9</v>
      </c>
      <c r="AA689" s="4">
        <v>96</v>
      </c>
      <c r="AB689" s="4">
        <v>2</v>
      </c>
      <c r="AC689" s="4">
        <v>18</v>
      </c>
      <c r="AD689" s="4">
        <v>71</v>
      </c>
      <c r="AE689" s="4">
        <v>127</v>
      </c>
      <c r="AF689" s="4">
        <v>0</v>
      </c>
      <c r="AG689" s="4">
        <v>8</v>
      </c>
      <c r="AH689" s="4">
        <v>68</v>
      </c>
      <c r="AI689" s="4">
        <v>91</v>
      </c>
      <c r="AJ689" s="4">
        <v>5</v>
      </c>
      <c r="AK689" s="4">
        <v>20</v>
      </c>
      <c r="AL689" s="4">
        <v>39</v>
      </c>
      <c r="AM689" s="4">
        <v>47</v>
      </c>
      <c r="AN689" s="4">
        <v>0</v>
      </c>
      <c r="AO689" s="4">
        <v>0</v>
      </c>
      <c r="AP689" s="4">
        <v>6</v>
      </c>
      <c r="AQ689" s="4">
        <v>43</v>
      </c>
      <c r="AR689" s="3" t="s">
        <v>64</v>
      </c>
      <c r="AS689" s="3" t="s">
        <v>64</v>
      </c>
      <c r="AT689" s="3" t="s">
        <v>64</v>
      </c>
      <c r="AV689" s="6" t="str">
        <f>HYPERLINK("http://mcgill.on.worldcat.org/oclc/387771308","Catalog Record")</f>
        <v>Catalog Record</v>
      </c>
      <c r="AW689" s="6" t="str">
        <f>HYPERLINK("http://www.worldcat.org/oclc/387771308","WorldCat Record")</f>
        <v>WorldCat Record</v>
      </c>
      <c r="AX689" s="3" t="s">
        <v>7183</v>
      </c>
      <c r="AY689" s="3" t="s">
        <v>7184</v>
      </c>
      <c r="AZ689" s="3" t="s">
        <v>7185</v>
      </c>
      <c r="BA689" s="3" t="s">
        <v>7185</v>
      </c>
      <c r="BB689" s="3" t="s">
        <v>7186</v>
      </c>
      <c r="BC689" s="3" t="s">
        <v>78</v>
      </c>
      <c r="BD689" s="3" t="s">
        <v>79</v>
      </c>
      <c r="BE689" s="3" t="s">
        <v>7187</v>
      </c>
      <c r="BF689" s="3" t="s">
        <v>7186</v>
      </c>
      <c r="BG689" s="3" t="s">
        <v>7188</v>
      </c>
    </row>
    <row r="690" spans="1:59" ht="58" x14ac:dyDescent="0.35">
      <c r="A690" s="2" t="s">
        <v>59</v>
      </c>
      <c r="B690" s="2" t="s">
        <v>94</v>
      </c>
      <c r="C690" s="2" t="s">
        <v>7189</v>
      </c>
      <c r="D690" s="2" t="s">
        <v>7190</v>
      </c>
      <c r="E690" s="2" t="s">
        <v>7191</v>
      </c>
      <c r="G690" s="3" t="s">
        <v>64</v>
      </c>
      <c r="I690" s="3" t="s">
        <v>64</v>
      </c>
      <c r="J690" s="3" t="s">
        <v>64</v>
      </c>
      <c r="K690" s="3" t="s">
        <v>65</v>
      </c>
      <c r="M690" s="2" t="s">
        <v>7192</v>
      </c>
      <c r="N690" s="3" t="s">
        <v>214</v>
      </c>
      <c r="P690" s="3" t="s">
        <v>69</v>
      </c>
      <c r="Q690" s="2" t="s">
        <v>5134</v>
      </c>
      <c r="R690" s="3" t="s">
        <v>70</v>
      </c>
      <c r="S690" s="4">
        <v>2</v>
      </c>
      <c r="T690" s="4">
        <v>2</v>
      </c>
      <c r="U690" s="5" t="s">
        <v>7140</v>
      </c>
      <c r="V690" s="5" t="s">
        <v>7140</v>
      </c>
      <c r="W690" s="5" t="s">
        <v>72</v>
      </c>
      <c r="X690" s="5" t="s">
        <v>72</v>
      </c>
      <c r="Y690" s="4">
        <v>108</v>
      </c>
      <c r="Z690" s="4">
        <v>5</v>
      </c>
      <c r="AA690" s="4">
        <v>104</v>
      </c>
      <c r="AB690" s="4">
        <v>1</v>
      </c>
      <c r="AC690" s="4">
        <v>20</v>
      </c>
      <c r="AD690" s="4">
        <v>53</v>
      </c>
      <c r="AE690" s="4">
        <v>138</v>
      </c>
      <c r="AF690" s="4">
        <v>0</v>
      </c>
      <c r="AG690" s="4">
        <v>8</v>
      </c>
      <c r="AH690" s="4">
        <v>51</v>
      </c>
      <c r="AI690" s="4">
        <v>97</v>
      </c>
      <c r="AJ690" s="4">
        <v>3</v>
      </c>
      <c r="AK690" s="4">
        <v>23</v>
      </c>
      <c r="AL690" s="4">
        <v>27</v>
      </c>
      <c r="AM690" s="4">
        <v>52</v>
      </c>
      <c r="AN690" s="4">
        <v>0</v>
      </c>
      <c r="AO690" s="4">
        <v>0</v>
      </c>
      <c r="AP690" s="4">
        <v>3</v>
      </c>
      <c r="AQ690" s="4">
        <v>46</v>
      </c>
      <c r="AR690" s="3" t="s">
        <v>64</v>
      </c>
      <c r="AS690" s="3" t="s">
        <v>64</v>
      </c>
      <c r="AT690" s="3" t="s">
        <v>64</v>
      </c>
      <c r="AV690" s="6" t="str">
        <f>HYPERLINK("http://mcgill.on.worldcat.org/oclc/642464823","Catalog Record")</f>
        <v>Catalog Record</v>
      </c>
      <c r="AW690" s="6" t="str">
        <f>HYPERLINK("http://www.worldcat.org/oclc/642464823","WorldCat Record")</f>
        <v>WorldCat Record</v>
      </c>
      <c r="AX690" s="3" t="s">
        <v>7193</v>
      </c>
      <c r="AY690" s="3" t="s">
        <v>7194</v>
      </c>
      <c r="AZ690" s="3" t="s">
        <v>7195</v>
      </c>
      <c r="BA690" s="3" t="s">
        <v>7195</v>
      </c>
      <c r="BB690" s="3" t="s">
        <v>7196</v>
      </c>
      <c r="BC690" s="3" t="s">
        <v>78</v>
      </c>
      <c r="BD690" s="3" t="s">
        <v>79</v>
      </c>
      <c r="BE690" s="3" t="s">
        <v>7197</v>
      </c>
      <c r="BF690" s="3" t="s">
        <v>7196</v>
      </c>
      <c r="BG690" s="3" t="s">
        <v>7198</v>
      </c>
    </row>
    <row r="691" spans="1:59" ht="58" x14ac:dyDescent="0.35">
      <c r="A691" s="2" t="s">
        <v>59</v>
      </c>
      <c r="B691" s="2" t="s">
        <v>94</v>
      </c>
      <c r="C691" s="2" t="s">
        <v>7199</v>
      </c>
      <c r="D691" s="2" t="s">
        <v>7200</v>
      </c>
      <c r="E691" s="2" t="s">
        <v>7201</v>
      </c>
      <c r="G691" s="3" t="s">
        <v>64</v>
      </c>
      <c r="I691" s="3" t="s">
        <v>64</v>
      </c>
      <c r="J691" s="3" t="s">
        <v>64</v>
      </c>
      <c r="K691" s="3" t="s">
        <v>65</v>
      </c>
      <c r="L691" s="2" t="s">
        <v>7202</v>
      </c>
      <c r="M691" s="2" t="s">
        <v>7203</v>
      </c>
      <c r="N691" s="3" t="s">
        <v>407</v>
      </c>
      <c r="P691" s="3" t="s">
        <v>69</v>
      </c>
      <c r="R691" s="3" t="s">
        <v>70</v>
      </c>
      <c r="S691" s="4">
        <v>4</v>
      </c>
      <c r="T691" s="4">
        <v>4</v>
      </c>
      <c r="U691" s="5" t="s">
        <v>2395</v>
      </c>
      <c r="V691" s="5" t="s">
        <v>2395</v>
      </c>
      <c r="W691" s="5" t="s">
        <v>72</v>
      </c>
      <c r="X691" s="5" t="s">
        <v>72</v>
      </c>
      <c r="Y691" s="4">
        <v>329</v>
      </c>
      <c r="Z691" s="4">
        <v>21</v>
      </c>
      <c r="AA691" s="4">
        <v>22</v>
      </c>
      <c r="AB691" s="4">
        <v>1</v>
      </c>
      <c r="AC691" s="4">
        <v>2</v>
      </c>
      <c r="AD691" s="4">
        <v>96</v>
      </c>
      <c r="AE691" s="4">
        <v>98</v>
      </c>
      <c r="AF691" s="4">
        <v>0</v>
      </c>
      <c r="AG691" s="4">
        <v>1</v>
      </c>
      <c r="AH691" s="4">
        <v>86</v>
      </c>
      <c r="AI691" s="4">
        <v>87</v>
      </c>
      <c r="AJ691" s="4">
        <v>16</v>
      </c>
      <c r="AK691" s="4">
        <v>17</v>
      </c>
      <c r="AL691" s="4">
        <v>50</v>
      </c>
      <c r="AM691" s="4">
        <v>51</v>
      </c>
      <c r="AN691" s="4">
        <v>0</v>
      </c>
      <c r="AO691" s="4">
        <v>0</v>
      </c>
      <c r="AP691" s="4">
        <v>17</v>
      </c>
      <c r="AQ691" s="4">
        <v>18</v>
      </c>
      <c r="AR691" s="3" t="s">
        <v>64</v>
      </c>
      <c r="AS691" s="3" t="s">
        <v>64</v>
      </c>
      <c r="AT691" s="3" t="s">
        <v>64</v>
      </c>
      <c r="AV691" s="6" t="str">
        <f>HYPERLINK("http://mcgill.on.worldcat.org/oclc/13009953","Catalog Record")</f>
        <v>Catalog Record</v>
      </c>
      <c r="AW691" s="6" t="str">
        <f>HYPERLINK("http://www.worldcat.org/oclc/13009953","WorldCat Record")</f>
        <v>WorldCat Record</v>
      </c>
      <c r="AX691" s="3" t="s">
        <v>7204</v>
      </c>
      <c r="AY691" s="3" t="s">
        <v>7205</v>
      </c>
      <c r="AZ691" s="3" t="s">
        <v>7206</v>
      </c>
      <c r="BA691" s="3" t="s">
        <v>7206</v>
      </c>
      <c r="BB691" s="3" t="s">
        <v>7207</v>
      </c>
      <c r="BC691" s="3" t="s">
        <v>78</v>
      </c>
      <c r="BD691" s="3" t="s">
        <v>79</v>
      </c>
      <c r="BE691" s="3" t="s">
        <v>7208</v>
      </c>
      <c r="BF691" s="3" t="s">
        <v>7207</v>
      </c>
      <c r="BG691" s="3" t="s">
        <v>7209</v>
      </c>
    </row>
    <row r="692" spans="1:59" ht="58" x14ac:dyDescent="0.35">
      <c r="A692" s="2" t="s">
        <v>59</v>
      </c>
      <c r="B692" s="2" t="s">
        <v>94</v>
      </c>
      <c r="C692" s="2" t="s">
        <v>7210</v>
      </c>
      <c r="D692" s="2" t="s">
        <v>7211</v>
      </c>
      <c r="E692" s="2" t="s">
        <v>7212</v>
      </c>
      <c r="G692" s="3" t="s">
        <v>64</v>
      </c>
      <c r="I692" s="3" t="s">
        <v>64</v>
      </c>
      <c r="J692" s="3" t="s">
        <v>64</v>
      </c>
      <c r="K692" s="3" t="s">
        <v>65</v>
      </c>
      <c r="L692" s="2" t="s">
        <v>7213</v>
      </c>
      <c r="M692" s="2" t="s">
        <v>7214</v>
      </c>
      <c r="N692" s="3" t="s">
        <v>1029</v>
      </c>
      <c r="P692" s="3" t="s">
        <v>69</v>
      </c>
      <c r="R692" s="3" t="s">
        <v>70</v>
      </c>
      <c r="S692" s="4">
        <v>10</v>
      </c>
      <c r="T692" s="4">
        <v>10</v>
      </c>
      <c r="U692" s="5" t="s">
        <v>7215</v>
      </c>
      <c r="V692" s="5" t="s">
        <v>7215</v>
      </c>
      <c r="W692" s="5" t="s">
        <v>72</v>
      </c>
      <c r="X692" s="5" t="s">
        <v>72</v>
      </c>
      <c r="Y692" s="4">
        <v>406</v>
      </c>
      <c r="Z692" s="4">
        <v>16</v>
      </c>
      <c r="AA692" s="4">
        <v>97</v>
      </c>
      <c r="AB692" s="4">
        <v>2</v>
      </c>
      <c r="AC692" s="4">
        <v>19</v>
      </c>
      <c r="AD692" s="4">
        <v>72</v>
      </c>
      <c r="AE692" s="4">
        <v>135</v>
      </c>
      <c r="AF692" s="4">
        <v>0</v>
      </c>
      <c r="AG692" s="4">
        <v>8</v>
      </c>
      <c r="AH692" s="4">
        <v>66</v>
      </c>
      <c r="AI692" s="4">
        <v>97</v>
      </c>
      <c r="AJ692" s="4">
        <v>10</v>
      </c>
      <c r="AK692" s="4">
        <v>25</v>
      </c>
      <c r="AL692" s="4">
        <v>39</v>
      </c>
      <c r="AM692" s="4">
        <v>51</v>
      </c>
      <c r="AN692" s="4">
        <v>0</v>
      </c>
      <c r="AO692" s="4">
        <v>0</v>
      </c>
      <c r="AP692" s="4">
        <v>12</v>
      </c>
      <c r="AQ692" s="4">
        <v>46</v>
      </c>
      <c r="AR692" s="3" t="s">
        <v>64</v>
      </c>
      <c r="AS692" s="3" t="s">
        <v>64</v>
      </c>
      <c r="AT692" s="3" t="s">
        <v>64</v>
      </c>
      <c r="AV692" s="6" t="str">
        <f>HYPERLINK("http://mcgill.on.worldcat.org/oclc/275150961","Catalog Record")</f>
        <v>Catalog Record</v>
      </c>
      <c r="AW692" s="6" t="str">
        <f>HYPERLINK("http://www.worldcat.org/oclc/275150961","WorldCat Record")</f>
        <v>WorldCat Record</v>
      </c>
      <c r="AX692" s="3" t="s">
        <v>7216</v>
      </c>
      <c r="AY692" s="3" t="s">
        <v>7217</v>
      </c>
      <c r="AZ692" s="3" t="s">
        <v>7218</v>
      </c>
      <c r="BA692" s="3" t="s">
        <v>7218</v>
      </c>
      <c r="BB692" s="3" t="s">
        <v>7219</v>
      </c>
      <c r="BC692" s="3" t="s">
        <v>78</v>
      </c>
      <c r="BD692" s="3" t="s">
        <v>79</v>
      </c>
      <c r="BE692" s="3" t="s">
        <v>7220</v>
      </c>
      <c r="BF692" s="3" t="s">
        <v>7219</v>
      </c>
      <c r="BG692" s="3" t="s">
        <v>7221</v>
      </c>
    </row>
    <row r="693" spans="1:59" ht="203" x14ac:dyDescent="0.35">
      <c r="A693" s="2" t="s">
        <v>59</v>
      </c>
      <c r="B693" s="2" t="s">
        <v>94</v>
      </c>
      <c r="C693" s="2" t="s">
        <v>7222</v>
      </c>
      <c r="D693" s="2" t="s">
        <v>7223</v>
      </c>
      <c r="E693" s="2" t="s">
        <v>7224</v>
      </c>
      <c r="G693" s="3" t="s">
        <v>64</v>
      </c>
      <c r="I693" s="3" t="s">
        <v>64</v>
      </c>
      <c r="J693" s="3" t="s">
        <v>64</v>
      </c>
      <c r="K693" s="3" t="s">
        <v>65</v>
      </c>
      <c r="L693" s="2" t="s">
        <v>7225</v>
      </c>
      <c r="M693" s="2" t="s">
        <v>7226</v>
      </c>
      <c r="N693" s="3" t="s">
        <v>538</v>
      </c>
      <c r="O693" s="2" t="s">
        <v>7227</v>
      </c>
      <c r="P693" s="3" t="s">
        <v>69</v>
      </c>
      <c r="R693" s="3" t="s">
        <v>70</v>
      </c>
      <c r="S693" s="4">
        <v>25</v>
      </c>
      <c r="T693" s="4">
        <v>25</v>
      </c>
      <c r="U693" s="5" t="s">
        <v>4252</v>
      </c>
      <c r="V693" s="5" t="s">
        <v>4252</v>
      </c>
      <c r="W693" s="5" t="s">
        <v>72</v>
      </c>
      <c r="X693" s="5" t="s">
        <v>72</v>
      </c>
      <c r="Y693" s="4">
        <v>644</v>
      </c>
      <c r="Z693" s="4">
        <v>15</v>
      </c>
      <c r="AA693" s="4">
        <v>27</v>
      </c>
      <c r="AB693" s="4">
        <v>1</v>
      </c>
      <c r="AC693" s="4">
        <v>4</v>
      </c>
      <c r="AD693" s="4">
        <v>71</v>
      </c>
      <c r="AE693" s="4">
        <v>82</v>
      </c>
      <c r="AF693" s="4">
        <v>0</v>
      </c>
      <c r="AG693" s="4">
        <v>1</v>
      </c>
      <c r="AH693" s="4">
        <v>64</v>
      </c>
      <c r="AI693" s="4">
        <v>70</v>
      </c>
      <c r="AJ693" s="4">
        <v>7</v>
      </c>
      <c r="AK693" s="4">
        <v>12</v>
      </c>
      <c r="AL693" s="4">
        <v>38</v>
      </c>
      <c r="AM693" s="4">
        <v>39</v>
      </c>
      <c r="AN693" s="4">
        <v>5</v>
      </c>
      <c r="AO693" s="4">
        <v>5</v>
      </c>
      <c r="AP693" s="4">
        <v>10</v>
      </c>
      <c r="AQ693" s="4">
        <v>16</v>
      </c>
      <c r="AR693" s="3" t="s">
        <v>64</v>
      </c>
      <c r="AS693" s="3" t="s">
        <v>73</v>
      </c>
      <c r="AT693" s="3" t="s">
        <v>64</v>
      </c>
      <c r="AU693" s="6" t="str">
        <f>HYPERLINK("http://catalog.hathitrust.org/Record/102053847","HathiTrust Record")</f>
        <v>HathiTrust Record</v>
      </c>
      <c r="AV693" s="6" t="str">
        <f>HYPERLINK("http://mcgill.on.worldcat.org/oclc/83610179","Catalog Record")</f>
        <v>Catalog Record</v>
      </c>
      <c r="AW693" s="6" t="str">
        <f>HYPERLINK("http://www.worldcat.org/oclc/83610179","WorldCat Record")</f>
        <v>WorldCat Record</v>
      </c>
      <c r="AX693" s="3" t="s">
        <v>7228</v>
      </c>
      <c r="AY693" s="3" t="s">
        <v>7229</v>
      </c>
      <c r="AZ693" s="3" t="s">
        <v>7230</v>
      </c>
      <c r="BA693" s="3" t="s">
        <v>7230</v>
      </c>
      <c r="BB693" s="3" t="s">
        <v>7231</v>
      </c>
      <c r="BC693" s="3" t="s">
        <v>78</v>
      </c>
      <c r="BD693" s="3" t="s">
        <v>414</v>
      </c>
      <c r="BE693" s="3" t="s">
        <v>7232</v>
      </c>
      <c r="BF693" s="3" t="s">
        <v>7231</v>
      </c>
      <c r="BG693" s="3" t="s">
        <v>7233</v>
      </c>
    </row>
    <row r="694" spans="1:59" ht="72.5" x14ac:dyDescent="0.35">
      <c r="A694" s="2" t="s">
        <v>59</v>
      </c>
      <c r="B694" s="2" t="s">
        <v>94</v>
      </c>
      <c r="C694" s="2" t="s">
        <v>7234</v>
      </c>
      <c r="D694" s="2" t="s">
        <v>7235</v>
      </c>
      <c r="E694" s="2" t="s">
        <v>7236</v>
      </c>
      <c r="G694" s="3" t="s">
        <v>64</v>
      </c>
      <c r="I694" s="3" t="s">
        <v>64</v>
      </c>
      <c r="J694" s="3" t="s">
        <v>64</v>
      </c>
      <c r="K694" s="3" t="s">
        <v>65</v>
      </c>
      <c r="L694" s="2" t="s">
        <v>7237</v>
      </c>
      <c r="M694" s="2" t="s">
        <v>7238</v>
      </c>
      <c r="N694" s="3" t="s">
        <v>175</v>
      </c>
      <c r="P694" s="3" t="s">
        <v>69</v>
      </c>
      <c r="R694" s="3" t="s">
        <v>70</v>
      </c>
      <c r="S694" s="4">
        <v>0</v>
      </c>
      <c r="T694" s="4">
        <v>0</v>
      </c>
      <c r="W694" s="5" t="s">
        <v>72</v>
      </c>
      <c r="X694" s="5" t="s">
        <v>72</v>
      </c>
      <c r="Y694" s="4">
        <v>73</v>
      </c>
      <c r="Z694" s="4">
        <v>6</v>
      </c>
      <c r="AA694" s="4">
        <v>35</v>
      </c>
      <c r="AB694" s="4">
        <v>1</v>
      </c>
      <c r="AC694" s="4">
        <v>6</v>
      </c>
      <c r="AD694" s="4">
        <v>45</v>
      </c>
      <c r="AE694" s="4">
        <v>96</v>
      </c>
      <c r="AF694" s="4">
        <v>0</v>
      </c>
      <c r="AG694" s="4">
        <v>2</v>
      </c>
      <c r="AH694" s="4">
        <v>44</v>
      </c>
      <c r="AI694" s="4">
        <v>79</v>
      </c>
      <c r="AJ694" s="4">
        <v>4</v>
      </c>
      <c r="AK694" s="4">
        <v>15</v>
      </c>
      <c r="AL694" s="4">
        <v>24</v>
      </c>
      <c r="AM694" s="4">
        <v>42</v>
      </c>
      <c r="AN694" s="4">
        <v>0</v>
      </c>
      <c r="AO694" s="4">
        <v>0</v>
      </c>
      <c r="AP694" s="4">
        <v>4</v>
      </c>
      <c r="AQ694" s="4">
        <v>25</v>
      </c>
      <c r="AR694" s="3" t="s">
        <v>64</v>
      </c>
      <c r="AS694" s="3" t="s">
        <v>64</v>
      </c>
      <c r="AT694" s="3" t="s">
        <v>64</v>
      </c>
      <c r="AV694" s="6" t="str">
        <f>HYPERLINK("http://mcgill.on.worldcat.org/oclc/871186949","Catalog Record")</f>
        <v>Catalog Record</v>
      </c>
      <c r="AW694" s="6" t="str">
        <f>HYPERLINK("http://www.worldcat.org/oclc/871186949","WorldCat Record")</f>
        <v>WorldCat Record</v>
      </c>
      <c r="AX694" s="3" t="s">
        <v>7239</v>
      </c>
      <c r="AY694" s="3" t="s">
        <v>7240</v>
      </c>
      <c r="AZ694" s="3" t="s">
        <v>7241</v>
      </c>
      <c r="BA694" s="3" t="s">
        <v>7241</v>
      </c>
      <c r="BB694" s="3" t="s">
        <v>7242</v>
      </c>
      <c r="BC694" s="3" t="s">
        <v>78</v>
      </c>
      <c r="BD694" s="3" t="s">
        <v>79</v>
      </c>
      <c r="BE694" s="3" t="s">
        <v>7243</v>
      </c>
      <c r="BF694" s="3" t="s">
        <v>7242</v>
      </c>
      <c r="BG694" s="3" t="s">
        <v>7244</v>
      </c>
    </row>
    <row r="695" spans="1:59" ht="58" x14ac:dyDescent="0.35">
      <c r="A695" s="2" t="s">
        <v>59</v>
      </c>
      <c r="B695" s="2" t="s">
        <v>94</v>
      </c>
      <c r="C695" s="2" t="s">
        <v>7245</v>
      </c>
      <c r="D695" s="2" t="s">
        <v>7246</v>
      </c>
      <c r="E695" s="2" t="s">
        <v>7247</v>
      </c>
      <c r="G695" s="3" t="s">
        <v>64</v>
      </c>
      <c r="I695" s="3" t="s">
        <v>64</v>
      </c>
      <c r="J695" s="3" t="s">
        <v>64</v>
      </c>
      <c r="K695" s="3" t="s">
        <v>65</v>
      </c>
      <c r="L695" s="2" t="s">
        <v>7248</v>
      </c>
      <c r="M695" s="2" t="s">
        <v>7249</v>
      </c>
      <c r="N695" s="3" t="s">
        <v>214</v>
      </c>
      <c r="P695" s="3" t="s">
        <v>69</v>
      </c>
      <c r="Q695" s="2" t="s">
        <v>7250</v>
      </c>
      <c r="R695" s="3" t="s">
        <v>70</v>
      </c>
      <c r="S695" s="4">
        <v>0</v>
      </c>
      <c r="T695" s="4">
        <v>0</v>
      </c>
      <c r="W695" s="5" t="s">
        <v>72</v>
      </c>
      <c r="X695" s="5" t="s">
        <v>72</v>
      </c>
      <c r="Y695" s="4">
        <v>110</v>
      </c>
      <c r="Z695" s="4">
        <v>8</v>
      </c>
      <c r="AA695" s="4">
        <v>11</v>
      </c>
      <c r="AB695" s="4">
        <v>1</v>
      </c>
      <c r="AC695" s="4">
        <v>1</v>
      </c>
      <c r="AD695" s="4">
        <v>57</v>
      </c>
      <c r="AE695" s="4">
        <v>62</v>
      </c>
      <c r="AF695" s="4">
        <v>0</v>
      </c>
      <c r="AG695" s="4">
        <v>0</v>
      </c>
      <c r="AH695" s="4">
        <v>54</v>
      </c>
      <c r="AI695" s="4">
        <v>58</v>
      </c>
      <c r="AJ695" s="4">
        <v>5</v>
      </c>
      <c r="AK695" s="4">
        <v>8</v>
      </c>
      <c r="AL695" s="4">
        <v>30</v>
      </c>
      <c r="AM695" s="4">
        <v>30</v>
      </c>
      <c r="AN695" s="4">
        <v>0</v>
      </c>
      <c r="AO695" s="4">
        <v>0</v>
      </c>
      <c r="AP695" s="4">
        <v>6</v>
      </c>
      <c r="AQ695" s="4">
        <v>9</v>
      </c>
      <c r="AR695" s="3" t="s">
        <v>64</v>
      </c>
      <c r="AS695" s="3" t="s">
        <v>64</v>
      </c>
      <c r="AT695" s="3" t="s">
        <v>64</v>
      </c>
      <c r="AV695" s="6" t="str">
        <f>HYPERLINK("http://mcgill.on.worldcat.org/oclc/650215752","Catalog Record")</f>
        <v>Catalog Record</v>
      </c>
      <c r="AW695" s="6" t="str">
        <f>HYPERLINK("http://www.worldcat.org/oclc/650215752","WorldCat Record")</f>
        <v>WorldCat Record</v>
      </c>
      <c r="AX695" s="3" t="s">
        <v>7251</v>
      </c>
      <c r="AY695" s="3" t="s">
        <v>7252</v>
      </c>
      <c r="AZ695" s="3" t="s">
        <v>7253</v>
      </c>
      <c r="BA695" s="3" t="s">
        <v>7253</v>
      </c>
      <c r="BB695" s="3" t="s">
        <v>7254</v>
      </c>
      <c r="BC695" s="3" t="s">
        <v>78</v>
      </c>
      <c r="BD695" s="3" t="s">
        <v>79</v>
      </c>
      <c r="BE695" s="3" t="s">
        <v>7255</v>
      </c>
      <c r="BF695" s="3" t="s">
        <v>7254</v>
      </c>
      <c r="BG695" s="3" t="s">
        <v>7256</v>
      </c>
    </row>
    <row r="696" spans="1:59" ht="58" x14ac:dyDescent="0.35">
      <c r="A696" s="2" t="s">
        <v>59</v>
      </c>
      <c r="B696" s="2" t="s">
        <v>94</v>
      </c>
      <c r="C696" s="2" t="s">
        <v>7257</v>
      </c>
      <c r="D696" s="2" t="s">
        <v>7258</v>
      </c>
      <c r="E696" s="2" t="s">
        <v>7259</v>
      </c>
      <c r="G696" s="3" t="s">
        <v>64</v>
      </c>
      <c r="I696" s="3" t="s">
        <v>64</v>
      </c>
      <c r="J696" s="3" t="s">
        <v>64</v>
      </c>
      <c r="K696" s="3" t="s">
        <v>65</v>
      </c>
      <c r="L696" s="2" t="s">
        <v>7260</v>
      </c>
      <c r="M696" s="2" t="s">
        <v>7261</v>
      </c>
      <c r="N696" s="3" t="s">
        <v>524</v>
      </c>
      <c r="P696" s="3" t="s">
        <v>69</v>
      </c>
      <c r="Q696" s="2" t="s">
        <v>7262</v>
      </c>
      <c r="R696" s="3" t="s">
        <v>70</v>
      </c>
      <c r="S696" s="4">
        <v>0</v>
      </c>
      <c r="T696" s="4">
        <v>0</v>
      </c>
      <c r="W696" s="5" t="s">
        <v>72</v>
      </c>
      <c r="X696" s="5" t="s">
        <v>72</v>
      </c>
      <c r="Y696" s="4">
        <v>68</v>
      </c>
      <c r="Z696" s="4">
        <v>4</v>
      </c>
      <c r="AA696" s="4">
        <v>32</v>
      </c>
      <c r="AB696" s="4">
        <v>1</v>
      </c>
      <c r="AC696" s="4">
        <v>6</v>
      </c>
      <c r="AD696" s="4">
        <v>44</v>
      </c>
      <c r="AE696" s="4">
        <v>93</v>
      </c>
      <c r="AF696" s="4">
        <v>0</v>
      </c>
      <c r="AG696" s="4">
        <v>2</v>
      </c>
      <c r="AH696" s="4">
        <v>43</v>
      </c>
      <c r="AI696" s="4">
        <v>76</v>
      </c>
      <c r="AJ696" s="4">
        <v>3</v>
      </c>
      <c r="AK696" s="4">
        <v>13</v>
      </c>
      <c r="AL696" s="4">
        <v>23</v>
      </c>
      <c r="AM696" s="4">
        <v>40</v>
      </c>
      <c r="AN696" s="4">
        <v>0</v>
      </c>
      <c r="AO696" s="4">
        <v>0</v>
      </c>
      <c r="AP696" s="4">
        <v>3</v>
      </c>
      <c r="AQ696" s="4">
        <v>23</v>
      </c>
      <c r="AR696" s="3" t="s">
        <v>64</v>
      </c>
      <c r="AS696" s="3" t="s">
        <v>64</v>
      </c>
      <c r="AT696" s="3" t="s">
        <v>64</v>
      </c>
      <c r="AV696" s="6" t="str">
        <f>HYPERLINK("http://mcgill.on.worldcat.org/oclc/858159564","Catalog Record")</f>
        <v>Catalog Record</v>
      </c>
      <c r="AW696" s="6" t="str">
        <f>HYPERLINK("http://www.worldcat.org/oclc/858159564","WorldCat Record")</f>
        <v>WorldCat Record</v>
      </c>
      <c r="AX696" s="3" t="s">
        <v>7263</v>
      </c>
      <c r="AY696" s="3" t="s">
        <v>7264</v>
      </c>
      <c r="AZ696" s="3" t="s">
        <v>7265</v>
      </c>
      <c r="BA696" s="3" t="s">
        <v>7265</v>
      </c>
      <c r="BB696" s="3" t="s">
        <v>7266</v>
      </c>
      <c r="BC696" s="3" t="s">
        <v>78</v>
      </c>
      <c r="BD696" s="3" t="s">
        <v>79</v>
      </c>
      <c r="BE696" s="3" t="s">
        <v>7267</v>
      </c>
      <c r="BF696" s="3" t="s">
        <v>7266</v>
      </c>
      <c r="BG696" s="3" t="s">
        <v>7268</v>
      </c>
    </row>
    <row r="697" spans="1:59" ht="58" x14ac:dyDescent="0.35">
      <c r="A697" s="2" t="s">
        <v>59</v>
      </c>
      <c r="B697" s="2" t="s">
        <v>94</v>
      </c>
      <c r="C697" s="2" t="s">
        <v>7269</v>
      </c>
      <c r="D697" s="2" t="s">
        <v>7270</v>
      </c>
      <c r="E697" s="2" t="s">
        <v>7271</v>
      </c>
      <c r="G697" s="3" t="s">
        <v>64</v>
      </c>
      <c r="I697" s="3" t="s">
        <v>64</v>
      </c>
      <c r="J697" s="3" t="s">
        <v>64</v>
      </c>
      <c r="K697" s="3" t="s">
        <v>65</v>
      </c>
      <c r="M697" s="2" t="s">
        <v>7272</v>
      </c>
      <c r="N697" s="3" t="s">
        <v>499</v>
      </c>
      <c r="P697" s="3" t="s">
        <v>69</v>
      </c>
      <c r="R697" s="3" t="s">
        <v>70</v>
      </c>
      <c r="S697" s="4">
        <v>3</v>
      </c>
      <c r="T697" s="4">
        <v>3</v>
      </c>
      <c r="U697" s="5" t="s">
        <v>7273</v>
      </c>
      <c r="V697" s="5" t="s">
        <v>7273</v>
      </c>
      <c r="W697" s="5" t="s">
        <v>72</v>
      </c>
      <c r="X697" s="5" t="s">
        <v>72</v>
      </c>
      <c r="Y697" s="4">
        <v>104</v>
      </c>
      <c r="Z697" s="4">
        <v>34</v>
      </c>
      <c r="AA697" s="4">
        <v>40</v>
      </c>
      <c r="AB697" s="4">
        <v>3</v>
      </c>
      <c r="AC697" s="4">
        <v>5</v>
      </c>
      <c r="AD697" s="4">
        <v>59</v>
      </c>
      <c r="AE697" s="4">
        <v>60</v>
      </c>
      <c r="AF697" s="4">
        <v>1</v>
      </c>
      <c r="AG697" s="4">
        <v>1</v>
      </c>
      <c r="AH697" s="4">
        <v>44</v>
      </c>
      <c r="AI697" s="4">
        <v>44</v>
      </c>
      <c r="AJ697" s="4">
        <v>19</v>
      </c>
      <c r="AK697" s="4">
        <v>19</v>
      </c>
      <c r="AL697" s="4">
        <v>27</v>
      </c>
      <c r="AM697" s="4">
        <v>27</v>
      </c>
      <c r="AN697" s="4">
        <v>0</v>
      </c>
      <c r="AO697" s="4">
        <v>0</v>
      </c>
      <c r="AP697" s="4">
        <v>22</v>
      </c>
      <c r="AQ697" s="4">
        <v>23</v>
      </c>
      <c r="AR697" s="3" t="s">
        <v>73</v>
      </c>
      <c r="AS697" s="3" t="s">
        <v>64</v>
      </c>
      <c r="AT697" s="3" t="s">
        <v>73</v>
      </c>
      <c r="AU697" s="6" t="str">
        <f>HYPERLINK("http://catalog.hathitrust.org/Record/005061966","HathiTrust Record")</f>
        <v>HathiTrust Record</v>
      </c>
      <c r="AV697" s="6" t="str">
        <f>HYPERLINK("http://mcgill.on.worldcat.org/oclc/57207616","Catalog Record")</f>
        <v>Catalog Record</v>
      </c>
      <c r="AW697" s="6" t="str">
        <f>HYPERLINK("http://www.worldcat.org/oclc/57207616","WorldCat Record")</f>
        <v>WorldCat Record</v>
      </c>
      <c r="AX697" s="3" t="s">
        <v>7274</v>
      </c>
      <c r="AY697" s="3" t="s">
        <v>7275</v>
      </c>
      <c r="AZ697" s="3" t="s">
        <v>7276</v>
      </c>
      <c r="BA697" s="3" t="s">
        <v>7276</v>
      </c>
      <c r="BB697" s="3" t="s">
        <v>7277</v>
      </c>
      <c r="BC697" s="3" t="s">
        <v>78</v>
      </c>
      <c r="BD697" s="3" t="s">
        <v>79</v>
      </c>
      <c r="BE697" s="3" t="s">
        <v>7278</v>
      </c>
      <c r="BF697" s="3" t="s">
        <v>7277</v>
      </c>
      <c r="BG697" s="3" t="s">
        <v>7279</v>
      </c>
    </row>
    <row r="698" spans="1:59" ht="58" x14ac:dyDescent="0.35">
      <c r="A698" s="2" t="s">
        <v>59</v>
      </c>
      <c r="B698" s="2" t="s">
        <v>94</v>
      </c>
      <c r="C698" s="2" t="s">
        <v>7280</v>
      </c>
      <c r="D698" s="2" t="s">
        <v>7281</v>
      </c>
      <c r="E698" s="2" t="s">
        <v>7282</v>
      </c>
      <c r="G698" s="3" t="s">
        <v>64</v>
      </c>
      <c r="I698" s="3" t="s">
        <v>64</v>
      </c>
      <c r="J698" s="3" t="s">
        <v>64</v>
      </c>
      <c r="K698" s="3" t="s">
        <v>65</v>
      </c>
      <c r="M698" s="2" t="s">
        <v>7283</v>
      </c>
      <c r="N698" s="3" t="s">
        <v>861</v>
      </c>
      <c r="P698" s="3" t="s">
        <v>69</v>
      </c>
      <c r="Q698" s="2" t="s">
        <v>7284</v>
      </c>
      <c r="R698" s="3" t="s">
        <v>70</v>
      </c>
      <c r="S698" s="4">
        <v>5</v>
      </c>
      <c r="T698" s="4">
        <v>5</v>
      </c>
      <c r="U698" s="5" t="s">
        <v>7285</v>
      </c>
      <c r="V698" s="5" t="s">
        <v>7285</v>
      </c>
      <c r="W698" s="5" t="s">
        <v>72</v>
      </c>
      <c r="X698" s="5" t="s">
        <v>72</v>
      </c>
      <c r="Y698" s="4">
        <v>117</v>
      </c>
      <c r="Z698" s="4">
        <v>27</v>
      </c>
      <c r="AA698" s="4">
        <v>29</v>
      </c>
      <c r="AB698" s="4">
        <v>4</v>
      </c>
      <c r="AC698" s="4">
        <v>6</v>
      </c>
      <c r="AD698" s="4">
        <v>61</v>
      </c>
      <c r="AE698" s="4">
        <v>62</v>
      </c>
      <c r="AF698" s="4">
        <v>2</v>
      </c>
      <c r="AG698" s="4">
        <v>3</v>
      </c>
      <c r="AH698" s="4">
        <v>49</v>
      </c>
      <c r="AI698" s="4">
        <v>50</v>
      </c>
      <c r="AJ698" s="4">
        <v>16</v>
      </c>
      <c r="AK698" s="4">
        <v>17</v>
      </c>
      <c r="AL698" s="4">
        <v>26</v>
      </c>
      <c r="AM698" s="4">
        <v>26</v>
      </c>
      <c r="AN698" s="4">
        <v>0</v>
      </c>
      <c r="AO698" s="4">
        <v>0</v>
      </c>
      <c r="AP698" s="4">
        <v>18</v>
      </c>
      <c r="AQ698" s="4">
        <v>19</v>
      </c>
      <c r="AR698" s="3" t="s">
        <v>73</v>
      </c>
      <c r="AS698" s="3" t="s">
        <v>64</v>
      </c>
      <c r="AT698" s="3" t="s">
        <v>73</v>
      </c>
      <c r="AU698" s="6" t="str">
        <f>HYPERLINK("http://catalog.hathitrust.org/Record/004971474","HathiTrust Record")</f>
        <v>HathiTrust Record</v>
      </c>
      <c r="AV698" s="6" t="str">
        <f>HYPERLINK("http://mcgill.on.worldcat.org/oclc/56371115","Catalog Record")</f>
        <v>Catalog Record</v>
      </c>
      <c r="AW698" s="6" t="str">
        <f>HYPERLINK("http://www.worldcat.org/oclc/56371115","WorldCat Record")</f>
        <v>WorldCat Record</v>
      </c>
      <c r="AX698" s="3" t="s">
        <v>7286</v>
      </c>
      <c r="AY698" s="3" t="s">
        <v>7287</v>
      </c>
      <c r="AZ698" s="3" t="s">
        <v>7288</v>
      </c>
      <c r="BA698" s="3" t="s">
        <v>7288</v>
      </c>
      <c r="BB698" s="3" t="s">
        <v>7289</v>
      </c>
      <c r="BC698" s="3" t="s">
        <v>78</v>
      </c>
      <c r="BD698" s="3" t="s">
        <v>79</v>
      </c>
      <c r="BE698" s="3" t="s">
        <v>7290</v>
      </c>
      <c r="BF698" s="3" t="s">
        <v>7289</v>
      </c>
      <c r="BG698" s="3" t="s">
        <v>7291</v>
      </c>
    </row>
    <row r="699" spans="1:59" ht="72.5" x14ac:dyDescent="0.35">
      <c r="A699" s="2" t="s">
        <v>59</v>
      </c>
      <c r="B699" s="2" t="s">
        <v>94</v>
      </c>
      <c r="C699" s="2" t="s">
        <v>7292</v>
      </c>
      <c r="D699" s="2" t="s">
        <v>7293</v>
      </c>
      <c r="E699" s="2" t="s">
        <v>7294</v>
      </c>
      <c r="G699" s="3" t="s">
        <v>64</v>
      </c>
      <c r="I699" s="3" t="s">
        <v>64</v>
      </c>
      <c r="J699" s="3" t="s">
        <v>64</v>
      </c>
      <c r="K699" s="3" t="s">
        <v>65</v>
      </c>
      <c r="L699" s="2" t="s">
        <v>7295</v>
      </c>
      <c r="M699" s="2" t="s">
        <v>7296</v>
      </c>
      <c r="N699" s="3" t="s">
        <v>175</v>
      </c>
      <c r="P699" s="3" t="s">
        <v>69</v>
      </c>
      <c r="R699" s="3" t="s">
        <v>70</v>
      </c>
      <c r="S699" s="4">
        <v>0</v>
      </c>
      <c r="T699" s="4">
        <v>0</v>
      </c>
      <c r="W699" s="5" t="s">
        <v>72</v>
      </c>
      <c r="X699" s="5" t="s">
        <v>72</v>
      </c>
      <c r="Y699" s="4">
        <v>63</v>
      </c>
      <c r="Z699" s="4">
        <v>3</v>
      </c>
      <c r="AA699" s="4">
        <v>32</v>
      </c>
      <c r="AB699" s="4">
        <v>1</v>
      </c>
      <c r="AC699" s="4">
        <v>6</v>
      </c>
      <c r="AD699" s="4">
        <v>40</v>
      </c>
      <c r="AE699" s="4">
        <v>94</v>
      </c>
      <c r="AF699" s="4">
        <v>0</v>
      </c>
      <c r="AG699" s="4">
        <v>2</v>
      </c>
      <c r="AH699" s="4">
        <v>39</v>
      </c>
      <c r="AI699" s="4">
        <v>77</v>
      </c>
      <c r="AJ699" s="4">
        <v>2</v>
      </c>
      <c r="AK699" s="4">
        <v>13</v>
      </c>
      <c r="AL699" s="4">
        <v>22</v>
      </c>
      <c r="AM699" s="4">
        <v>42</v>
      </c>
      <c r="AN699" s="4">
        <v>0</v>
      </c>
      <c r="AO699" s="4">
        <v>0</v>
      </c>
      <c r="AP699" s="4">
        <v>2</v>
      </c>
      <c r="AQ699" s="4">
        <v>23</v>
      </c>
      <c r="AR699" s="3" t="s">
        <v>64</v>
      </c>
      <c r="AS699" s="3" t="s">
        <v>64</v>
      </c>
      <c r="AT699" s="3" t="s">
        <v>64</v>
      </c>
      <c r="AV699" s="6" t="str">
        <f>HYPERLINK("http://mcgill.on.worldcat.org/oclc/879324210","Catalog Record")</f>
        <v>Catalog Record</v>
      </c>
      <c r="AW699" s="6" t="str">
        <f>HYPERLINK("http://www.worldcat.org/oclc/879324210","WorldCat Record")</f>
        <v>WorldCat Record</v>
      </c>
      <c r="AX699" s="3" t="s">
        <v>7297</v>
      </c>
      <c r="AY699" s="3" t="s">
        <v>7298</v>
      </c>
      <c r="AZ699" s="3" t="s">
        <v>7299</v>
      </c>
      <c r="BA699" s="3" t="s">
        <v>7299</v>
      </c>
      <c r="BB699" s="3" t="s">
        <v>7300</v>
      </c>
      <c r="BC699" s="3" t="s">
        <v>78</v>
      </c>
      <c r="BD699" s="3" t="s">
        <v>79</v>
      </c>
      <c r="BE699" s="3" t="s">
        <v>7301</v>
      </c>
      <c r="BF699" s="3" t="s">
        <v>7300</v>
      </c>
      <c r="BG699" s="3" t="s">
        <v>7302</v>
      </c>
    </row>
    <row r="700" spans="1:59" ht="58" x14ac:dyDescent="0.35">
      <c r="A700" s="2" t="s">
        <v>59</v>
      </c>
      <c r="B700" s="2" t="s">
        <v>94</v>
      </c>
      <c r="C700" s="2" t="s">
        <v>7303</v>
      </c>
      <c r="D700" s="2" t="s">
        <v>7304</v>
      </c>
      <c r="E700" s="2" t="s">
        <v>7305</v>
      </c>
      <c r="G700" s="3" t="s">
        <v>64</v>
      </c>
      <c r="I700" s="3" t="s">
        <v>64</v>
      </c>
      <c r="J700" s="3" t="s">
        <v>64</v>
      </c>
      <c r="K700" s="3" t="s">
        <v>65</v>
      </c>
      <c r="L700" s="2" t="s">
        <v>7306</v>
      </c>
      <c r="M700" s="2" t="s">
        <v>7307</v>
      </c>
      <c r="N700" s="3" t="s">
        <v>651</v>
      </c>
      <c r="P700" s="3" t="s">
        <v>69</v>
      </c>
      <c r="R700" s="3" t="s">
        <v>70</v>
      </c>
      <c r="S700" s="4">
        <v>8</v>
      </c>
      <c r="T700" s="4">
        <v>8</v>
      </c>
      <c r="U700" s="5" t="s">
        <v>7273</v>
      </c>
      <c r="V700" s="5" t="s">
        <v>7273</v>
      </c>
      <c r="W700" s="5" t="s">
        <v>72</v>
      </c>
      <c r="X700" s="5" t="s">
        <v>72</v>
      </c>
      <c r="Y700" s="4">
        <v>49</v>
      </c>
      <c r="Z700" s="4">
        <v>21</v>
      </c>
      <c r="AA700" s="4">
        <v>21</v>
      </c>
      <c r="AB700" s="4">
        <v>3</v>
      </c>
      <c r="AC700" s="4">
        <v>3</v>
      </c>
      <c r="AD700" s="4">
        <v>18</v>
      </c>
      <c r="AE700" s="4">
        <v>18</v>
      </c>
      <c r="AF700" s="4">
        <v>1</v>
      </c>
      <c r="AG700" s="4">
        <v>1</v>
      </c>
      <c r="AH700" s="4">
        <v>13</v>
      </c>
      <c r="AI700" s="4">
        <v>13</v>
      </c>
      <c r="AJ700" s="4">
        <v>9</v>
      </c>
      <c r="AK700" s="4">
        <v>9</v>
      </c>
      <c r="AL700" s="4">
        <v>7</v>
      </c>
      <c r="AM700" s="4">
        <v>7</v>
      </c>
      <c r="AN700" s="4">
        <v>0</v>
      </c>
      <c r="AO700" s="4">
        <v>0</v>
      </c>
      <c r="AP700" s="4">
        <v>9</v>
      </c>
      <c r="AQ700" s="4">
        <v>9</v>
      </c>
      <c r="AR700" s="3" t="s">
        <v>73</v>
      </c>
      <c r="AS700" s="3" t="s">
        <v>64</v>
      </c>
      <c r="AT700" s="3" t="s">
        <v>64</v>
      </c>
      <c r="AV700" s="6" t="str">
        <f>HYPERLINK("http://mcgill.on.worldcat.org/oclc/53036556","Catalog Record")</f>
        <v>Catalog Record</v>
      </c>
      <c r="AW700" s="6" t="str">
        <f>HYPERLINK("http://www.worldcat.org/oclc/53036556","WorldCat Record")</f>
        <v>WorldCat Record</v>
      </c>
      <c r="AX700" s="3" t="s">
        <v>7308</v>
      </c>
      <c r="AY700" s="3" t="s">
        <v>7309</v>
      </c>
      <c r="AZ700" s="3" t="s">
        <v>7310</v>
      </c>
      <c r="BA700" s="3" t="s">
        <v>7310</v>
      </c>
      <c r="BB700" s="3" t="s">
        <v>7311</v>
      </c>
      <c r="BC700" s="3" t="s">
        <v>78</v>
      </c>
      <c r="BD700" s="3" t="s">
        <v>79</v>
      </c>
      <c r="BE700" s="3" t="s">
        <v>7312</v>
      </c>
      <c r="BF700" s="3" t="s">
        <v>7311</v>
      </c>
      <c r="BG700" s="3" t="s">
        <v>7313</v>
      </c>
    </row>
    <row r="701" spans="1:59" ht="58" x14ac:dyDescent="0.35">
      <c r="A701" s="2" t="s">
        <v>59</v>
      </c>
      <c r="B701" s="2" t="s">
        <v>94</v>
      </c>
      <c r="C701" s="2" t="s">
        <v>7314</v>
      </c>
      <c r="D701" s="2" t="s">
        <v>7315</v>
      </c>
      <c r="E701" s="2" t="s">
        <v>7316</v>
      </c>
      <c r="G701" s="3" t="s">
        <v>64</v>
      </c>
      <c r="I701" s="3" t="s">
        <v>64</v>
      </c>
      <c r="J701" s="3" t="s">
        <v>64</v>
      </c>
      <c r="K701" s="3" t="s">
        <v>65</v>
      </c>
      <c r="L701" s="2" t="s">
        <v>7317</v>
      </c>
      <c r="M701" s="2" t="s">
        <v>7318</v>
      </c>
      <c r="N701" s="3" t="s">
        <v>340</v>
      </c>
      <c r="P701" s="3" t="s">
        <v>69</v>
      </c>
      <c r="R701" s="3" t="s">
        <v>70</v>
      </c>
      <c r="S701" s="4">
        <v>2</v>
      </c>
      <c r="T701" s="4">
        <v>2</v>
      </c>
      <c r="U701" s="5" t="s">
        <v>6386</v>
      </c>
      <c r="V701" s="5" t="s">
        <v>6386</v>
      </c>
      <c r="W701" s="5" t="s">
        <v>72</v>
      </c>
      <c r="X701" s="5" t="s">
        <v>72</v>
      </c>
      <c r="Y701" s="4">
        <v>67</v>
      </c>
      <c r="Z701" s="4">
        <v>3</v>
      </c>
      <c r="AA701" s="4">
        <v>18</v>
      </c>
      <c r="AB701" s="4">
        <v>1</v>
      </c>
      <c r="AC701" s="4">
        <v>4</v>
      </c>
      <c r="AD701" s="4">
        <v>24</v>
      </c>
      <c r="AE701" s="4">
        <v>54</v>
      </c>
      <c r="AF701" s="4">
        <v>0</v>
      </c>
      <c r="AG701" s="4">
        <v>1</v>
      </c>
      <c r="AH701" s="4">
        <v>23</v>
      </c>
      <c r="AI701" s="4">
        <v>49</v>
      </c>
      <c r="AJ701" s="4">
        <v>1</v>
      </c>
      <c r="AK701" s="4">
        <v>7</v>
      </c>
      <c r="AL701" s="4">
        <v>14</v>
      </c>
      <c r="AM701" s="4">
        <v>26</v>
      </c>
      <c r="AN701" s="4">
        <v>0</v>
      </c>
      <c r="AO701" s="4">
        <v>0</v>
      </c>
      <c r="AP701" s="4">
        <v>1</v>
      </c>
      <c r="AQ701" s="4">
        <v>9</v>
      </c>
      <c r="AR701" s="3" t="s">
        <v>64</v>
      </c>
      <c r="AS701" s="3" t="s">
        <v>64</v>
      </c>
      <c r="AT701" s="3" t="s">
        <v>64</v>
      </c>
      <c r="AV701" s="6" t="str">
        <f>HYPERLINK("http://mcgill.on.worldcat.org/oclc/38738177","Catalog Record")</f>
        <v>Catalog Record</v>
      </c>
      <c r="AW701" s="6" t="str">
        <f>HYPERLINK("http://www.worldcat.org/oclc/38738177","WorldCat Record")</f>
        <v>WorldCat Record</v>
      </c>
      <c r="AX701" s="3" t="s">
        <v>7319</v>
      </c>
      <c r="AY701" s="3" t="s">
        <v>7320</v>
      </c>
      <c r="AZ701" s="3" t="s">
        <v>7321</v>
      </c>
      <c r="BA701" s="3" t="s">
        <v>7321</v>
      </c>
      <c r="BB701" s="3" t="s">
        <v>7322</v>
      </c>
      <c r="BC701" s="3" t="s">
        <v>78</v>
      </c>
      <c r="BD701" s="3" t="s">
        <v>79</v>
      </c>
      <c r="BE701" s="3" t="s">
        <v>7323</v>
      </c>
      <c r="BF701" s="3" t="s">
        <v>7322</v>
      </c>
      <c r="BG701" s="3" t="s">
        <v>7324</v>
      </c>
    </row>
    <row r="702" spans="1:59" ht="58" x14ac:dyDescent="0.35">
      <c r="A702" s="2" t="s">
        <v>59</v>
      </c>
      <c r="B702" s="2" t="s">
        <v>94</v>
      </c>
      <c r="C702" s="2" t="s">
        <v>7325</v>
      </c>
      <c r="D702" s="2" t="s">
        <v>7326</v>
      </c>
      <c r="E702" s="2" t="s">
        <v>7327</v>
      </c>
      <c r="F702" s="3" t="s">
        <v>399</v>
      </c>
      <c r="G702" s="3" t="s">
        <v>73</v>
      </c>
      <c r="I702" s="3" t="s">
        <v>64</v>
      </c>
      <c r="J702" s="3" t="s">
        <v>64</v>
      </c>
      <c r="K702" s="3" t="s">
        <v>65</v>
      </c>
      <c r="M702" s="2" t="s">
        <v>7328</v>
      </c>
      <c r="N702" s="3" t="s">
        <v>872</v>
      </c>
      <c r="P702" s="3" t="s">
        <v>69</v>
      </c>
      <c r="R702" s="3" t="s">
        <v>70</v>
      </c>
      <c r="S702" s="4">
        <v>19</v>
      </c>
      <c r="T702" s="4">
        <v>92</v>
      </c>
      <c r="U702" s="5" t="s">
        <v>7329</v>
      </c>
      <c r="V702" s="5" t="s">
        <v>7330</v>
      </c>
      <c r="W702" s="5" t="s">
        <v>72</v>
      </c>
      <c r="X702" s="5" t="s">
        <v>72</v>
      </c>
      <c r="Y702" s="4">
        <v>354</v>
      </c>
      <c r="Z702" s="4">
        <v>25</v>
      </c>
      <c r="AA702" s="4">
        <v>25</v>
      </c>
      <c r="AB702" s="4">
        <v>2</v>
      </c>
      <c r="AC702" s="4">
        <v>2</v>
      </c>
      <c r="AD702" s="4">
        <v>116</v>
      </c>
      <c r="AE702" s="4">
        <v>116</v>
      </c>
      <c r="AF702" s="4">
        <v>1</v>
      </c>
      <c r="AG702" s="4">
        <v>1</v>
      </c>
      <c r="AH702" s="4">
        <v>102</v>
      </c>
      <c r="AI702" s="4">
        <v>102</v>
      </c>
      <c r="AJ702" s="4">
        <v>19</v>
      </c>
      <c r="AK702" s="4">
        <v>19</v>
      </c>
      <c r="AL702" s="4">
        <v>59</v>
      </c>
      <c r="AM702" s="4">
        <v>59</v>
      </c>
      <c r="AN702" s="4">
        <v>0</v>
      </c>
      <c r="AO702" s="4">
        <v>0</v>
      </c>
      <c r="AP702" s="4">
        <v>21</v>
      </c>
      <c r="AQ702" s="4">
        <v>21</v>
      </c>
      <c r="AR702" s="3" t="s">
        <v>64</v>
      </c>
      <c r="AS702" s="3" t="s">
        <v>64</v>
      </c>
      <c r="AT702" s="3" t="s">
        <v>64</v>
      </c>
      <c r="AV702" s="6" t="str">
        <f>HYPERLINK("http://mcgill.on.worldcat.org/oclc/19129637","Catalog Record")</f>
        <v>Catalog Record</v>
      </c>
      <c r="AW702" s="6" t="str">
        <f>HYPERLINK("http://www.worldcat.org/oclc/19129637","WorldCat Record")</f>
        <v>WorldCat Record</v>
      </c>
      <c r="AX702" s="3" t="s">
        <v>7331</v>
      </c>
      <c r="AY702" s="3" t="s">
        <v>7332</v>
      </c>
      <c r="AZ702" s="3" t="s">
        <v>7333</v>
      </c>
      <c r="BA702" s="3" t="s">
        <v>7333</v>
      </c>
      <c r="BB702" s="3" t="s">
        <v>7334</v>
      </c>
      <c r="BC702" s="3" t="s">
        <v>78</v>
      </c>
      <c r="BD702" s="3" t="s">
        <v>79</v>
      </c>
      <c r="BE702" s="3" t="s">
        <v>7335</v>
      </c>
      <c r="BF702" s="3" t="s">
        <v>7334</v>
      </c>
      <c r="BG702" s="3" t="s">
        <v>7336</v>
      </c>
    </row>
    <row r="703" spans="1:59" ht="58" x14ac:dyDescent="0.35">
      <c r="A703" s="2" t="s">
        <v>59</v>
      </c>
      <c r="B703" s="2" t="s">
        <v>94</v>
      </c>
      <c r="C703" s="2" t="s">
        <v>7325</v>
      </c>
      <c r="D703" s="2" t="s">
        <v>7326</v>
      </c>
      <c r="E703" s="2" t="s">
        <v>7327</v>
      </c>
      <c r="F703" s="3" t="s">
        <v>388</v>
      </c>
      <c r="G703" s="3" t="s">
        <v>73</v>
      </c>
      <c r="I703" s="3" t="s">
        <v>64</v>
      </c>
      <c r="J703" s="3" t="s">
        <v>64</v>
      </c>
      <c r="K703" s="3" t="s">
        <v>65</v>
      </c>
      <c r="M703" s="2" t="s">
        <v>7328</v>
      </c>
      <c r="N703" s="3" t="s">
        <v>872</v>
      </c>
      <c r="P703" s="3" t="s">
        <v>69</v>
      </c>
      <c r="R703" s="3" t="s">
        <v>70</v>
      </c>
      <c r="S703" s="4">
        <v>57</v>
      </c>
      <c r="T703" s="4">
        <v>92</v>
      </c>
      <c r="U703" s="5" t="s">
        <v>7330</v>
      </c>
      <c r="V703" s="5" t="s">
        <v>7330</v>
      </c>
      <c r="W703" s="5" t="s">
        <v>72</v>
      </c>
      <c r="X703" s="5" t="s">
        <v>72</v>
      </c>
      <c r="Y703" s="4">
        <v>354</v>
      </c>
      <c r="Z703" s="4">
        <v>25</v>
      </c>
      <c r="AA703" s="4">
        <v>25</v>
      </c>
      <c r="AB703" s="4">
        <v>2</v>
      </c>
      <c r="AC703" s="4">
        <v>2</v>
      </c>
      <c r="AD703" s="4">
        <v>116</v>
      </c>
      <c r="AE703" s="4">
        <v>116</v>
      </c>
      <c r="AF703" s="4">
        <v>1</v>
      </c>
      <c r="AG703" s="4">
        <v>1</v>
      </c>
      <c r="AH703" s="4">
        <v>102</v>
      </c>
      <c r="AI703" s="4">
        <v>102</v>
      </c>
      <c r="AJ703" s="4">
        <v>19</v>
      </c>
      <c r="AK703" s="4">
        <v>19</v>
      </c>
      <c r="AL703" s="4">
        <v>59</v>
      </c>
      <c r="AM703" s="4">
        <v>59</v>
      </c>
      <c r="AN703" s="4">
        <v>0</v>
      </c>
      <c r="AO703" s="4">
        <v>0</v>
      </c>
      <c r="AP703" s="4">
        <v>21</v>
      </c>
      <c r="AQ703" s="4">
        <v>21</v>
      </c>
      <c r="AR703" s="3" t="s">
        <v>64</v>
      </c>
      <c r="AS703" s="3" t="s">
        <v>64</v>
      </c>
      <c r="AT703" s="3" t="s">
        <v>64</v>
      </c>
      <c r="AV703" s="6" t="str">
        <f>HYPERLINK("http://mcgill.on.worldcat.org/oclc/19129637","Catalog Record")</f>
        <v>Catalog Record</v>
      </c>
      <c r="AW703" s="6" t="str">
        <f>HYPERLINK("http://www.worldcat.org/oclc/19129637","WorldCat Record")</f>
        <v>WorldCat Record</v>
      </c>
      <c r="AX703" s="3" t="s">
        <v>7331</v>
      </c>
      <c r="AY703" s="3" t="s">
        <v>7332</v>
      </c>
      <c r="AZ703" s="3" t="s">
        <v>7333</v>
      </c>
      <c r="BA703" s="3" t="s">
        <v>7333</v>
      </c>
      <c r="BB703" s="3" t="s">
        <v>7337</v>
      </c>
      <c r="BC703" s="3" t="s">
        <v>78</v>
      </c>
      <c r="BD703" s="3" t="s">
        <v>79</v>
      </c>
      <c r="BE703" s="3" t="s">
        <v>7335</v>
      </c>
      <c r="BF703" s="3" t="s">
        <v>7337</v>
      </c>
      <c r="BG703" s="3" t="s">
        <v>7338</v>
      </c>
    </row>
    <row r="704" spans="1:59" ht="58" x14ac:dyDescent="0.35">
      <c r="A704" s="2" t="s">
        <v>59</v>
      </c>
      <c r="B704" s="2" t="s">
        <v>94</v>
      </c>
      <c r="C704" s="2" t="s">
        <v>7325</v>
      </c>
      <c r="D704" s="2" t="s">
        <v>7326</v>
      </c>
      <c r="E704" s="2" t="s">
        <v>7327</v>
      </c>
      <c r="F704" s="3" t="s">
        <v>3660</v>
      </c>
      <c r="G704" s="3" t="s">
        <v>73</v>
      </c>
      <c r="I704" s="3" t="s">
        <v>64</v>
      </c>
      <c r="J704" s="3" t="s">
        <v>64</v>
      </c>
      <c r="K704" s="3" t="s">
        <v>65</v>
      </c>
      <c r="M704" s="2" t="s">
        <v>7328</v>
      </c>
      <c r="N704" s="3" t="s">
        <v>872</v>
      </c>
      <c r="P704" s="3" t="s">
        <v>69</v>
      </c>
      <c r="R704" s="3" t="s">
        <v>70</v>
      </c>
      <c r="S704" s="4">
        <v>16</v>
      </c>
      <c r="T704" s="4">
        <v>92</v>
      </c>
      <c r="U704" s="5" t="s">
        <v>7339</v>
      </c>
      <c r="V704" s="5" t="s">
        <v>7330</v>
      </c>
      <c r="W704" s="5" t="s">
        <v>72</v>
      </c>
      <c r="X704" s="5" t="s">
        <v>72</v>
      </c>
      <c r="Y704" s="4">
        <v>354</v>
      </c>
      <c r="Z704" s="4">
        <v>25</v>
      </c>
      <c r="AA704" s="4">
        <v>25</v>
      </c>
      <c r="AB704" s="4">
        <v>2</v>
      </c>
      <c r="AC704" s="4">
        <v>2</v>
      </c>
      <c r="AD704" s="4">
        <v>116</v>
      </c>
      <c r="AE704" s="4">
        <v>116</v>
      </c>
      <c r="AF704" s="4">
        <v>1</v>
      </c>
      <c r="AG704" s="4">
        <v>1</v>
      </c>
      <c r="AH704" s="4">
        <v>102</v>
      </c>
      <c r="AI704" s="4">
        <v>102</v>
      </c>
      <c r="AJ704" s="4">
        <v>19</v>
      </c>
      <c r="AK704" s="4">
        <v>19</v>
      </c>
      <c r="AL704" s="4">
        <v>59</v>
      </c>
      <c r="AM704" s="4">
        <v>59</v>
      </c>
      <c r="AN704" s="4">
        <v>0</v>
      </c>
      <c r="AO704" s="4">
        <v>0</v>
      </c>
      <c r="AP704" s="4">
        <v>21</v>
      </c>
      <c r="AQ704" s="4">
        <v>21</v>
      </c>
      <c r="AR704" s="3" t="s">
        <v>64</v>
      </c>
      <c r="AS704" s="3" t="s">
        <v>64</v>
      </c>
      <c r="AT704" s="3" t="s">
        <v>64</v>
      </c>
      <c r="AV704" s="6" t="str">
        <f>HYPERLINK("http://mcgill.on.worldcat.org/oclc/19129637","Catalog Record")</f>
        <v>Catalog Record</v>
      </c>
      <c r="AW704" s="6" t="str">
        <f>HYPERLINK("http://www.worldcat.org/oclc/19129637","WorldCat Record")</f>
        <v>WorldCat Record</v>
      </c>
      <c r="AX704" s="3" t="s">
        <v>7331</v>
      </c>
      <c r="AY704" s="3" t="s">
        <v>7332</v>
      </c>
      <c r="AZ704" s="3" t="s">
        <v>7333</v>
      </c>
      <c r="BA704" s="3" t="s">
        <v>7333</v>
      </c>
      <c r="BB704" s="3" t="s">
        <v>7340</v>
      </c>
      <c r="BC704" s="3" t="s">
        <v>78</v>
      </c>
      <c r="BD704" s="3" t="s">
        <v>79</v>
      </c>
      <c r="BE704" s="3" t="s">
        <v>7335</v>
      </c>
      <c r="BF704" s="3" t="s">
        <v>7340</v>
      </c>
      <c r="BG704" s="3" t="s">
        <v>7341</v>
      </c>
    </row>
    <row r="705" spans="1:59" ht="58" x14ac:dyDescent="0.35">
      <c r="A705" s="2" t="s">
        <v>59</v>
      </c>
      <c r="B705" s="2" t="s">
        <v>94</v>
      </c>
      <c r="C705" s="2" t="s">
        <v>7342</v>
      </c>
      <c r="D705" s="2" t="s">
        <v>7343</v>
      </c>
      <c r="E705" s="2" t="s">
        <v>7344</v>
      </c>
      <c r="G705" s="3" t="s">
        <v>64</v>
      </c>
      <c r="I705" s="3" t="s">
        <v>64</v>
      </c>
      <c r="J705" s="3" t="s">
        <v>64</v>
      </c>
      <c r="K705" s="3" t="s">
        <v>65</v>
      </c>
      <c r="L705" s="2" t="s">
        <v>7345</v>
      </c>
      <c r="M705" s="2" t="s">
        <v>7346</v>
      </c>
      <c r="N705" s="3" t="s">
        <v>377</v>
      </c>
      <c r="P705" s="3" t="s">
        <v>69</v>
      </c>
      <c r="R705" s="3" t="s">
        <v>70</v>
      </c>
      <c r="S705" s="4">
        <v>1</v>
      </c>
      <c r="T705" s="4">
        <v>1</v>
      </c>
      <c r="U705" s="5" t="s">
        <v>7347</v>
      </c>
      <c r="V705" s="5" t="s">
        <v>7347</v>
      </c>
      <c r="W705" s="5" t="s">
        <v>72</v>
      </c>
      <c r="X705" s="5" t="s">
        <v>72</v>
      </c>
      <c r="Y705" s="4">
        <v>41</v>
      </c>
      <c r="Z705" s="4">
        <v>16</v>
      </c>
      <c r="AA705" s="4">
        <v>16</v>
      </c>
      <c r="AB705" s="4">
        <v>2</v>
      </c>
      <c r="AC705" s="4">
        <v>2</v>
      </c>
      <c r="AD705" s="4">
        <v>14</v>
      </c>
      <c r="AE705" s="4">
        <v>14</v>
      </c>
      <c r="AF705" s="4">
        <v>1</v>
      </c>
      <c r="AG705" s="4">
        <v>1</v>
      </c>
      <c r="AH705" s="4">
        <v>8</v>
      </c>
      <c r="AI705" s="4">
        <v>8</v>
      </c>
      <c r="AJ705" s="4">
        <v>11</v>
      </c>
      <c r="AK705" s="4">
        <v>11</v>
      </c>
      <c r="AL705" s="4">
        <v>3</v>
      </c>
      <c r="AM705" s="4">
        <v>3</v>
      </c>
      <c r="AN705" s="4">
        <v>0</v>
      </c>
      <c r="AO705" s="4">
        <v>0</v>
      </c>
      <c r="AP705" s="4">
        <v>10</v>
      </c>
      <c r="AQ705" s="4">
        <v>10</v>
      </c>
      <c r="AR705" s="3" t="s">
        <v>73</v>
      </c>
      <c r="AS705" s="3" t="s">
        <v>64</v>
      </c>
      <c r="AT705" s="3" t="s">
        <v>64</v>
      </c>
      <c r="AV705" s="6" t="str">
        <f>HYPERLINK("http://mcgill.on.worldcat.org/oclc/775060680","Catalog Record")</f>
        <v>Catalog Record</v>
      </c>
      <c r="AW705" s="6" t="str">
        <f>HYPERLINK("http://www.worldcat.org/oclc/775060680","WorldCat Record")</f>
        <v>WorldCat Record</v>
      </c>
      <c r="AX705" s="3" t="s">
        <v>7348</v>
      </c>
      <c r="AY705" s="3" t="s">
        <v>7349</v>
      </c>
      <c r="AZ705" s="3" t="s">
        <v>7350</v>
      </c>
      <c r="BA705" s="3" t="s">
        <v>7350</v>
      </c>
      <c r="BB705" s="3" t="s">
        <v>7351</v>
      </c>
      <c r="BC705" s="3" t="s">
        <v>78</v>
      </c>
      <c r="BD705" s="3" t="s">
        <v>79</v>
      </c>
      <c r="BE705" s="3" t="s">
        <v>7352</v>
      </c>
      <c r="BF705" s="3" t="s">
        <v>7351</v>
      </c>
      <c r="BG705" s="3" t="s">
        <v>7353</v>
      </c>
    </row>
    <row r="706" spans="1:59" ht="58" x14ac:dyDescent="0.35">
      <c r="A706" s="2" t="s">
        <v>59</v>
      </c>
      <c r="B706" s="2" t="s">
        <v>94</v>
      </c>
      <c r="C706" s="2" t="s">
        <v>7354</v>
      </c>
      <c r="D706" s="2" t="s">
        <v>7355</v>
      </c>
      <c r="E706" s="2" t="s">
        <v>7356</v>
      </c>
      <c r="G706" s="3" t="s">
        <v>64</v>
      </c>
      <c r="I706" s="3" t="s">
        <v>64</v>
      </c>
      <c r="J706" s="3" t="s">
        <v>64</v>
      </c>
      <c r="K706" s="3" t="s">
        <v>65</v>
      </c>
      <c r="M706" s="2" t="s">
        <v>7357</v>
      </c>
      <c r="N706" s="3" t="s">
        <v>1764</v>
      </c>
      <c r="P706" s="3" t="s">
        <v>69</v>
      </c>
      <c r="R706" s="3" t="s">
        <v>70</v>
      </c>
      <c r="S706" s="4">
        <v>4</v>
      </c>
      <c r="T706" s="4">
        <v>4</v>
      </c>
      <c r="U706" s="5" t="s">
        <v>7358</v>
      </c>
      <c r="V706" s="5" t="s">
        <v>7358</v>
      </c>
      <c r="W706" s="5" t="s">
        <v>72</v>
      </c>
      <c r="X706" s="5" t="s">
        <v>72</v>
      </c>
      <c r="Y706" s="4">
        <v>339</v>
      </c>
      <c r="Z706" s="4">
        <v>25</v>
      </c>
      <c r="AA706" s="4">
        <v>28</v>
      </c>
      <c r="AB706" s="4">
        <v>2</v>
      </c>
      <c r="AC706" s="4">
        <v>2</v>
      </c>
      <c r="AD706" s="4">
        <v>95</v>
      </c>
      <c r="AE706" s="4">
        <v>97</v>
      </c>
      <c r="AF706" s="4">
        <v>1</v>
      </c>
      <c r="AG706" s="4">
        <v>1</v>
      </c>
      <c r="AH706" s="4">
        <v>82</v>
      </c>
      <c r="AI706" s="4">
        <v>83</v>
      </c>
      <c r="AJ706" s="4">
        <v>16</v>
      </c>
      <c r="AK706" s="4">
        <v>18</v>
      </c>
      <c r="AL706" s="4">
        <v>46</v>
      </c>
      <c r="AM706" s="4">
        <v>47</v>
      </c>
      <c r="AN706" s="4">
        <v>0</v>
      </c>
      <c r="AO706" s="4">
        <v>0</v>
      </c>
      <c r="AP706" s="4">
        <v>20</v>
      </c>
      <c r="AQ706" s="4">
        <v>22</v>
      </c>
      <c r="AR706" s="3" t="s">
        <v>64</v>
      </c>
      <c r="AS706" s="3" t="s">
        <v>64</v>
      </c>
      <c r="AT706" s="3" t="s">
        <v>73</v>
      </c>
      <c r="AU706" s="6" t="str">
        <f>HYPERLINK("http://catalog.hathitrust.org/Record/000233550","HathiTrust Record")</f>
        <v>HathiTrust Record</v>
      </c>
      <c r="AV706" s="6" t="str">
        <f>HYPERLINK("http://mcgill.on.worldcat.org/oclc/9440871","Catalog Record")</f>
        <v>Catalog Record</v>
      </c>
      <c r="AW706" s="6" t="str">
        <f>HYPERLINK("http://www.worldcat.org/oclc/9440871","WorldCat Record")</f>
        <v>WorldCat Record</v>
      </c>
      <c r="AX706" s="3" t="s">
        <v>7359</v>
      </c>
      <c r="AY706" s="3" t="s">
        <v>7360</v>
      </c>
      <c r="AZ706" s="3" t="s">
        <v>7361</v>
      </c>
      <c r="BA706" s="3" t="s">
        <v>7361</v>
      </c>
      <c r="BB706" s="3" t="s">
        <v>7362</v>
      </c>
      <c r="BC706" s="3" t="s">
        <v>78</v>
      </c>
      <c r="BD706" s="3" t="s">
        <v>79</v>
      </c>
      <c r="BE706" s="3" t="s">
        <v>7363</v>
      </c>
      <c r="BF706" s="3" t="s">
        <v>7362</v>
      </c>
      <c r="BG706" s="3" t="s">
        <v>7364</v>
      </c>
    </row>
    <row r="707" spans="1:59" ht="58" x14ac:dyDescent="0.35">
      <c r="A707" s="2" t="s">
        <v>59</v>
      </c>
      <c r="B707" s="2" t="s">
        <v>94</v>
      </c>
      <c r="C707" s="2" t="s">
        <v>7365</v>
      </c>
      <c r="D707" s="2" t="s">
        <v>7366</v>
      </c>
      <c r="E707" s="2" t="s">
        <v>7367</v>
      </c>
      <c r="G707" s="3" t="s">
        <v>64</v>
      </c>
      <c r="I707" s="3" t="s">
        <v>64</v>
      </c>
      <c r="J707" s="3" t="s">
        <v>64</v>
      </c>
      <c r="K707" s="3" t="s">
        <v>65</v>
      </c>
      <c r="L707" s="2" t="s">
        <v>7368</v>
      </c>
      <c r="M707" s="2" t="s">
        <v>7369</v>
      </c>
      <c r="N707" s="3" t="s">
        <v>538</v>
      </c>
      <c r="P707" s="3" t="s">
        <v>69</v>
      </c>
      <c r="R707" s="3" t="s">
        <v>70</v>
      </c>
      <c r="S707" s="4">
        <v>8</v>
      </c>
      <c r="T707" s="4">
        <v>8</v>
      </c>
      <c r="U707" s="5" t="s">
        <v>7370</v>
      </c>
      <c r="V707" s="5" t="s">
        <v>7370</v>
      </c>
      <c r="W707" s="5" t="s">
        <v>72</v>
      </c>
      <c r="X707" s="5" t="s">
        <v>72</v>
      </c>
      <c r="Y707" s="4">
        <v>249</v>
      </c>
      <c r="Z707" s="4">
        <v>20</v>
      </c>
      <c r="AA707" s="4">
        <v>104</v>
      </c>
      <c r="AB707" s="4">
        <v>1</v>
      </c>
      <c r="AC707" s="4">
        <v>18</v>
      </c>
      <c r="AD707" s="4">
        <v>86</v>
      </c>
      <c r="AE707" s="4">
        <v>136</v>
      </c>
      <c r="AF707" s="4">
        <v>0</v>
      </c>
      <c r="AG707" s="4">
        <v>8</v>
      </c>
      <c r="AH707" s="4">
        <v>76</v>
      </c>
      <c r="AI707" s="4">
        <v>96</v>
      </c>
      <c r="AJ707" s="4">
        <v>12</v>
      </c>
      <c r="AK707" s="4">
        <v>23</v>
      </c>
      <c r="AL707" s="4">
        <v>48</v>
      </c>
      <c r="AM707" s="4">
        <v>53</v>
      </c>
      <c r="AN707" s="4">
        <v>0</v>
      </c>
      <c r="AO707" s="4">
        <v>0</v>
      </c>
      <c r="AP707" s="4">
        <v>14</v>
      </c>
      <c r="AQ707" s="4">
        <v>47</v>
      </c>
      <c r="AR707" s="3" t="s">
        <v>64</v>
      </c>
      <c r="AS707" s="3" t="s">
        <v>64</v>
      </c>
      <c r="AT707" s="3" t="s">
        <v>64</v>
      </c>
      <c r="AV707" s="6" t="str">
        <f>HYPERLINK("http://mcgill.on.worldcat.org/oclc/71808234","Catalog Record")</f>
        <v>Catalog Record</v>
      </c>
      <c r="AW707" s="6" t="str">
        <f>HYPERLINK("http://www.worldcat.org/oclc/71808234","WorldCat Record")</f>
        <v>WorldCat Record</v>
      </c>
      <c r="AX707" s="3" t="s">
        <v>7371</v>
      </c>
      <c r="AY707" s="3" t="s">
        <v>7372</v>
      </c>
      <c r="AZ707" s="3" t="s">
        <v>7373</v>
      </c>
      <c r="BA707" s="3" t="s">
        <v>7373</v>
      </c>
      <c r="BB707" s="3" t="s">
        <v>7374</v>
      </c>
      <c r="BC707" s="3" t="s">
        <v>78</v>
      </c>
      <c r="BD707" s="3" t="s">
        <v>79</v>
      </c>
      <c r="BE707" s="3" t="s">
        <v>7375</v>
      </c>
      <c r="BF707" s="3" t="s">
        <v>7374</v>
      </c>
      <c r="BG707" s="3" t="s">
        <v>7376</v>
      </c>
    </row>
    <row r="708" spans="1:59" ht="58" x14ac:dyDescent="0.35">
      <c r="A708" s="2" t="s">
        <v>59</v>
      </c>
      <c r="B708" s="2" t="s">
        <v>94</v>
      </c>
      <c r="C708" s="2" t="s">
        <v>7377</v>
      </c>
      <c r="D708" s="2" t="s">
        <v>7378</v>
      </c>
      <c r="E708" s="2" t="s">
        <v>7379</v>
      </c>
      <c r="G708" s="3" t="s">
        <v>64</v>
      </c>
      <c r="I708" s="3" t="s">
        <v>73</v>
      </c>
      <c r="J708" s="3" t="s">
        <v>64</v>
      </c>
      <c r="K708" s="3" t="s">
        <v>65</v>
      </c>
      <c r="L708" s="2" t="s">
        <v>5967</v>
      </c>
      <c r="M708" s="2" t="s">
        <v>7380</v>
      </c>
      <c r="N708" s="3" t="s">
        <v>872</v>
      </c>
      <c r="P708" s="3" t="s">
        <v>69</v>
      </c>
      <c r="Q708" s="2" t="s">
        <v>450</v>
      </c>
      <c r="R708" s="3" t="s">
        <v>70</v>
      </c>
      <c r="S708" s="4">
        <v>41</v>
      </c>
      <c r="T708" s="4">
        <v>93</v>
      </c>
      <c r="U708" s="5" t="s">
        <v>7381</v>
      </c>
      <c r="V708" s="5" t="s">
        <v>7381</v>
      </c>
      <c r="W708" s="5" t="s">
        <v>72</v>
      </c>
      <c r="X708" s="5" t="s">
        <v>72</v>
      </c>
      <c r="Y708" s="4">
        <v>545</v>
      </c>
      <c r="Z708" s="4">
        <v>27</v>
      </c>
      <c r="AA708" s="4">
        <v>28</v>
      </c>
      <c r="AB708" s="4">
        <v>2</v>
      </c>
      <c r="AC708" s="4">
        <v>3</v>
      </c>
      <c r="AD708" s="4">
        <v>115</v>
      </c>
      <c r="AE708" s="4">
        <v>119</v>
      </c>
      <c r="AF708" s="4">
        <v>1</v>
      </c>
      <c r="AG708" s="4">
        <v>2</v>
      </c>
      <c r="AH708" s="4">
        <v>102</v>
      </c>
      <c r="AI708" s="4">
        <v>105</v>
      </c>
      <c r="AJ708" s="4">
        <v>15</v>
      </c>
      <c r="AK708" s="4">
        <v>16</v>
      </c>
      <c r="AL708" s="4">
        <v>58</v>
      </c>
      <c r="AM708" s="4">
        <v>59</v>
      </c>
      <c r="AN708" s="4">
        <v>0</v>
      </c>
      <c r="AO708" s="4">
        <v>0</v>
      </c>
      <c r="AP708" s="4">
        <v>19</v>
      </c>
      <c r="AQ708" s="4">
        <v>19</v>
      </c>
      <c r="AR708" s="3" t="s">
        <v>64</v>
      </c>
      <c r="AS708" s="3" t="s">
        <v>64</v>
      </c>
      <c r="AT708" s="3" t="s">
        <v>73</v>
      </c>
      <c r="AU708" s="6" t="str">
        <f>HYPERLINK("http://catalog.hathitrust.org/Record/001540535","HathiTrust Record")</f>
        <v>HathiTrust Record</v>
      </c>
      <c r="AV708" s="6" t="str">
        <f>HYPERLINK("http://mcgill.on.worldcat.org/oclc/19353888","Catalog Record")</f>
        <v>Catalog Record</v>
      </c>
      <c r="AW708" s="6" t="str">
        <f>HYPERLINK("http://www.worldcat.org/oclc/19353888","WorldCat Record")</f>
        <v>WorldCat Record</v>
      </c>
      <c r="AX708" s="3" t="s">
        <v>7382</v>
      </c>
      <c r="AY708" s="3" t="s">
        <v>7383</v>
      </c>
      <c r="AZ708" s="3" t="s">
        <v>7384</v>
      </c>
      <c r="BA708" s="3" t="s">
        <v>7384</v>
      </c>
      <c r="BB708" s="3" t="s">
        <v>7385</v>
      </c>
      <c r="BC708" s="3" t="s">
        <v>78</v>
      </c>
      <c r="BD708" s="3" t="s">
        <v>79</v>
      </c>
      <c r="BE708" s="3" t="s">
        <v>7386</v>
      </c>
      <c r="BF708" s="3" t="s">
        <v>7385</v>
      </c>
      <c r="BG708" s="3" t="s">
        <v>7387</v>
      </c>
    </row>
    <row r="709" spans="1:59" ht="58" x14ac:dyDescent="0.35">
      <c r="A709" s="2" t="s">
        <v>59</v>
      </c>
      <c r="B709" s="2" t="s">
        <v>94</v>
      </c>
      <c r="C709" s="2" t="s">
        <v>7377</v>
      </c>
      <c r="D709" s="2" t="s">
        <v>7378</v>
      </c>
      <c r="E709" s="2" t="s">
        <v>7379</v>
      </c>
      <c r="G709" s="3" t="s">
        <v>64</v>
      </c>
      <c r="I709" s="3" t="s">
        <v>73</v>
      </c>
      <c r="J709" s="3" t="s">
        <v>64</v>
      </c>
      <c r="K709" s="3" t="s">
        <v>65</v>
      </c>
      <c r="L709" s="2" t="s">
        <v>5967</v>
      </c>
      <c r="M709" s="2" t="s">
        <v>7380</v>
      </c>
      <c r="N709" s="3" t="s">
        <v>872</v>
      </c>
      <c r="P709" s="3" t="s">
        <v>69</v>
      </c>
      <c r="Q709" s="2" t="s">
        <v>450</v>
      </c>
      <c r="R709" s="3" t="s">
        <v>70</v>
      </c>
      <c r="S709" s="4">
        <v>52</v>
      </c>
      <c r="T709" s="4">
        <v>93</v>
      </c>
      <c r="U709" s="5" t="s">
        <v>7388</v>
      </c>
      <c r="V709" s="5" t="s">
        <v>7381</v>
      </c>
      <c r="W709" s="5" t="s">
        <v>72</v>
      </c>
      <c r="X709" s="5" t="s">
        <v>72</v>
      </c>
      <c r="Y709" s="4">
        <v>545</v>
      </c>
      <c r="Z709" s="4">
        <v>27</v>
      </c>
      <c r="AA709" s="4">
        <v>28</v>
      </c>
      <c r="AB709" s="4">
        <v>2</v>
      </c>
      <c r="AC709" s="4">
        <v>3</v>
      </c>
      <c r="AD709" s="4">
        <v>115</v>
      </c>
      <c r="AE709" s="4">
        <v>119</v>
      </c>
      <c r="AF709" s="4">
        <v>1</v>
      </c>
      <c r="AG709" s="4">
        <v>2</v>
      </c>
      <c r="AH709" s="4">
        <v>102</v>
      </c>
      <c r="AI709" s="4">
        <v>105</v>
      </c>
      <c r="AJ709" s="4">
        <v>15</v>
      </c>
      <c r="AK709" s="4">
        <v>16</v>
      </c>
      <c r="AL709" s="4">
        <v>58</v>
      </c>
      <c r="AM709" s="4">
        <v>59</v>
      </c>
      <c r="AN709" s="4">
        <v>0</v>
      </c>
      <c r="AO709" s="4">
        <v>0</v>
      </c>
      <c r="AP709" s="4">
        <v>19</v>
      </c>
      <c r="AQ709" s="4">
        <v>19</v>
      </c>
      <c r="AR709" s="3" t="s">
        <v>64</v>
      </c>
      <c r="AS709" s="3" t="s">
        <v>64</v>
      </c>
      <c r="AT709" s="3" t="s">
        <v>73</v>
      </c>
      <c r="AU709" s="6" t="str">
        <f>HYPERLINK("http://catalog.hathitrust.org/Record/001540535","HathiTrust Record")</f>
        <v>HathiTrust Record</v>
      </c>
      <c r="AV709" s="6" t="str">
        <f>HYPERLINK("http://mcgill.on.worldcat.org/oclc/19353888","Catalog Record")</f>
        <v>Catalog Record</v>
      </c>
      <c r="AW709" s="6" t="str">
        <f>HYPERLINK("http://www.worldcat.org/oclc/19353888","WorldCat Record")</f>
        <v>WorldCat Record</v>
      </c>
      <c r="AX709" s="3" t="s">
        <v>7382</v>
      </c>
      <c r="AY709" s="3" t="s">
        <v>7383</v>
      </c>
      <c r="AZ709" s="3" t="s">
        <v>7384</v>
      </c>
      <c r="BA709" s="3" t="s">
        <v>7384</v>
      </c>
      <c r="BB709" s="3" t="s">
        <v>7389</v>
      </c>
      <c r="BC709" s="3" t="s">
        <v>78</v>
      </c>
      <c r="BD709" s="3" t="s">
        <v>79</v>
      </c>
      <c r="BE709" s="3" t="s">
        <v>7386</v>
      </c>
      <c r="BF709" s="3" t="s">
        <v>7389</v>
      </c>
      <c r="BG709" s="3" t="s">
        <v>7390</v>
      </c>
    </row>
    <row r="710" spans="1:59" ht="58" x14ac:dyDescent="0.35">
      <c r="A710" s="2" t="s">
        <v>59</v>
      </c>
      <c r="B710" s="2" t="s">
        <v>94</v>
      </c>
      <c r="C710" s="2" t="s">
        <v>7391</v>
      </c>
      <c r="D710" s="2" t="s">
        <v>7392</v>
      </c>
      <c r="E710" s="2" t="s">
        <v>7393</v>
      </c>
      <c r="G710" s="3" t="s">
        <v>64</v>
      </c>
      <c r="I710" s="3" t="s">
        <v>64</v>
      </c>
      <c r="J710" s="3" t="s">
        <v>64</v>
      </c>
      <c r="K710" s="3" t="s">
        <v>65</v>
      </c>
      <c r="L710" s="2" t="s">
        <v>6982</v>
      </c>
      <c r="M710" s="2" t="s">
        <v>7394</v>
      </c>
      <c r="N710" s="3" t="s">
        <v>733</v>
      </c>
      <c r="P710" s="3" t="s">
        <v>69</v>
      </c>
      <c r="R710" s="3" t="s">
        <v>70</v>
      </c>
      <c r="S710" s="4">
        <v>33</v>
      </c>
      <c r="T710" s="4">
        <v>33</v>
      </c>
      <c r="U710" s="5" t="s">
        <v>7370</v>
      </c>
      <c r="V710" s="5" t="s">
        <v>7370</v>
      </c>
      <c r="W710" s="5" t="s">
        <v>72</v>
      </c>
      <c r="X710" s="5" t="s">
        <v>72</v>
      </c>
      <c r="Y710" s="4">
        <v>877</v>
      </c>
      <c r="Z710" s="4">
        <v>27</v>
      </c>
      <c r="AA710" s="4">
        <v>39</v>
      </c>
      <c r="AB710" s="4">
        <v>3</v>
      </c>
      <c r="AC710" s="4">
        <v>8</v>
      </c>
      <c r="AD710" s="4">
        <v>112</v>
      </c>
      <c r="AE710" s="4">
        <v>128</v>
      </c>
      <c r="AF710" s="4">
        <v>1</v>
      </c>
      <c r="AG710" s="4">
        <v>3</v>
      </c>
      <c r="AH710" s="4">
        <v>99</v>
      </c>
      <c r="AI710" s="4">
        <v>109</v>
      </c>
      <c r="AJ710" s="4">
        <v>14</v>
      </c>
      <c r="AK710" s="4">
        <v>18</v>
      </c>
      <c r="AL710" s="4">
        <v>55</v>
      </c>
      <c r="AM710" s="4">
        <v>59</v>
      </c>
      <c r="AN710" s="4">
        <v>0</v>
      </c>
      <c r="AO710" s="4">
        <v>0</v>
      </c>
      <c r="AP710" s="4">
        <v>19</v>
      </c>
      <c r="AQ710" s="4">
        <v>25</v>
      </c>
      <c r="AR710" s="3" t="s">
        <v>64</v>
      </c>
      <c r="AS710" s="3" t="s">
        <v>64</v>
      </c>
      <c r="AT710" s="3" t="s">
        <v>73</v>
      </c>
      <c r="AU710" s="6" t="str">
        <f>HYPERLINK("http://catalog.hathitrust.org/Record/000235814","HathiTrust Record")</f>
        <v>HathiTrust Record</v>
      </c>
      <c r="AV710" s="6" t="str">
        <f>HYPERLINK("http://mcgill.on.worldcat.org/oclc/9195787","Catalog Record")</f>
        <v>Catalog Record</v>
      </c>
      <c r="AW710" s="6" t="str">
        <f>HYPERLINK("http://www.worldcat.org/oclc/9195787","WorldCat Record")</f>
        <v>WorldCat Record</v>
      </c>
      <c r="AX710" s="3" t="s">
        <v>7395</v>
      </c>
      <c r="AY710" s="3" t="s">
        <v>7396</v>
      </c>
      <c r="AZ710" s="3" t="s">
        <v>7397</v>
      </c>
      <c r="BA710" s="3" t="s">
        <v>7397</v>
      </c>
      <c r="BB710" s="3" t="s">
        <v>7398</v>
      </c>
      <c r="BC710" s="3" t="s">
        <v>78</v>
      </c>
      <c r="BD710" s="3" t="s">
        <v>79</v>
      </c>
      <c r="BE710" s="3" t="s">
        <v>7399</v>
      </c>
      <c r="BF710" s="3" t="s">
        <v>7398</v>
      </c>
      <c r="BG710" s="3" t="s">
        <v>7400</v>
      </c>
    </row>
    <row r="711" spans="1:59" ht="58" x14ac:dyDescent="0.35">
      <c r="A711" s="2" t="s">
        <v>59</v>
      </c>
      <c r="B711" s="2" t="s">
        <v>94</v>
      </c>
      <c r="C711" s="2" t="s">
        <v>7401</v>
      </c>
      <c r="D711" s="2" t="s">
        <v>7402</v>
      </c>
      <c r="E711" s="2" t="s">
        <v>7403</v>
      </c>
      <c r="G711" s="3" t="s">
        <v>64</v>
      </c>
      <c r="I711" s="3" t="s">
        <v>64</v>
      </c>
      <c r="J711" s="3" t="s">
        <v>64</v>
      </c>
      <c r="K711" s="3" t="s">
        <v>65</v>
      </c>
      <c r="L711" s="2" t="s">
        <v>7404</v>
      </c>
      <c r="M711" s="2" t="s">
        <v>7405</v>
      </c>
      <c r="N711" s="3" t="s">
        <v>274</v>
      </c>
      <c r="P711" s="3" t="s">
        <v>69</v>
      </c>
      <c r="Q711" s="2" t="s">
        <v>7406</v>
      </c>
      <c r="R711" s="3" t="s">
        <v>70</v>
      </c>
      <c r="S711" s="4">
        <v>32</v>
      </c>
      <c r="T711" s="4">
        <v>32</v>
      </c>
      <c r="U711" s="5" t="s">
        <v>7407</v>
      </c>
      <c r="V711" s="5" t="s">
        <v>7407</v>
      </c>
      <c r="W711" s="5" t="s">
        <v>72</v>
      </c>
      <c r="X711" s="5" t="s">
        <v>72</v>
      </c>
      <c r="Y711" s="4">
        <v>570</v>
      </c>
      <c r="Z711" s="4">
        <v>29</v>
      </c>
      <c r="AA711" s="4">
        <v>30</v>
      </c>
      <c r="AB711" s="4">
        <v>2</v>
      </c>
      <c r="AC711" s="4">
        <v>3</v>
      </c>
      <c r="AD711" s="4">
        <v>116</v>
      </c>
      <c r="AE711" s="4">
        <v>118</v>
      </c>
      <c r="AF711" s="4">
        <v>0</v>
      </c>
      <c r="AG711" s="4">
        <v>1</v>
      </c>
      <c r="AH711" s="4">
        <v>102</v>
      </c>
      <c r="AI711" s="4">
        <v>103</v>
      </c>
      <c r="AJ711" s="4">
        <v>17</v>
      </c>
      <c r="AK711" s="4">
        <v>18</v>
      </c>
      <c r="AL711" s="4">
        <v>57</v>
      </c>
      <c r="AM711" s="4">
        <v>57</v>
      </c>
      <c r="AN711" s="4">
        <v>0</v>
      </c>
      <c r="AO711" s="4">
        <v>0</v>
      </c>
      <c r="AP711" s="4">
        <v>21</v>
      </c>
      <c r="AQ711" s="4">
        <v>21</v>
      </c>
      <c r="AR711" s="3" t="s">
        <v>64</v>
      </c>
      <c r="AS711" s="3" t="s">
        <v>64</v>
      </c>
      <c r="AT711" s="3" t="s">
        <v>64</v>
      </c>
      <c r="AV711" s="6" t="str">
        <f>HYPERLINK("http://mcgill.on.worldcat.org/oclc/16950375","Catalog Record")</f>
        <v>Catalog Record</v>
      </c>
      <c r="AW711" s="6" t="str">
        <f>HYPERLINK("http://www.worldcat.org/oclc/16950375","WorldCat Record")</f>
        <v>WorldCat Record</v>
      </c>
      <c r="AX711" s="3" t="s">
        <v>7408</v>
      </c>
      <c r="AY711" s="3" t="s">
        <v>7409</v>
      </c>
      <c r="AZ711" s="3" t="s">
        <v>7410</v>
      </c>
      <c r="BA711" s="3" t="s">
        <v>7410</v>
      </c>
      <c r="BB711" s="3" t="s">
        <v>7411</v>
      </c>
      <c r="BC711" s="3" t="s">
        <v>78</v>
      </c>
      <c r="BD711" s="3" t="s">
        <v>79</v>
      </c>
      <c r="BE711" s="3" t="s">
        <v>7412</v>
      </c>
      <c r="BF711" s="3" t="s">
        <v>7411</v>
      </c>
      <c r="BG711" s="3" t="s">
        <v>7413</v>
      </c>
    </row>
    <row r="712" spans="1:59" ht="58" x14ac:dyDescent="0.35">
      <c r="A712" s="2" t="s">
        <v>59</v>
      </c>
      <c r="B712" s="2" t="s">
        <v>94</v>
      </c>
      <c r="C712" s="2" t="s">
        <v>7414</v>
      </c>
      <c r="D712" s="2" t="s">
        <v>7415</v>
      </c>
      <c r="E712" s="2" t="s">
        <v>7416</v>
      </c>
      <c r="G712" s="3" t="s">
        <v>64</v>
      </c>
      <c r="I712" s="3" t="s">
        <v>64</v>
      </c>
      <c r="J712" s="3" t="s">
        <v>64</v>
      </c>
      <c r="K712" s="3" t="s">
        <v>65</v>
      </c>
      <c r="L712" s="2" t="s">
        <v>7417</v>
      </c>
      <c r="M712" s="2" t="s">
        <v>7418</v>
      </c>
      <c r="N712" s="3" t="s">
        <v>473</v>
      </c>
      <c r="P712" s="3" t="s">
        <v>69</v>
      </c>
      <c r="R712" s="3" t="s">
        <v>70</v>
      </c>
      <c r="S712" s="4">
        <v>15</v>
      </c>
      <c r="T712" s="4">
        <v>15</v>
      </c>
      <c r="U712" s="5" t="s">
        <v>7419</v>
      </c>
      <c r="V712" s="5" t="s">
        <v>7419</v>
      </c>
      <c r="W712" s="5" t="s">
        <v>72</v>
      </c>
      <c r="X712" s="5" t="s">
        <v>72</v>
      </c>
      <c r="Y712" s="4">
        <v>819</v>
      </c>
      <c r="Z712" s="4">
        <v>42</v>
      </c>
      <c r="AA712" s="4">
        <v>43</v>
      </c>
      <c r="AB712" s="4">
        <v>3</v>
      </c>
      <c r="AC712" s="4">
        <v>4</v>
      </c>
      <c r="AD712" s="4">
        <v>123</v>
      </c>
      <c r="AE712" s="4">
        <v>124</v>
      </c>
      <c r="AF712" s="4">
        <v>1</v>
      </c>
      <c r="AG712" s="4">
        <v>2</v>
      </c>
      <c r="AH712" s="4">
        <v>103</v>
      </c>
      <c r="AI712" s="4">
        <v>103</v>
      </c>
      <c r="AJ712" s="4">
        <v>18</v>
      </c>
      <c r="AK712" s="4">
        <v>19</v>
      </c>
      <c r="AL712" s="4">
        <v>55</v>
      </c>
      <c r="AM712" s="4">
        <v>55</v>
      </c>
      <c r="AN712" s="4">
        <v>0</v>
      </c>
      <c r="AO712" s="4">
        <v>0</v>
      </c>
      <c r="AP712" s="4">
        <v>29</v>
      </c>
      <c r="AQ712" s="4">
        <v>29</v>
      </c>
      <c r="AR712" s="3" t="s">
        <v>64</v>
      </c>
      <c r="AS712" s="3" t="s">
        <v>64</v>
      </c>
      <c r="AT712" s="3" t="s">
        <v>73</v>
      </c>
      <c r="AU712" s="6" t="str">
        <f>HYPERLINK("http://catalog.hathitrust.org/Record/001948883","HathiTrust Record")</f>
        <v>HathiTrust Record</v>
      </c>
      <c r="AV712" s="6" t="str">
        <f>HYPERLINK("http://mcgill.on.worldcat.org/oclc/20631490","Catalog Record")</f>
        <v>Catalog Record</v>
      </c>
      <c r="AW712" s="6" t="str">
        <f>HYPERLINK("http://www.worldcat.org/oclc/20631490","WorldCat Record")</f>
        <v>WorldCat Record</v>
      </c>
      <c r="AX712" s="3" t="s">
        <v>7420</v>
      </c>
      <c r="AY712" s="3" t="s">
        <v>7421</v>
      </c>
      <c r="AZ712" s="3" t="s">
        <v>7422</v>
      </c>
      <c r="BA712" s="3" t="s">
        <v>7422</v>
      </c>
      <c r="BB712" s="3" t="s">
        <v>7423</v>
      </c>
      <c r="BC712" s="3" t="s">
        <v>78</v>
      </c>
      <c r="BD712" s="3" t="s">
        <v>79</v>
      </c>
      <c r="BE712" s="3" t="s">
        <v>7424</v>
      </c>
      <c r="BF712" s="3" t="s">
        <v>7423</v>
      </c>
      <c r="BG712" s="3" t="s">
        <v>7425</v>
      </c>
    </row>
    <row r="713" spans="1:59" ht="58" x14ac:dyDescent="0.35">
      <c r="A713" s="2" t="s">
        <v>59</v>
      </c>
      <c r="B713" s="2" t="s">
        <v>94</v>
      </c>
      <c r="C713" s="2" t="s">
        <v>7426</v>
      </c>
      <c r="D713" s="2" t="s">
        <v>7427</v>
      </c>
      <c r="E713" s="2" t="s">
        <v>7428</v>
      </c>
      <c r="G713" s="3" t="s">
        <v>64</v>
      </c>
      <c r="I713" s="3" t="s">
        <v>64</v>
      </c>
      <c r="J713" s="3" t="s">
        <v>64</v>
      </c>
      <c r="K713" s="3" t="s">
        <v>65</v>
      </c>
      <c r="M713" s="2" t="s">
        <v>7429</v>
      </c>
      <c r="N713" s="3" t="s">
        <v>315</v>
      </c>
      <c r="P713" s="3" t="s">
        <v>69</v>
      </c>
      <c r="R713" s="3" t="s">
        <v>70</v>
      </c>
      <c r="S713" s="4">
        <v>7</v>
      </c>
      <c r="T713" s="4">
        <v>7</v>
      </c>
      <c r="U713" s="5" t="s">
        <v>7430</v>
      </c>
      <c r="V713" s="5" t="s">
        <v>7430</v>
      </c>
      <c r="W713" s="5" t="s">
        <v>72</v>
      </c>
      <c r="X713" s="5" t="s">
        <v>72</v>
      </c>
      <c r="Y713" s="4">
        <v>261</v>
      </c>
      <c r="Z713" s="4">
        <v>15</v>
      </c>
      <c r="AA713" s="4">
        <v>15</v>
      </c>
      <c r="AB713" s="4">
        <v>3</v>
      </c>
      <c r="AC713" s="4">
        <v>3</v>
      </c>
      <c r="AD713" s="4">
        <v>87</v>
      </c>
      <c r="AE713" s="4">
        <v>87</v>
      </c>
      <c r="AF713" s="4">
        <v>1</v>
      </c>
      <c r="AG713" s="4">
        <v>1</v>
      </c>
      <c r="AH713" s="4">
        <v>80</v>
      </c>
      <c r="AI713" s="4">
        <v>80</v>
      </c>
      <c r="AJ713" s="4">
        <v>8</v>
      </c>
      <c r="AK713" s="4">
        <v>8</v>
      </c>
      <c r="AL713" s="4">
        <v>49</v>
      </c>
      <c r="AM713" s="4">
        <v>49</v>
      </c>
      <c r="AN713" s="4">
        <v>0</v>
      </c>
      <c r="AO713" s="4">
        <v>0</v>
      </c>
      <c r="AP713" s="4">
        <v>10</v>
      </c>
      <c r="AQ713" s="4">
        <v>10</v>
      </c>
      <c r="AR713" s="3" t="s">
        <v>64</v>
      </c>
      <c r="AS713" s="3" t="s">
        <v>64</v>
      </c>
      <c r="AT713" s="3" t="s">
        <v>64</v>
      </c>
      <c r="AV713" s="6" t="str">
        <f>HYPERLINK("http://mcgill.on.worldcat.org/oclc/14212454","Catalog Record")</f>
        <v>Catalog Record</v>
      </c>
      <c r="AW713" s="6" t="str">
        <f>HYPERLINK("http://www.worldcat.org/oclc/14212454","WorldCat Record")</f>
        <v>WorldCat Record</v>
      </c>
      <c r="AX713" s="3" t="s">
        <v>7431</v>
      </c>
      <c r="AY713" s="3" t="s">
        <v>7432</v>
      </c>
      <c r="AZ713" s="3" t="s">
        <v>7433</v>
      </c>
      <c r="BA713" s="3" t="s">
        <v>7433</v>
      </c>
      <c r="BB713" s="3" t="s">
        <v>7434</v>
      </c>
      <c r="BC713" s="3" t="s">
        <v>78</v>
      </c>
      <c r="BD713" s="3" t="s">
        <v>79</v>
      </c>
      <c r="BE713" s="3" t="s">
        <v>7435</v>
      </c>
      <c r="BF713" s="3" t="s">
        <v>7434</v>
      </c>
      <c r="BG713" s="3" t="s">
        <v>7436</v>
      </c>
    </row>
    <row r="714" spans="1:59" ht="58" x14ac:dyDescent="0.35">
      <c r="A714" s="2" t="s">
        <v>59</v>
      </c>
      <c r="B714" s="2" t="s">
        <v>94</v>
      </c>
      <c r="C714" s="2" t="s">
        <v>7437</v>
      </c>
      <c r="D714" s="2" t="s">
        <v>7438</v>
      </c>
      <c r="E714" s="2" t="s">
        <v>7439</v>
      </c>
      <c r="G714" s="3" t="s">
        <v>64</v>
      </c>
      <c r="I714" s="3" t="s">
        <v>64</v>
      </c>
      <c r="J714" s="3" t="s">
        <v>64</v>
      </c>
      <c r="K714" s="3" t="s">
        <v>65</v>
      </c>
      <c r="M714" s="2" t="s">
        <v>7440</v>
      </c>
      <c r="N714" s="3" t="s">
        <v>315</v>
      </c>
      <c r="P714" s="3" t="s">
        <v>69</v>
      </c>
      <c r="R714" s="3" t="s">
        <v>70</v>
      </c>
      <c r="S714" s="4">
        <v>6</v>
      </c>
      <c r="T714" s="4">
        <v>6</v>
      </c>
      <c r="U714" s="5" t="s">
        <v>7441</v>
      </c>
      <c r="V714" s="5" t="s">
        <v>7441</v>
      </c>
      <c r="W714" s="5" t="s">
        <v>72</v>
      </c>
      <c r="X714" s="5" t="s">
        <v>72</v>
      </c>
      <c r="Y714" s="4">
        <v>621</v>
      </c>
      <c r="Z714" s="4">
        <v>23</v>
      </c>
      <c r="AA714" s="4">
        <v>25</v>
      </c>
      <c r="AB714" s="4">
        <v>3</v>
      </c>
      <c r="AC714" s="4">
        <v>5</v>
      </c>
      <c r="AD714" s="4">
        <v>117</v>
      </c>
      <c r="AE714" s="4">
        <v>119</v>
      </c>
      <c r="AF714" s="4">
        <v>1</v>
      </c>
      <c r="AG714" s="4">
        <v>3</v>
      </c>
      <c r="AH714" s="4">
        <v>106</v>
      </c>
      <c r="AI714" s="4">
        <v>107</v>
      </c>
      <c r="AJ714" s="4">
        <v>14</v>
      </c>
      <c r="AK714" s="4">
        <v>16</v>
      </c>
      <c r="AL714" s="4">
        <v>57</v>
      </c>
      <c r="AM714" s="4">
        <v>57</v>
      </c>
      <c r="AN714" s="4">
        <v>0</v>
      </c>
      <c r="AO714" s="4">
        <v>0</v>
      </c>
      <c r="AP714" s="4">
        <v>17</v>
      </c>
      <c r="AQ714" s="4">
        <v>18</v>
      </c>
      <c r="AR714" s="3" t="s">
        <v>64</v>
      </c>
      <c r="AS714" s="3" t="s">
        <v>64</v>
      </c>
      <c r="AT714" s="3" t="s">
        <v>73</v>
      </c>
      <c r="AU714" s="6" t="str">
        <f>HYPERLINK("http://catalog.hathitrust.org/Record/000805008","HathiTrust Record")</f>
        <v>HathiTrust Record</v>
      </c>
      <c r="AV714" s="6" t="str">
        <f>HYPERLINK("http://mcgill.on.worldcat.org/oclc/15014821","Catalog Record")</f>
        <v>Catalog Record</v>
      </c>
      <c r="AW714" s="6" t="str">
        <f>HYPERLINK("http://www.worldcat.org/oclc/15014821","WorldCat Record")</f>
        <v>WorldCat Record</v>
      </c>
      <c r="AX714" s="3" t="s">
        <v>7442</v>
      </c>
      <c r="AY714" s="3" t="s">
        <v>7443</v>
      </c>
      <c r="AZ714" s="3" t="s">
        <v>7444</v>
      </c>
      <c r="BA714" s="3" t="s">
        <v>7444</v>
      </c>
      <c r="BB714" s="3" t="s">
        <v>7445</v>
      </c>
      <c r="BC714" s="3" t="s">
        <v>78</v>
      </c>
      <c r="BD714" s="3" t="s">
        <v>79</v>
      </c>
      <c r="BE714" s="3" t="s">
        <v>7446</v>
      </c>
      <c r="BF714" s="3" t="s">
        <v>7445</v>
      </c>
      <c r="BG714" s="3" t="s">
        <v>7447</v>
      </c>
    </row>
    <row r="715" spans="1:59" ht="58" x14ac:dyDescent="0.35">
      <c r="A715" s="2" t="s">
        <v>59</v>
      </c>
      <c r="B715" s="2" t="s">
        <v>94</v>
      </c>
      <c r="C715" s="2" t="s">
        <v>7448</v>
      </c>
      <c r="D715" s="2" t="s">
        <v>7449</v>
      </c>
      <c r="E715" s="2" t="s">
        <v>7450</v>
      </c>
      <c r="G715" s="3" t="s">
        <v>64</v>
      </c>
      <c r="I715" s="3" t="s">
        <v>64</v>
      </c>
      <c r="J715" s="3" t="s">
        <v>64</v>
      </c>
      <c r="K715" s="3" t="s">
        <v>65</v>
      </c>
      <c r="L715" s="2" t="s">
        <v>7451</v>
      </c>
      <c r="M715" s="2" t="s">
        <v>7452</v>
      </c>
      <c r="N715" s="3" t="s">
        <v>872</v>
      </c>
      <c r="O715" s="2" t="s">
        <v>1294</v>
      </c>
      <c r="P715" s="3" t="s">
        <v>69</v>
      </c>
      <c r="R715" s="3" t="s">
        <v>70</v>
      </c>
      <c r="S715" s="4">
        <v>9</v>
      </c>
      <c r="T715" s="4">
        <v>9</v>
      </c>
      <c r="U715" s="5" t="s">
        <v>7370</v>
      </c>
      <c r="V715" s="5" t="s">
        <v>7370</v>
      </c>
      <c r="W715" s="5" t="s">
        <v>72</v>
      </c>
      <c r="X715" s="5" t="s">
        <v>72</v>
      </c>
      <c r="Y715" s="4">
        <v>1100</v>
      </c>
      <c r="Z715" s="4">
        <v>21</v>
      </c>
      <c r="AA715" s="4">
        <v>34</v>
      </c>
      <c r="AB715" s="4">
        <v>1</v>
      </c>
      <c r="AC715" s="4">
        <v>3</v>
      </c>
      <c r="AD715" s="4">
        <v>104</v>
      </c>
      <c r="AE715" s="4">
        <v>120</v>
      </c>
      <c r="AF715" s="4">
        <v>0</v>
      </c>
      <c r="AG715" s="4">
        <v>2</v>
      </c>
      <c r="AH715" s="4">
        <v>92</v>
      </c>
      <c r="AI715" s="4">
        <v>102</v>
      </c>
      <c r="AJ715" s="4">
        <v>9</v>
      </c>
      <c r="AK715" s="4">
        <v>15</v>
      </c>
      <c r="AL715" s="4">
        <v>49</v>
      </c>
      <c r="AM715" s="4">
        <v>56</v>
      </c>
      <c r="AN715" s="4">
        <v>0</v>
      </c>
      <c r="AO715" s="4">
        <v>0</v>
      </c>
      <c r="AP715" s="4">
        <v>13</v>
      </c>
      <c r="AQ715" s="4">
        <v>20</v>
      </c>
      <c r="AR715" s="3" t="s">
        <v>64</v>
      </c>
      <c r="AS715" s="3" t="s">
        <v>64</v>
      </c>
      <c r="AT715" s="3" t="s">
        <v>73</v>
      </c>
      <c r="AU715" s="6" t="str">
        <f>HYPERLINK("http://catalog.hathitrust.org/Record/001082851","HathiTrust Record")</f>
        <v>HathiTrust Record</v>
      </c>
      <c r="AV715" s="6" t="str">
        <f>HYPERLINK("http://mcgill.on.worldcat.org/oclc/18833429","Catalog Record")</f>
        <v>Catalog Record</v>
      </c>
      <c r="AW715" s="6" t="str">
        <f>HYPERLINK("http://www.worldcat.org/oclc/18833429","WorldCat Record")</f>
        <v>WorldCat Record</v>
      </c>
      <c r="AX715" s="3" t="s">
        <v>7453</v>
      </c>
      <c r="AY715" s="3" t="s">
        <v>7454</v>
      </c>
      <c r="AZ715" s="3" t="s">
        <v>7455</v>
      </c>
      <c r="BA715" s="3" t="s">
        <v>7455</v>
      </c>
      <c r="BB715" s="3" t="s">
        <v>7456</v>
      </c>
      <c r="BC715" s="3" t="s">
        <v>78</v>
      </c>
      <c r="BD715" s="3" t="s">
        <v>79</v>
      </c>
      <c r="BE715" s="3" t="s">
        <v>7457</v>
      </c>
      <c r="BF715" s="3" t="s">
        <v>7456</v>
      </c>
      <c r="BG715" s="3" t="s">
        <v>7458</v>
      </c>
    </row>
    <row r="716" spans="1:59" ht="58" x14ac:dyDescent="0.35">
      <c r="A716" s="2" t="s">
        <v>59</v>
      </c>
      <c r="B716" s="2" t="s">
        <v>94</v>
      </c>
      <c r="C716" s="2" t="s">
        <v>7459</v>
      </c>
      <c r="D716" s="2" t="s">
        <v>7460</v>
      </c>
      <c r="E716" s="2" t="s">
        <v>7461</v>
      </c>
      <c r="G716" s="3" t="s">
        <v>64</v>
      </c>
      <c r="I716" s="3" t="s">
        <v>64</v>
      </c>
      <c r="J716" s="3" t="s">
        <v>64</v>
      </c>
      <c r="K716" s="3" t="s">
        <v>65</v>
      </c>
      <c r="M716" s="2" t="s">
        <v>7462</v>
      </c>
      <c r="N716" s="3" t="s">
        <v>719</v>
      </c>
      <c r="O716" s="2" t="s">
        <v>1294</v>
      </c>
      <c r="P716" s="3" t="s">
        <v>69</v>
      </c>
      <c r="R716" s="3" t="s">
        <v>70</v>
      </c>
      <c r="S716" s="4">
        <v>2</v>
      </c>
      <c r="T716" s="4">
        <v>2</v>
      </c>
      <c r="U716" s="5" t="s">
        <v>6048</v>
      </c>
      <c r="V716" s="5" t="s">
        <v>6048</v>
      </c>
      <c r="W716" s="5" t="s">
        <v>72</v>
      </c>
      <c r="X716" s="5" t="s">
        <v>72</v>
      </c>
      <c r="Y716" s="4">
        <v>557</v>
      </c>
      <c r="Z716" s="4">
        <v>13</v>
      </c>
      <c r="AA716" s="4">
        <v>15</v>
      </c>
      <c r="AB716" s="4">
        <v>1</v>
      </c>
      <c r="AC716" s="4">
        <v>1</v>
      </c>
      <c r="AD716" s="4">
        <v>90</v>
      </c>
      <c r="AE716" s="4">
        <v>91</v>
      </c>
      <c r="AF716" s="4">
        <v>0</v>
      </c>
      <c r="AG716" s="4">
        <v>0</v>
      </c>
      <c r="AH716" s="4">
        <v>85</v>
      </c>
      <c r="AI716" s="4">
        <v>85</v>
      </c>
      <c r="AJ716" s="4">
        <v>9</v>
      </c>
      <c r="AK716" s="4">
        <v>9</v>
      </c>
      <c r="AL716" s="4">
        <v>49</v>
      </c>
      <c r="AM716" s="4">
        <v>49</v>
      </c>
      <c r="AN716" s="4">
        <v>0</v>
      </c>
      <c r="AO716" s="4">
        <v>0</v>
      </c>
      <c r="AP716" s="4">
        <v>11</v>
      </c>
      <c r="AQ716" s="4">
        <v>12</v>
      </c>
      <c r="AR716" s="3" t="s">
        <v>64</v>
      </c>
      <c r="AS716" s="3" t="s">
        <v>64</v>
      </c>
      <c r="AT716" s="3" t="s">
        <v>73</v>
      </c>
      <c r="AU716" s="6" t="str">
        <f>HYPERLINK("http://catalog.hathitrust.org/Record/000450450","HathiTrust Record")</f>
        <v>HathiTrust Record</v>
      </c>
      <c r="AV716" s="6" t="str">
        <f>HYPERLINK("http://mcgill.on.worldcat.org/oclc/10779526","Catalog Record")</f>
        <v>Catalog Record</v>
      </c>
      <c r="AW716" s="6" t="str">
        <f>HYPERLINK("http://www.worldcat.org/oclc/10779526","WorldCat Record")</f>
        <v>WorldCat Record</v>
      </c>
      <c r="AX716" s="3" t="s">
        <v>7463</v>
      </c>
      <c r="AY716" s="3" t="s">
        <v>7464</v>
      </c>
      <c r="AZ716" s="3" t="s">
        <v>7465</v>
      </c>
      <c r="BA716" s="3" t="s">
        <v>7465</v>
      </c>
      <c r="BB716" s="3" t="s">
        <v>7466</v>
      </c>
      <c r="BC716" s="3" t="s">
        <v>78</v>
      </c>
      <c r="BD716" s="3" t="s">
        <v>79</v>
      </c>
      <c r="BE716" s="3" t="s">
        <v>7467</v>
      </c>
      <c r="BF716" s="3" t="s">
        <v>7466</v>
      </c>
      <c r="BG716" s="3" t="s">
        <v>7468</v>
      </c>
    </row>
    <row r="717" spans="1:59" ht="58" x14ac:dyDescent="0.35">
      <c r="A717" s="2" t="s">
        <v>59</v>
      </c>
      <c r="B717" s="2" t="s">
        <v>94</v>
      </c>
      <c r="C717" s="2" t="s">
        <v>7469</v>
      </c>
      <c r="D717" s="2" t="s">
        <v>7470</v>
      </c>
      <c r="E717" s="2" t="s">
        <v>7471</v>
      </c>
      <c r="G717" s="3" t="s">
        <v>64</v>
      </c>
      <c r="I717" s="3" t="s">
        <v>73</v>
      </c>
      <c r="J717" s="3" t="s">
        <v>64</v>
      </c>
      <c r="K717" s="3" t="s">
        <v>65</v>
      </c>
      <c r="L717" s="2" t="s">
        <v>7472</v>
      </c>
      <c r="M717" s="2" t="s">
        <v>7473</v>
      </c>
      <c r="N717" s="3" t="s">
        <v>733</v>
      </c>
      <c r="O717" s="2" t="s">
        <v>677</v>
      </c>
      <c r="P717" s="3" t="s">
        <v>69</v>
      </c>
      <c r="R717" s="3" t="s">
        <v>70</v>
      </c>
      <c r="S717" s="4">
        <v>7</v>
      </c>
      <c r="T717" s="4">
        <v>7</v>
      </c>
      <c r="U717" s="5" t="s">
        <v>7474</v>
      </c>
      <c r="V717" s="5" t="s">
        <v>7474</v>
      </c>
      <c r="W717" s="5" t="s">
        <v>72</v>
      </c>
      <c r="X717" s="5" t="s">
        <v>72</v>
      </c>
      <c r="Y717" s="4">
        <v>577</v>
      </c>
      <c r="Z717" s="4">
        <v>27</v>
      </c>
      <c r="AA717" s="4">
        <v>31</v>
      </c>
      <c r="AB717" s="4">
        <v>3</v>
      </c>
      <c r="AC717" s="4">
        <v>3</v>
      </c>
      <c r="AD717" s="4">
        <v>91</v>
      </c>
      <c r="AE717" s="4">
        <v>94</v>
      </c>
      <c r="AF717" s="4">
        <v>1</v>
      </c>
      <c r="AG717" s="4">
        <v>1</v>
      </c>
      <c r="AH717" s="4">
        <v>78</v>
      </c>
      <c r="AI717" s="4">
        <v>80</v>
      </c>
      <c r="AJ717" s="4">
        <v>10</v>
      </c>
      <c r="AK717" s="4">
        <v>12</v>
      </c>
      <c r="AL717" s="4">
        <v>46</v>
      </c>
      <c r="AM717" s="4">
        <v>46</v>
      </c>
      <c r="AN717" s="4">
        <v>0</v>
      </c>
      <c r="AO717" s="4">
        <v>0</v>
      </c>
      <c r="AP717" s="4">
        <v>16</v>
      </c>
      <c r="AQ717" s="4">
        <v>19</v>
      </c>
      <c r="AR717" s="3" t="s">
        <v>64</v>
      </c>
      <c r="AS717" s="3" t="s">
        <v>64</v>
      </c>
      <c r="AT717" s="3" t="s">
        <v>73</v>
      </c>
      <c r="AU717" s="6" t="str">
        <f>HYPERLINK("http://catalog.hathitrust.org/Record/000200882","HathiTrust Record")</f>
        <v>HathiTrust Record</v>
      </c>
      <c r="AV717" s="6" t="str">
        <f>HYPERLINK("http://mcgill.on.worldcat.org/oclc/9576418","Catalog Record")</f>
        <v>Catalog Record</v>
      </c>
      <c r="AW717" s="6" t="str">
        <f>HYPERLINK("http://www.worldcat.org/oclc/9576418","WorldCat Record")</f>
        <v>WorldCat Record</v>
      </c>
      <c r="AX717" s="3" t="s">
        <v>7475</v>
      </c>
      <c r="AY717" s="3" t="s">
        <v>7476</v>
      </c>
      <c r="AZ717" s="3" t="s">
        <v>7477</v>
      </c>
      <c r="BA717" s="3" t="s">
        <v>7477</v>
      </c>
      <c r="BB717" s="3" t="s">
        <v>7478</v>
      </c>
      <c r="BC717" s="3" t="s">
        <v>78</v>
      </c>
      <c r="BD717" s="3" t="s">
        <v>79</v>
      </c>
      <c r="BE717" s="3" t="s">
        <v>7479</v>
      </c>
      <c r="BF717" s="3" t="s">
        <v>7478</v>
      </c>
      <c r="BG717" s="3" t="s">
        <v>7480</v>
      </c>
    </row>
    <row r="718" spans="1:59" ht="58" x14ac:dyDescent="0.35">
      <c r="A718" s="2" t="s">
        <v>59</v>
      </c>
      <c r="B718" s="2" t="s">
        <v>94</v>
      </c>
      <c r="C718" s="2" t="s">
        <v>7481</v>
      </c>
      <c r="D718" s="2" t="s">
        <v>7482</v>
      </c>
      <c r="E718" s="2" t="s">
        <v>7483</v>
      </c>
      <c r="G718" s="3" t="s">
        <v>64</v>
      </c>
      <c r="I718" s="3" t="s">
        <v>73</v>
      </c>
      <c r="J718" s="3" t="s">
        <v>64</v>
      </c>
      <c r="K718" s="3" t="s">
        <v>65</v>
      </c>
      <c r="L718" s="2" t="s">
        <v>7484</v>
      </c>
      <c r="M718" s="2" t="s">
        <v>7485</v>
      </c>
      <c r="N718" s="3" t="s">
        <v>407</v>
      </c>
      <c r="P718" s="3" t="s">
        <v>69</v>
      </c>
      <c r="R718" s="3" t="s">
        <v>70</v>
      </c>
      <c r="S718" s="4">
        <v>19</v>
      </c>
      <c r="T718" s="4">
        <v>31</v>
      </c>
      <c r="U718" s="5" t="s">
        <v>7486</v>
      </c>
      <c r="V718" s="5" t="s">
        <v>7486</v>
      </c>
      <c r="W718" s="5" t="s">
        <v>72</v>
      </c>
      <c r="X718" s="5" t="s">
        <v>72</v>
      </c>
      <c r="Y718" s="4">
        <v>1165</v>
      </c>
      <c r="Z718" s="4">
        <v>44</v>
      </c>
      <c r="AA718" s="4">
        <v>47</v>
      </c>
      <c r="AB718" s="4">
        <v>4</v>
      </c>
      <c r="AC718" s="4">
        <v>7</v>
      </c>
      <c r="AD718" s="4">
        <v>130</v>
      </c>
      <c r="AE718" s="4">
        <v>132</v>
      </c>
      <c r="AF718" s="4">
        <v>2</v>
      </c>
      <c r="AG718" s="4">
        <v>4</v>
      </c>
      <c r="AH718" s="4">
        <v>107</v>
      </c>
      <c r="AI718" s="4">
        <v>107</v>
      </c>
      <c r="AJ718" s="4">
        <v>19</v>
      </c>
      <c r="AK718" s="4">
        <v>21</v>
      </c>
      <c r="AL718" s="4">
        <v>57</v>
      </c>
      <c r="AM718" s="4">
        <v>57</v>
      </c>
      <c r="AN718" s="4">
        <v>0</v>
      </c>
      <c r="AO718" s="4">
        <v>0</v>
      </c>
      <c r="AP718" s="4">
        <v>30</v>
      </c>
      <c r="AQ718" s="4">
        <v>31</v>
      </c>
      <c r="AR718" s="3" t="s">
        <v>64</v>
      </c>
      <c r="AS718" s="3" t="s">
        <v>64</v>
      </c>
      <c r="AT718" s="3" t="s">
        <v>73</v>
      </c>
      <c r="AU718" s="6" t="str">
        <f>HYPERLINK("http://catalog.hathitrust.org/Record/000622151","HathiTrust Record")</f>
        <v>HathiTrust Record</v>
      </c>
      <c r="AV718" s="6" t="str">
        <f>HYPERLINK("http://mcgill.on.worldcat.org/oclc/13009956","Catalog Record")</f>
        <v>Catalog Record</v>
      </c>
      <c r="AW718" s="6" t="str">
        <f>HYPERLINK("http://www.worldcat.org/oclc/13009956","WorldCat Record")</f>
        <v>WorldCat Record</v>
      </c>
      <c r="AX718" s="3" t="s">
        <v>7487</v>
      </c>
      <c r="AY718" s="3" t="s">
        <v>7488</v>
      </c>
      <c r="AZ718" s="3" t="s">
        <v>7489</v>
      </c>
      <c r="BA718" s="3" t="s">
        <v>7489</v>
      </c>
      <c r="BB718" s="3" t="s">
        <v>7490</v>
      </c>
      <c r="BC718" s="3" t="s">
        <v>78</v>
      </c>
      <c r="BD718" s="3" t="s">
        <v>79</v>
      </c>
      <c r="BE718" s="3" t="s">
        <v>7491</v>
      </c>
      <c r="BF718" s="3" t="s">
        <v>7490</v>
      </c>
      <c r="BG718" s="3" t="s">
        <v>7492</v>
      </c>
    </row>
    <row r="719" spans="1:59" ht="58" x14ac:dyDescent="0.35">
      <c r="A719" s="2" t="s">
        <v>59</v>
      </c>
      <c r="B719" s="2" t="s">
        <v>94</v>
      </c>
      <c r="C719" s="2" t="s">
        <v>7481</v>
      </c>
      <c r="D719" s="2" t="s">
        <v>7482</v>
      </c>
      <c r="E719" s="2" t="s">
        <v>7483</v>
      </c>
      <c r="G719" s="3" t="s">
        <v>64</v>
      </c>
      <c r="I719" s="3" t="s">
        <v>73</v>
      </c>
      <c r="J719" s="3" t="s">
        <v>64</v>
      </c>
      <c r="K719" s="3" t="s">
        <v>65</v>
      </c>
      <c r="L719" s="2" t="s">
        <v>7484</v>
      </c>
      <c r="M719" s="2" t="s">
        <v>7485</v>
      </c>
      <c r="N719" s="3" t="s">
        <v>407</v>
      </c>
      <c r="P719" s="3" t="s">
        <v>69</v>
      </c>
      <c r="R719" s="3" t="s">
        <v>70</v>
      </c>
      <c r="S719" s="4">
        <v>12</v>
      </c>
      <c r="T719" s="4">
        <v>31</v>
      </c>
      <c r="U719" s="5" t="s">
        <v>7493</v>
      </c>
      <c r="V719" s="5" t="s">
        <v>7486</v>
      </c>
      <c r="W719" s="5" t="s">
        <v>72</v>
      </c>
      <c r="X719" s="5" t="s">
        <v>72</v>
      </c>
      <c r="Y719" s="4">
        <v>1165</v>
      </c>
      <c r="Z719" s="4">
        <v>44</v>
      </c>
      <c r="AA719" s="4">
        <v>47</v>
      </c>
      <c r="AB719" s="4">
        <v>4</v>
      </c>
      <c r="AC719" s="4">
        <v>7</v>
      </c>
      <c r="AD719" s="4">
        <v>130</v>
      </c>
      <c r="AE719" s="4">
        <v>132</v>
      </c>
      <c r="AF719" s="4">
        <v>2</v>
      </c>
      <c r="AG719" s="4">
        <v>4</v>
      </c>
      <c r="AH719" s="4">
        <v>107</v>
      </c>
      <c r="AI719" s="4">
        <v>107</v>
      </c>
      <c r="AJ719" s="4">
        <v>19</v>
      </c>
      <c r="AK719" s="4">
        <v>21</v>
      </c>
      <c r="AL719" s="4">
        <v>57</v>
      </c>
      <c r="AM719" s="4">
        <v>57</v>
      </c>
      <c r="AN719" s="4">
        <v>0</v>
      </c>
      <c r="AO719" s="4">
        <v>0</v>
      </c>
      <c r="AP719" s="4">
        <v>30</v>
      </c>
      <c r="AQ719" s="4">
        <v>31</v>
      </c>
      <c r="AR719" s="3" t="s">
        <v>64</v>
      </c>
      <c r="AS719" s="3" t="s">
        <v>64</v>
      </c>
      <c r="AT719" s="3" t="s">
        <v>73</v>
      </c>
      <c r="AU719" s="6" t="str">
        <f>HYPERLINK("http://catalog.hathitrust.org/Record/000622151","HathiTrust Record")</f>
        <v>HathiTrust Record</v>
      </c>
      <c r="AV719" s="6" t="str">
        <f>HYPERLINK("http://mcgill.on.worldcat.org/oclc/13009956","Catalog Record")</f>
        <v>Catalog Record</v>
      </c>
      <c r="AW719" s="6" t="str">
        <f>HYPERLINK("http://www.worldcat.org/oclc/13009956","WorldCat Record")</f>
        <v>WorldCat Record</v>
      </c>
      <c r="AX719" s="3" t="s">
        <v>7487</v>
      </c>
      <c r="AY719" s="3" t="s">
        <v>7488</v>
      </c>
      <c r="AZ719" s="3" t="s">
        <v>7489</v>
      </c>
      <c r="BA719" s="3" t="s">
        <v>7489</v>
      </c>
      <c r="BB719" s="3" t="s">
        <v>7494</v>
      </c>
      <c r="BC719" s="3" t="s">
        <v>78</v>
      </c>
      <c r="BD719" s="3" t="s">
        <v>79</v>
      </c>
      <c r="BE719" s="3" t="s">
        <v>7491</v>
      </c>
      <c r="BF719" s="3" t="s">
        <v>7494</v>
      </c>
      <c r="BG719" s="3" t="s">
        <v>7495</v>
      </c>
    </row>
    <row r="720" spans="1:59" ht="72.5" x14ac:dyDescent="0.35">
      <c r="A720" s="2" t="s">
        <v>59</v>
      </c>
      <c r="B720" s="2" t="s">
        <v>94</v>
      </c>
      <c r="C720" s="2" t="s">
        <v>7496</v>
      </c>
      <c r="D720" s="2" t="s">
        <v>7497</v>
      </c>
      <c r="E720" s="2" t="s">
        <v>7498</v>
      </c>
      <c r="G720" s="3" t="s">
        <v>64</v>
      </c>
      <c r="I720" s="3" t="s">
        <v>64</v>
      </c>
      <c r="J720" s="3" t="s">
        <v>64</v>
      </c>
      <c r="K720" s="3" t="s">
        <v>65</v>
      </c>
      <c r="L720" s="2" t="s">
        <v>7499</v>
      </c>
      <c r="M720" s="2" t="s">
        <v>7500</v>
      </c>
      <c r="N720" s="3" t="s">
        <v>328</v>
      </c>
      <c r="O720" s="2" t="s">
        <v>6984</v>
      </c>
      <c r="P720" s="3" t="s">
        <v>69</v>
      </c>
      <c r="R720" s="3" t="s">
        <v>70</v>
      </c>
      <c r="S720" s="4">
        <v>1</v>
      </c>
      <c r="T720" s="4">
        <v>1</v>
      </c>
      <c r="U720" s="5" t="s">
        <v>7501</v>
      </c>
      <c r="V720" s="5" t="s">
        <v>7501</v>
      </c>
      <c r="W720" s="5" t="s">
        <v>72</v>
      </c>
      <c r="X720" s="5" t="s">
        <v>72</v>
      </c>
      <c r="Y720" s="4">
        <v>871</v>
      </c>
      <c r="Z720" s="4">
        <v>39</v>
      </c>
      <c r="AA720" s="4">
        <v>41</v>
      </c>
      <c r="AB720" s="4">
        <v>3</v>
      </c>
      <c r="AC720" s="4">
        <v>4</v>
      </c>
      <c r="AD720" s="4">
        <v>73</v>
      </c>
      <c r="AE720" s="4">
        <v>74</v>
      </c>
      <c r="AF720" s="4">
        <v>0</v>
      </c>
      <c r="AG720" s="4">
        <v>0</v>
      </c>
      <c r="AH720" s="4">
        <v>65</v>
      </c>
      <c r="AI720" s="4">
        <v>66</v>
      </c>
      <c r="AJ720" s="4">
        <v>7</v>
      </c>
      <c r="AK720" s="4">
        <v>8</v>
      </c>
      <c r="AL720" s="4">
        <v>42</v>
      </c>
      <c r="AM720" s="4">
        <v>42</v>
      </c>
      <c r="AN720" s="4">
        <v>0</v>
      </c>
      <c r="AO720" s="4">
        <v>0</v>
      </c>
      <c r="AP720" s="4">
        <v>8</v>
      </c>
      <c r="AQ720" s="4">
        <v>9</v>
      </c>
      <c r="AR720" s="3" t="s">
        <v>64</v>
      </c>
      <c r="AS720" s="3" t="s">
        <v>64</v>
      </c>
      <c r="AT720" s="3" t="s">
        <v>64</v>
      </c>
      <c r="AV720" s="6" t="str">
        <f>HYPERLINK("http://mcgill.on.worldcat.org/oclc/313658819","Catalog Record")</f>
        <v>Catalog Record</v>
      </c>
      <c r="AW720" s="6" t="str">
        <f>HYPERLINK("http://www.worldcat.org/oclc/313658819","WorldCat Record")</f>
        <v>WorldCat Record</v>
      </c>
      <c r="AX720" s="3" t="s">
        <v>7502</v>
      </c>
      <c r="AY720" s="3" t="s">
        <v>7503</v>
      </c>
      <c r="AZ720" s="3" t="s">
        <v>7504</v>
      </c>
      <c r="BA720" s="3" t="s">
        <v>7504</v>
      </c>
      <c r="BB720" s="3" t="s">
        <v>7505</v>
      </c>
      <c r="BC720" s="3" t="s">
        <v>78</v>
      </c>
      <c r="BD720" s="3" t="s">
        <v>79</v>
      </c>
      <c r="BE720" s="3" t="s">
        <v>7506</v>
      </c>
      <c r="BF720" s="3" t="s">
        <v>7505</v>
      </c>
      <c r="BG720" s="3" t="s">
        <v>7507</v>
      </c>
    </row>
    <row r="721" spans="1:59" ht="58" x14ac:dyDescent="0.35">
      <c r="A721" s="2" t="s">
        <v>59</v>
      </c>
      <c r="B721" s="2" t="s">
        <v>94</v>
      </c>
      <c r="C721" s="2" t="s">
        <v>7508</v>
      </c>
      <c r="D721" s="2" t="s">
        <v>7509</v>
      </c>
      <c r="E721" s="2" t="s">
        <v>7510</v>
      </c>
      <c r="G721" s="3" t="s">
        <v>64</v>
      </c>
      <c r="I721" s="3" t="s">
        <v>64</v>
      </c>
      <c r="J721" s="3" t="s">
        <v>64</v>
      </c>
      <c r="K721" s="3" t="s">
        <v>65</v>
      </c>
      <c r="L721" s="2" t="s">
        <v>7511</v>
      </c>
      <c r="M721" s="2" t="s">
        <v>7512</v>
      </c>
      <c r="N721" s="3" t="s">
        <v>365</v>
      </c>
      <c r="P721" s="3" t="s">
        <v>69</v>
      </c>
      <c r="R721" s="3" t="s">
        <v>70</v>
      </c>
      <c r="S721" s="4">
        <v>16</v>
      </c>
      <c r="T721" s="4">
        <v>16</v>
      </c>
      <c r="U721" s="5" t="s">
        <v>7370</v>
      </c>
      <c r="V721" s="5" t="s">
        <v>7370</v>
      </c>
      <c r="W721" s="5" t="s">
        <v>72</v>
      </c>
      <c r="X721" s="5" t="s">
        <v>72</v>
      </c>
      <c r="Y721" s="4">
        <v>15</v>
      </c>
      <c r="Z721" s="4">
        <v>6</v>
      </c>
      <c r="AA721" s="4">
        <v>34</v>
      </c>
      <c r="AB721" s="4">
        <v>1</v>
      </c>
      <c r="AC721" s="4">
        <v>2</v>
      </c>
      <c r="AD721" s="4">
        <v>10</v>
      </c>
      <c r="AE721" s="4">
        <v>99</v>
      </c>
      <c r="AF721" s="4">
        <v>0</v>
      </c>
      <c r="AG721" s="4">
        <v>1</v>
      </c>
      <c r="AH721" s="4">
        <v>8</v>
      </c>
      <c r="AI721" s="4">
        <v>79</v>
      </c>
      <c r="AJ721" s="4">
        <v>4</v>
      </c>
      <c r="AK721" s="4">
        <v>19</v>
      </c>
      <c r="AL721" s="4">
        <v>2</v>
      </c>
      <c r="AM721" s="4">
        <v>45</v>
      </c>
      <c r="AN721" s="4">
        <v>0</v>
      </c>
      <c r="AO721" s="4">
        <v>0</v>
      </c>
      <c r="AP721" s="4">
        <v>4</v>
      </c>
      <c r="AQ721" s="4">
        <v>27</v>
      </c>
      <c r="AR721" s="3" t="s">
        <v>64</v>
      </c>
      <c r="AS721" s="3" t="s">
        <v>64</v>
      </c>
      <c r="AT721" s="3" t="s">
        <v>64</v>
      </c>
      <c r="AV721" s="6" t="str">
        <f>HYPERLINK("http://mcgill.on.worldcat.org/oclc/237329812","Catalog Record")</f>
        <v>Catalog Record</v>
      </c>
      <c r="AW721" s="6" t="str">
        <f>HYPERLINK("http://www.worldcat.org/oclc/237329812","WorldCat Record")</f>
        <v>WorldCat Record</v>
      </c>
      <c r="AX721" s="3" t="s">
        <v>7513</v>
      </c>
      <c r="AY721" s="3" t="s">
        <v>7514</v>
      </c>
      <c r="AZ721" s="3" t="s">
        <v>7515</v>
      </c>
      <c r="BA721" s="3" t="s">
        <v>7515</v>
      </c>
      <c r="BB721" s="3" t="s">
        <v>7516</v>
      </c>
      <c r="BC721" s="3" t="s">
        <v>78</v>
      </c>
      <c r="BD721" s="3" t="s">
        <v>79</v>
      </c>
      <c r="BE721" s="3" t="s">
        <v>7517</v>
      </c>
      <c r="BF721" s="3" t="s">
        <v>7516</v>
      </c>
      <c r="BG721" s="3" t="s">
        <v>7518</v>
      </c>
    </row>
    <row r="722" spans="1:59" ht="58" x14ac:dyDescent="0.35">
      <c r="A722" s="2" t="s">
        <v>59</v>
      </c>
      <c r="B722" s="2" t="s">
        <v>94</v>
      </c>
      <c r="C722" s="2" t="s">
        <v>7519</v>
      </c>
      <c r="D722" s="2" t="s">
        <v>7520</v>
      </c>
      <c r="E722" s="2" t="s">
        <v>7521</v>
      </c>
      <c r="G722" s="3" t="s">
        <v>64</v>
      </c>
      <c r="I722" s="3" t="s">
        <v>64</v>
      </c>
      <c r="J722" s="3" t="s">
        <v>64</v>
      </c>
      <c r="K722" s="3" t="s">
        <v>65</v>
      </c>
      <c r="L722" s="2" t="s">
        <v>7522</v>
      </c>
      <c r="M722" s="2" t="s">
        <v>7523</v>
      </c>
      <c r="N722" s="3" t="s">
        <v>274</v>
      </c>
      <c r="P722" s="3" t="s">
        <v>69</v>
      </c>
      <c r="R722" s="3" t="s">
        <v>70</v>
      </c>
      <c r="S722" s="4">
        <v>9</v>
      </c>
      <c r="T722" s="4">
        <v>9</v>
      </c>
      <c r="U722" s="5" t="s">
        <v>7430</v>
      </c>
      <c r="V722" s="5" t="s">
        <v>7430</v>
      </c>
      <c r="W722" s="5" t="s">
        <v>72</v>
      </c>
      <c r="X722" s="5" t="s">
        <v>72</v>
      </c>
      <c r="Y722" s="4">
        <v>254</v>
      </c>
      <c r="Z722" s="4">
        <v>16</v>
      </c>
      <c r="AA722" s="4">
        <v>16</v>
      </c>
      <c r="AB722" s="4">
        <v>1</v>
      </c>
      <c r="AC722" s="4">
        <v>1</v>
      </c>
      <c r="AD722" s="4">
        <v>93</v>
      </c>
      <c r="AE722" s="4">
        <v>93</v>
      </c>
      <c r="AF722" s="4">
        <v>0</v>
      </c>
      <c r="AG722" s="4">
        <v>0</v>
      </c>
      <c r="AH722" s="4">
        <v>84</v>
      </c>
      <c r="AI722" s="4">
        <v>84</v>
      </c>
      <c r="AJ722" s="4">
        <v>12</v>
      </c>
      <c r="AK722" s="4">
        <v>12</v>
      </c>
      <c r="AL722" s="4">
        <v>49</v>
      </c>
      <c r="AM722" s="4">
        <v>49</v>
      </c>
      <c r="AN722" s="4">
        <v>0</v>
      </c>
      <c r="AO722" s="4">
        <v>0</v>
      </c>
      <c r="AP722" s="4">
        <v>13</v>
      </c>
      <c r="AQ722" s="4">
        <v>13</v>
      </c>
      <c r="AR722" s="3" t="s">
        <v>64</v>
      </c>
      <c r="AS722" s="3" t="s">
        <v>64</v>
      </c>
      <c r="AT722" s="3" t="s">
        <v>73</v>
      </c>
      <c r="AU722" s="6" t="str">
        <f>HYPERLINK("http://catalog.hathitrust.org/Record/000873598","HathiTrust Record")</f>
        <v>HathiTrust Record</v>
      </c>
      <c r="AV722" s="6" t="str">
        <f>HYPERLINK("http://mcgill.on.worldcat.org/oclc/16900768","Catalog Record")</f>
        <v>Catalog Record</v>
      </c>
      <c r="AW722" s="6" t="str">
        <f>HYPERLINK("http://www.worldcat.org/oclc/16900768","WorldCat Record")</f>
        <v>WorldCat Record</v>
      </c>
      <c r="AX722" s="3" t="s">
        <v>7524</v>
      </c>
      <c r="AY722" s="3" t="s">
        <v>7525</v>
      </c>
      <c r="AZ722" s="3" t="s">
        <v>7526</v>
      </c>
      <c r="BA722" s="3" t="s">
        <v>7526</v>
      </c>
      <c r="BB722" s="3" t="s">
        <v>7527</v>
      </c>
      <c r="BC722" s="3" t="s">
        <v>78</v>
      </c>
      <c r="BD722" s="3" t="s">
        <v>79</v>
      </c>
      <c r="BE722" s="3" t="s">
        <v>7528</v>
      </c>
      <c r="BF722" s="3" t="s">
        <v>7527</v>
      </c>
      <c r="BG722" s="3" t="s">
        <v>7529</v>
      </c>
    </row>
    <row r="723" spans="1:59" ht="58" x14ac:dyDescent="0.35">
      <c r="A723" s="2" t="s">
        <v>59</v>
      </c>
      <c r="B723" s="2" t="s">
        <v>94</v>
      </c>
      <c r="C723" s="2" t="s">
        <v>7530</v>
      </c>
      <c r="D723" s="2" t="s">
        <v>7531</v>
      </c>
      <c r="E723" s="2" t="s">
        <v>7532</v>
      </c>
      <c r="G723" s="3" t="s">
        <v>64</v>
      </c>
      <c r="I723" s="3" t="s">
        <v>64</v>
      </c>
      <c r="J723" s="3" t="s">
        <v>64</v>
      </c>
      <c r="K723" s="3" t="s">
        <v>65</v>
      </c>
      <c r="M723" s="2" t="s">
        <v>7533</v>
      </c>
      <c r="N723" s="3" t="s">
        <v>377</v>
      </c>
      <c r="P723" s="3" t="s">
        <v>69</v>
      </c>
      <c r="R723" s="3" t="s">
        <v>70</v>
      </c>
      <c r="S723" s="4">
        <v>1</v>
      </c>
      <c r="T723" s="4">
        <v>1</v>
      </c>
      <c r="U723" s="5" t="s">
        <v>7534</v>
      </c>
      <c r="V723" s="5" t="s">
        <v>7534</v>
      </c>
      <c r="W723" s="5" t="s">
        <v>72</v>
      </c>
      <c r="X723" s="5" t="s">
        <v>72</v>
      </c>
      <c r="Y723" s="4">
        <v>131</v>
      </c>
      <c r="Z723" s="4">
        <v>9</v>
      </c>
      <c r="AA723" s="4">
        <v>104</v>
      </c>
      <c r="AB723" s="4">
        <v>1</v>
      </c>
      <c r="AC723" s="4">
        <v>15</v>
      </c>
      <c r="AD723" s="4">
        <v>41</v>
      </c>
      <c r="AE723" s="4">
        <v>127</v>
      </c>
      <c r="AF723" s="4">
        <v>0</v>
      </c>
      <c r="AG723" s="4">
        <v>8</v>
      </c>
      <c r="AH723" s="4">
        <v>39</v>
      </c>
      <c r="AI723" s="4">
        <v>87</v>
      </c>
      <c r="AJ723" s="4">
        <v>3</v>
      </c>
      <c r="AK723" s="4">
        <v>22</v>
      </c>
      <c r="AL723" s="4">
        <v>26</v>
      </c>
      <c r="AM723" s="4">
        <v>48</v>
      </c>
      <c r="AN723" s="4">
        <v>0</v>
      </c>
      <c r="AO723" s="4">
        <v>0</v>
      </c>
      <c r="AP723" s="4">
        <v>3</v>
      </c>
      <c r="AQ723" s="4">
        <v>44</v>
      </c>
      <c r="AR723" s="3" t="s">
        <v>64</v>
      </c>
      <c r="AS723" s="3" t="s">
        <v>64</v>
      </c>
      <c r="AT723" s="3" t="s">
        <v>64</v>
      </c>
      <c r="AV723" s="6" t="str">
        <f>HYPERLINK("http://mcgill.on.worldcat.org/oclc/774021162","Catalog Record")</f>
        <v>Catalog Record</v>
      </c>
      <c r="AW723" s="6" t="str">
        <f>HYPERLINK("http://www.worldcat.org/oclc/774021162","WorldCat Record")</f>
        <v>WorldCat Record</v>
      </c>
      <c r="AX723" s="3" t="s">
        <v>7535</v>
      </c>
      <c r="AY723" s="3" t="s">
        <v>7536</v>
      </c>
      <c r="AZ723" s="3" t="s">
        <v>7537</v>
      </c>
      <c r="BA723" s="3" t="s">
        <v>7537</v>
      </c>
      <c r="BB723" s="3" t="s">
        <v>7538</v>
      </c>
      <c r="BC723" s="3" t="s">
        <v>78</v>
      </c>
      <c r="BD723" s="3" t="s">
        <v>79</v>
      </c>
      <c r="BE723" s="3" t="s">
        <v>7539</v>
      </c>
      <c r="BF723" s="3" t="s">
        <v>7538</v>
      </c>
      <c r="BG723" s="3" t="s">
        <v>7540</v>
      </c>
    </row>
    <row r="724" spans="1:59" ht="58" x14ac:dyDescent="0.35">
      <c r="A724" s="2" t="s">
        <v>59</v>
      </c>
      <c r="B724" s="2" t="s">
        <v>94</v>
      </c>
      <c r="C724" s="2" t="s">
        <v>7541</v>
      </c>
      <c r="D724" s="2" t="s">
        <v>7542</v>
      </c>
      <c r="E724" s="2" t="s">
        <v>7543</v>
      </c>
      <c r="G724" s="3" t="s">
        <v>64</v>
      </c>
      <c r="I724" s="3" t="s">
        <v>73</v>
      </c>
      <c r="J724" s="3" t="s">
        <v>64</v>
      </c>
      <c r="K724" s="3" t="s">
        <v>65</v>
      </c>
      <c r="M724" s="2" t="s">
        <v>7544</v>
      </c>
      <c r="N724" s="3" t="s">
        <v>340</v>
      </c>
      <c r="P724" s="3" t="s">
        <v>69</v>
      </c>
      <c r="R724" s="3" t="s">
        <v>70</v>
      </c>
      <c r="S724" s="4">
        <v>39</v>
      </c>
      <c r="T724" s="4">
        <v>72</v>
      </c>
      <c r="U724" s="5" t="s">
        <v>7381</v>
      </c>
      <c r="V724" s="5" t="s">
        <v>7381</v>
      </c>
      <c r="W724" s="5" t="s">
        <v>72</v>
      </c>
      <c r="X724" s="5" t="s">
        <v>72</v>
      </c>
      <c r="Y724" s="4">
        <v>283</v>
      </c>
      <c r="Z724" s="4">
        <v>18</v>
      </c>
      <c r="AA724" s="4">
        <v>18</v>
      </c>
      <c r="AB724" s="4">
        <v>2</v>
      </c>
      <c r="AC724" s="4">
        <v>2</v>
      </c>
      <c r="AD724" s="4">
        <v>79</v>
      </c>
      <c r="AE724" s="4">
        <v>82</v>
      </c>
      <c r="AF724" s="4">
        <v>0</v>
      </c>
      <c r="AG724" s="4">
        <v>0</v>
      </c>
      <c r="AH724" s="4">
        <v>72</v>
      </c>
      <c r="AI724" s="4">
        <v>75</v>
      </c>
      <c r="AJ724" s="4">
        <v>10</v>
      </c>
      <c r="AK724" s="4">
        <v>10</v>
      </c>
      <c r="AL724" s="4">
        <v>42</v>
      </c>
      <c r="AM724" s="4">
        <v>43</v>
      </c>
      <c r="AN724" s="4">
        <v>0</v>
      </c>
      <c r="AO724" s="4">
        <v>0</v>
      </c>
      <c r="AP724" s="4">
        <v>12</v>
      </c>
      <c r="AQ724" s="4">
        <v>12</v>
      </c>
      <c r="AR724" s="3" t="s">
        <v>64</v>
      </c>
      <c r="AS724" s="3" t="s">
        <v>64</v>
      </c>
      <c r="AT724" s="3" t="s">
        <v>73</v>
      </c>
      <c r="AU724" s="6" t="str">
        <f>HYPERLINK("http://catalog.hathitrust.org/Record/003252717","HathiTrust Record")</f>
        <v>HathiTrust Record</v>
      </c>
      <c r="AV724" s="6" t="str">
        <f>HYPERLINK("http://mcgill.on.worldcat.org/oclc/37806054","Catalog Record")</f>
        <v>Catalog Record</v>
      </c>
      <c r="AW724" s="6" t="str">
        <f>HYPERLINK("http://www.worldcat.org/oclc/37806054","WorldCat Record")</f>
        <v>WorldCat Record</v>
      </c>
      <c r="AX724" s="3" t="s">
        <v>7545</v>
      </c>
      <c r="AY724" s="3" t="s">
        <v>7546</v>
      </c>
      <c r="AZ724" s="3" t="s">
        <v>7547</v>
      </c>
      <c r="BA724" s="3" t="s">
        <v>7547</v>
      </c>
      <c r="BB724" s="3" t="s">
        <v>7548</v>
      </c>
      <c r="BC724" s="3" t="s">
        <v>78</v>
      </c>
      <c r="BD724" s="3" t="s">
        <v>79</v>
      </c>
      <c r="BE724" s="3" t="s">
        <v>7549</v>
      </c>
      <c r="BF724" s="3" t="s">
        <v>7548</v>
      </c>
      <c r="BG724" s="3" t="s">
        <v>7550</v>
      </c>
    </row>
    <row r="725" spans="1:59" ht="58" x14ac:dyDescent="0.35">
      <c r="A725" s="2" t="s">
        <v>59</v>
      </c>
      <c r="B725" s="2" t="s">
        <v>94</v>
      </c>
      <c r="C725" s="2" t="s">
        <v>7541</v>
      </c>
      <c r="D725" s="2" t="s">
        <v>7542</v>
      </c>
      <c r="E725" s="2" t="s">
        <v>7543</v>
      </c>
      <c r="G725" s="3" t="s">
        <v>64</v>
      </c>
      <c r="I725" s="3" t="s">
        <v>73</v>
      </c>
      <c r="J725" s="3" t="s">
        <v>64</v>
      </c>
      <c r="K725" s="3" t="s">
        <v>65</v>
      </c>
      <c r="M725" s="2" t="s">
        <v>7544</v>
      </c>
      <c r="N725" s="3" t="s">
        <v>340</v>
      </c>
      <c r="P725" s="3" t="s">
        <v>69</v>
      </c>
      <c r="R725" s="3" t="s">
        <v>70</v>
      </c>
      <c r="S725" s="4">
        <v>33</v>
      </c>
      <c r="T725" s="4">
        <v>72</v>
      </c>
      <c r="U725" s="5" t="s">
        <v>7551</v>
      </c>
      <c r="V725" s="5" t="s">
        <v>7381</v>
      </c>
      <c r="W725" s="5" t="s">
        <v>72</v>
      </c>
      <c r="X725" s="5" t="s">
        <v>72</v>
      </c>
      <c r="Y725" s="4">
        <v>283</v>
      </c>
      <c r="Z725" s="4">
        <v>18</v>
      </c>
      <c r="AA725" s="4">
        <v>18</v>
      </c>
      <c r="AB725" s="4">
        <v>2</v>
      </c>
      <c r="AC725" s="4">
        <v>2</v>
      </c>
      <c r="AD725" s="4">
        <v>79</v>
      </c>
      <c r="AE725" s="4">
        <v>82</v>
      </c>
      <c r="AF725" s="4">
        <v>0</v>
      </c>
      <c r="AG725" s="4">
        <v>0</v>
      </c>
      <c r="AH725" s="4">
        <v>72</v>
      </c>
      <c r="AI725" s="4">
        <v>75</v>
      </c>
      <c r="AJ725" s="4">
        <v>10</v>
      </c>
      <c r="AK725" s="4">
        <v>10</v>
      </c>
      <c r="AL725" s="4">
        <v>42</v>
      </c>
      <c r="AM725" s="4">
        <v>43</v>
      </c>
      <c r="AN725" s="4">
        <v>0</v>
      </c>
      <c r="AO725" s="4">
        <v>0</v>
      </c>
      <c r="AP725" s="4">
        <v>12</v>
      </c>
      <c r="AQ725" s="4">
        <v>12</v>
      </c>
      <c r="AR725" s="3" t="s">
        <v>64</v>
      </c>
      <c r="AS725" s="3" t="s">
        <v>64</v>
      </c>
      <c r="AT725" s="3" t="s">
        <v>73</v>
      </c>
      <c r="AU725" s="6" t="str">
        <f>HYPERLINK("http://catalog.hathitrust.org/Record/003252717","HathiTrust Record")</f>
        <v>HathiTrust Record</v>
      </c>
      <c r="AV725" s="6" t="str">
        <f>HYPERLINK("http://mcgill.on.worldcat.org/oclc/37806054","Catalog Record")</f>
        <v>Catalog Record</v>
      </c>
      <c r="AW725" s="6" t="str">
        <f>HYPERLINK("http://www.worldcat.org/oclc/37806054","WorldCat Record")</f>
        <v>WorldCat Record</v>
      </c>
      <c r="AX725" s="3" t="s">
        <v>7545</v>
      </c>
      <c r="AY725" s="3" t="s">
        <v>7546</v>
      </c>
      <c r="AZ725" s="3" t="s">
        <v>7547</v>
      </c>
      <c r="BA725" s="3" t="s">
        <v>7547</v>
      </c>
      <c r="BB725" s="3" t="s">
        <v>7552</v>
      </c>
      <c r="BC725" s="3" t="s">
        <v>78</v>
      </c>
      <c r="BD725" s="3" t="s">
        <v>79</v>
      </c>
      <c r="BE725" s="3" t="s">
        <v>7549</v>
      </c>
      <c r="BF725" s="3" t="s">
        <v>7552</v>
      </c>
      <c r="BG725" s="3" t="s">
        <v>7553</v>
      </c>
    </row>
    <row r="726" spans="1:59" ht="58" x14ac:dyDescent="0.35">
      <c r="A726" s="2" t="s">
        <v>59</v>
      </c>
      <c r="B726" s="2" t="s">
        <v>94</v>
      </c>
      <c r="C726" s="2" t="s">
        <v>7554</v>
      </c>
      <c r="D726" s="2" t="s">
        <v>7555</v>
      </c>
      <c r="E726" s="2" t="s">
        <v>7556</v>
      </c>
      <c r="G726" s="3" t="s">
        <v>64</v>
      </c>
      <c r="I726" s="3" t="s">
        <v>64</v>
      </c>
      <c r="J726" s="3" t="s">
        <v>64</v>
      </c>
      <c r="K726" s="3" t="s">
        <v>65</v>
      </c>
      <c r="L726" s="2" t="s">
        <v>7557</v>
      </c>
      <c r="M726" s="2" t="s">
        <v>7558</v>
      </c>
      <c r="N726" s="3" t="s">
        <v>719</v>
      </c>
      <c r="P726" s="3" t="s">
        <v>69</v>
      </c>
      <c r="R726" s="3" t="s">
        <v>70</v>
      </c>
      <c r="S726" s="4">
        <v>5</v>
      </c>
      <c r="T726" s="4">
        <v>5</v>
      </c>
      <c r="U726" s="5" t="s">
        <v>7370</v>
      </c>
      <c r="V726" s="5" t="s">
        <v>7370</v>
      </c>
      <c r="W726" s="5" t="s">
        <v>72</v>
      </c>
      <c r="X726" s="5" t="s">
        <v>72</v>
      </c>
      <c r="Y726" s="4">
        <v>457</v>
      </c>
      <c r="Z726" s="4">
        <v>13</v>
      </c>
      <c r="AA726" s="4">
        <v>15</v>
      </c>
      <c r="AB726" s="4">
        <v>1</v>
      </c>
      <c r="AC726" s="4">
        <v>1</v>
      </c>
      <c r="AD726" s="4">
        <v>93</v>
      </c>
      <c r="AE726" s="4">
        <v>94</v>
      </c>
      <c r="AF726" s="4">
        <v>0</v>
      </c>
      <c r="AG726" s="4">
        <v>0</v>
      </c>
      <c r="AH726" s="4">
        <v>85</v>
      </c>
      <c r="AI726" s="4">
        <v>85</v>
      </c>
      <c r="AJ726" s="4">
        <v>7</v>
      </c>
      <c r="AK726" s="4">
        <v>7</v>
      </c>
      <c r="AL726" s="4">
        <v>48</v>
      </c>
      <c r="AM726" s="4">
        <v>48</v>
      </c>
      <c r="AN726" s="4">
        <v>0</v>
      </c>
      <c r="AO726" s="4">
        <v>0</v>
      </c>
      <c r="AP726" s="4">
        <v>10</v>
      </c>
      <c r="AQ726" s="4">
        <v>11</v>
      </c>
      <c r="AR726" s="3" t="s">
        <v>64</v>
      </c>
      <c r="AS726" s="3" t="s">
        <v>64</v>
      </c>
      <c r="AT726" s="3" t="s">
        <v>64</v>
      </c>
      <c r="AV726" s="6" t="str">
        <f>HYPERLINK("http://mcgill.on.worldcat.org/oclc/10354196","Catalog Record")</f>
        <v>Catalog Record</v>
      </c>
      <c r="AW726" s="6" t="str">
        <f>HYPERLINK("http://www.worldcat.org/oclc/10354196","WorldCat Record")</f>
        <v>WorldCat Record</v>
      </c>
      <c r="AX726" s="3" t="s">
        <v>7559</v>
      </c>
      <c r="AY726" s="3" t="s">
        <v>7560</v>
      </c>
      <c r="AZ726" s="3" t="s">
        <v>7561</v>
      </c>
      <c r="BA726" s="3" t="s">
        <v>7561</v>
      </c>
      <c r="BB726" s="3" t="s">
        <v>7562</v>
      </c>
      <c r="BC726" s="3" t="s">
        <v>78</v>
      </c>
      <c r="BD726" s="3" t="s">
        <v>79</v>
      </c>
      <c r="BF726" s="3" t="s">
        <v>7562</v>
      </c>
      <c r="BG726" s="3" t="s">
        <v>7563</v>
      </c>
    </row>
    <row r="727" spans="1:59" ht="58" x14ac:dyDescent="0.35">
      <c r="A727" s="2" t="s">
        <v>59</v>
      </c>
      <c r="B727" s="2" t="s">
        <v>94</v>
      </c>
      <c r="C727" s="2" t="s">
        <v>7564</v>
      </c>
      <c r="D727" s="2" t="s">
        <v>7565</v>
      </c>
      <c r="E727" s="2" t="s">
        <v>7566</v>
      </c>
      <c r="G727" s="3" t="s">
        <v>64</v>
      </c>
      <c r="I727" s="3" t="s">
        <v>64</v>
      </c>
      <c r="J727" s="3" t="s">
        <v>64</v>
      </c>
      <c r="K727" s="3" t="s">
        <v>65</v>
      </c>
      <c r="L727" s="2" t="s">
        <v>7567</v>
      </c>
      <c r="M727" s="2" t="s">
        <v>7568</v>
      </c>
      <c r="N727" s="3" t="s">
        <v>1029</v>
      </c>
      <c r="O727" s="2" t="s">
        <v>1294</v>
      </c>
      <c r="P727" s="3" t="s">
        <v>69</v>
      </c>
      <c r="R727" s="3" t="s">
        <v>70</v>
      </c>
      <c r="S727" s="4">
        <v>4</v>
      </c>
      <c r="T727" s="4">
        <v>4</v>
      </c>
      <c r="U727" s="5" t="s">
        <v>276</v>
      </c>
      <c r="V727" s="5" t="s">
        <v>276</v>
      </c>
      <c r="W727" s="5" t="s">
        <v>72</v>
      </c>
      <c r="X727" s="5" t="s">
        <v>72</v>
      </c>
      <c r="Y727" s="4">
        <v>801</v>
      </c>
      <c r="Z727" s="4">
        <v>35</v>
      </c>
      <c r="AA727" s="4">
        <v>43</v>
      </c>
      <c r="AB727" s="4">
        <v>3</v>
      </c>
      <c r="AC727" s="4">
        <v>4</v>
      </c>
      <c r="AD727" s="4">
        <v>102</v>
      </c>
      <c r="AE727" s="4">
        <v>107</v>
      </c>
      <c r="AF727" s="4">
        <v>1</v>
      </c>
      <c r="AG727" s="4">
        <v>2</v>
      </c>
      <c r="AH727" s="4">
        <v>90</v>
      </c>
      <c r="AI727" s="4">
        <v>94</v>
      </c>
      <c r="AJ727" s="4">
        <v>15</v>
      </c>
      <c r="AK727" s="4">
        <v>18</v>
      </c>
      <c r="AL727" s="4">
        <v>51</v>
      </c>
      <c r="AM727" s="4">
        <v>53</v>
      </c>
      <c r="AN727" s="4">
        <v>0</v>
      </c>
      <c r="AO727" s="4">
        <v>0</v>
      </c>
      <c r="AP727" s="4">
        <v>19</v>
      </c>
      <c r="AQ727" s="4">
        <v>21</v>
      </c>
      <c r="AR727" s="3" t="s">
        <v>64</v>
      </c>
      <c r="AS727" s="3" t="s">
        <v>64</v>
      </c>
      <c r="AT727" s="3" t="s">
        <v>64</v>
      </c>
      <c r="AV727" s="6" t="str">
        <f>HYPERLINK("http://mcgill.on.worldcat.org/oclc/300718864","Catalog Record")</f>
        <v>Catalog Record</v>
      </c>
      <c r="AW727" s="6" t="str">
        <f>HYPERLINK("http://www.worldcat.org/oclc/300718864","WorldCat Record")</f>
        <v>WorldCat Record</v>
      </c>
      <c r="AX727" s="3" t="s">
        <v>7569</v>
      </c>
      <c r="AY727" s="3" t="s">
        <v>7570</v>
      </c>
      <c r="AZ727" s="3" t="s">
        <v>7571</v>
      </c>
      <c r="BA727" s="3" t="s">
        <v>7571</v>
      </c>
      <c r="BB727" s="3" t="s">
        <v>7572</v>
      </c>
      <c r="BC727" s="3" t="s">
        <v>78</v>
      </c>
      <c r="BD727" s="3" t="s">
        <v>79</v>
      </c>
      <c r="BE727" s="3" t="s">
        <v>7573</v>
      </c>
      <c r="BF727" s="3" t="s">
        <v>7572</v>
      </c>
      <c r="BG727" s="3" t="s">
        <v>7574</v>
      </c>
    </row>
    <row r="728" spans="1:59" ht="58" x14ac:dyDescent="0.35">
      <c r="A728" s="2" t="s">
        <v>59</v>
      </c>
      <c r="B728" s="2" t="s">
        <v>94</v>
      </c>
      <c r="C728" s="2" t="s">
        <v>7575</v>
      </c>
      <c r="D728" s="2" t="s">
        <v>7576</v>
      </c>
      <c r="E728" s="2" t="s">
        <v>7577</v>
      </c>
      <c r="G728" s="3" t="s">
        <v>64</v>
      </c>
      <c r="I728" s="3" t="s">
        <v>64</v>
      </c>
      <c r="J728" s="3" t="s">
        <v>64</v>
      </c>
      <c r="K728" s="3" t="s">
        <v>65</v>
      </c>
      <c r="L728" s="2" t="s">
        <v>7578</v>
      </c>
      <c r="M728" s="2" t="s">
        <v>7579</v>
      </c>
      <c r="N728" s="3" t="s">
        <v>1029</v>
      </c>
      <c r="O728" s="2" t="s">
        <v>1294</v>
      </c>
      <c r="P728" s="3" t="s">
        <v>69</v>
      </c>
      <c r="R728" s="3" t="s">
        <v>70</v>
      </c>
      <c r="S728" s="4">
        <v>10</v>
      </c>
      <c r="T728" s="4">
        <v>10</v>
      </c>
      <c r="U728" s="5" t="s">
        <v>7580</v>
      </c>
      <c r="V728" s="5" t="s">
        <v>7580</v>
      </c>
      <c r="W728" s="5" t="s">
        <v>72</v>
      </c>
      <c r="X728" s="5" t="s">
        <v>72</v>
      </c>
      <c r="Y728" s="4">
        <v>1382</v>
      </c>
      <c r="Z728" s="4">
        <v>46</v>
      </c>
      <c r="AA728" s="4">
        <v>60</v>
      </c>
      <c r="AB728" s="4">
        <v>4</v>
      </c>
      <c r="AC728" s="4">
        <v>6</v>
      </c>
      <c r="AD728" s="4">
        <v>91</v>
      </c>
      <c r="AE728" s="4">
        <v>105</v>
      </c>
      <c r="AF728" s="4">
        <v>1</v>
      </c>
      <c r="AG728" s="4">
        <v>2</v>
      </c>
      <c r="AH728" s="4">
        <v>75</v>
      </c>
      <c r="AI728" s="4">
        <v>86</v>
      </c>
      <c r="AJ728" s="4">
        <v>14</v>
      </c>
      <c r="AK728" s="4">
        <v>18</v>
      </c>
      <c r="AL728" s="4">
        <v>37</v>
      </c>
      <c r="AM728" s="4">
        <v>42</v>
      </c>
      <c r="AN728" s="4">
        <v>0</v>
      </c>
      <c r="AO728" s="4">
        <v>0</v>
      </c>
      <c r="AP728" s="4">
        <v>20</v>
      </c>
      <c r="AQ728" s="4">
        <v>24</v>
      </c>
      <c r="AR728" s="3" t="s">
        <v>64</v>
      </c>
      <c r="AS728" s="3" t="s">
        <v>64</v>
      </c>
      <c r="AT728" s="3" t="s">
        <v>64</v>
      </c>
      <c r="AV728" s="6" t="str">
        <f>HYPERLINK("http://mcgill.on.worldcat.org/oclc/320432478","Catalog Record")</f>
        <v>Catalog Record</v>
      </c>
      <c r="AW728" s="6" t="str">
        <f>HYPERLINK("http://www.worldcat.org/oclc/320432478","WorldCat Record")</f>
        <v>WorldCat Record</v>
      </c>
      <c r="AX728" s="3" t="s">
        <v>7581</v>
      </c>
      <c r="AY728" s="3" t="s">
        <v>7582</v>
      </c>
      <c r="AZ728" s="3" t="s">
        <v>7583</v>
      </c>
      <c r="BA728" s="3" t="s">
        <v>7583</v>
      </c>
      <c r="BB728" s="3" t="s">
        <v>7584</v>
      </c>
      <c r="BC728" s="3" t="s">
        <v>78</v>
      </c>
      <c r="BD728" s="3" t="s">
        <v>79</v>
      </c>
      <c r="BE728" s="3" t="s">
        <v>7585</v>
      </c>
      <c r="BF728" s="3" t="s">
        <v>7584</v>
      </c>
      <c r="BG728" s="3" t="s">
        <v>7586</v>
      </c>
    </row>
    <row r="729" spans="1:59" ht="58" x14ac:dyDescent="0.35">
      <c r="A729" s="2" t="s">
        <v>59</v>
      </c>
      <c r="B729" s="2" t="s">
        <v>94</v>
      </c>
      <c r="C729" s="2" t="s">
        <v>7587</v>
      </c>
      <c r="D729" s="2" t="s">
        <v>7588</v>
      </c>
      <c r="E729" s="2" t="s">
        <v>7589</v>
      </c>
      <c r="G729" s="3" t="s">
        <v>64</v>
      </c>
      <c r="I729" s="3" t="s">
        <v>64</v>
      </c>
      <c r="J729" s="3" t="s">
        <v>64</v>
      </c>
      <c r="K729" s="3" t="s">
        <v>65</v>
      </c>
      <c r="L729" s="2" t="s">
        <v>7590</v>
      </c>
      <c r="M729" s="2" t="s">
        <v>7591</v>
      </c>
      <c r="N729" s="3" t="s">
        <v>719</v>
      </c>
      <c r="P729" s="3" t="s">
        <v>69</v>
      </c>
      <c r="Q729" s="2" t="s">
        <v>7592</v>
      </c>
      <c r="R729" s="3" t="s">
        <v>70</v>
      </c>
      <c r="S729" s="4">
        <v>25</v>
      </c>
      <c r="T729" s="4">
        <v>25</v>
      </c>
      <c r="U729" s="5" t="s">
        <v>7486</v>
      </c>
      <c r="V729" s="5" t="s">
        <v>7486</v>
      </c>
      <c r="W729" s="5" t="s">
        <v>72</v>
      </c>
      <c r="X729" s="5" t="s">
        <v>72</v>
      </c>
      <c r="Y729" s="4">
        <v>844</v>
      </c>
      <c r="Z729" s="4">
        <v>43</v>
      </c>
      <c r="AA729" s="4">
        <v>44</v>
      </c>
      <c r="AB729" s="4">
        <v>2</v>
      </c>
      <c r="AC729" s="4">
        <v>3</v>
      </c>
      <c r="AD729" s="4">
        <v>130</v>
      </c>
      <c r="AE729" s="4">
        <v>131</v>
      </c>
      <c r="AF729" s="4">
        <v>0</v>
      </c>
      <c r="AG729" s="4">
        <v>1</v>
      </c>
      <c r="AH729" s="4">
        <v>108</v>
      </c>
      <c r="AI729" s="4">
        <v>108</v>
      </c>
      <c r="AJ729" s="4">
        <v>16</v>
      </c>
      <c r="AK729" s="4">
        <v>17</v>
      </c>
      <c r="AL729" s="4">
        <v>59</v>
      </c>
      <c r="AM729" s="4">
        <v>59</v>
      </c>
      <c r="AN729" s="4">
        <v>0</v>
      </c>
      <c r="AO729" s="4">
        <v>0</v>
      </c>
      <c r="AP729" s="4">
        <v>28</v>
      </c>
      <c r="AQ729" s="4">
        <v>28</v>
      </c>
      <c r="AR729" s="3" t="s">
        <v>64</v>
      </c>
      <c r="AS729" s="3" t="s">
        <v>64</v>
      </c>
      <c r="AT729" s="3" t="s">
        <v>64</v>
      </c>
      <c r="AV729" s="6" t="str">
        <f>HYPERLINK("http://mcgill.on.worldcat.org/oclc/10800128","Catalog Record")</f>
        <v>Catalog Record</v>
      </c>
      <c r="AW729" s="6" t="str">
        <f>HYPERLINK("http://www.worldcat.org/oclc/10800128","WorldCat Record")</f>
        <v>WorldCat Record</v>
      </c>
      <c r="AX729" s="3" t="s">
        <v>7593</v>
      </c>
      <c r="AY729" s="3" t="s">
        <v>7594</v>
      </c>
      <c r="AZ729" s="3" t="s">
        <v>7595</v>
      </c>
      <c r="BA729" s="3" t="s">
        <v>7595</v>
      </c>
      <c r="BB729" s="3" t="s">
        <v>7596</v>
      </c>
      <c r="BC729" s="3" t="s">
        <v>78</v>
      </c>
      <c r="BD729" s="3" t="s">
        <v>79</v>
      </c>
      <c r="BE729" s="3" t="s">
        <v>7597</v>
      </c>
      <c r="BF729" s="3" t="s">
        <v>7596</v>
      </c>
      <c r="BG729" s="3" t="s">
        <v>7598</v>
      </c>
    </row>
    <row r="730" spans="1:59" ht="58" x14ac:dyDescent="0.35">
      <c r="A730" s="2" t="s">
        <v>59</v>
      </c>
      <c r="B730" s="2" t="s">
        <v>94</v>
      </c>
      <c r="C730" s="2" t="s">
        <v>7599</v>
      </c>
      <c r="D730" s="2" t="s">
        <v>7600</v>
      </c>
      <c r="E730" s="2" t="s">
        <v>7601</v>
      </c>
      <c r="G730" s="3" t="s">
        <v>64</v>
      </c>
      <c r="I730" s="3" t="s">
        <v>64</v>
      </c>
      <c r="J730" s="3" t="s">
        <v>64</v>
      </c>
      <c r="K730" s="3" t="s">
        <v>65</v>
      </c>
      <c r="L730" s="2" t="s">
        <v>7602</v>
      </c>
      <c r="M730" s="2" t="s">
        <v>7603</v>
      </c>
      <c r="N730" s="3" t="s">
        <v>719</v>
      </c>
      <c r="P730" s="3" t="s">
        <v>69</v>
      </c>
      <c r="R730" s="3" t="s">
        <v>70</v>
      </c>
      <c r="S730" s="4">
        <v>42</v>
      </c>
      <c r="T730" s="4">
        <v>42</v>
      </c>
      <c r="U730" s="5" t="s">
        <v>7407</v>
      </c>
      <c r="V730" s="5" t="s">
        <v>7407</v>
      </c>
      <c r="W730" s="5" t="s">
        <v>72</v>
      </c>
      <c r="X730" s="5" t="s">
        <v>72</v>
      </c>
      <c r="Y730" s="4">
        <v>673</v>
      </c>
      <c r="Z730" s="4">
        <v>29</v>
      </c>
      <c r="AA730" s="4">
        <v>33</v>
      </c>
      <c r="AB730" s="4">
        <v>1</v>
      </c>
      <c r="AC730" s="4">
        <v>2</v>
      </c>
      <c r="AD730" s="4">
        <v>121</v>
      </c>
      <c r="AE730" s="4">
        <v>124</v>
      </c>
      <c r="AF730" s="4">
        <v>0</v>
      </c>
      <c r="AG730" s="4">
        <v>1</v>
      </c>
      <c r="AH730" s="4">
        <v>104</v>
      </c>
      <c r="AI730" s="4">
        <v>106</v>
      </c>
      <c r="AJ730" s="4">
        <v>16</v>
      </c>
      <c r="AK730" s="4">
        <v>19</v>
      </c>
      <c r="AL730" s="4">
        <v>57</v>
      </c>
      <c r="AM730" s="4">
        <v>57</v>
      </c>
      <c r="AN730" s="4">
        <v>0</v>
      </c>
      <c r="AO730" s="4">
        <v>0</v>
      </c>
      <c r="AP730" s="4">
        <v>24</v>
      </c>
      <c r="AQ730" s="4">
        <v>27</v>
      </c>
      <c r="AR730" s="3" t="s">
        <v>64</v>
      </c>
      <c r="AS730" s="3" t="s">
        <v>64</v>
      </c>
      <c r="AT730" s="3" t="s">
        <v>64</v>
      </c>
      <c r="AV730" s="6" t="str">
        <f>HYPERLINK("http://mcgill.on.worldcat.org/oclc/9893709","Catalog Record")</f>
        <v>Catalog Record</v>
      </c>
      <c r="AW730" s="6" t="str">
        <f>HYPERLINK("http://www.worldcat.org/oclc/9893709","WorldCat Record")</f>
        <v>WorldCat Record</v>
      </c>
      <c r="AX730" s="3" t="s">
        <v>7604</v>
      </c>
      <c r="AY730" s="3" t="s">
        <v>7605</v>
      </c>
      <c r="AZ730" s="3" t="s">
        <v>7606</v>
      </c>
      <c r="BA730" s="3" t="s">
        <v>7606</v>
      </c>
      <c r="BB730" s="3" t="s">
        <v>7607</v>
      </c>
      <c r="BC730" s="3" t="s">
        <v>78</v>
      </c>
      <c r="BD730" s="3" t="s">
        <v>79</v>
      </c>
      <c r="BE730" s="3" t="s">
        <v>7608</v>
      </c>
      <c r="BF730" s="3" t="s">
        <v>7607</v>
      </c>
      <c r="BG730" s="3" t="s">
        <v>7609</v>
      </c>
    </row>
    <row r="731" spans="1:59" ht="58" x14ac:dyDescent="0.35">
      <c r="A731" s="2" t="s">
        <v>59</v>
      </c>
      <c r="B731" s="2" t="s">
        <v>94</v>
      </c>
      <c r="C731" s="2" t="s">
        <v>7610</v>
      </c>
      <c r="D731" s="2" t="s">
        <v>7611</v>
      </c>
      <c r="E731" s="2" t="s">
        <v>7612</v>
      </c>
      <c r="G731" s="3" t="s">
        <v>64</v>
      </c>
      <c r="I731" s="3" t="s">
        <v>64</v>
      </c>
      <c r="J731" s="3" t="s">
        <v>64</v>
      </c>
      <c r="K731" s="3" t="s">
        <v>65</v>
      </c>
      <c r="L731" s="2" t="s">
        <v>7613</v>
      </c>
      <c r="M731" s="2" t="s">
        <v>7614</v>
      </c>
      <c r="N731" s="3" t="s">
        <v>315</v>
      </c>
      <c r="P731" s="3" t="s">
        <v>69</v>
      </c>
      <c r="R731" s="3" t="s">
        <v>70</v>
      </c>
      <c r="S731" s="4">
        <v>12</v>
      </c>
      <c r="T731" s="4">
        <v>12</v>
      </c>
      <c r="U731" s="5" t="s">
        <v>4146</v>
      </c>
      <c r="V731" s="5" t="s">
        <v>4146</v>
      </c>
      <c r="W731" s="5" t="s">
        <v>72</v>
      </c>
      <c r="X731" s="5" t="s">
        <v>72</v>
      </c>
      <c r="Y731" s="4">
        <v>127</v>
      </c>
      <c r="Z731" s="4">
        <v>12</v>
      </c>
      <c r="AA731" s="4">
        <v>21</v>
      </c>
      <c r="AB731" s="4">
        <v>2</v>
      </c>
      <c r="AC731" s="4">
        <v>3</v>
      </c>
      <c r="AD731" s="4">
        <v>50</v>
      </c>
      <c r="AE731" s="4">
        <v>95</v>
      </c>
      <c r="AF731" s="4">
        <v>0</v>
      </c>
      <c r="AG731" s="4">
        <v>0</v>
      </c>
      <c r="AH731" s="4">
        <v>46</v>
      </c>
      <c r="AI731" s="4">
        <v>86</v>
      </c>
      <c r="AJ731" s="4">
        <v>9</v>
      </c>
      <c r="AK731" s="4">
        <v>15</v>
      </c>
      <c r="AL731" s="4">
        <v>30</v>
      </c>
      <c r="AM731" s="4">
        <v>52</v>
      </c>
      <c r="AN731" s="4">
        <v>0</v>
      </c>
      <c r="AO731" s="4">
        <v>0</v>
      </c>
      <c r="AP731" s="4">
        <v>9</v>
      </c>
      <c r="AQ731" s="4">
        <v>16</v>
      </c>
      <c r="AR731" s="3" t="s">
        <v>64</v>
      </c>
      <c r="AS731" s="3" t="s">
        <v>64</v>
      </c>
      <c r="AT731" s="3" t="s">
        <v>73</v>
      </c>
      <c r="AU731" s="6" t="str">
        <f>HYPERLINK("http://catalog.hathitrust.org/Record/000878319","HathiTrust Record")</f>
        <v>HathiTrust Record</v>
      </c>
      <c r="AV731" s="6" t="str">
        <f>HYPERLINK("http://mcgill.on.worldcat.org/oclc/17551603","Catalog Record")</f>
        <v>Catalog Record</v>
      </c>
      <c r="AW731" s="6" t="str">
        <f>HYPERLINK("http://www.worldcat.org/oclc/17551603","WorldCat Record")</f>
        <v>WorldCat Record</v>
      </c>
      <c r="AX731" s="3" t="s">
        <v>7615</v>
      </c>
      <c r="AY731" s="3" t="s">
        <v>7616</v>
      </c>
      <c r="AZ731" s="3" t="s">
        <v>7617</v>
      </c>
      <c r="BA731" s="3" t="s">
        <v>7617</v>
      </c>
      <c r="BB731" s="3" t="s">
        <v>7618</v>
      </c>
      <c r="BC731" s="3" t="s">
        <v>78</v>
      </c>
      <c r="BD731" s="3" t="s">
        <v>79</v>
      </c>
      <c r="BE731" s="3" t="s">
        <v>7619</v>
      </c>
      <c r="BF731" s="3" t="s">
        <v>7618</v>
      </c>
      <c r="BG731" s="3" t="s">
        <v>7620</v>
      </c>
    </row>
    <row r="732" spans="1:59" ht="58" x14ac:dyDescent="0.35">
      <c r="A732" s="2" t="s">
        <v>59</v>
      </c>
      <c r="B732" s="2" t="s">
        <v>94</v>
      </c>
      <c r="C732" s="2" t="s">
        <v>7621</v>
      </c>
      <c r="D732" s="2" t="s">
        <v>7622</v>
      </c>
      <c r="E732" s="2" t="s">
        <v>7623</v>
      </c>
      <c r="G732" s="3" t="s">
        <v>64</v>
      </c>
      <c r="I732" s="3" t="s">
        <v>73</v>
      </c>
      <c r="J732" s="3" t="s">
        <v>64</v>
      </c>
      <c r="K732" s="3" t="s">
        <v>65</v>
      </c>
      <c r="M732" s="2" t="s">
        <v>7624</v>
      </c>
      <c r="N732" s="3" t="s">
        <v>407</v>
      </c>
      <c r="P732" s="3" t="s">
        <v>69</v>
      </c>
      <c r="Q732" s="2" t="s">
        <v>7625</v>
      </c>
      <c r="R732" s="3" t="s">
        <v>70</v>
      </c>
      <c r="S732" s="4">
        <v>23</v>
      </c>
      <c r="T732" s="4">
        <v>35</v>
      </c>
      <c r="U732" s="5" t="s">
        <v>7626</v>
      </c>
      <c r="V732" s="5" t="s">
        <v>7627</v>
      </c>
      <c r="W732" s="5" t="s">
        <v>72</v>
      </c>
      <c r="X732" s="5" t="s">
        <v>72</v>
      </c>
      <c r="Y732" s="4">
        <v>779</v>
      </c>
      <c r="Z732" s="4">
        <v>29</v>
      </c>
      <c r="AA732" s="4">
        <v>31</v>
      </c>
      <c r="AB732" s="4">
        <v>2</v>
      </c>
      <c r="AC732" s="4">
        <v>3</v>
      </c>
      <c r="AD732" s="4">
        <v>115</v>
      </c>
      <c r="AE732" s="4">
        <v>116</v>
      </c>
      <c r="AF732" s="4">
        <v>0</v>
      </c>
      <c r="AG732" s="4">
        <v>1</v>
      </c>
      <c r="AH732" s="4">
        <v>99</v>
      </c>
      <c r="AI732" s="4">
        <v>99</v>
      </c>
      <c r="AJ732" s="4">
        <v>13</v>
      </c>
      <c r="AK732" s="4">
        <v>14</v>
      </c>
      <c r="AL732" s="4">
        <v>59</v>
      </c>
      <c r="AM732" s="4">
        <v>59</v>
      </c>
      <c r="AN732" s="4">
        <v>0</v>
      </c>
      <c r="AO732" s="4">
        <v>0</v>
      </c>
      <c r="AP732" s="4">
        <v>19</v>
      </c>
      <c r="AQ732" s="4">
        <v>20</v>
      </c>
      <c r="AR732" s="3" t="s">
        <v>64</v>
      </c>
      <c r="AS732" s="3" t="s">
        <v>64</v>
      </c>
      <c r="AT732" s="3" t="s">
        <v>73</v>
      </c>
      <c r="AU732" s="6" t="str">
        <f>HYPERLINK("http://catalog.hathitrust.org/Record/000808785","HathiTrust Record")</f>
        <v>HathiTrust Record</v>
      </c>
      <c r="AV732" s="6" t="str">
        <f>HYPERLINK("http://mcgill.on.worldcat.org/oclc/11262097","Catalog Record")</f>
        <v>Catalog Record</v>
      </c>
      <c r="AW732" s="6" t="str">
        <f>HYPERLINK("http://www.worldcat.org/oclc/11262097","WorldCat Record")</f>
        <v>WorldCat Record</v>
      </c>
      <c r="AX732" s="3" t="s">
        <v>7628</v>
      </c>
      <c r="AY732" s="3" t="s">
        <v>7629</v>
      </c>
      <c r="AZ732" s="3" t="s">
        <v>7630</v>
      </c>
      <c r="BA732" s="3" t="s">
        <v>7630</v>
      </c>
      <c r="BB732" s="3" t="s">
        <v>7631</v>
      </c>
      <c r="BC732" s="3" t="s">
        <v>78</v>
      </c>
      <c r="BD732" s="3" t="s">
        <v>79</v>
      </c>
      <c r="BE732" s="3" t="s">
        <v>7632</v>
      </c>
      <c r="BF732" s="3" t="s">
        <v>7631</v>
      </c>
      <c r="BG732" s="3" t="s">
        <v>7633</v>
      </c>
    </row>
    <row r="733" spans="1:59" ht="58" x14ac:dyDescent="0.35">
      <c r="A733" s="2" t="s">
        <v>59</v>
      </c>
      <c r="B733" s="2" t="s">
        <v>94</v>
      </c>
      <c r="C733" s="2" t="s">
        <v>7621</v>
      </c>
      <c r="D733" s="2" t="s">
        <v>7622</v>
      </c>
      <c r="E733" s="2" t="s">
        <v>7623</v>
      </c>
      <c r="G733" s="3" t="s">
        <v>64</v>
      </c>
      <c r="I733" s="3" t="s">
        <v>73</v>
      </c>
      <c r="J733" s="3" t="s">
        <v>64</v>
      </c>
      <c r="K733" s="3" t="s">
        <v>65</v>
      </c>
      <c r="M733" s="2" t="s">
        <v>7624</v>
      </c>
      <c r="N733" s="3" t="s">
        <v>407</v>
      </c>
      <c r="P733" s="3" t="s">
        <v>69</v>
      </c>
      <c r="Q733" s="2" t="s">
        <v>7625</v>
      </c>
      <c r="R733" s="3" t="s">
        <v>70</v>
      </c>
      <c r="S733" s="4">
        <v>12</v>
      </c>
      <c r="T733" s="4">
        <v>35</v>
      </c>
      <c r="U733" s="5" t="s">
        <v>7627</v>
      </c>
      <c r="V733" s="5" t="s">
        <v>7627</v>
      </c>
      <c r="W733" s="5" t="s">
        <v>72</v>
      </c>
      <c r="X733" s="5" t="s">
        <v>72</v>
      </c>
      <c r="Y733" s="4">
        <v>779</v>
      </c>
      <c r="Z733" s="4">
        <v>29</v>
      </c>
      <c r="AA733" s="4">
        <v>31</v>
      </c>
      <c r="AB733" s="4">
        <v>2</v>
      </c>
      <c r="AC733" s="4">
        <v>3</v>
      </c>
      <c r="AD733" s="4">
        <v>115</v>
      </c>
      <c r="AE733" s="4">
        <v>116</v>
      </c>
      <c r="AF733" s="4">
        <v>0</v>
      </c>
      <c r="AG733" s="4">
        <v>1</v>
      </c>
      <c r="AH733" s="4">
        <v>99</v>
      </c>
      <c r="AI733" s="4">
        <v>99</v>
      </c>
      <c r="AJ733" s="4">
        <v>13</v>
      </c>
      <c r="AK733" s="4">
        <v>14</v>
      </c>
      <c r="AL733" s="4">
        <v>59</v>
      </c>
      <c r="AM733" s="4">
        <v>59</v>
      </c>
      <c r="AN733" s="4">
        <v>0</v>
      </c>
      <c r="AO733" s="4">
        <v>0</v>
      </c>
      <c r="AP733" s="4">
        <v>19</v>
      </c>
      <c r="AQ733" s="4">
        <v>20</v>
      </c>
      <c r="AR733" s="3" t="s">
        <v>64</v>
      </c>
      <c r="AS733" s="3" t="s">
        <v>64</v>
      </c>
      <c r="AT733" s="3" t="s">
        <v>73</v>
      </c>
      <c r="AU733" s="6" t="str">
        <f>HYPERLINK("http://catalog.hathitrust.org/Record/000808785","HathiTrust Record")</f>
        <v>HathiTrust Record</v>
      </c>
      <c r="AV733" s="6" t="str">
        <f>HYPERLINK("http://mcgill.on.worldcat.org/oclc/11262097","Catalog Record")</f>
        <v>Catalog Record</v>
      </c>
      <c r="AW733" s="6" t="str">
        <f>HYPERLINK("http://www.worldcat.org/oclc/11262097","WorldCat Record")</f>
        <v>WorldCat Record</v>
      </c>
      <c r="AX733" s="3" t="s">
        <v>7628</v>
      </c>
      <c r="AY733" s="3" t="s">
        <v>7629</v>
      </c>
      <c r="AZ733" s="3" t="s">
        <v>7630</v>
      </c>
      <c r="BA733" s="3" t="s">
        <v>7630</v>
      </c>
      <c r="BB733" s="3" t="s">
        <v>7634</v>
      </c>
      <c r="BC733" s="3" t="s">
        <v>78</v>
      </c>
      <c r="BD733" s="3" t="s">
        <v>79</v>
      </c>
      <c r="BE733" s="3" t="s">
        <v>7632</v>
      </c>
      <c r="BF733" s="3" t="s">
        <v>7634</v>
      </c>
      <c r="BG733" s="3" t="s">
        <v>7635</v>
      </c>
    </row>
    <row r="734" spans="1:59" ht="58" x14ac:dyDescent="0.35">
      <c r="A734" s="2" t="s">
        <v>59</v>
      </c>
      <c r="B734" s="2" t="s">
        <v>94</v>
      </c>
      <c r="C734" s="2" t="s">
        <v>7636</v>
      </c>
      <c r="D734" s="2" t="s">
        <v>7637</v>
      </c>
      <c r="E734" s="2" t="s">
        <v>7638</v>
      </c>
      <c r="G734" s="3" t="s">
        <v>64</v>
      </c>
      <c r="I734" s="3" t="s">
        <v>64</v>
      </c>
      <c r="J734" s="3" t="s">
        <v>64</v>
      </c>
      <c r="K734" s="3" t="s">
        <v>65</v>
      </c>
      <c r="L734" s="2" t="s">
        <v>7639</v>
      </c>
      <c r="M734" s="2" t="s">
        <v>7640</v>
      </c>
      <c r="N734" s="3" t="s">
        <v>136</v>
      </c>
      <c r="P734" s="3" t="s">
        <v>69</v>
      </c>
      <c r="Q734" s="2" t="s">
        <v>7641</v>
      </c>
      <c r="R734" s="3" t="s">
        <v>70</v>
      </c>
      <c r="S734" s="4">
        <v>62</v>
      </c>
      <c r="T734" s="4">
        <v>62</v>
      </c>
      <c r="U734" s="5" t="s">
        <v>7381</v>
      </c>
      <c r="V734" s="5" t="s">
        <v>7381</v>
      </c>
      <c r="W734" s="5" t="s">
        <v>72</v>
      </c>
      <c r="X734" s="5" t="s">
        <v>72</v>
      </c>
      <c r="Y734" s="4">
        <v>440</v>
      </c>
      <c r="Z734" s="4">
        <v>46</v>
      </c>
      <c r="AA734" s="4">
        <v>144</v>
      </c>
      <c r="AB734" s="4">
        <v>3</v>
      </c>
      <c r="AC734" s="4">
        <v>24</v>
      </c>
      <c r="AD734" s="4">
        <v>114</v>
      </c>
      <c r="AE734" s="4">
        <v>159</v>
      </c>
      <c r="AF734" s="4">
        <v>2</v>
      </c>
      <c r="AG734" s="4">
        <v>9</v>
      </c>
      <c r="AH734" s="4">
        <v>88</v>
      </c>
      <c r="AI734" s="4">
        <v>106</v>
      </c>
      <c r="AJ734" s="4">
        <v>21</v>
      </c>
      <c r="AK734" s="4">
        <v>29</v>
      </c>
      <c r="AL734" s="4">
        <v>50</v>
      </c>
      <c r="AM734" s="4">
        <v>55</v>
      </c>
      <c r="AN734" s="4">
        <v>0</v>
      </c>
      <c r="AO734" s="4">
        <v>0</v>
      </c>
      <c r="AP734" s="4">
        <v>32</v>
      </c>
      <c r="AQ734" s="4">
        <v>59</v>
      </c>
      <c r="AR734" s="3" t="s">
        <v>73</v>
      </c>
      <c r="AS734" s="3" t="s">
        <v>64</v>
      </c>
      <c r="AT734" s="3" t="s">
        <v>64</v>
      </c>
      <c r="AV734" s="6" t="str">
        <f>HYPERLINK("http://mcgill.on.worldcat.org/oclc/43282140","Catalog Record")</f>
        <v>Catalog Record</v>
      </c>
      <c r="AW734" s="6" t="str">
        <f>HYPERLINK("http://www.worldcat.org/oclc/43282140","WorldCat Record")</f>
        <v>WorldCat Record</v>
      </c>
      <c r="AX734" s="3" t="s">
        <v>7642</v>
      </c>
      <c r="AY734" s="3" t="s">
        <v>7643</v>
      </c>
      <c r="AZ734" s="3" t="s">
        <v>7644</v>
      </c>
      <c r="BA734" s="3" t="s">
        <v>7644</v>
      </c>
      <c r="BB734" s="3" t="s">
        <v>7645</v>
      </c>
      <c r="BC734" s="3" t="s">
        <v>78</v>
      </c>
      <c r="BD734" s="3" t="s">
        <v>79</v>
      </c>
      <c r="BE734" s="3" t="s">
        <v>7646</v>
      </c>
      <c r="BF734" s="3" t="s">
        <v>7645</v>
      </c>
      <c r="BG734" s="3" t="s">
        <v>7647</v>
      </c>
    </row>
    <row r="735" spans="1:59" ht="58" x14ac:dyDescent="0.35">
      <c r="A735" s="2" t="s">
        <v>59</v>
      </c>
      <c r="B735" s="2" t="s">
        <v>94</v>
      </c>
      <c r="C735" s="2" t="s">
        <v>7648</v>
      </c>
      <c r="D735" s="2" t="s">
        <v>7649</v>
      </c>
      <c r="E735" s="2" t="s">
        <v>7650</v>
      </c>
      <c r="G735" s="3" t="s">
        <v>64</v>
      </c>
      <c r="I735" s="3" t="s">
        <v>64</v>
      </c>
      <c r="J735" s="3" t="s">
        <v>64</v>
      </c>
      <c r="K735" s="3" t="s">
        <v>65</v>
      </c>
      <c r="L735" s="2" t="s">
        <v>7639</v>
      </c>
      <c r="M735" s="2" t="s">
        <v>7651</v>
      </c>
      <c r="N735" s="3" t="s">
        <v>1029</v>
      </c>
      <c r="P735" s="3" t="s">
        <v>69</v>
      </c>
      <c r="R735" s="3" t="s">
        <v>70</v>
      </c>
      <c r="S735" s="4">
        <v>33</v>
      </c>
      <c r="T735" s="4">
        <v>33</v>
      </c>
      <c r="U735" s="5" t="s">
        <v>7652</v>
      </c>
      <c r="V735" s="5" t="s">
        <v>7652</v>
      </c>
      <c r="W735" s="5" t="s">
        <v>72</v>
      </c>
      <c r="X735" s="5" t="s">
        <v>72</v>
      </c>
      <c r="Y735" s="4">
        <v>223</v>
      </c>
      <c r="Z735" s="4">
        <v>22</v>
      </c>
      <c r="AA735" s="4">
        <v>91</v>
      </c>
      <c r="AB735" s="4">
        <v>3</v>
      </c>
      <c r="AC735" s="4">
        <v>15</v>
      </c>
      <c r="AD735" s="4">
        <v>75</v>
      </c>
      <c r="AE735" s="4">
        <v>122</v>
      </c>
      <c r="AF735" s="4">
        <v>1</v>
      </c>
      <c r="AG735" s="4">
        <v>8</v>
      </c>
      <c r="AH735" s="4">
        <v>67</v>
      </c>
      <c r="AI735" s="4">
        <v>89</v>
      </c>
      <c r="AJ735" s="4">
        <v>12</v>
      </c>
      <c r="AK735" s="4">
        <v>21</v>
      </c>
      <c r="AL735" s="4">
        <v>44</v>
      </c>
      <c r="AM735" s="4">
        <v>48</v>
      </c>
      <c r="AN735" s="4">
        <v>0</v>
      </c>
      <c r="AO735" s="4">
        <v>0</v>
      </c>
      <c r="AP735" s="4">
        <v>13</v>
      </c>
      <c r="AQ735" s="4">
        <v>41</v>
      </c>
      <c r="AR735" s="3" t="s">
        <v>64</v>
      </c>
      <c r="AS735" s="3" t="s">
        <v>64</v>
      </c>
      <c r="AT735" s="3" t="s">
        <v>64</v>
      </c>
      <c r="AV735" s="6" t="str">
        <f>HYPERLINK("http://mcgill.on.worldcat.org/oclc/232391075","Catalog Record")</f>
        <v>Catalog Record</v>
      </c>
      <c r="AW735" s="6" t="str">
        <f>HYPERLINK("http://www.worldcat.org/oclc/232391075","WorldCat Record")</f>
        <v>WorldCat Record</v>
      </c>
      <c r="AX735" s="3" t="s">
        <v>7653</v>
      </c>
      <c r="AY735" s="3" t="s">
        <v>7654</v>
      </c>
      <c r="AZ735" s="3" t="s">
        <v>7655</v>
      </c>
      <c r="BA735" s="3" t="s">
        <v>7655</v>
      </c>
      <c r="BB735" s="3" t="s">
        <v>7656</v>
      </c>
      <c r="BC735" s="3" t="s">
        <v>78</v>
      </c>
      <c r="BD735" s="3" t="s">
        <v>79</v>
      </c>
      <c r="BE735" s="3" t="s">
        <v>7657</v>
      </c>
      <c r="BF735" s="3" t="s">
        <v>7656</v>
      </c>
      <c r="BG735" s="3" t="s">
        <v>7658</v>
      </c>
    </row>
    <row r="736" spans="1:59" ht="58" x14ac:dyDescent="0.35">
      <c r="A736" s="2" t="s">
        <v>59</v>
      </c>
      <c r="B736" s="2" t="s">
        <v>94</v>
      </c>
      <c r="C736" s="2" t="s">
        <v>7659</v>
      </c>
      <c r="D736" s="2" t="s">
        <v>7660</v>
      </c>
      <c r="E736" s="2" t="s">
        <v>7661</v>
      </c>
      <c r="G736" s="3" t="s">
        <v>64</v>
      </c>
      <c r="I736" s="3" t="s">
        <v>64</v>
      </c>
      <c r="J736" s="3" t="s">
        <v>64</v>
      </c>
      <c r="K736" s="3" t="s">
        <v>65</v>
      </c>
      <c r="L736" s="2" t="s">
        <v>7662</v>
      </c>
      <c r="M736" s="2" t="s">
        <v>7663</v>
      </c>
      <c r="N736" s="3" t="s">
        <v>315</v>
      </c>
      <c r="P736" s="3" t="s">
        <v>69</v>
      </c>
      <c r="R736" s="3" t="s">
        <v>70</v>
      </c>
      <c r="S736" s="4">
        <v>15</v>
      </c>
      <c r="T736" s="4">
        <v>15</v>
      </c>
      <c r="U736" s="5" t="s">
        <v>276</v>
      </c>
      <c r="V736" s="5" t="s">
        <v>276</v>
      </c>
      <c r="W736" s="5" t="s">
        <v>72</v>
      </c>
      <c r="X736" s="5" t="s">
        <v>72</v>
      </c>
      <c r="Y736" s="4">
        <v>999</v>
      </c>
      <c r="Z736" s="4">
        <v>39</v>
      </c>
      <c r="AA736" s="4">
        <v>111</v>
      </c>
      <c r="AB736" s="4">
        <v>4</v>
      </c>
      <c r="AC736" s="4">
        <v>18</v>
      </c>
      <c r="AD736" s="4">
        <v>126</v>
      </c>
      <c r="AE736" s="4">
        <v>159</v>
      </c>
      <c r="AF736" s="4">
        <v>2</v>
      </c>
      <c r="AG736" s="4">
        <v>8</v>
      </c>
      <c r="AH736" s="4">
        <v>106</v>
      </c>
      <c r="AI736" s="4">
        <v>115</v>
      </c>
      <c r="AJ736" s="4">
        <v>20</v>
      </c>
      <c r="AK736" s="4">
        <v>28</v>
      </c>
      <c r="AL736" s="4">
        <v>59</v>
      </c>
      <c r="AM736" s="4">
        <v>61</v>
      </c>
      <c r="AN736" s="4">
        <v>0</v>
      </c>
      <c r="AO736" s="4">
        <v>0</v>
      </c>
      <c r="AP736" s="4">
        <v>25</v>
      </c>
      <c r="AQ736" s="4">
        <v>51</v>
      </c>
      <c r="AR736" s="3" t="s">
        <v>64</v>
      </c>
      <c r="AS736" s="3" t="s">
        <v>64</v>
      </c>
      <c r="AT736" s="3" t="s">
        <v>73</v>
      </c>
      <c r="AU736" s="6" t="str">
        <f>HYPERLINK("http://catalog.hathitrust.org/Record/000827695","HathiTrust Record")</f>
        <v>HathiTrust Record</v>
      </c>
      <c r="AV736" s="6" t="str">
        <f>HYPERLINK("http://mcgill.on.worldcat.org/oclc/14691888","Catalog Record")</f>
        <v>Catalog Record</v>
      </c>
      <c r="AW736" s="6" t="str">
        <f>HYPERLINK("http://www.worldcat.org/oclc/14691888","WorldCat Record")</f>
        <v>WorldCat Record</v>
      </c>
      <c r="AX736" s="3" t="s">
        <v>7664</v>
      </c>
      <c r="AY736" s="3" t="s">
        <v>7665</v>
      </c>
      <c r="AZ736" s="3" t="s">
        <v>7666</v>
      </c>
      <c r="BA736" s="3" t="s">
        <v>7666</v>
      </c>
      <c r="BB736" s="3" t="s">
        <v>7667</v>
      </c>
      <c r="BC736" s="3" t="s">
        <v>78</v>
      </c>
      <c r="BD736" s="3" t="s">
        <v>79</v>
      </c>
      <c r="BE736" s="3" t="s">
        <v>7668</v>
      </c>
      <c r="BF736" s="3" t="s">
        <v>7667</v>
      </c>
      <c r="BG736" s="3" t="s">
        <v>7669</v>
      </c>
    </row>
    <row r="737" spans="1:59" ht="58" x14ac:dyDescent="0.35">
      <c r="A737" s="2" t="s">
        <v>59</v>
      </c>
      <c r="B737" s="2" t="s">
        <v>94</v>
      </c>
      <c r="C737" s="2" t="s">
        <v>7670</v>
      </c>
      <c r="D737" s="2" t="s">
        <v>7671</v>
      </c>
      <c r="E737" s="2" t="s">
        <v>7672</v>
      </c>
      <c r="G737" s="3" t="s">
        <v>64</v>
      </c>
      <c r="I737" s="3" t="s">
        <v>64</v>
      </c>
      <c r="J737" s="3" t="s">
        <v>64</v>
      </c>
      <c r="K737" s="3" t="s">
        <v>65</v>
      </c>
      <c r="L737" s="2" t="s">
        <v>7673</v>
      </c>
      <c r="M737" s="2" t="s">
        <v>7674</v>
      </c>
      <c r="N737" s="3" t="s">
        <v>538</v>
      </c>
      <c r="O737" s="2" t="s">
        <v>1294</v>
      </c>
      <c r="P737" s="3" t="s">
        <v>69</v>
      </c>
      <c r="R737" s="3" t="s">
        <v>70</v>
      </c>
      <c r="S737" s="4">
        <v>7</v>
      </c>
      <c r="T737" s="4">
        <v>7</v>
      </c>
      <c r="U737" s="5" t="s">
        <v>2167</v>
      </c>
      <c r="V737" s="5" t="s">
        <v>2167</v>
      </c>
      <c r="W737" s="5" t="s">
        <v>72</v>
      </c>
      <c r="X737" s="5" t="s">
        <v>72</v>
      </c>
      <c r="Y737" s="4">
        <v>1414</v>
      </c>
      <c r="Z737" s="4">
        <v>51</v>
      </c>
      <c r="AA737" s="4">
        <v>61</v>
      </c>
      <c r="AB737" s="4">
        <v>4</v>
      </c>
      <c r="AC737" s="4">
        <v>6</v>
      </c>
      <c r="AD737" s="4">
        <v>111</v>
      </c>
      <c r="AE737" s="4">
        <v>124</v>
      </c>
      <c r="AF737" s="4">
        <v>1</v>
      </c>
      <c r="AG737" s="4">
        <v>2</v>
      </c>
      <c r="AH737" s="4">
        <v>93</v>
      </c>
      <c r="AI737" s="4">
        <v>98</v>
      </c>
      <c r="AJ737" s="4">
        <v>17</v>
      </c>
      <c r="AK737" s="4">
        <v>21</v>
      </c>
      <c r="AL737" s="4">
        <v>50</v>
      </c>
      <c r="AM737" s="4">
        <v>53</v>
      </c>
      <c r="AN737" s="4">
        <v>0</v>
      </c>
      <c r="AO737" s="4">
        <v>0</v>
      </c>
      <c r="AP737" s="4">
        <v>24</v>
      </c>
      <c r="AQ737" s="4">
        <v>32</v>
      </c>
      <c r="AR737" s="3" t="s">
        <v>64</v>
      </c>
      <c r="AS737" s="3" t="s">
        <v>64</v>
      </c>
      <c r="AT737" s="3" t="s">
        <v>64</v>
      </c>
      <c r="AV737" s="6" t="str">
        <f>HYPERLINK("http://mcgill.on.worldcat.org/oclc/137325021","Catalog Record")</f>
        <v>Catalog Record</v>
      </c>
      <c r="AW737" s="6" t="str">
        <f>HYPERLINK("http://www.worldcat.org/oclc/137325021","WorldCat Record")</f>
        <v>WorldCat Record</v>
      </c>
      <c r="AX737" s="3" t="s">
        <v>7675</v>
      </c>
      <c r="AY737" s="3" t="s">
        <v>7676</v>
      </c>
      <c r="AZ737" s="3" t="s">
        <v>7677</v>
      </c>
      <c r="BA737" s="3" t="s">
        <v>7677</v>
      </c>
      <c r="BB737" s="3" t="s">
        <v>7678</v>
      </c>
      <c r="BC737" s="3" t="s">
        <v>78</v>
      </c>
      <c r="BD737" s="3" t="s">
        <v>79</v>
      </c>
      <c r="BE737" s="3" t="s">
        <v>7679</v>
      </c>
      <c r="BF737" s="3" t="s">
        <v>7678</v>
      </c>
      <c r="BG737" s="3" t="s">
        <v>7680</v>
      </c>
    </row>
    <row r="738" spans="1:59" ht="58" x14ac:dyDescent="0.35">
      <c r="A738" s="2" t="s">
        <v>59</v>
      </c>
      <c r="B738" s="2" t="s">
        <v>94</v>
      </c>
      <c r="C738" s="2" t="s">
        <v>7681</v>
      </c>
      <c r="D738" s="2" t="s">
        <v>7682</v>
      </c>
      <c r="E738" s="2" t="s">
        <v>7683</v>
      </c>
      <c r="G738" s="3" t="s">
        <v>64</v>
      </c>
      <c r="I738" s="3" t="s">
        <v>64</v>
      </c>
      <c r="J738" s="3" t="s">
        <v>64</v>
      </c>
      <c r="K738" s="3" t="s">
        <v>65</v>
      </c>
      <c r="L738" s="2" t="s">
        <v>7684</v>
      </c>
      <c r="M738" s="2" t="s">
        <v>7685</v>
      </c>
      <c r="N738" s="3" t="s">
        <v>1320</v>
      </c>
      <c r="O738" s="2" t="s">
        <v>1294</v>
      </c>
      <c r="P738" s="3" t="s">
        <v>69</v>
      </c>
      <c r="R738" s="3" t="s">
        <v>70</v>
      </c>
      <c r="S738" s="4">
        <v>143</v>
      </c>
      <c r="T738" s="4">
        <v>143</v>
      </c>
      <c r="U738" s="5" t="s">
        <v>7686</v>
      </c>
      <c r="V738" s="5" t="s">
        <v>7686</v>
      </c>
      <c r="W738" s="5" t="s">
        <v>72</v>
      </c>
      <c r="X738" s="5" t="s">
        <v>72</v>
      </c>
      <c r="Y738" s="4">
        <v>738</v>
      </c>
      <c r="Z738" s="4">
        <v>31</v>
      </c>
      <c r="AA738" s="4">
        <v>37</v>
      </c>
      <c r="AB738" s="4">
        <v>1</v>
      </c>
      <c r="AC738" s="4">
        <v>2</v>
      </c>
      <c r="AD738" s="4">
        <v>107</v>
      </c>
      <c r="AE738" s="4">
        <v>114</v>
      </c>
      <c r="AF738" s="4">
        <v>0</v>
      </c>
      <c r="AG738" s="4">
        <v>1</v>
      </c>
      <c r="AH738" s="4">
        <v>96</v>
      </c>
      <c r="AI738" s="4">
        <v>100</v>
      </c>
      <c r="AJ738" s="4">
        <v>13</v>
      </c>
      <c r="AK738" s="4">
        <v>14</v>
      </c>
      <c r="AL738" s="4">
        <v>54</v>
      </c>
      <c r="AM738" s="4">
        <v>55</v>
      </c>
      <c r="AN738" s="4">
        <v>0</v>
      </c>
      <c r="AO738" s="4">
        <v>0</v>
      </c>
      <c r="AP738" s="4">
        <v>15</v>
      </c>
      <c r="AQ738" s="4">
        <v>17</v>
      </c>
      <c r="AR738" s="3" t="s">
        <v>64</v>
      </c>
      <c r="AS738" s="3" t="s">
        <v>64</v>
      </c>
      <c r="AT738" s="3" t="s">
        <v>64</v>
      </c>
      <c r="AV738" s="6" t="str">
        <f>HYPERLINK("http://mcgill.on.worldcat.org/oclc/31206086","Catalog Record")</f>
        <v>Catalog Record</v>
      </c>
      <c r="AW738" s="6" t="str">
        <f>HYPERLINK("http://www.worldcat.org/oclc/31206086","WorldCat Record")</f>
        <v>WorldCat Record</v>
      </c>
      <c r="AX738" s="3" t="s">
        <v>7687</v>
      </c>
      <c r="AY738" s="3" t="s">
        <v>7688</v>
      </c>
      <c r="AZ738" s="3" t="s">
        <v>7689</v>
      </c>
      <c r="BA738" s="3" t="s">
        <v>7689</v>
      </c>
      <c r="BB738" s="3" t="s">
        <v>7690</v>
      </c>
      <c r="BC738" s="3" t="s">
        <v>78</v>
      </c>
      <c r="BD738" s="3" t="s">
        <v>79</v>
      </c>
      <c r="BE738" s="3" t="s">
        <v>7691</v>
      </c>
      <c r="BF738" s="3" t="s">
        <v>7690</v>
      </c>
      <c r="BG738" s="3" t="s">
        <v>7692</v>
      </c>
    </row>
    <row r="739" spans="1:59" ht="58" x14ac:dyDescent="0.35">
      <c r="A739" s="2" t="s">
        <v>59</v>
      </c>
      <c r="B739" s="2" t="s">
        <v>94</v>
      </c>
      <c r="C739" s="2" t="s">
        <v>7693</v>
      </c>
      <c r="D739" s="2" t="s">
        <v>7694</v>
      </c>
      <c r="E739" s="2" t="s">
        <v>7695</v>
      </c>
      <c r="G739" s="3" t="s">
        <v>64</v>
      </c>
      <c r="I739" s="3" t="s">
        <v>64</v>
      </c>
      <c r="J739" s="3" t="s">
        <v>64</v>
      </c>
      <c r="K739" s="3" t="s">
        <v>2292</v>
      </c>
      <c r="L739" s="2" t="s">
        <v>7696</v>
      </c>
      <c r="M739" s="2" t="s">
        <v>7697</v>
      </c>
      <c r="N739" s="3" t="s">
        <v>473</v>
      </c>
      <c r="P739" s="3" t="s">
        <v>69</v>
      </c>
      <c r="R739" s="3" t="s">
        <v>70</v>
      </c>
      <c r="S739" s="4">
        <v>21</v>
      </c>
      <c r="T739" s="4">
        <v>21</v>
      </c>
      <c r="U739" s="5" t="s">
        <v>603</v>
      </c>
      <c r="V739" s="5" t="s">
        <v>603</v>
      </c>
      <c r="W739" s="5" t="s">
        <v>72</v>
      </c>
      <c r="X739" s="5" t="s">
        <v>72</v>
      </c>
      <c r="Y739" s="4">
        <v>418</v>
      </c>
      <c r="Z739" s="4">
        <v>23</v>
      </c>
      <c r="AA739" s="4">
        <v>25</v>
      </c>
      <c r="AB739" s="4">
        <v>1</v>
      </c>
      <c r="AC739" s="4">
        <v>2</v>
      </c>
      <c r="AD739" s="4">
        <v>115</v>
      </c>
      <c r="AE739" s="4">
        <v>116</v>
      </c>
      <c r="AF739" s="4">
        <v>0</v>
      </c>
      <c r="AG739" s="4">
        <v>0</v>
      </c>
      <c r="AH739" s="4">
        <v>101</v>
      </c>
      <c r="AI739" s="4">
        <v>102</v>
      </c>
      <c r="AJ739" s="4">
        <v>15</v>
      </c>
      <c r="AK739" s="4">
        <v>15</v>
      </c>
      <c r="AL739" s="4">
        <v>58</v>
      </c>
      <c r="AM739" s="4">
        <v>58</v>
      </c>
      <c r="AN739" s="4">
        <v>0</v>
      </c>
      <c r="AO739" s="4">
        <v>0</v>
      </c>
      <c r="AP739" s="4">
        <v>18</v>
      </c>
      <c r="AQ739" s="4">
        <v>18</v>
      </c>
      <c r="AR739" s="3" t="s">
        <v>64</v>
      </c>
      <c r="AS739" s="3" t="s">
        <v>64</v>
      </c>
      <c r="AT739" s="3" t="s">
        <v>64</v>
      </c>
      <c r="AV739" s="6" t="str">
        <f>HYPERLINK("http://mcgill.on.worldcat.org/oclc/19773611","Catalog Record")</f>
        <v>Catalog Record</v>
      </c>
      <c r="AW739" s="6" t="str">
        <f>HYPERLINK("http://www.worldcat.org/oclc/19773611","WorldCat Record")</f>
        <v>WorldCat Record</v>
      </c>
      <c r="AX739" s="3" t="s">
        <v>7698</v>
      </c>
      <c r="AY739" s="3" t="s">
        <v>7699</v>
      </c>
      <c r="AZ739" s="3" t="s">
        <v>7700</v>
      </c>
      <c r="BA739" s="3" t="s">
        <v>7700</v>
      </c>
      <c r="BB739" s="3" t="s">
        <v>7701</v>
      </c>
      <c r="BC739" s="3" t="s">
        <v>78</v>
      </c>
      <c r="BD739" s="3" t="s">
        <v>79</v>
      </c>
      <c r="BE739" s="3" t="s">
        <v>7702</v>
      </c>
      <c r="BF739" s="3" t="s">
        <v>7701</v>
      </c>
      <c r="BG739" s="3" t="s">
        <v>7703</v>
      </c>
    </row>
    <row r="740" spans="1:59" ht="58" x14ac:dyDescent="0.35">
      <c r="A740" s="2" t="s">
        <v>59</v>
      </c>
      <c r="B740" s="2" t="s">
        <v>94</v>
      </c>
      <c r="C740" s="2" t="s">
        <v>7704</v>
      </c>
      <c r="D740" s="2" t="s">
        <v>7705</v>
      </c>
      <c r="E740" s="2" t="s">
        <v>7706</v>
      </c>
      <c r="G740" s="3" t="s">
        <v>64</v>
      </c>
      <c r="I740" s="3" t="s">
        <v>64</v>
      </c>
      <c r="J740" s="3" t="s">
        <v>64</v>
      </c>
      <c r="K740" s="3" t="s">
        <v>65</v>
      </c>
      <c r="L740" s="2" t="s">
        <v>7707</v>
      </c>
      <c r="M740" s="2" t="s">
        <v>7708</v>
      </c>
      <c r="N740" s="3" t="s">
        <v>449</v>
      </c>
      <c r="P740" s="3" t="s">
        <v>69</v>
      </c>
      <c r="Q740" s="2" t="s">
        <v>7709</v>
      </c>
      <c r="R740" s="3" t="s">
        <v>70</v>
      </c>
      <c r="S740" s="4">
        <v>5</v>
      </c>
      <c r="T740" s="4">
        <v>5</v>
      </c>
      <c r="U740" s="5" t="s">
        <v>7686</v>
      </c>
      <c r="V740" s="5" t="s">
        <v>7686</v>
      </c>
      <c r="W740" s="5" t="s">
        <v>72</v>
      </c>
      <c r="X740" s="5" t="s">
        <v>72</v>
      </c>
      <c r="Y740" s="4">
        <v>397</v>
      </c>
      <c r="Z740" s="4">
        <v>31</v>
      </c>
      <c r="AA740" s="4">
        <v>115</v>
      </c>
      <c r="AB740" s="4">
        <v>4</v>
      </c>
      <c r="AC740" s="4">
        <v>19</v>
      </c>
      <c r="AD740" s="4">
        <v>63</v>
      </c>
      <c r="AE740" s="4">
        <v>141</v>
      </c>
      <c r="AF740" s="4">
        <v>1</v>
      </c>
      <c r="AG740" s="4">
        <v>8</v>
      </c>
      <c r="AH740" s="4">
        <v>52</v>
      </c>
      <c r="AI740" s="4">
        <v>99</v>
      </c>
      <c r="AJ740" s="4">
        <v>13</v>
      </c>
      <c r="AK740" s="4">
        <v>26</v>
      </c>
      <c r="AL740" s="4">
        <v>33</v>
      </c>
      <c r="AM740" s="4">
        <v>53</v>
      </c>
      <c r="AN740" s="4">
        <v>0</v>
      </c>
      <c r="AO740" s="4">
        <v>0</v>
      </c>
      <c r="AP740" s="4">
        <v>15</v>
      </c>
      <c r="AQ740" s="4">
        <v>49</v>
      </c>
      <c r="AR740" s="3" t="s">
        <v>64</v>
      </c>
      <c r="AS740" s="3" t="s">
        <v>64</v>
      </c>
      <c r="AT740" s="3" t="s">
        <v>64</v>
      </c>
      <c r="AV740" s="6" t="str">
        <f>HYPERLINK("http://mcgill.on.worldcat.org/oclc/182552878","Catalog Record")</f>
        <v>Catalog Record</v>
      </c>
      <c r="AW740" s="6" t="str">
        <f>HYPERLINK("http://www.worldcat.org/oclc/182552878","WorldCat Record")</f>
        <v>WorldCat Record</v>
      </c>
      <c r="AX740" s="3" t="s">
        <v>7710</v>
      </c>
      <c r="AY740" s="3" t="s">
        <v>7711</v>
      </c>
      <c r="AZ740" s="3" t="s">
        <v>7712</v>
      </c>
      <c r="BA740" s="3" t="s">
        <v>7712</v>
      </c>
      <c r="BB740" s="3" t="s">
        <v>7713</v>
      </c>
      <c r="BC740" s="3" t="s">
        <v>78</v>
      </c>
      <c r="BD740" s="3" t="s">
        <v>79</v>
      </c>
      <c r="BE740" s="3" t="s">
        <v>7714</v>
      </c>
      <c r="BF740" s="3" t="s">
        <v>7713</v>
      </c>
      <c r="BG740" s="3" t="s">
        <v>7715</v>
      </c>
    </row>
    <row r="741" spans="1:59" ht="58" x14ac:dyDescent="0.35">
      <c r="A741" s="2" t="s">
        <v>59</v>
      </c>
      <c r="B741" s="2" t="s">
        <v>94</v>
      </c>
      <c r="C741" s="2" t="s">
        <v>7716</v>
      </c>
      <c r="D741" s="2" t="s">
        <v>7717</v>
      </c>
      <c r="E741" s="2" t="s">
        <v>7718</v>
      </c>
      <c r="G741" s="3" t="s">
        <v>64</v>
      </c>
      <c r="I741" s="3" t="s">
        <v>73</v>
      </c>
      <c r="J741" s="3" t="s">
        <v>73</v>
      </c>
      <c r="K741" s="3" t="s">
        <v>65</v>
      </c>
      <c r="L741" s="2" t="s">
        <v>7719</v>
      </c>
      <c r="M741" s="2" t="s">
        <v>7720</v>
      </c>
      <c r="N741" s="3" t="s">
        <v>315</v>
      </c>
      <c r="O741" s="2" t="s">
        <v>638</v>
      </c>
      <c r="P741" s="3" t="s">
        <v>69</v>
      </c>
      <c r="R741" s="3" t="s">
        <v>70</v>
      </c>
      <c r="S741" s="4">
        <v>2</v>
      </c>
      <c r="T741" s="4">
        <v>29</v>
      </c>
      <c r="U741" s="5" t="s">
        <v>6048</v>
      </c>
      <c r="V741" s="5" t="s">
        <v>6048</v>
      </c>
      <c r="W741" s="5" t="s">
        <v>72</v>
      </c>
      <c r="X741" s="5" t="s">
        <v>72</v>
      </c>
      <c r="Y741" s="4">
        <v>305</v>
      </c>
      <c r="Z741" s="4">
        <v>8</v>
      </c>
      <c r="AA741" s="4">
        <v>32</v>
      </c>
      <c r="AB741" s="4">
        <v>1</v>
      </c>
      <c r="AC741" s="4">
        <v>1</v>
      </c>
      <c r="AD741" s="4">
        <v>79</v>
      </c>
      <c r="AE741" s="4">
        <v>129</v>
      </c>
      <c r="AF741" s="4">
        <v>0</v>
      </c>
      <c r="AG741" s="4">
        <v>0</v>
      </c>
      <c r="AH741" s="4">
        <v>74</v>
      </c>
      <c r="AI741" s="4">
        <v>111</v>
      </c>
      <c r="AJ741" s="4">
        <v>4</v>
      </c>
      <c r="AK741" s="4">
        <v>19</v>
      </c>
      <c r="AL741" s="4">
        <v>43</v>
      </c>
      <c r="AM741" s="4">
        <v>59</v>
      </c>
      <c r="AN741" s="4">
        <v>0</v>
      </c>
      <c r="AO741" s="4">
        <v>5</v>
      </c>
      <c r="AP741" s="4">
        <v>6</v>
      </c>
      <c r="AQ741" s="4">
        <v>28</v>
      </c>
      <c r="AR741" s="3" t="s">
        <v>64</v>
      </c>
      <c r="AS741" s="3" t="s">
        <v>64</v>
      </c>
      <c r="AT741" s="3" t="s">
        <v>73</v>
      </c>
      <c r="AU741" s="6" t="str">
        <f>HYPERLINK("http://catalog.hathitrust.org/Record/000849138","HathiTrust Record")</f>
        <v>HathiTrust Record</v>
      </c>
      <c r="AV741" s="6" t="str">
        <f>HYPERLINK("http://mcgill.on.worldcat.org/oclc/14966137","Catalog Record")</f>
        <v>Catalog Record</v>
      </c>
      <c r="AW741" s="6" t="str">
        <f>HYPERLINK("http://www.worldcat.org/oclc/14966137","WorldCat Record")</f>
        <v>WorldCat Record</v>
      </c>
      <c r="AX741" s="3" t="s">
        <v>7721</v>
      </c>
      <c r="AY741" s="3" t="s">
        <v>7722</v>
      </c>
      <c r="AZ741" s="3" t="s">
        <v>7723</v>
      </c>
      <c r="BA741" s="3" t="s">
        <v>7723</v>
      </c>
      <c r="BB741" s="3" t="s">
        <v>7724</v>
      </c>
      <c r="BC741" s="3" t="s">
        <v>78</v>
      </c>
      <c r="BD741" s="3" t="s">
        <v>79</v>
      </c>
      <c r="BE741" s="3" t="s">
        <v>7725</v>
      </c>
      <c r="BF741" s="3" t="s">
        <v>7724</v>
      </c>
      <c r="BG741" s="3" t="s">
        <v>7726</v>
      </c>
    </row>
    <row r="742" spans="1:59" ht="58" x14ac:dyDescent="0.35">
      <c r="A742" s="2" t="s">
        <v>59</v>
      </c>
      <c r="B742" s="2" t="s">
        <v>94</v>
      </c>
      <c r="C742" s="2" t="s">
        <v>7716</v>
      </c>
      <c r="D742" s="2" t="s">
        <v>7717</v>
      </c>
      <c r="E742" s="2" t="s">
        <v>7718</v>
      </c>
      <c r="G742" s="3" t="s">
        <v>64</v>
      </c>
      <c r="I742" s="3" t="s">
        <v>73</v>
      </c>
      <c r="J742" s="3" t="s">
        <v>73</v>
      </c>
      <c r="K742" s="3" t="s">
        <v>65</v>
      </c>
      <c r="L742" s="2" t="s">
        <v>7719</v>
      </c>
      <c r="M742" s="2" t="s">
        <v>7720</v>
      </c>
      <c r="N742" s="3" t="s">
        <v>315</v>
      </c>
      <c r="O742" s="2" t="s">
        <v>638</v>
      </c>
      <c r="P742" s="3" t="s">
        <v>69</v>
      </c>
      <c r="R742" s="3" t="s">
        <v>70</v>
      </c>
      <c r="S742" s="4">
        <v>13</v>
      </c>
      <c r="T742" s="4">
        <v>29</v>
      </c>
      <c r="U742" s="5" t="s">
        <v>7727</v>
      </c>
      <c r="V742" s="5" t="s">
        <v>6048</v>
      </c>
      <c r="W742" s="5" t="s">
        <v>72</v>
      </c>
      <c r="X742" s="5" t="s">
        <v>72</v>
      </c>
      <c r="Y742" s="4">
        <v>305</v>
      </c>
      <c r="Z742" s="4">
        <v>8</v>
      </c>
      <c r="AA742" s="4">
        <v>32</v>
      </c>
      <c r="AB742" s="4">
        <v>1</v>
      </c>
      <c r="AC742" s="4">
        <v>1</v>
      </c>
      <c r="AD742" s="4">
        <v>79</v>
      </c>
      <c r="AE742" s="4">
        <v>129</v>
      </c>
      <c r="AF742" s="4">
        <v>0</v>
      </c>
      <c r="AG742" s="4">
        <v>0</v>
      </c>
      <c r="AH742" s="4">
        <v>74</v>
      </c>
      <c r="AI742" s="4">
        <v>111</v>
      </c>
      <c r="AJ742" s="4">
        <v>4</v>
      </c>
      <c r="AK742" s="4">
        <v>19</v>
      </c>
      <c r="AL742" s="4">
        <v>43</v>
      </c>
      <c r="AM742" s="4">
        <v>59</v>
      </c>
      <c r="AN742" s="4">
        <v>0</v>
      </c>
      <c r="AO742" s="4">
        <v>5</v>
      </c>
      <c r="AP742" s="4">
        <v>6</v>
      </c>
      <c r="AQ742" s="4">
        <v>28</v>
      </c>
      <c r="AR742" s="3" t="s">
        <v>64</v>
      </c>
      <c r="AS742" s="3" t="s">
        <v>64</v>
      </c>
      <c r="AT742" s="3" t="s">
        <v>73</v>
      </c>
      <c r="AU742" s="6" t="str">
        <f>HYPERLINK("http://catalog.hathitrust.org/Record/000849138","HathiTrust Record")</f>
        <v>HathiTrust Record</v>
      </c>
      <c r="AV742" s="6" t="str">
        <f>HYPERLINK("http://mcgill.on.worldcat.org/oclc/14966137","Catalog Record")</f>
        <v>Catalog Record</v>
      </c>
      <c r="AW742" s="6" t="str">
        <f>HYPERLINK("http://www.worldcat.org/oclc/14966137","WorldCat Record")</f>
        <v>WorldCat Record</v>
      </c>
      <c r="AX742" s="3" t="s">
        <v>7721</v>
      </c>
      <c r="AY742" s="3" t="s">
        <v>7722</v>
      </c>
      <c r="AZ742" s="3" t="s">
        <v>7723</v>
      </c>
      <c r="BA742" s="3" t="s">
        <v>7723</v>
      </c>
      <c r="BB742" s="3" t="s">
        <v>7728</v>
      </c>
      <c r="BC742" s="3" t="s">
        <v>78</v>
      </c>
      <c r="BD742" s="3" t="s">
        <v>79</v>
      </c>
      <c r="BE742" s="3" t="s">
        <v>7725</v>
      </c>
      <c r="BF742" s="3" t="s">
        <v>7728</v>
      </c>
      <c r="BG742" s="3" t="s">
        <v>7729</v>
      </c>
    </row>
    <row r="743" spans="1:59" ht="58" x14ac:dyDescent="0.35">
      <c r="A743" s="2" t="s">
        <v>59</v>
      </c>
      <c r="B743" s="2" t="s">
        <v>94</v>
      </c>
      <c r="C743" s="2" t="s">
        <v>7716</v>
      </c>
      <c r="D743" s="2" t="s">
        <v>7717</v>
      </c>
      <c r="E743" s="2" t="s">
        <v>7718</v>
      </c>
      <c r="G743" s="3" t="s">
        <v>64</v>
      </c>
      <c r="I743" s="3" t="s">
        <v>73</v>
      </c>
      <c r="J743" s="3" t="s">
        <v>73</v>
      </c>
      <c r="K743" s="3" t="s">
        <v>65</v>
      </c>
      <c r="L743" s="2" t="s">
        <v>7719</v>
      </c>
      <c r="M743" s="2" t="s">
        <v>7720</v>
      </c>
      <c r="N743" s="3" t="s">
        <v>315</v>
      </c>
      <c r="O743" s="2" t="s">
        <v>638</v>
      </c>
      <c r="P743" s="3" t="s">
        <v>69</v>
      </c>
      <c r="R743" s="3" t="s">
        <v>70</v>
      </c>
      <c r="S743" s="4">
        <v>6</v>
      </c>
      <c r="T743" s="4">
        <v>29</v>
      </c>
      <c r="U743" s="5" t="s">
        <v>7730</v>
      </c>
      <c r="V743" s="5" t="s">
        <v>6048</v>
      </c>
      <c r="W743" s="5" t="s">
        <v>72</v>
      </c>
      <c r="X743" s="5" t="s">
        <v>72</v>
      </c>
      <c r="Y743" s="4">
        <v>305</v>
      </c>
      <c r="Z743" s="4">
        <v>8</v>
      </c>
      <c r="AA743" s="4">
        <v>32</v>
      </c>
      <c r="AB743" s="4">
        <v>1</v>
      </c>
      <c r="AC743" s="4">
        <v>1</v>
      </c>
      <c r="AD743" s="4">
        <v>79</v>
      </c>
      <c r="AE743" s="4">
        <v>129</v>
      </c>
      <c r="AF743" s="4">
        <v>0</v>
      </c>
      <c r="AG743" s="4">
        <v>0</v>
      </c>
      <c r="AH743" s="4">
        <v>74</v>
      </c>
      <c r="AI743" s="4">
        <v>111</v>
      </c>
      <c r="AJ743" s="4">
        <v>4</v>
      </c>
      <c r="AK743" s="4">
        <v>19</v>
      </c>
      <c r="AL743" s="4">
        <v>43</v>
      </c>
      <c r="AM743" s="4">
        <v>59</v>
      </c>
      <c r="AN743" s="4">
        <v>0</v>
      </c>
      <c r="AO743" s="4">
        <v>5</v>
      </c>
      <c r="AP743" s="4">
        <v>6</v>
      </c>
      <c r="AQ743" s="4">
        <v>28</v>
      </c>
      <c r="AR743" s="3" t="s">
        <v>64</v>
      </c>
      <c r="AS743" s="3" t="s">
        <v>64</v>
      </c>
      <c r="AT743" s="3" t="s">
        <v>73</v>
      </c>
      <c r="AU743" s="6" t="str">
        <f>HYPERLINK("http://catalog.hathitrust.org/Record/000849138","HathiTrust Record")</f>
        <v>HathiTrust Record</v>
      </c>
      <c r="AV743" s="6" t="str">
        <f>HYPERLINK("http://mcgill.on.worldcat.org/oclc/14966137","Catalog Record")</f>
        <v>Catalog Record</v>
      </c>
      <c r="AW743" s="6" t="str">
        <f>HYPERLINK("http://www.worldcat.org/oclc/14966137","WorldCat Record")</f>
        <v>WorldCat Record</v>
      </c>
      <c r="AX743" s="3" t="s">
        <v>7721</v>
      </c>
      <c r="AY743" s="3" t="s">
        <v>7722</v>
      </c>
      <c r="AZ743" s="3" t="s">
        <v>7723</v>
      </c>
      <c r="BA743" s="3" t="s">
        <v>7723</v>
      </c>
      <c r="BB743" s="3" t="s">
        <v>7731</v>
      </c>
      <c r="BC743" s="3" t="s">
        <v>78</v>
      </c>
      <c r="BD743" s="3" t="s">
        <v>79</v>
      </c>
      <c r="BE743" s="3" t="s">
        <v>7725</v>
      </c>
      <c r="BF743" s="3" t="s">
        <v>7731</v>
      </c>
      <c r="BG743" s="3" t="s">
        <v>7732</v>
      </c>
    </row>
    <row r="744" spans="1:59" ht="58" x14ac:dyDescent="0.35">
      <c r="A744" s="2" t="s">
        <v>59</v>
      </c>
      <c r="B744" s="2" t="s">
        <v>94</v>
      </c>
      <c r="C744" s="2" t="s">
        <v>7716</v>
      </c>
      <c r="D744" s="2" t="s">
        <v>7717</v>
      </c>
      <c r="E744" s="2" t="s">
        <v>7718</v>
      </c>
      <c r="G744" s="3" t="s">
        <v>64</v>
      </c>
      <c r="I744" s="3" t="s">
        <v>73</v>
      </c>
      <c r="J744" s="3" t="s">
        <v>73</v>
      </c>
      <c r="K744" s="3" t="s">
        <v>65</v>
      </c>
      <c r="L744" s="2" t="s">
        <v>7719</v>
      </c>
      <c r="M744" s="2" t="s">
        <v>7720</v>
      </c>
      <c r="N744" s="3" t="s">
        <v>315</v>
      </c>
      <c r="O744" s="2" t="s">
        <v>638</v>
      </c>
      <c r="P744" s="3" t="s">
        <v>69</v>
      </c>
      <c r="R744" s="3" t="s">
        <v>70</v>
      </c>
      <c r="S744" s="4">
        <v>8</v>
      </c>
      <c r="T744" s="4">
        <v>29</v>
      </c>
      <c r="U744" s="5" t="s">
        <v>7733</v>
      </c>
      <c r="V744" s="5" t="s">
        <v>6048</v>
      </c>
      <c r="W744" s="5" t="s">
        <v>72</v>
      </c>
      <c r="X744" s="5" t="s">
        <v>72</v>
      </c>
      <c r="Y744" s="4">
        <v>305</v>
      </c>
      <c r="Z744" s="4">
        <v>8</v>
      </c>
      <c r="AA744" s="4">
        <v>32</v>
      </c>
      <c r="AB744" s="4">
        <v>1</v>
      </c>
      <c r="AC744" s="4">
        <v>1</v>
      </c>
      <c r="AD744" s="4">
        <v>79</v>
      </c>
      <c r="AE744" s="4">
        <v>129</v>
      </c>
      <c r="AF744" s="4">
        <v>0</v>
      </c>
      <c r="AG744" s="4">
        <v>0</v>
      </c>
      <c r="AH744" s="4">
        <v>74</v>
      </c>
      <c r="AI744" s="4">
        <v>111</v>
      </c>
      <c r="AJ744" s="4">
        <v>4</v>
      </c>
      <c r="AK744" s="4">
        <v>19</v>
      </c>
      <c r="AL744" s="4">
        <v>43</v>
      </c>
      <c r="AM744" s="4">
        <v>59</v>
      </c>
      <c r="AN744" s="4">
        <v>0</v>
      </c>
      <c r="AO744" s="4">
        <v>5</v>
      </c>
      <c r="AP744" s="4">
        <v>6</v>
      </c>
      <c r="AQ744" s="4">
        <v>28</v>
      </c>
      <c r="AR744" s="3" t="s">
        <v>64</v>
      </c>
      <c r="AS744" s="3" t="s">
        <v>64</v>
      </c>
      <c r="AT744" s="3" t="s">
        <v>73</v>
      </c>
      <c r="AU744" s="6" t="str">
        <f>HYPERLINK("http://catalog.hathitrust.org/Record/000849138","HathiTrust Record")</f>
        <v>HathiTrust Record</v>
      </c>
      <c r="AV744" s="6" t="str">
        <f>HYPERLINK("http://mcgill.on.worldcat.org/oclc/14966137","Catalog Record")</f>
        <v>Catalog Record</v>
      </c>
      <c r="AW744" s="6" t="str">
        <f>HYPERLINK("http://www.worldcat.org/oclc/14966137","WorldCat Record")</f>
        <v>WorldCat Record</v>
      </c>
      <c r="AX744" s="3" t="s">
        <v>7721</v>
      </c>
      <c r="AY744" s="3" t="s">
        <v>7722</v>
      </c>
      <c r="AZ744" s="3" t="s">
        <v>7723</v>
      </c>
      <c r="BA744" s="3" t="s">
        <v>7723</v>
      </c>
      <c r="BB744" s="3" t="s">
        <v>7734</v>
      </c>
      <c r="BC744" s="3" t="s">
        <v>78</v>
      </c>
      <c r="BD744" s="3" t="s">
        <v>79</v>
      </c>
      <c r="BE744" s="3" t="s">
        <v>7725</v>
      </c>
      <c r="BF744" s="3" t="s">
        <v>7734</v>
      </c>
      <c r="BG744" s="3" t="s">
        <v>7735</v>
      </c>
    </row>
    <row r="745" spans="1:59" ht="58" x14ac:dyDescent="0.35">
      <c r="A745" s="2" t="s">
        <v>59</v>
      </c>
      <c r="B745" s="2" t="s">
        <v>94</v>
      </c>
      <c r="C745" s="2" t="s">
        <v>7736</v>
      </c>
      <c r="D745" s="2" t="s">
        <v>7737</v>
      </c>
      <c r="E745" s="2" t="s">
        <v>7738</v>
      </c>
      <c r="G745" s="3" t="s">
        <v>64</v>
      </c>
      <c r="I745" s="3" t="s">
        <v>64</v>
      </c>
      <c r="J745" s="3" t="s">
        <v>73</v>
      </c>
      <c r="K745" s="3" t="s">
        <v>65</v>
      </c>
      <c r="L745" s="2" t="s">
        <v>7719</v>
      </c>
      <c r="M745" s="2" t="s">
        <v>7739</v>
      </c>
      <c r="N745" s="3" t="s">
        <v>303</v>
      </c>
      <c r="O745" s="2" t="s">
        <v>275</v>
      </c>
      <c r="P745" s="3" t="s">
        <v>69</v>
      </c>
      <c r="R745" s="3" t="s">
        <v>70</v>
      </c>
      <c r="S745" s="4">
        <v>6</v>
      </c>
      <c r="T745" s="4">
        <v>6</v>
      </c>
      <c r="U745" s="5" t="s">
        <v>7740</v>
      </c>
      <c r="V745" s="5" t="s">
        <v>7740</v>
      </c>
      <c r="W745" s="5" t="s">
        <v>72</v>
      </c>
      <c r="X745" s="5" t="s">
        <v>72</v>
      </c>
      <c r="Y745" s="4">
        <v>140</v>
      </c>
      <c r="Z745" s="4">
        <v>4</v>
      </c>
      <c r="AA745" s="4">
        <v>32</v>
      </c>
      <c r="AB745" s="4">
        <v>1</v>
      </c>
      <c r="AC745" s="4">
        <v>1</v>
      </c>
      <c r="AD745" s="4">
        <v>38</v>
      </c>
      <c r="AE745" s="4">
        <v>129</v>
      </c>
      <c r="AF745" s="4">
        <v>0</v>
      </c>
      <c r="AG745" s="4">
        <v>0</v>
      </c>
      <c r="AH745" s="4">
        <v>36</v>
      </c>
      <c r="AI745" s="4">
        <v>111</v>
      </c>
      <c r="AJ745" s="4">
        <v>3</v>
      </c>
      <c r="AK745" s="4">
        <v>19</v>
      </c>
      <c r="AL745" s="4">
        <v>26</v>
      </c>
      <c r="AM745" s="4">
        <v>59</v>
      </c>
      <c r="AN745" s="4">
        <v>0</v>
      </c>
      <c r="AO745" s="4">
        <v>5</v>
      </c>
      <c r="AP745" s="4">
        <v>3</v>
      </c>
      <c r="AQ745" s="4">
        <v>28</v>
      </c>
      <c r="AR745" s="3" t="s">
        <v>64</v>
      </c>
      <c r="AS745" s="3" t="s">
        <v>64</v>
      </c>
      <c r="AT745" s="3" t="s">
        <v>64</v>
      </c>
      <c r="AV745" s="6" t="str">
        <f>HYPERLINK("http://mcgill.on.worldcat.org/oclc/26503671","Catalog Record")</f>
        <v>Catalog Record</v>
      </c>
      <c r="AW745" s="6" t="str">
        <f>HYPERLINK("http://www.worldcat.org/oclc/26503671","WorldCat Record")</f>
        <v>WorldCat Record</v>
      </c>
      <c r="AX745" s="3" t="s">
        <v>7721</v>
      </c>
      <c r="AY745" s="3" t="s">
        <v>7741</v>
      </c>
      <c r="AZ745" s="3" t="s">
        <v>7742</v>
      </c>
      <c r="BA745" s="3" t="s">
        <v>7742</v>
      </c>
      <c r="BB745" s="3" t="s">
        <v>7743</v>
      </c>
      <c r="BC745" s="3" t="s">
        <v>78</v>
      </c>
      <c r="BD745" s="3" t="s">
        <v>79</v>
      </c>
      <c r="BE745" s="3" t="s">
        <v>7744</v>
      </c>
      <c r="BF745" s="3" t="s">
        <v>7743</v>
      </c>
      <c r="BG745" s="3" t="s">
        <v>7745</v>
      </c>
    </row>
    <row r="746" spans="1:59" ht="58" x14ac:dyDescent="0.35">
      <c r="A746" s="2" t="s">
        <v>59</v>
      </c>
      <c r="B746" s="2" t="s">
        <v>94</v>
      </c>
      <c r="C746" s="2" t="s">
        <v>7746</v>
      </c>
      <c r="D746" s="2" t="s">
        <v>7747</v>
      </c>
      <c r="E746" s="2" t="s">
        <v>7748</v>
      </c>
      <c r="G746" s="3" t="s">
        <v>64</v>
      </c>
      <c r="I746" s="3" t="s">
        <v>64</v>
      </c>
      <c r="J746" s="3" t="s">
        <v>64</v>
      </c>
      <c r="K746" s="3" t="s">
        <v>65</v>
      </c>
      <c r="L746" s="2" t="s">
        <v>7749</v>
      </c>
      <c r="M746" s="2" t="s">
        <v>7750</v>
      </c>
      <c r="N746" s="3" t="s">
        <v>315</v>
      </c>
      <c r="P746" s="3" t="s">
        <v>69</v>
      </c>
      <c r="R746" s="3" t="s">
        <v>70</v>
      </c>
      <c r="S746" s="4">
        <v>21</v>
      </c>
      <c r="T746" s="4">
        <v>21</v>
      </c>
      <c r="U746" s="5" t="s">
        <v>4146</v>
      </c>
      <c r="V746" s="5" t="s">
        <v>4146</v>
      </c>
      <c r="W746" s="5" t="s">
        <v>72</v>
      </c>
      <c r="X746" s="5" t="s">
        <v>72</v>
      </c>
      <c r="Y746" s="4">
        <v>266</v>
      </c>
      <c r="Z746" s="4">
        <v>15</v>
      </c>
      <c r="AA746" s="4">
        <v>16</v>
      </c>
      <c r="AB746" s="4">
        <v>1</v>
      </c>
      <c r="AC746" s="4">
        <v>2</v>
      </c>
      <c r="AD746" s="4">
        <v>93</v>
      </c>
      <c r="AE746" s="4">
        <v>94</v>
      </c>
      <c r="AF746" s="4">
        <v>0</v>
      </c>
      <c r="AG746" s="4">
        <v>1</v>
      </c>
      <c r="AH746" s="4">
        <v>84</v>
      </c>
      <c r="AI746" s="4">
        <v>84</v>
      </c>
      <c r="AJ746" s="4">
        <v>12</v>
      </c>
      <c r="AK746" s="4">
        <v>13</v>
      </c>
      <c r="AL746" s="4">
        <v>47</v>
      </c>
      <c r="AM746" s="4">
        <v>47</v>
      </c>
      <c r="AN746" s="4">
        <v>0</v>
      </c>
      <c r="AO746" s="4">
        <v>0</v>
      </c>
      <c r="AP746" s="4">
        <v>13</v>
      </c>
      <c r="AQ746" s="4">
        <v>14</v>
      </c>
      <c r="AR746" s="3" t="s">
        <v>64</v>
      </c>
      <c r="AS746" s="3" t="s">
        <v>64</v>
      </c>
      <c r="AT746" s="3" t="s">
        <v>64</v>
      </c>
      <c r="AV746" s="6" t="str">
        <f>HYPERLINK("http://mcgill.on.worldcat.org/oclc/13859115","Catalog Record")</f>
        <v>Catalog Record</v>
      </c>
      <c r="AW746" s="6" t="str">
        <f>HYPERLINK("http://www.worldcat.org/oclc/13859115","WorldCat Record")</f>
        <v>WorldCat Record</v>
      </c>
      <c r="AX746" s="3" t="s">
        <v>7751</v>
      </c>
      <c r="AY746" s="3" t="s">
        <v>7752</v>
      </c>
      <c r="AZ746" s="3" t="s">
        <v>7753</v>
      </c>
      <c r="BA746" s="3" t="s">
        <v>7753</v>
      </c>
      <c r="BB746" s="3" t="s">
        <v>7754</v>
      </c>
      <c r="BC746" s="3" t="s">
        <v>78</v>
      </c>
      <c r="BD746" s="3" t="s">
        <v>79</v>
      </c>
      <c r="BE746" s="3" t="s">
        <v>7755</v>
      </c>
      <c r="BF746" s="3" t="s">
        <v>7754</v>
      </c>
      <c r="BG746" s="3" t="s">
        <v>7756</v>
      </c>
    </row>
    <row r="747" spans="1:59" ht="58" x14ac:dyDescent="0.35">
      <c r="A747" s="2" t="s">
        <v>59</v>
      </c>
      <c r="B747" s="2" t="s">
        <v>94</v>
      </c>
      <c r="C747" s="2" t="s">
        <v>7757</v>
      </c>
      <c r="D747" s="2" t="s">
        <v>7758</v>
      </c>
      <c r="E747" s="2" t="s">
        <v>7759</v>
      </c>
      <c r="G747" s="3" t="s">
        <v>64</v>
      </c>
      <c r="I747" s="3" t="s">
        <v>64</v>
      </c>
      <c r="J747" s="3" t="s">
        <v>64</v>
      </c>
      <c r="K747" s="3" t="s">
        <v>65</v>
      </c>
      <c r="M747" s="2" t="s">
        <v>7760</v>
      </c>
      <c r="N747" s="3" t="s">
        <v>340</v>
      </c>
      <c r="P747" s="3" t="s">
        <v>69</v>
      </c>
      <c r="R747" s="3" t="s">
        <v>70</v>
      </c>
      <c r="S747" s="4">
        <v>7</v>
      </c>
      <c r="T747" s="4">
        <v>7</v>
      </c>
      <c r="U747" s="5" t="s">
        <v>276</v>
      </c>
      <c r="V747" s="5" t="s">
        <v>276</v>
      </c>
      <c r="W747" s="5" t="s">
        <v>72</v>
      </c>
      <c r="X747" s="5" t="s">
        <v>72</v>
      </c>
      <c r="Y747" s="4">
        <v>548</v>
      </c>
      <c r="Z747" s="4">
        <v>27</v>
      </c>
      <c r="AA747" s="4">
        <v>60</v>
      </c>
      <c r="AB747" s="4">
        <v>3</v>
      </c>
      <c r="AC747" s="4">
        <v>9</v>
      </c>
      <c r="AD747" s="4">
        <v>106</v>
      </c>
      <c r="AE747" s="4">
        <v>117</v>
      </c>
      <c r="AF747" s="4">
        <v>1</v>
      </c>
      <c r="AG747" s="4">
        <v>2</v>
      </c>
      <c r="AH747" s="4">
        <v>94</v>
      </c>
      <c r="AI747" s="4">
        <v>100</v>
      </c>
      <c r="AJ747" s="4">
        <v>14</v>
      </c>
      <c r="AK747" s="4">
        <v>15</v>
      </c>
      <c r="AL747" s="4">
        <v>52</v>
      </c>
      <c r="AM747" s="4">
        <v>54</v>
      </c>
      <c r="AN747" s="4">
        <v>0</v>
      </c>
      <c r="AO747" s="4">
        <v>0</v>
      </c>
      <c r="AP747" s="4">
        <v>17</v>
      </c>
      <c r="AQ747" s="4">
        <v>21</v>
      </c>
      <c r="AR747" s="3" t="s">
        <v>64</v>
      </c>
      <c r="AS747" s="3" t="s">
        <v>64</v>
      </c>
      <c r="AT747" s="3" t="s">
        <v>64</v>
      </c>
      <c r="AV747" s="6" t="str">
        <f>HYPERLINK("http://mcgill.on.worldcat.org/oclc/39093551","Catalog Record")</f>
        <v>Catalog Record</v>
      </c>
      <c r="AW747" s="6" t="str">
        <f>HYPERLINK("http://www.worldcat.org/oclc/39093551","WorldCat Record")</f>
        <v>WorldCat Record</v>
      </c>
      <c r="AX747" s="3" t="s">
        <v>7761</v>
      </c>
      <c r="AY747" s="3" t="s">
        <v>7762</v>
      </c>
      <c r="AZ747" s="3" t="s">
        <v>7763</v>
      </c>
      <c r="BA747" s="3" t="s">
        <v>7763</v>
      </c>
      <c r="BB747" s="3" t="s">
        <v>7764</v>
      </c>
      <c r="BC747" s="3" t="s">
        <v>78</v>
      </c>
      <c r="BD747" s="3" t="s">
        <v>79</v>
      </c>
      <c r="BE747" s="3" t="s">
        <v>7765</v>
      </c>
      <c r="BF747" s="3" t="s">
        <v>7764</v>
      </c>
      <c r="BG747" s="3" t="s">
        <v>7766</v>
      </c>
    </row>
    <row r="748" spans="1:59" ht="58" x14ac:dyDescent="0.35">
      <c r="A748" s="2" t="s">
        <v>59</v>
      </c>
      <c r="B748" s="2" t="s">
        <v>94</v>
      </c>
      <c r="C748" s="2" t="s">
        <v>7767</v>
      </c>
      <c r="D748" s="2" t="s">
        <v>7768</v>
      </c>
      <c r="E748" s="2" t="s">
        <v>7769</v>
      </c>
      <c r="G748" s="3" t="s">
        <v>64</v>
      </c>
      <c r="I748" s="3" t="s">
        <v>64</v>
      </c>
      <c r="J748" s="3" t="s">
        <v>64</v>
      </c>
      <c r="K748" s="3" t="s">
        <v>65</v>
      </c>
      <c r="L748" s="2" t="s">
        <v>7770</v>
      </c>
      <c r="M748" s="2" t="s">
        <v>7771</v>
      </c>
      <c r="N748" s="3" t="s">
        <v>861</v>
      </c>
      <c r="P748" s="3" t="s">
        <v>69</v>
      </c>
      <c r="R748" s="3" t="s">
        <v>70</v>
      </c>
      <c r="S748" s="4">
        <v>10</v>
      </c>
      <c r="T748" s="4">
        <v>10</v>
      </c>
      <c r="U748" s="5" t="s">
        <v>7772</v>
      </c>
      <c r="V748" s="5" t="s">
        <v>7772</v>
      </c>
      <c r="W748" s="5" t="s">
        <v>72</v>
      </c>
      <c r="X748" s="5" t="s">
        <v>72</v>
      </c>
      <c r="Y748" s="4">
        <v>289</v>
      </c>
      <c r="Z748" s="4">
        <v>18</v>
      </c>
      <c r="AA748" s="4">
        <v>18</v>
      </c>
      <c r="AB748" s="4">
        <v>2</v>
      </c>
      <c r="AC748" s="4">
        <v>2</v>
      </c>
      <c r="AD748" s="4">
        <v>99</v>
      </c>
      <c r="AE748" s="4">
        <v>99</v>
      </c>
      <c r="AF748" s="4">
        <v>1</v>
      </c>
      <c r="AG748" s="4">
        <v>1</v>
      </c>
      <c r="AH748" s="4">
        <v>89</v>
      </c>
      <c r="AI748" s="4">
        <v>89</v>
      </c>
      <c r="AJ748" s="4">
        <v>12</v>
      </c>
      <c r="AK748" s="4">
        <v>12</v>
      </c>
      <c r="AL748" s="4">
        <v>50</v>
      </c>
      <c r="AM748" s="4">
        <v>50</v>
      </c>
      <c r="AN748" s="4">
        <v>0</v>
      </c>
      <c r="AO748" s="4">
        <v>0</v>
      </c>
      <c r="AP748" s="4">
        <v>14</v>
      </c>
      <c r="AQ748" s="4">
        <v>14</v>
      </c>
      <c r="AR748" s="3" t="s">
        <v>64</v>
      </c>
      <c r="AS748" s="3" t="s">
        <v>64</v>
      </c>
      <c r="AT748" s="3" t="s">
        <v>64</v>
      </c>
      <c r="AV748" s="6" t="str">
        <f>HYPERLINK("http://mcgill.on.worldcat.org/oclc/54528955","Catalog Record")</f>
        <v>Catalog Record</v>
      </c>
      <c r="AW748" s="6" t="str">
        <f>HYPERLINK("http://www.worldcat.org/oclc/54528955","WorldCat Record")</f>
        <v>WorldCat Record</v>
      </c>
      <c r="AX748" s="3" t="s">
        <v>7773</v>
      </c>
      <c r="AY748" s="3" t="s">
        <v>7774</v>
      </c>
      <c r="AZ748" s="3" t="s">
        <v>7775</v>
      </c>
      <c r="BA748" s="3" t="s">
        <v>7775</v>
      </c>
      <c r="BB748" s="3" t="s">
        <v>7776</v>
      </c>
      <c r="BC748" s="3" t="s">
        <v>78</v>
      </c>
      <c r="BD748" s="3" t="s">
        <v>79</v>
      </c>
      <c r="BE748" s="3" t="s">
        <v>7777</v>
      </c>
      <c r="BF748" s="3" t="s">
        <v>7776</v>
      </c>
      <c r="BG748" s="3" t="s">
        <v>7778</v>
      </c>
    </row>
    <row r="749" spans="1:59" ht="58" x14ac:dyDescent="0.35">
      <c r="A749" s="2" t="s">
        <v>59</v>
      </c>
      <c r="B749" s="2" t="s">
        <v>94</v>
      </c>
      <c r="C749" s="2" t="s">
        <v>7779</v>
      </c>
      <c r="D749" s="2" t="s">
        <v>7780</v>
      </c>
      <c r="E749" s="2" t="s">
        <v>7781</v>
      </c>
      <c r="G749" s="3" t="s">
        <v>64</v>
      </c>
      <c r="I749" s="3" t="s">
        <v>64</v>
      </c>
      <c r="J749" s="3" t="s">
        <v>64</v>
      </c>
      <c r="K749" s="3" t="s">
        <v>65</v>
      </c>
      <c r="L749" s="2" t="s">
        <v>7782</v>
      </c>
      <c r="M749" s="2" t="s">
        <v>7783</v>
      </c>
      <c r="N749" s="3" t="s">
        <v>328</v>
      </c>
      <c r="P749" s="3" t="s">
        <v>69</v>
      </c>
      <c r="Q749" s="2" t="s">
        <v>7784</v>
      </c>
      <c r="R749" s="3" t="s">
        <v>70</v>
      </c>
      <c r="S749" s="4">
        <v>3</v>
      </c>
      <c r="T749" s="4">
        <v>3</v>
      </c>
      <c r="U749" s="5" t="s">
        <v>1555</v>
      </c>
      <c r="V749" s="5" t="s">
        <v>1555</v>
      </c>
      <c r="W749" s="5" t="s">
        <v>72</v>
      </c>
      <c r="X749" s="5" t="s">
        <v>72</v>
      </c>
      <c r="Y749" s="4">
        <v>35</v>
      </c>
      <c r="Z749" s="4">
        <v>5</v>
      </c>
      <c r="AA749" s="4">
        <v>88</v>
      </c>
      <c r="AB749" s="4">
        <v>1</v>
      </c>
      <c r="AC749" s="4">
        <v>17</v>
      </c>
      <c r="AD749" s="4">
        <v>14</v>
      </c>
      <c r="AE749" s="4">
        <v>83</v>
      </c>
      <c r="AF749" s="4">
        <v>0</v>
      </c>
      <c r="AG749" s="4">
        <v>8</v>
      </c>
      <c r="AH749" s="4">
        <v>13</v>
      </c>
      <c r="AI749" s="4">
        <v>51</v>
      </c>
      <c r="AJ749" s="4">
        <v>3</v>
      </c>
      <c r="AK749" s="4">
        <v>17</v>
      </c>
      <c r="AL749" s="4">
        <v>8</v>
      </c>
      <c r="AM749" s="4">
        <v>25</v>
      </c>
      <c r="AN749" s="4">
        <v>0</v>
      </c>
      <c r="AO749" s="4">
        <v>0</v>
      </c>
      <c r="AP749" s="4">
        <v>3</v>
      </c>
      <c r="AQ749" s="4">
        <v>38</v>
      </c>
      <c r="AR749" s="3" t="s">
        <v>64</v>
      </c>
      <c r="AS749" s="3" t="s">
        <v>64</v>
      </c>
      <c r="AT749" s="3" t="s">
        <v>64</v>
      </c>
      <c r="AV749" s="6" t="str">
        <f>HYPERLINK("http://mcgill.on.worldcat.org/oclc/769665938","Catalog Record")</f>
        <v>Catalog Record</v>
      </c>
      <c r="AW749" s="6" t="str">
        <f>HYPERLINK("http://www.worldcat.org/oclc/769665938","WorldCat Record")</f>
        <v>WorldCat Record</v>
      </c>
      <c r="AX749" s="3" t="s">
        <v>7785</v>
      </c>
      <c r="AY749" s="3" t="s">
        <v>7786</v>
      </c>
      <c r="AZ749" s="3" t="s">
        <v>7787</v>
      </c>
      <c r="BA749" s="3" t="s">
        <v>7787</v>
      </c>
      <c r="BB749" s="3" t="s">
        <v>7788</v>
      </c>
      <c r="BC749" s="3" t="s">
        <v>78</v>
      </c>
      <c r="BD749" s="3" t="s">
        <v>79</v>
      </c>
      <c r="BE749" s="3" t="s">
        <v>7789</v>
      </c>
      <c r="BF749" s="3" t="s">
        <v>7788</v>
      </c>
      <c r="BG749" s="3" t="s">
        <v>7790</v>
      </c>
    </row>
    <row r="750" spans="1:59" ht="58" x14ac:dyDescent="0.35">
      <c r="A750" s="2" t="s">
        <v>59</v>
      </c>
      <c r="B750" s="2" t="s">
        <v>94</v>
      </c>
      <c r="C750" s="2" t="s">
        <v>7791</v>
      </c>
      <c r="D750" s="2" t="s">
        <v>7792</v>
      </c>
      <c r="E750" s="2" t="s">
        <v>7793</v>
      </c>
      <c r="G750" s="3" t="s">
        <v>64</v>
      </c>
      <c r="I750" s="3" t="s">
        <v>64</v>
      </c>
      <c r="J750" s="3" t="s">
        <v>64</v>
      </c>
      <c r="K750" s="3" t="s">
        <v>65</v>
      </c>
      <c r="L750" s="2" t="s">
        <v>7684</v>
      </c>
      <c r="M750" s="2" t="s">
        <v>589</v>
      </c>
      <c r="N750" s="3" t="s">
        <v>303</v>
      </c>
      <c r="P750" s="3" t="s">
        <v>69</v>
      </c>
      <c r="Q750" s="2" t="s">
        <v>7794</v>
      </c>
      <c r="R750" s="3" t="s">
        <v>70</v>
      </c>
      <c r="S750" s="4">
        <v>26</v>
      </c>
      <c r="T750" s="4">
        <v>26</v>
      </c>
      <c r="U750" s="5" t="s">
        <v>7381</v>
      </c>
      <c r="V750" s="5" t="s">
        <v>7381</v>
      </c>
      <c r="W750" s="5" t="s">
        <v>72</v>
      </c>
      <c r="X750" s="5" t="s">
        <v>72</v>
      </c>
      <c r="Y750" s="4">
        <v>513</v>
      </c>
      <c r="Z750" s="4">
        <v>20</v>
      </c>
      <c r="AA750" s="4">
        <v>21</v>
      </c>
      <c r="AB750" s="4">
        <v>1</v>
      </c>
      <c r="AC750" s="4">
        <v>2</v>
      </c>
      <c r="AD750" s="4">
        <v>100</v>
      </c>
      <c r="AE750" s="4">
        <v>101</v>
      </c>
      <c r="AF750" s="4">
        <v>0</v>
      </c>
      <c r="AG750" s="4">
        <v>1</v>
      </c>
      <c r="AH750" s="4">
        <v>92</v>
      </c>
      <c r="AI750" s="4">
        <v>93</v>
      </c>
      <c r="AJ750" s="4">
        <v>11</v>
      </c>
      <c r="AK750" s="4">
        <v>12</v>
      </c>
      <c r="AL750" s="4">
        <v>54</v>
      </c>
      <c r="AM750" s="4">
        <v>54</v>
      </c>
      <c r="AN750" s="4">
        <v>0</v>
      </c>
      <c r="AO750" s="4">
        <v>0</v>
      </c>
      <c r="AP750" s="4">
        <v>13</v>
      </c>
      <c r="AQ750" s="4">
        <v>14</v>
      </c>
      <c r="AR750" s="3" t="s">
        <v>64</v>
      </c>
      <c r="AS750" s="3" t="s">
        <v>64</v>
      </c>
      <c r="AT750" s="3" t="s">
        <v>64</v>
      </c>
      <c r="AV750" s="6" t="str">
        <f>HYPERLINK("http://mcgill.on.worldcat.org/oclc/27429286","Catalog Record")</f>
        <v>Catalog Record</v>
      </c>
      <c r="AW750" s="6" t="str">
        <f>HYPERLINK("http://www.worldcat.org/oclc/27429286","WorldCat Record")</f>
        <v>WorldCat Record</v>
      </c>
      <c r="AX750" s="3" t="s">
        <v>7795</v>
      </c>
      <c r="AY750" s="3" t="s">
        <v>7796</v>
      </c>
      <c r="AZ750" s="3" t="s">
        <v>7797</v>
      </c>
      <c r="BA750" s="3" t="s">
        <v>7797</v>
      </c>
      <c r="BB750" s="3" t="s">
        <v>7798</v>
      </c>
      <c r="BC750" s="3" t="s">
        <v>78</v>
      </c>
      <c r="BD750" s="3" t="s">
        <v>79</v>
      </c>
      <c r="BE750" s="3" t="s">
        <v>7799</v>
      </c>
      <c r="BF750" s="3" t="s">
        <v>7798</v>
      </c>
      <c r="BG750" s="3" t="s">
        <v>7800</v>
      </c>
    </row>
    <row r="751" spans="1:59" ht="58" x14ac:dyDescent="0.35">
      <c r="A751" s="2" t="s">
        <v>59</v>
      </c>
      <c r="B751" s="2" t="s">
        <v>94</v>
      </c>
      <c r="C751" s="2" t="s">
        <v>7801</v>
      </c>
      <c r="D751" s="2" t="s">
        <v>7802</v>
      </c>
      <c r="E751" s="2" t="s">
        <v>7803</v>
      </c>
      <c r="G751" s="3" t="s">
        <v>64</v>
      </c>
      <c r="I751" s="3" t="s">
        <v>64</v>
      </c>
      <c r="J751" s="3" t="s">
        <v>64</v>
      </c>
      <c r="K751" s="3" t="s">
        <v>65</v>
      </c>
      <c r="L751" s="2" t="s">
        <v>7804</v>
      </c>
      <c r="M751" s="2" t="s">
        <v>7805</v>
      </c>
      <c r="N751" s="3" t="s">
        <v>1029</v>
      </c>
      <c r="P751" s="3" t="s">
        <v>69</v>
      </c>
      <c r="R751" s="3" t="s">
        <v>70</v>
      </c>
      <c r="S751" s="4">
        <v>5</v>
      </c>
      <c r="T751" s="4">
        <v>5</v>
      </c>
      <c r="U751" s="5" t="s">
        <v>7806</v>
      </c>
      <c r="V751" s="5" t="s">
        <v>7806</v>
      </c>
      <c r="W751" s="5" t="s">
        <v>72</v>
      </c>
      <c r="X751" s="5" t="s">
        <v>72</v>
      </c>
      <c r="Y751" s="4">
        <v>89</v>
      </c>
      <c r="Z751" s="4">
        <v>2</v>
      </c>
      <c r="AA751" s="4">
        <v>13</v>
      </c>
      <c r="AB751" s="4">
        <v>1</v>
      </c>
      <c r="AC751" s="4">
        <v>1</v>
      </c>
      <c r="AD751" s="4">
        <v>4</v>
      </c>
      <c r="AE751" s="4">
        <v>6</v>
      </c>
      <c r="AF751" s="4">
        <v>0</v>
      </c>
      <c r="AG751" s="4">
        <v>0</v>
      </c>
      <c r="AH751" s="4">
        <v>3</v>
      </c>
      <c r="AI751" s="4">
        <v>5</v>
      </c>
      <c r="AJ751" s="4">
        <v>1</v>
      </c>
      <c r="AK751" s="4">
        <v>2</v>
      </c>
      <c r="AL751" s="4">
        <v>2</v>
      </c>
      <c r="AM751" s="4">
        <v>3</v>
      </c>
      <c r="AN751" s="4">
        <v>0</v>
      </c>
      <c r="AO751" s="4">
        <v>0</v>
      </c>
      <c r="AP751" s="4">
        <v>1</v>
      </c>
      <c r="AQ751" s="4">
        <v>2</v>
      </c>
      <c r="AR751" s="3" t="s">
        <v>64</v>
      </c>
      <c r="AS751" s="3" t="s">
        <v>64</v>
      </c>
      <c r="AT751" s="3" t="s">
        <v>64</v>
      </c>
      <c r="AV751" s="6" t="str">
        <f>HYPERLINK("http://mcgill.on.worldcat.org/oclc/419644789","Catalog Record")</f>
        <v>Catalog Record</v>
      </c>
      <c r="AW751" s="6" t="str">
        <f>HYPERLINK("http://www.worldcat.org/oclc/419644789","WorldCat Record")</f>
        <v>WorldCat Record</v>
      </c>
      <c r="AX751" s="3" t="s">
        <v>7807</v>
      </c>
      <c r="AY751" s="3" t="s">
        <v>7808</v>
      </c>
      <c r="AZ751" s="3" t="s">
        <v>7809</v>
      </c>
      <c r="BA751" s="3" t="s">
        <v>7809</v>
      </c>
      <c r="BB751" s="3" t="s">
        <v>7810</v>
      </c>
      <c r="BC751" s="3" t="s">
        <v>78</v>
      </c>
      <c r="BD751" s="3" t="s">
        <v>79</v>
      </c>
      <c r="BE751" s="3" t="s">
        <v>7811</v>
      </c>
      <c r="BF751" s="3" t="s">
        <v>7810</v>
      </c>
      <c r="BG751" s="3" t="s">
        <v>7812</v>
      </c>
    </row>
    <row r="752" spans="1:59" ht="58" x14ac:dyDescent="0.35">
      <c r="A752" s="2" t="s">
        <v>59</v>
      </c>
      <c r="B752" s="2" t="s">
        <v>94</v>
      </c>
      <c r="C752" s="2" t="s">
        <v>7813</v>
      </c>
      <c r="D752" s="2" t="s">
        <v>7814</v>
      </c>
      <c r="E752" s="2" t="s">
        <v>7815</v>
      </c>
      <c r="G752" s="3" t="s">
        <v>64</v>
      </c>
      <c r="I752" s="3" t="s">
        <v>64</v>
      </c>
      <c r="J752" s="3" t="s">
        <v>64</v>
      </c>
      <c r="K752" s="3" t="s">
        <v>65</v>
      </c>
      <c r="L752" s="2" t="s">
        <v>7816</v>
      </c>
      <c r="M752" s="2" t="s">
        <v>7817</v>
      </c>
      <c r="N752" s="3" t="s">
        <v>377</v>
      </c>
      <c r="P752" s="3" t="s">
        <v>69</v>
      </c>
      <c r="R752" s="3" t="s">
        <v>70</v>
      </c>
      <c r="S752" s="4">
        <v>1</v>
      </c>
      <c r="T752" s="4">
        <v>1</v>
      </c>
      <c r="U752" s="5" t="s">
        <v>7818</v>
      </c>
      <c r="V752" s="5" t="s">
        <v>7818</v>
      </c>
      <c r="W752" s="5" t="s">
        <v>72</v>
      </c>
      <c r="X752" s="5" t="s">
        <v>72</v>
      </c>
      <c r="Y752" s="4">
        <v>45</v>
      </c>
      <c r="Z752" s="4">
        <v>15</v>
      </c>
      <c r="AA752" s="4">
        <v>51</v>
      </c>
      <c r="AB752" s="4">
        <v>1</v>
      </c>
      <c r="AC752" s="4">
        <v>4</v>
      </c>
      <c r="AD752" s="4">
        <v>17</v>
      </c>
      <c r="AE752" s="4">
        <v>31</v>
      </c>
      <c r="AF752" s="4">
        <v>0</v>
      </c>
      <c r="AG752" s="4">
        <v>0</v>
      </c>
      <c r="AH752" s="4">
        <v>14</v>
      </c>
      <c r="AI752" s="4">
        <v>20</v>
      </c>
      <c r="AJ752" s="4">
        <v>6</v>
      </c>
      <c r="AK752" s="4">
        <v>12</v>
      </c>
      <c r="AL752" s="4">
        <v>8</v>
      </c>
      <c r="AM752" s="4">
        <v>12</v>
      </c>
      <c r="AN752" s="4">
        <v>0</v>
      </c>
      <c r="AO752" s="4">
        <v>0</v>
      </c>
      <c r="AP752" s="4">
        <v>5</v>
      </c>
      <c r="AQ752" s="4">
        <v>16</v>
      </c>
      <c r="AR752" s="3" t="s">
        <v>73</v>
      </c>
      <c r="AS752" s="3" t="s">
        <v>64</v>
      </c>
      <c r="AT752" s="3" t="s">
        <v>64</v>
      </c>
      <c r="AV752" s="6" t="str">
        <f>HYPERLINK("http://mcgill.on.worldcat.org/oclc/727702266","Catalog Record")</f>
        <v>Catalog Record</v>
      </c>
      <c r="AW752" s="6" t="str">
        <f>HYPERLINK("http://www.worldcat.org/oclc/727702266","WorldCat Record")</f>
        <v>WorldCat Record</v>
      </c>
      <c r="AX752" s="3" t="s">
        <v>7819</v>
      </c>
      <c r="AY752" s="3" t="s">
        <v>7820</v>
      </c>
      <c r="AZ752" s="3" t="s">
        <v>7821</v>
      </c>
      <c r="BA752" s="3" t="s">
        <v>7821</v>
      </c>
      <c r="BB752" s="3" t="s">
        <v>7822</v>
      </c>
      <c r="BC752" s="3" t="s">
        <v>78</v>
      </c>
      <c r="BD752" s="3" t="s">
        <v>79</v>
      </c>
      <c r="BE752" s="3" t="s">
        <v>7823</v>
      </c>
      <c r="BF752" s="3" t="s">
        <v>7822</v>
      </c>
      <c r="BG752" s="3" t="s">
        <v>7824</v>
      </c>
    </row>
    <row r="753" spans="1:59" ht="58" x14ac:dyDescent="0.35">
      <c r="A753" s="2" t="s">
        <v>59</v>
      </c>
      <c r="B753" s="2" t="s">
        <v>94</v>
      </c>
      <c r="C753" s="2" t="s">
        <v>7825</v>
      </c>
      <c r="D753" s="2" t="s">
        <v>7826</v>
      </c>
      <c r="E753" s="2" t="s">
        <v>7827</v>
      </c>
      <c r="G753" s="3" t="s">
        <v>64</v>
      </c>
      <c r="I753" s="3" t="s">
        <v>64</v>
      </c>
      <c r="J753" s="3" t="s">
        <v>64</v>
      </c>
      <c r="K753" s="3" t="s">
        <v>65</v>
      </c>
      <c r="L753" s="2" t="s">
        <v>7828</v>
      </c>
      <c r="M753" s="2" t="s">
        <v>7829</v>
      </c>
      <c r="N753" s="3" t="s">
        <v>1154</v>
      </c>
      <c r="P753" s="3" t="s">
        <v>69</v>
      </c>
      <c r="R753" s="3" t="s">
        <v>70</v>
      </c>
      <c r="S753" s="4">
        <v>10</v>
      </c>
      <c r="T753" s="4">
        <v>10</v>
      </c>
      <c r="U753" s="5" t="s">
        <v>5704</v>
      </c>
      <c r="V753" s="5" t="s">
        <v>5704</v>
      </c>
      <c r="W753" s="5" t="s">
        <v>72</v>
      </c>
      <c r="X753" s="5" t="s">
        <v>72</v>
      </c>
      <c r="Y753" s="4">
        <v>594</v>
      </c>
      <c r="Z753" s="4">
        <v>18</v>
      </c>
      <c r="AA753" s="4">
        <v>18</v>
      </c>
      <c r="AB753" s="4">
        <v>2</v>
      </c>
      <c r="AC753" s="4">
        <v>2</v>
      </c>
      <c r="AD753" s="4">
        <v>91</v>
      </c>
      <c r="AE753" s="4">
        <v>91</v>
      </c>
      <c r="AF753" s="4">
        <v>1</v>
      </c>
      <c r="AG753" s="4">
        <v>1</v>
      </c>
      <c r="AH753" s="4">
        <v>81</v>
      </c>
      <c r="AI753" s="4">
        <v>81</v>
      </c>
      <c r="AJ753" s="4">
        <v>10</v>
      </c>
      <c r="AK753" s="4">
        <v>10</v>
      </c>
      <c r="AL753" s="4">
        <v>47</v>
      </c>
      <c r="AM753" s="4">
        <v>47</v>
      </c>
      <c r="AN753" s="4">
        <v>0</v>
      </c>
      <c r="AO753" s="4">
        <v>0</v>
      </c>
      <c r="AP753" s="4">
        <v>12</v>
      </c>
      <c r="AQ753" s="4">
        <v>12</v>
      </c>
      <c r="AR753" s="3" t="s">
        <v>64</v>
      </c>
      <c r="AS753" s="3" t="s">
        <v>64</v>
      </c>
      <c r="AT753" s="3" t="s">
        <v>73</v>
      </c>
      <c r="AU753" s="6" t="str">
        <f>HYPERLINK("http://catalog.hathitrust.org/Record/002810325","HathiTrust Record")</f>
        <v>HathiTrust Record</v>
      </c>
      <c r="AV753" s="6" t="str">
        <f>HYPERLINK("http://mcgill.on.worldcat.org/oclc/29477984","Catalog Record")</f>
        <v>Catalog Record</v>
      </c>
      <c r="AW753" s="6" t="str">
        <f>HYPERLINK("http://www.worldcat.org/oclc/29477984","WorldCat Record")</f>
        <v>WorldCat Record</v>
      </c>
      <c r="AX753" s="3" t="s">
        <v>7830</v>
      </c>
      <c r="AY753" s="3" t="s">
        <v>7831</v>
      </c>
      <c r="AZ753" s="3" t="s">
        <v>7832</v>
      </c>
      <c r="BA753" s="3" t="s">
        <v>7832</v>
      </c>
      <c r="BB753" s="3" t="s">
        <v>7833</v>
      </c>
      <c r="BC753" s="3" t="s">
        <v>78</v>
      </c>
      <c r="BD753" s="3" t="s">
        <v>79</v>
      </c>
      <c r="BE753" s="3" t="s">
        <v>7834</v>
      </c>
      <c r="BF753" s="3" t="s">
        <v>7833</v>
      </c>
      <c r="BG753" s="3" t="s">
        <v>7835</v>
      </c>
    </row>
    <row r="754" spans="1:59" ht="58" x14ac:dyDescent="0.35">
      <c r="A754" s="2" t="s">
        <v>59</v>
      </c>
      <c r="B754" s="2" t="s">
        <v>94</v>
      </c>
      <c r="C754" s="2" t="s">
        <v>7836</v>
      </c>
      <c r="D754" s="2" t="s">
        <v>7837</v>
      </c>
      <c r="E754" s="2" t="s">
        <v>7838</v>
      </c>
      <c r="G754" s="3" t="s">
        <v>64</v>
      </c>
      <c r="I754" s="3" t="s">
        <v>73</v>
      </c>
      <c r="J754" s="3" t="s">
        <v>64</v>
      </c>
      <c r="K754" s="3" t="s">
        <v>65</v>
      </c>
      <c r="L754" s="2" t="s">
        <v>7770</v>
      </c>
      <c r="M754" s="2" t="s">
        <v>7839</v>
      </c>
      <c r="N754" s="3" t="s">
        <v>705</v>
      </c>
      <c r="P754" s="3" t="s">
        <v>69</v>
      </c>
      <c r="R754" s="3" t="s">
        <v>70</v>
      </c>
      <c r="S754" s="4">
        <v>3</v>
      </c>
      <c r="T754" s="4">
        <v>11</v>
      </c>
      <c r="U754" s="5" t="s">
        <v>7840</v>
      </c>
      <c r="V754" s="5" t="s">
        <v>4927</v>
      </c>
      <c r="W754" s="5" t="s">
        <v>72</v>
      </c>
      <c r="X754" s="5" t="s">
        <v>72</v>
      </c>
      <c r="Y754" s="4">
        <v>455</v>
      </c>
      <c r="Z754" s="4">
        <v>19</v>
      </c>
      <c r="AA754" s="4">
        <v>21</v>
      </c>
      <c r="AB754" s="4">
        <v>1</v>
      </c>
      <c r="AC754" s="4">
        <v>2</v>
      </c>
      <c r="AD754" s="4">
        <v>106</v>
      </c>
      <c r="AE754" s="4">
        <v>110</v>
      </c>
      <c r="AF754" s="4">
        <v>0</v>
      </c>
      <c r="AG754" s="4">
        <v>1</v>
      </c>
      <c r="AH754" s="4">
        <v>98</v>
      </c>
      <c r="AI754" s="4">
        <v>101</v>
      </c>
      <c r="AJ754" s="4">
        <v>11</v>
      </c>
      <c r="AK754" s="4">
        <v>13</v>
      </c>
      <c r="AL754" s="4">
        <v>57</v>
      </c>
      <c r="AM754" s="4">
        <v>58</v>
      </c>
      <c r="AN754" s="4">
        <v>0</v>
      </c>
      <c r="AO754" s="4">
        <v>0</v>
      </c>
      <c r="AP754" s="4">
        <v>12</v>
      </c>
      <c r="AQ754" s="4">
        <v>14</v>
      </c>
      <c r="AR754" s="3" t="s">
        <v>64</v>
      </c>
      <c r="AS754" s="3" t="s">
        <v>64</v>
      </c>
      <c r="AT754" s="3" t="s">
        <v>64</v>
      </c>
      <c r="AV754" s="6" t="str">
        <f>HYPERLINK("http://mcgill.on.worldcat.org/oclc/34517289","Catalog Record")</f>
        <v>Catalog Record</v>
      </c>
      <c r="AW754" s="6" t="str">
        <f>HYPERLINK("http://www.worldcat.org/oclc/34517289","WorldCat Record")</f>
        <v>WorldCat Record</v>
      </c>
      <c r="AX754" s="3" t="s">
        <v>7841</v>
      </c>
      <c r="AY754" s="3" t="s">
        <v>7842</v>
      </c>
      <c r="AZ754" s="3" t="s">
        <v>7843</v>
      </c>
      <c r="BA754" s="3" t="s">
        <v>7843</v>
      </c>
      <c r="BB754" s="3" t="s">
        <v>7844</v>
      </c>
      <c r="BC754" s="3" t="s">
        <v>78</v>
      </c>
      <c r="BD754" s="3" t="s">
        <v>79</v>
      </c>
      <c r="BE754" s="3" t="s">
        <v>7845</v>
      </c>
      <c r="BF754" s="3" t="s">
        <v>7844</v>
      </c>
      <c r="BG754" s="3" t="s">
        <v>7846</v>
      </c>
    </row>
    <row r="755" spans="1:59" ht="58" x14ac:dyDescent="0.35">
      <c r="A755" s="2" t="s">
        <v>59</v>
      </c>
      <c r="B755" s="2" t="s">
        <v>94</v>
      </c>
      <c r="C755" s="2" t="s">
        <v>7836</v>
      </c>
      <c r="D755" s="2" t="s">
        <v>7837</v>
      </c>
      <c r="E755" s="2" t="s">
        <v>7838</v>
      </c>
      <c r="G755" s="3" t="s">
        <v>64</v>
      </c>
      <c r="I755" s="3" t="s">
        <v>73</v>
      </c>
      <c r="J755" s="3" t="s">
        <v>64</v>
      </c>
      <c r="K755" s="3" t="s">
        <v>65</v>
      </c>
      <c r="L755" s="2" t="s">
        <v>7770</v>
      </c>
      <c r="M755" s="2" t="s">
        <v>7839</v>
      </c>
      <c r="N755" s="3" t="s">
        <v>705</v>
      </c>
      <c r="P755" s="3" t="s">
        <v>69</v>
      </c>
      <c r="R755" s="3" t="s">
        <v>70</v>
      </c>
      <c r="S755" s="4">
        <v>8</v>
      </c>
      <c r="T755" s="4">
        <v>11</v>
      </c>
      <c r="U755" s="5" t="s">
        <v>4927</v>
      </c>
      <c r="V755" s="5" t="s">
        <v>4927</v>
      </c>
      <c r="W755" s="5" t="s">
        <v>72</v>
      </c>
      <c r="X755" s="5" t="s">
        <v>72</v>
      </c>
      <c r="Y755" s="4">
        <v>455</v>
      </c>
      <c r="Z755" s="4">
        <v>19</v>
      </c>
      <c r="AA755" s="4">
        <v>21</v>
      </c>
      <c r="AB755" s="4">
        <v>1</v>
      </c>
      <c r="AC755" s="4">
        <v>2</v>
      </c>
      <c r="AD755" s="4">
        <v>106</v>
      </c>
      <c r="AE755" s="4">
        <v>110</v>
      </c>
      <c r="AF755" s="4">
        <v>0</v>
      </c>
      <c r="AG755" s="4">
        <v>1</v>
      </c>
      <c r="AH755" s="4">
        <v>98</v>
      </c>
      <c r="AI755" s="4">
        <v>101</v>
      </c>
      <c r="AJ755" s="4">
        <v>11</v>
      </c>
      <c r="AK755" s="4">
        <v>13</v>
      </c>
      <c r="AL755" s="4">
        <v>57</v>
      </c>
      <c r="AM755" s="4">
        <v>58</v>
      </c>
      <c r="AN755" s="4">
        <v>0</v>
      </c>
      <c r="AO755" s="4">
        <v>0</v>
      </c>
      <c r="AP755" s="4">
        <v>12</v>
      </c>
      <c r="AQ755" s="4">
        <v>14</v>
      </c>
      <c r="AR755" s="3" t="s">
        <v>64</v>
      </c>
      <c r="AS755" s="3" t="s">
        <v>64</v>
      </c>
      <c r="AT755" s="3" t="s">
        <v>64</v>
      </c>
      <c r="AV755" s="6" t="str">
        <f>HYPERLINK("http://mcgill.on.worldcat.org/oclc/34517289","Catalog Record")</f>
        <v>Catalog Record</v>
      </c>
      <c r="AW755" s="6" t="str">
        <f>HYPERLINK("http://www.worldcat.org/oclc/34517289","WorldCat Record")</f>
        <v>WorldCat Record</v>
      </c>
      <c r="AX755" s="3" t="s">
        <v>7841</v>
      </c>
      <c r="AY755" s="3" t="s">
        <v>7842</v>
      </c>
      <c r="AZ755" s="3" t="s">
        <v>7843</v>
      </c>
      <c r="BA755" s="3" t="s">
        <v>7843</v>
      </c>
      <c r="BB755" s="3" t="s">
        <v>7847</v>
      </c>
      <c r="BC755" s="3" t="s">
        <v>78</v>
      </c>
      <c r="BD755" s="3" t="s">
        <v>79</v>
      </c>
      <c r="BE755" s="3" t="s">
        <v>7845</v>
      </c>
      <c r="BF755" s="3" t="s">
        <v>7847</v>
      </c>
      <c r="BG755" s="3" t="s">
        <v>7848</v>
      </c>
    </row>
    <row r="756" spans="1:59" ht="58" x14ac:dyDescent="0.35">
      <c r="A756" s="2" t="s">
        <v>59</v>
      </c>
      <c r="B756" s="2" t="s">
        <v>94</v>
      </c>
      <c r="C756" s="2" t="s">
        <v>7849</v>
      </c>
      <c r="D756" s="2" t="s">
        <v>7850</v>
      </c>
      <c r="E756" s="2" t="s">
        <v>7851</v>
      </c>
      <c r="G756" s="3" t="s">
        <v>64</v>
      </c>
      <c r="I756" s="3" t="s">
        <v>64</v>
      </c>
      <c r="J756" s="3" t="s">
        <v>64</v>
      </c>
      <c r="K756" s="3" t="s">
        <v>65</v>
      </c>
      <c r="L756" s="2" t="s">
        <v>7852</v>
      </c>
      <c r="M756" s="2" t="s">
        <v>7853</v>
      </c>
      <c r="N756" s="3" t="s">
        <v>303</v>
      </c>
      <c r="P756" s="3" t="s">
        <v>69</v>
      </c>
      <c r="R756" s="3" t="s">
        <v>70</v>
      </c>
      <c r="S756" s="4">
        <v>11</v>
      </c>
      <c r="T756" s="4">
        <v>11</v>
      </c>
      <c r="U756" s="5" t="s">
        <v>7854</v>
      </c>
      <c r="V756" s="5" t="s">
        <v>7854</v>
      </c>
      <c r="W756" s="5" t="s">
        <v>72</v>
      </c>
      <c r="X756" s="5" t="s">
        <v>72</v>
      </c>
      <c r="Y756" s="4">
        <v>1173</v>
      </c>
      <c r="Z756" s="4">
        <v>26</v>
      </c>
      <c r="AA756" s="4">
        <v>28</v>
      </c>
      <c r="AB756" s="4">
        <v>1</v>
      </c>
      <c r="AC756" s="4">
        <v>1</v>
      </c>
      <c r="AD756" s="4">
        <v>107</v>
      </c>
      <c r="AE756" s="4">
        <v>109</v>
      </c>
      <c r="AF756" s="4">
        <v>0</v>
      </c>
      <c r="AG756" s="4">
        <v>0</v>
      </c>
      <c r="AH756" s="4">
        <v>94</v>
      </c>
      <c r="AI756" s="4">
        <v>94</v>
      </c>
      <c r="AJ756" s="4">
        <v>9</v>
      </c>
      <c r="AK756" s="4">
        <v>10</v>
      </c>
      <c r="AL756" s="4">
        <v>56</v>
      </c>
      <c r="AM756" s="4">
        <v>57</v>
      </c>
      <c r="AN756" s="4">
        <v>0</v>
      </c>
      <c r="AO756" s="4">
        <v>5</v>
      </c>
      <c r="AP756" s="4">
        <v>13</v>
      </c>
      <c r="AQ756" s="4">
        <v>14</v>
      </c>
      <c r="AR756" s="3" t="s">
        <v>64</v>
      </c>
      <c r="AS756" s="3" t="s">
        <v>64</v>
      </c>
      <c r="AT756" s="3" t="s">
        <v>64</v>
      </c>
      <c r="AV756" s="6" t="str">
        <f>HYPERLINK("http://mcgill.on.worldcat.org/oclc/26129934","Catalog Record")</f>
        <v>Catalog Record</v>
      </c>
      <c r="AW756" s="6" t="str">
        <f>HYPERLINK("http://www.worldcat.org/oclc/26129934","WorldCat Record")</f>
        <v>WorldCat Record</v>
      </c>
      <c r="AX756" s="3" t="s">
        <v>7855</v>
      </c>
      <c r="AY756" s="3" t="s">
        <v>7856</v>
      </c>
      <c r="AZ756" s="3" t="s">
        <v>7857</v>
      </c>
      <c r="BA756" s="3" t="s">
        <v>7857</v>
      </c>
      <c r="BB756" s="3" t="s">
        <v>7858</v>
      </c>
      <c r="BC756" s="3" t="s">
        <v>78</v>
      </c>
      <c r="BD756" s="3" t="s">
        <v>79</v>
      </c>
      <c r="BE756" s="3" t="s">
        <v>7859</v>
      </c>
      <c r="BF756" s="3" t="s">
        <v>7858</v>
      </c>
      <c r="BG756" s="3" t="s">
        <v>7860</v>
      </c>
    </row>
    <row r="757" spans="1:59" ht="58" x14ac:dyDescent="0.35">
      <c r="A757" s="2" t="s">
        <v>59</v>
      </c>
      <c r="B757" s="2" t="s">
        <v>94</v>
      </c>
      <c r="C757" s="2" t="s">
        <v>7861</v>
      </c>
      <c r="D757" s="2" t="s">
        <v>7862</v>
      </c>
      <c r="E757" s="2" t="s">
        <v>7863</v>
      </c>
      <c r="G757" s="3" t="s">
        <v>64</v>
      </c>
      <c r="I757" s="3" t="s">
        <v>64</v>
      </c>
      <c r="J757" s="3" t="s">
        <v>64</v>
      </c>
      <c r="K757" s="3" t="s">
        <v>65</v>
      </c>
      <c r="L757" s="2" t="s">
        <v>7864</v>
      </c>
      <c r="M757" s="2" t="s">
        <v>7865</v>
      </c>
      <c r="N757" s="3" t="s">
        <v>68</v>
      </c>
      <c r="P757" s="3" t="s">
        <v>69</v>
      </c>
      <c r="R757" s="3" t="s">
        <v>70</v>
      </c>
      <c r="S757" s="4">
        <v>5</v>
      </c>
      <c r="T757" s="4">
        <v>5</v>
      </c>
      <c r="U757" s="5" t="s">
        <v>7866</v>
      </c>
      <c r="V757" s="5" t="s">
        <v>7866</v>
      </c>
      <c r="W757" s="5" t="s">
        <v>72</v>
      </c>
      <c r="X757" s="5" t="s">
        <v>72</v>
      </c>
      <c r="Y757" s="4">
        <v>346</v>
      </c>
      <c r="Z757" s="4">
        <v>21</v>
      </c>
      <c r="AA757" s="4">
        <v>37</v>
      </c>
      <c r="AB757" s="4">
        <v>2</v>
      </c>
      <c r="AC757" s="4">
        <v>8</v>
      </c>
      <c r="AD757" s="4">
        <v>112</v>
      </c>
      <c r="AE757" s="4">
        <v>122</v>
      </c>
      <c r="AF757" s="4">
        <v>1</v>
      </c>
      <c r="AG757" s="4">
        <v>2</v>
      </c>
      <c r="AH757" s="4">
        <v>98</v>
      </c>
      <c r="AI757" s="4">
        <v>101</v>
      </c>
      <c r="AJ757" s="4">
        <v>12</v>
      </c>
      <c r="AK757" s="4">
        <v>16</v>
      </c>
      <c r="AL757" s="4">
        <v>55</v>
      </c>
      <c r="AM757" s="4">
        <v>56</v>
      </c>
      <c r="AN757" s="4">
        <v>0</v>
      </c>
      <c r="AO757" s="4">
        <v>0</v>
      </c>
      <c r="AP757" s="4">
        <v>17</v>
      </c>
      <c r="AQ757" s="4">
        <v>25</v>
      </c>
      <c r="AR757" s="3" t="s">
        <v>64</v>
      </c>
      <c r="AS757" s="3" t="s">
        <v>64</v>
      </c>
      <c r="AT757" s="3" t="s">
        <v>64</v>
      </c>
      <c r="AV757" s="6" t="str">
        <f>HYPERLINK("http://mcgill.on.worldcat.org/oclc/61151373","Catalog Record")</f>
        <v>Catalog Record</v>
      </c>
      <c r="AW757" s="6" t="str">
        <f>HYPERLINK("http://www.worldcat.org/oclc/61151373","WorldCat Record")</f>
        <v>WorldCat Record</v>
      </c>
      <c r="AX757" s="3" t="s">
        <v>7867</v>
      </c>
      <c r="AY757" s="3" t="s">
        <v>7868</v>
      </c>
      <c r="AZ757" s="3" t="s">
        <v>7869</v>
      </c>
      <c r="BA757" s="3" t="s">
        <v>7869</v>
      </c>
      <c r="BB757" s="3" t="s">
        <v>7870</v>
      </c>
      <c r="BC757" s="3" t="s">
        <v>78</v>
      </c>
      <c r="BD757" s="3" t="s">
        <v>79</v>
      </c>
      <c r="BE757" s="3" t="s">
        <v>7871</v>
      </c>
      <c r="BF757" s="3" t="s">
        <v>7870</v>
      </c>
      <c r="BG757" s="3" t="s">
        <v>7872</v>
      </c>
    </row>
    <row r="758" spans="1:59" ht="58" x14ac:dyDescent="0.35">
      <c r="A758" s="2" t="s">
        <v>59</v>
      </c>
      <c r="B758" s="2" t="s">
        <v>94</v>
      </c>
      <c r="C758" s="2" t="s">
        <v>7873</v>
      </c>
      <c r="D758" s="2" t="s">
        <v>7874</v>
      </c>
      <c r="E758" s="2" t="s">
        <v>7875</v>
      </c>
      <c r="G758" s="3" t="s">
        <v>64</v>
      </c>
      <c r="I758" s="3" t="s">
        <v>64</v>
      </c>
      <c r="J758" s="3" t="s">
        <v>64</v>
      </c>
      <c r="K758" s="3" t="s">
        <v>65</v>
      </c>
      <c r="L758" s="2" t="s">
        <v>7876</v>
      </c>
      <c r="M758" s="2" t="s">
        <v>7877</v>
      </c>
      <c r="N758" s="3" t="s">
        <v>175</v>
      </c>
      <c r="P758" s="3" t="s">
        <v>69</v>
      </c>
      <c r="Q758" s="2" t="s">
        <v>7878</v>
      </c>
      <c r="R758" s="3" t="s">
        <v>70</v>
      </c>
      <c r="S758" s="4">
        <v>4</v>
      </c>
      <c r="T758" s="4">
        <v>4</v>
      </c>
      <c r="U758" s="5" t="s">
        <v>7879</v>
      </c>
      <c r="V758" s="5" t="s">
        <v>7879</v>
      </c>
      <c r="W758" s="5" t="s">
        <v>72</v>
      </c>
      <c r="X758" s="5" t="s">
        <v>72</v>
      </c>
      <c r="Y758" s="4">
        <v>104</v>
      </c>
      <c r="Z758" s="4">
        <v>7</v>
      </c>
      <c r="AA758" s="4">
        <v>9</v>
      </c>
      <c r="AB758" s="4">
        <v>1</v>
      </c>
      <c r="AC758" s="4">
        <v>2</v>
      </c>
      <c r="AD758" s="4">
        <v>22</v>
      </c>
      <c r="AE758" s="4">
        <v>27</v>
      </c>
      <c r="AF758" s="4">
        <v>0</v>
      </c>
      <c r="AG758" s="4">
        <v>1</v>
      </c>
      <c r="AH758" s="4">
        <v>20</v>
      </c>
      <c r="AI758" s="4">
        <v>25</v>
      </c>
      <c r="AJ758" s="4">
        <v>3</v>
      </c>
      <c r="AK758" s="4">
        <v>5</v>
      </c>
      <c r="AL758" s="4">
        <v>14</v>
      </c>
      <c r="AM758" s="4">
        <v>17</v>
      </c>
      <c r="AN758" s="4">
        <v>0</v>
      </c>
      <c r="AO758" s="4">
        <v>0</v>
      </c>
      <c r="AP758" s="4">
        <v>2</v>
      </c>
      <c r="AQ758" s="4">
        <v>4</v>
      </c>
      <c r="AR758" s="3" t="s">
        <v>64</v>
      </c>
      <c r="AS758" s="3" t="s">
        <v>64</v>
      </c>
      <c r="AT758" s="3" t="s">
        <v>64</v>
      </c>
      <c r="AV758" s="6" t="str">
        <f>HYPERLINK("http://mcgill.on.worldcat.org/oclc/894105729","Catalog Record")</f>
        <v>Catalog Record</v>
      </c>
      <c r="AW758" s="6" t="str">
        <f>HYPERLINK("http://www.worldcat.org/oclc/894105729","WorldCat Record")</f>
        <v>WorldCat Record</v>
      </c>
      <c r="AX758" s="3" t="s">
        <v>7880</v>
      </c>
      <c r="AY758" s="3" t="s">
        <v>7881</v>
      </c>
      <c r="AZ758" s="3" t="s">
        <v>7882</v>
      </c>
      <c r="BA758" s="3" t="s">
        <v>7882</v>
      </c>
      <c r="BB758" s="3" t="s">
        <v>7883</v>
      </c>
      <c r="BC758" s="3" t="s">
        <v>78</v>
      </c>
      <c r="BD758" s="3" t="s">
        <v>79</v>
      </c>
      <c r="BE758" s="3" t="s">
        <v>7884</v>
      </c>
      <c r="BF758" s="3" t="s">
        <v>7883</v>
      </c>
      <c r="BG758" s="3" t="s">
        <v>7885</v>
      </c>
    </row>
    <row r="759" spans="1:59" ht="58" x14ac:dyDescent="0.35">
      <c r="A759" s="2" t="s">
        <v>59</v>
      </c>
      <c r="B759" s="2" t="s">
        <v>94</v>
      </c>
      <c r="C759" s="2" t="s">
        <v>7886</v>
      </c>
      <c r="D759" s="2" t="s">
        <v>7887</v>
      </c>
      <c r="E759" s="2" t="s">
        <v>7888</v>
      </c>
      <c r="G759" s="3" t="s">
        <v>64</v>
      </c>
      <c r="I759" s="3" t="s">
        <v>64</v>
      </c>
      <c r="J759" s="3" t="s">
        <v>64</v>
      </c>
      <c r="K759" s="3" t="s">
        <v>65</v>
      </c>
      <c r="L759" s="2" t="s">
        <v>7889</v>
      </c>
      <c r="M759" s="2" t="s">
        <v>7890</v>
      </c>
      <c r="N759" s="3" t="s">
        <v>1320</v>
      </c>
      <c r="P759" s="3" t="s">
        <v>69</v>
      </c>
      <c r="Q759" s="2" t="s">
        <v>7891</v>
      </c>
      <c r="R759" s="3" t="s">
        <v>70</v>
      </c>
      <c r="S759" s="4">
        <v>14</v>
      </c>
      <c r="T759" s="4">
        <v>14</v>
      </c>
      <c r="U759" s="5" t="s">
        <v>4430</v>
      </c>
      <c r="V759" s="5" t="s">
        <v>4430</v>
      </c>
      <c r="W759" s="5" t="s">
        <v>72</v>
      </c>
      <c r="X759" s="5" t="s">
        <v>72</v>
      </c>
      <c r="Y759" s="4">
        <v>149</v>
      </c>
      <c r="Z759" s="4">
        <v>12</v>
      </c>
      <c r="AA759" s="4">
        <v>12</v>
      </c>
      <c r="AB759" s="4">
        <v>1</v>
      </c>
      <c r="AC759" s="4">
        <v>1</v>
      </c>
      <c r="AD759" s="4">
        <v>70</v>
      </c>
      <c r="AE759" s="4">
        <v>70</v>
      </c>
      <c r="AF759" s="4">
        <v>0</v>
      </c>
      <c r="AG759" s="4">
        <v>0</v>
      </c>
      <c r="AH759" s="4">
        <v>66</v>
      </c>
      <c r="AI759" s="4">
        <v>66</v>
      </c>
      <c r="AJ759" s="4">
        <v>8</v>
      </c>
      <c r="AK759" s="4">
        <v>8</v>
      </c>
      <c r="AL759" s="4">
        <v>43</v>
      </c>
      <c r="AM759" s="4">
        <v>43</v>
      </c>
      <c r="AN759" s="4">
        <v>0</v>
      </c>
      <c r="AO759" s="4">
        <v>0</v>
      </c>
      <c r="AP759" s="4">
        <v>8</v>
      </c>
      <c r="AQ759" s="4">
        <v>8</v>
      </c>
      <c r="AR759" s="3" t="s">
        <v>64</v>
      </c>
      <c r="AS759" s="3" t="s">
        <v>64</v>
      </c>
      <c r="AT759" s="3" t="s">
        <v>73</v>
      </c>
      <c r="AU759" s="6" t="str">
        <f>HYPERLINK("http://catalog.hathitrust.org/Record/002956335","HathiTrust Record")</f>
        <v>HathiTrust Record</v>
      </c>
      <c r="AV759" s="6" t="str">
        <f>HYPERLINK("http://mcgill.on.worldcat.org/oclc/31330572","Catalog Record")</f>
        <v>Catalog Record</v>
      </c>
      <c r="AW759" s="6" t="str">
        <f>HYPERLINK("http://www.worldcat.org/oclc/31330572","WorldCat Record")</f>
        <v>WorldCat Record</v>
      </c>
      <c r="AX759" s="3" t="s">
        <v>7892</v>
      </c>
      <c r="AY759" s="3" t="s">
        <v>7893</v>
      </c>
      <c r="AZ759" s="3" t="s">
        <v>7894</v>
      </c>
      <c r="BA759" s="3" t="s">
        <v>7894</v>
      </c>
      <c r="BB759" s="3" t="s">
        <v>7895</v>
      </c>
      <c r="BC759" s="3" t="s">
        <v>78</v>
      </c>
      <c r="BD759" s="3" t="s">
        <v>79</v>
      </c>
      <c r="BE759" s="3" t="s">
        <v>7896</v>
      </c>
      <c r="BF759" s="3" t="s">
        <v>7895</v>
      </c>
      <c r="BG759" s="3" t="s">
        <v>7897</v>
      </c>
    </row>
    <row r="760" spans="1:59" ht="58" x14ac:dyDescent="0.35">
      <c r="A760" s="2" t="s">
        <v>59</v>
      </c>
      <c r="B760" s="2" t="s">
        <v>94</v>
      </c>
      <c r="C760" s="2" t="s">
        <v>7898</v>
      </c>
      <c r="D760" s="2" t="s">
        <v>7899</v>
      </c>
      <c r="E760" s="2" t="s">
        <v>7900</v>
      </c>
      <c r="G760" s="3" t="s">
        <v>64</v>
      </c>
      <c r="I760" s="3" t="s">
        <v>64</v>
      </c>
      <c r="J760" s="3" t="s">
        <v>64</v>
      </c>
      <c r="K760" s="3" t="s">
        <v>65</v>
      </c>
      <c r="L760" s="2" t="s">
        <v>7901</v>
      </c>
      <c r="M760" s="2" t="s">
        <v>7902</v>
      </c>
      <c r="N760" s="3" t="s">
        <v>705</v>
      </c>
      <c r="P760" s="3" t="s">
        <v>69</v>
      </c>
      <c r="R760" s="3" t="s">
        <v>70</v>
      </c>
      <c r="S760" s="4">
        <v>13</v>
      </c>
      <c r="T760" s="4">
        <v>13</v>
      </c>
      <c r="U760" s="5" t="s">
        <v>7903</v>
      </c>
      <c r="V760" s="5" t="s">
        <v>7903</v>
      </c>
      <c r="W760" s="5" t="s">
        <v>72</v>
      </c>
      <c r="X760" s="5" t="s">
        <v>72</v>
      </c>
      <c r="Y760" s="4">
        <v>253</v>
      </c>
      <c r="Z760" s="4">
        <v>20</v>
      </c>
      <c r="AA760" s="4">
        <v>24</v>
      </c>
      <c r="AB760" s="4">
        <v>1</v>
      </c>
      <c r="AC760" s="4">
        <v>4</v>
      </c>
      <c r="AD760" s="4">
        <v>95</v>
      </c>
      <c r="AE760" s="4">
        <v>97</v>
      </c>
      <c r="AF760" s="4">
        <v>0</v>
      </c>
      <c r="AG760" s="4">
        <v>0</v>
      </c>
      <c r="AH760" s="4">
        <v>86</v>
      </c>
      <c r="AI760" s="4">
        <v>88</v>
      </c>
      <c r="AJ760" s="4">
        <v>13</v>
      </c>
      <c r="AK760" s="4">
        <v>14</v>
      </c>
      <c r="AL760" s="4">
        <v>51</v>
      </c>
      <c r="AM760" s="4">
        <v>51</v>
      </c>
      <c r="AN760" s="4">
        <v>0</v>
      </c>
      <c r="AO760" s="4">
        <v>0</v>
      </c>
      <c r="AP760" s="4">
        <v>15</v>
      </c>
      <c r="AQ760" s="4">
        <v>16</v>
      </c>
      <c r="AR760" s="3" t="s">
        <v>64</v>
      </c>
      <c r="AS760" s="3" t="s">
        <v>64</v>
      </c>
      <c r="AT760" s="3" t="s">
        <v>64</v>
      </c>
      <c r="AV760" s="6" t="str">
        <f>HYPERLINK("http://mcgill.on.worldcat.org/oclc/32780106","Catalog Record")</f>
        <v>Catalog Record</v>
      </c>
      <c r="AW760" s="6" t="str">
        <f>HYPERLINK("http://www.worldcat.org/oclc/32780106","WorldCat Record")</f>
        <v>WorldCat Record</v>
      </c>
      <c r="AX760" s="3" t="s">
        <v>7904</v>
      </c>
      <c r="AY760" s="3" t="s">
        <v>7905</v>
      </c>
      <c r="AZ760" s="3" t="s">
        <v>7906</v>
      </c>
      <c r="BA760" s="3" t="s">
        <v>7906</v>
      </c>
      <c r="BB760" s="3" t="s">
        <v>7907</v>
      </c>
      <c r="BC760" s="3" t="s">
        <v>78</v>
      </c>
      <c r="BD760" s="3" t="s">
        <v>79</v>
      </c>
      <c r="BE760" s="3" t="s">
        <v>7908</v>
      </c>
      <c r="BF760" s="3" t="s">
        <v>7907</v>
      </c>
      <c r="BG760" s="3" t="s">
        <v>7909</v>
      </c>
    </row>
    <row r="761" spans="1:59" ht="58" x14ac:dyDescent="0.35">
      <c r="A761" s="2" t="s">
        <v>59</v>
      </c>
      <c r="B761" s="2" t="s">
        <v>94</v>
      </c>
      <c r="C761" s="2" t="s">
        <v>7910</v>
      </c>
      <c r="D761" s="2" t="s">
        <v>7911</v>
      </c>
      <c r="E761" s="2" t="s">
        <v>7912</v>
      </c>
      <c r="G761" s="3" t="s">
        <v>64</v>
      </c>
      <c r="I761" s="3" t="s">
        <v>64</v>
      </c>
      <c r="J761" s="3" t="s">
        <v>64</v>
      </c>
      <c r="K761" s="3" t="s">
        <v>65</v>
      </c>
      <c r="L761" s="2" t="s">
        <v>7913</v>
      </c>
      <c r="M761" s="2" t="s">
        <v>7914</v>
      </c>
      <c r="N761" s="3" t="s">
        <v>377</v>
      </c>
      <c r="P761" s="3" t="s">
        <v>69</v>
      </c>
      <c r="Q761" s="2" t="s">
        <v>7915</v>
      </c>
      <c r="R761" s="3" t="s">
        <v>70</v>
      </c>
      <c r="S761" s="4">
        <v>0</v>
      </c>
      <c r="T761" s="4">
        <v>0</v>
      </c>
      <c r="W761" s="5" t="s">
        <v>72</v>
      </c>
      <c r="X761" s="5" t="s">
        <v>72</v>
      </c>
      <c r="Y761" s="4">
        <v>96</v>
      </c>
      <c r="Z761" s="4">
        <v>6</v>
      </c>
      <c r="AA761" s="4">
        <v>12</v>
      </c>
      <c r="AB761" s="4">
        <v>1</v>
      </c>
      <c r="AC761" s="4">
        <v>3</v>
      </c>
      <c r="AD761" s="4">
        <v>40</v>
      </c>
      <c r="AE761" s="4">
        <v>47</v>
      </c>
      <c r="AF761" s="4">
        <v>0</v>
      </c>
      <c r="AG761" s="4">
        <v>0</v>
      </c>
      <c r="AH761" s="4">
        <v>37</v>
      </c>
      <c r="AI761" s="4">
        <v>43</v>
      </c>
      <c r="AJ761" s="4">
        <v>3</v>
      </c>
      <c r="AK761" s="4">
        <v>6</v>
      </c>
      <c r="AL761" s="4">
        <v>25</v>
      </c>
      <c r="AM761" s="4">
        <v>28</v>
      </c>
      <c r="AN761" s="4">
        <v>0</v>
      </c>
      <c r="AO761" s="4">
        <v>0</v>
      </c>
      <c r="AP761" s="4">
        <v>4</v>
      </c>
      <c r="AQ761" s="4">
        <v>7</v>
      </c>
      <c r="AR761" s="3" t="s">
        <v>64</v>
      </c>
      <c r="AS761" s="3" t="s">
        <v>64</v>
      </c>
      <c r="AT761" s="3" t="s">
        <v>64</v>
      </c>
      <c r="AV761" s="6" t="str">
        <f>HYPERLINK("http://mcgill.on.worldcat.org/oclc/764357556","Catalog Record")</f>
        <v>Catalog Record</v>
      </c>
      <c r="AW761" s="6" t="str">
        <f>HYPERLINK("http://www.worldcat.org/oclc/764357556","WorldCat Record")</f>
        <v>WorldCat Record</v>
      </c>
      <c r="AX761" s="3" t="s">
        <v>7916</v>
      </c>
      <c r="AY761" s="3" t="s">
        <v>7917</v>
      </c>
      <c r="AZ761" s="3" t="s">
        <v>7918</v>
      </c>
      <c r="BA761" s="3" t="s">
        <v>7918</v>
      </c>
      <c r="BB761" s="3" t="s">
        <v>7919</v>
      </c>
      <c r="BC761" s="3" t="s">
        <v>78</v>
      </c>
      <c r="BD761" s="3" t="s">
        <v>79</v>
      </c>
      <c r="BE761" s="3" t="s">
        <v>7920</v>
      </c>
      <c r="BF761" s="3" t="s">
        <v>7919</v>
      </c>
      <c r="BG761" s="3" t="s">
        <v>7921</v>
      </c>
    </row>
    <row r="762" spans="1:59" ht="58" x14ac:dyDescent="0.35">
      <c r="A762" s="2" t="s">
        <v>59</v>
      </c>
      <c r="B762" s="2" t="s">
        <v>94</v>
      </c>
      <c r="C762" s="2" t="s">
        <v>7922</v>
      </c>
      <c r="D762" s="2" t="s">
        <v>7923</v>
      </c>
      <c r="E762" s="2" t="s">
        <v>7924</v>
      </c>
      <c r="G762" s="3" t="s">
        <v>64</v>
      </c>
      <c r="I762" s="3" t="s">
        <v>64</v>
      </c>
      <c r="J762" s="3" t="s">
        <v>64</v>
      </c>
      <c r="K762" s="3" t="s">
        <v>65</v>
      </c>
      <c r="L762" s="2" t="s">
        <v>7925</v>
      </c>
      <c r="M762" s="2" t="s">
        <v>7926</v>
      </c>
      <c r="N762" s="3" t="s">
        <v>1530</v>
      </c>
      <c r="O762" s="2" t="s">
        <v>7927</v>
      </c>
      <c r="P762" s="3" t="s">
        <v>69</v>
      </c>
      <c r="R762" s="3" t="s">
        <v>70</v>
      </c>
      <c r="S762" s="4">
        <v>13</v>
      </c>
      <c r="T762" s="4">
        <v>13</v>
      </c>
      <c r="U762" s="5" t="s">
        <v>6117</v>
      </c>
      <c r="V762" s="5" t="s">
        <v>6117</v>
      </c>
      <c r="W762" s="5" t="s">
        <v>72</v>
      </c>
      <c r="X762" s="5" t="s">
        <v>72</v>
      </c>
      <c r="Y762" s="4">
        <v>40</v>
      </c>
      <c r="Z762" s="4">
        <v>7</v>
      </c>
      <c r="AA762" s="4">
        <v>15</v>
      </c>
      <c r="AB762" s="4">
        <v>1</v>
      </c>
      <c r="AC762" s="4">
        <v>1</v>
      </c>
      <c r="AD762" s="4">
        <v>12</v>
      </c>
      <c r="AE762" s="4">
        <v>39</v>
      </c>
      <c r="AF762" s="4">
        <v>0</v>
      </c>
      <c r="AG762" s="4">
        <v>0</v>
      </c>
      <c r="AH762" s="4">
        <v>9</v>
      </c>
      <c r="AI762" s="4">
        <v>32</v>
      </c>
      <c r="AJ762" s="4">
        <v>4</v>
      </c>
      <c r="AK762" s="4">
        <v>9</v>
      </c>
      <c r="AL762" s="4">
        <v>5</v>
      </c>
      <c r="AM762" s="4">
        <v>20</v>
      </c>
      <c r="AN762" s="4">
        <v>0</v>
      </c>
      <c r="AO762" s="4">
        <v>0</v>
      </c>
      <c r="AP762" s="4">
        <v>4</v>
      </c>
      <c r="AQ762" s="4">
        <v>10</v>
      </c>
      <c r="AR762" s="3" t="s">
        <v>64</v>
      </c>
      <c r="AS762" s="3" t="s">
        <v>64</v>
      </c>
      <c r="AT762" s="3" t="s">
        <v>64</v>
      </c>
      <c r="AV762" s="6" t="str">
        <f>HYPERLINK("http://mcgill.on.worldcat.org/oclc/53798164","Catalog Record")</f>
        <v>Catalog Record</v>
      </c>
      <c r="AW762" s="6" t="str">
        <f>HYPERLINK("http://www.worldcat.org/oclc/53798164","WorldCat Record")</f>
        <v>WorldCat Record</v>
      </c>
      <c r="AX762" s="3" t="s">
        <v>7928</v>
      </c>
      <c r="AY762" s="3" t="s">
        <v>7929</v>
      </c>
      <c r="AZ762" s="3" t="s">
        <v>7930</v>
      </c>
      <c r="BA762" s="3" t="s">
        <v>7930</v>
      </c>
      <c r="BB762" s="3" t="s">
        <v>7931</v>
      </c>
      <c r="BC762" s="3" t="s">
        <v>78</v>
      </c>
      <c r="BD762" s="3" t="s">
        <v>79</v>
      </c>
      <c r="BE762" s="3" t="s">
        <v>7932</v>
      </c>
      <c r="BF762" s="3" t="s">
        <v>7931</v>
      </c>
      <c r="BG762" s="3" t="s">
        <v>7933</v>
      </c>
    </row>
    <row r="763" spans="1:59" ht="58" x14ac:dyDescent="0.35">
      <c r="A763" s="2" t="s">
        <v>59</v>
      </c>
      <c r="B763" s="2" t="s">
        <v>94</v>
      </c>
      <c r="C763" s="2" t="s">
        <v>7934</v>
      </c>
      <c r="D763" s="2" t="s">
        <v>7935</v>
      </c>
      <c r="E763" s="2" t="s">
        <v>7936</v>
      </c>
      <c r="G763" s="3" t="s">
        <v>64</v>
      </c>
      <c r="I763" s="3" t="s">
        <v>64</v>
      </c>
      <c r="J763" s="3" t="s">
        <v>64</v>
      </c>
      <c r="K763" s="3" t="s">
        <v>65</v>
      </c>
      <c r="M763" s="2" t="s">
        <v>7937</v>
      </c>
      <c r="N763" s="3" t="s">
        <v>524</v>
      </c>
      <c r="P763" s="3" t="s">
        <v>69</v>
      </c>
      <c r="Q763" s="2" t="s">
        <v>7938</v>
      </c>
      <c r="R763" s="3" t="s">
        <v>70</v>
      </c>
      <c r="S763" s="4">
        <v>2</v>
      </c>
      <c r="T763" s="4">
        <v>2</v>
      </c>
      <c r="U763" s="5" t="s">
        <v>7903</v>
      </c>
      <c r="V763" s="5" t="s">
        <v>7903</v>
      </c>
      <c r="W763" s="5" t="s">
        <v>72</v>
      </c>
      <c r="X763" s="5" t="s">
        <v>72</v>
      </c>
      <c r="Y763" s="4">
        <v>73</v>
      </c>
      <c r="Z763" s="4">
        <v>24</v>
      </c>
      <c r="AA763" s="4">
        <v>33</v>
      </c>
      <c r="AB763" s="4">
        <v>2</v>
      </c>
      <c r="AC763" s="4">
        <v>4</v>
      </c>
      <c r="AD763" s="4">
        <v>32</v>
      </c>
      <c r="AE763" s="4">
        <v>33</v>
      </c>
      <c r="AF763" s="4">
        <v>0</v>
      </c>
      <c r="AG763" s="4">
        <v>0</v>
      </c>
      <c r="AH763" s="4">
        <v>26</v>
      </c>
      <c r="AI763" s="4">
        <v>27</v>
      </c>
      <c r="AJ763" s="4">
        <v>12</v>
      </c>
      <c r="AK763" s="4">
        <v>12</v>
      </c>
      <c r="AL763" s="4">
        <v>16</v>
      </c>
      <c r="AM763" s="4">
        <v>16</v>
      </c>
      <c r="AN763" s="4">
        <v>0</v>
      </c>
      <c r="AO763" s="4">
        <v>0</v>
      </c>
      <c r="AP763" s="4">
        <v>10</v>
      </c>
      <c r="AQ763" s="4">
        <v>10</v>
      </c>
      <c r="AR763" s="3" t="s">
        <v>73</v>
      </c>
      <c r="AS763" s="3" t="s">
        <v>64</v>
      </c>
      <c r="AT763" s="3" t="s">
        <v>64</v>
      </c>
      <c r="AV763" s="6" t="str">
        <f>HYPERLINK("http://mcgill.on.worldcat.org/oclc/817586980","Catalog Record")</f>
        <v>Catalog Record</v>
      </c>
      <c r="AW763" s="6" t="str">
        <f>HYPERLINK("http://www.worldcat.org/oclc/817586980","WorldCat Record")</f>
        <v>WorldCat Record</v>
      </c>
      <c r="AX763" s="3" t="s">
        <v>7939</v>
      </c>
      <c r="AY763" s="3" t="s">
        <v>7940</v>
      </c>
      <c r="AZ763" s="3" t="s">
        <v>7941</v>
      </c>
      <c r="BA763" s="3" t="s">
        <v>7941</v>
      </c>
      <c r="BB763" s="3" t="s">
        <v>7942</v>
      </c>
      <c r="BC763" s="3" t="s">
        <v>78</v>
      </c>
      <c r="BD763" s="3" t="s">
        <v>79</v>
      </c>
      <c r="BE763" s="3" t="s">
        <v>7943</v>
      </c>
      <c r="BF763" s="3" t="s">
        <v>7942</v>
      </c>
      <c r="BG763" s="3" t="s">
        <v>7944</v>
      </c>
    </row>
    <row r="764" spans="1:59" ht="58" x14ac:dyDescent="0.35">
      <c r="A764" s="2" t="s">
        <v>59</v>
      </c>
      <c r="B764" s="2" t="s">
        <v>94</v>
      </c>
      <c r="C764" s="2" t="s">
        <v>7945</v>
      </c>
      <c r="D764" s="2" t="s">
        <v>7946</v>
      </c>
      <c r="E764" s="2" t="s">
        <v>7947</v>
      </c>
      <c r="G764" s="3" t="s">
        <v>64</v>
      </c>
      <c r="I764" s="3" t="s">
        <v>64</v>
      </c>
      <c r="J764" s="3" t="s">
        <v>64</v>
      </c>
      <c r="K764" s="3" t="s">
        <v>65</v>
      </c>
      <c r="M764" s="2" t="s">
        <v>7948</v>
      </c>
      <c r="N764" s="3" t="s">
        <v>328</v>
      </c>
      <c r="P764" s="3" t="s">
        <v>69</v>
      </c>
      <c r="Q764" s="2" t="s">
        <v>7949</v>
      </c>
      <c r="R764" s="3" t="s">
        <v>70</v>
      </c>
      <c r="S764" s="4">
        <v>1</v>
      </c>
      <c r="T764" s="4">
        <v>1</v>
      </c>
      <c r="U764" s="5" t="s">
        <v>7950</v>
      </c>
      <c r="V764" s="5" t="s">
        <v>7950</v>
      </c>
      <c r="W764" s="5" t="s">
        <v>72</v>
      </c>
      <c r="X764" s="5" t="s">
        <v>72</v>
      </c>
      <c r="Y764" s="4">
        <v>126</v>
      </c>
      <c r="Z764" s="4">
        <v>5</v>
      </c>
      <c r="AA764" s="4">
        <v>43</v>
      </c>
      <c r="AB764" s="4">
        <v>1</v>
      </c>
      <c r="AC764" s="4">
        <v>8</v>
      </c>
      <c r="AD764" s="4">
        <v>52</v>
      </c>
      <c r="AE764" s="4">
        <v>109</v>
      </c>
      <c r="AF764" s="4">
        <v>0</v>
      </c>
      <c r="AG764" s="4">
        <v>2</v>
      </c>
      <c r="AH764" s="4">
        <v>51</v>
      </c>
      <c r="AI764" s="4">
        <v>90</v>
      </c>
      <c r="AJ764" s="4">
        <v>2</v>
      </c>
      <c r="AK764" s="4">
        <v>13</v>
      </c>
      <c r="AL764" s="4">
        <v>30</v>
      </c>
      <c r="AM764" s="4">
        <v>50</v>
      </c>
      <c r="AN764" s="4">
        <v>0</v>
      </c>
      <c r="AO764" s="4">
        <v>0</v>
      </c>
      <c r="AP764" s="4">
        <v>3</v>
      </c>
      <c r="AQ764" s="4">
        <v>25</v>
      </c>
      <c r="AR764" s="3" t="s">
        <v>64</v>
      </c>
      <c r="AS764" s="3" t="s">
        <v>64</v>
      </c>
      <c r="AT764" s="3" t="s">
        <v>64</v>
      </c>
      <c r="AV764" s="6" t="str">
        <f>HYPERLINK("http://mcgill.on.worldcat.org/oclc/760971853","Catalog Record")</f>
        <v>Catalog Record</v>
      </c>
      <c r="AW764" s="6" t="str">
        <f>HYPERLINK("http://www.worldcat.org/oclc/760971853","WorldCat Record")</f>
        <v>WorldCat Record</v>
      </c>
      <c r="AX764" s="3" t="s">
        <v>7951</v>
      </c>
      <c r="AY764" s="3" t="s">
        <v>7952</v>
      </c>
      <c r="AZ764" s="3" t="s">
        <v>7953</v>
      </c>
      <c r="BA764" s="3" t="s">
        <v>7953</v>
      </c>
      <c r="BB764" s="3" t="s">
        <v>7954</v>
      </c>
      <c r="BC764" s="3" t="s">
        <v>78</v>
      </c>
      <c r="BD764" s="3" t="s">
        <v>79</v>
      </c>
      <c r="BE764" s="3" t="s">
        <v>7955</v>
      </c>
      <c r="BF764" s="3" t="s">
        <v>7954</v>
      </c>
      <c r="BG764" s="3" t="s">
        <v>7956</v>
      </c>
    </row>
    <row r="765" spans="1:59" ht="58" x14ac:dyDescent="0.35">
      <c r="A765" s="2" t="s">
        <v>59</v>
      </c>
      <c r="B765" s="2" t="s">
        <v>94</v>
      </c>
      <c r="C765" s="2" t="s">
        <v>7957</v>
      </c>
      <c r="D765" s="2" t="s">
        <v>7958</v>
      </c>
      <c r="E765" s="2" t="s">
        <v>7959</v>
      </c>
      <c r="G765" s="3" t="s">
        <v>64</v>
      </c>
      <c r="I765" s="3" t="s">
        <v>64</v>
      </c>
      <c r="J765" s="3" t="s">
        <v>64</v>
      </c>
      <c r="K765" s="3" t="s">
        <v>65</v>
      </c>
      <c r="L765" s="2" t="s">
        <v>7960</v>
      </c>
      <c r="M765" s="2" t="s">
        <v>7961</v>
      </c>
      <c r="N765" s="3" t="s">
        <v>68</v>
      </c>
      <c r="P765" s="3" t="s">
        <v>69</v>
      </c>
      <c r="R765" s="3" t="s">
        <v>70</v>
      </c>
      <c r="S765" s="4">
        <v>9</v>
      </c>
      <c r="T765" s="4">
        <v>9</v>
      </c>
      <c r="U765" s="5" t="s">
        <v>7962</v>
      </c>
      <c r="V765" s="5" t="s">
        <v>7962</v>
      </c>
      <c r="W765" s="5" t="s">
        <v>72</v>
      </c>
      <c r="X765" s="5" t="s">
        <v>72</v>
      </c>
      <c r="Y765" s="4">
        <v>235</v>
      </c>
      <c r="Z765" s="4">
        <v>11</v>
      </c>
      <c r="AA765" s="4">
        <v>11</v>
      </c>
      <c r="AB765" s="4">
        <v>1</v>
      </c>
      <c r="AC765" s="4">
        <v>1</v>
      </c>
      <c r="AD765" s="4">
        <v>28</v>
      </c>
      <c r="AE765" s="4">
        <v>28</v>
      </c>
      <c r="AF765" s="4">
        <v>0</v>
      </c>
      <c r="AG765" s="4">
        <v>0</v>
      </c>
      <c r="AH765" s="4">
        <v>24</v>
      </c>
      <c r="AI765" s="4">
        <v>24</v>
      </c>
      <c r="AJ765" s="4">
        <v>5</v>
      </c>
      <c r="AK765" s="4">
        <v>5</v>
      </c>
      <c r="AL765" s="4">
        <v>14</v>
      </c>
      <c r="AM765" s="4">
        <v>14</v>
      </c>
      <c r="AN765" s="4">
        <v>0</v>
      </c>
      <c r="AO765" s="4">
        <v>0</v>
      </c>
      <c r="AP765" s="4">
        <v>6</v>
      </c>
      <c r="AQ765" s="4">
        <v>6</v>
      </c>
      <c r="AR765" s="3" t="s">
        <v>64</v>
      </c>
      <c r="AS765" s="3" t="s">
        <v>64</v>
      </c>
      <c r="AT765" s="3" t="s">
        <v>64</v>
      </c>
      <c r="AV765" s="6" t="str">
        <f>HYPERLINK("http://mcgill.on.worldcat.org/oclc/70718396","Catalog Record")</f>
        <v>Catalog Record</v>
      </c>
      <c r="AW765" s="6" t="str">
        <f>HYPERLINK("http://www.worldcat.org/oclc/70718396","WorldCat Record")</f>
        <v>WorldCat Record</v>
      </c>
      <c r="AX765" s="3" t="s">
        <v>7963</v>
      </c>
      <c r="AY765" s="3" t="s">
        <v>7964</v>
      </c>
      <c r="AZ765" s="3" t="s">
        <v>7965</v>
      </c>
      <c r="BA765" s="3" t="s">
        <v>7965</v>
      </c>
      <c r="BB765" s="3" t="s">
        <v>7966</v>
      </c>
      <c r="BC765" s="3" t="s">
        <v>78</v>
      </c>
      <c r="BD765" s="3" t="s">
        <v>79</v>
      </c>
      <c r="BE765" s="3" t="s">
        <v>7967</v>
      </c>
      <c r="BF765" s="3" t="s">
        <v>7966</v>
      </c>
      <c r="BG765" s="3" t="s">
        <v>7968</v>
      </c>
    </row>
    <row r="766" spans="1:59" ht="58" x14ac:dyDescent="0.35">
      <c r="A766" s="2" t="s">
        <v>59</v>
      </c>
      <c r="B766" s="2" t="s">
        <v>94</v>
      </c>
      <c r="C766" s="2" t="s">
        <v>7969</v>
      </c>
      <c r="D766" s="2" t="s">
        <v>7970</v>
      </c>
      <c r="E766" s="2" t="s">
        <v>7971</v>
      </c>
      <c r="G766" s="3" t="s">
        <v>64</v>
      </c>
      <c r="I766" s="3" t="s">
        <v>64</v>
      </c>
      <c r="J766" s="3" t="s">
        <v>64</v>
      </c>
      <c r="K766" s="3" t="s">
        <v>65</v>
      </c>
      <c r="L766" s="2" t="s">
        <v>7972</v>
      </c>
      <c r="M766" s="2" t="s">
        <v>7973</v>
      </c>
      <c r="N766" s="3" t="s">
        <v>175</v>
      </c>
      <c r="P766" s="3" t="s">
        <v>69</v>
      </c>
      <c r="Q766" s="2" t="s">
        <v>7974</v>
      </c>
      <c r="R766" s="3" t="s">
        <v>70</v>
      </c>
      <c r="S766" s="4">
        <v>4</v>
      </c>
      <c r="T766" s="4">
        <v>4</v>
      </c>
      <c r="U766" s="5" t="s">
        <v>7975</v>
      </c>
      <c r="V766" s="5" t="s">
        <v>7975</v>
      </c>
      <c r="W766" s="5" t="s">
        <v>72</v>
      </c>
      <c r="X766" s="5" t="s">
        <v>72</v>
      </c>
      <c r="Y766" s="4">
        <v>83</v>
      </c>
      <c r="Z766" s="4">
        <v>4</v>
      </c>
      <c r="AA766" s="4">
        <v>8</v>
      </c>
      <c r="AB766" s="4">
        <v>1</v>
      </c>
      <c r="AC766" s="4">
        <v>4</v>
      </c>
      <c r="AD766" s="4">
        <v>23</v>
      </c>
      <c r="AE766" s="4">
        <v>34</v>
      </c>
      <c r="AF766" s="4">
        <v>0</v>
      </c>
      <c r="AG766" s="4">
        <v>0</v>
      </c>
      <c r="AH766" s="4">
        <v>22</v>
      </c>
      <c r="AI766" s="4">
        <v>32</v>
      </c>
      <c r="AJ766" s="4">
        <v>2</v>
      </c>
      <c r="AK766" s="4">
        <v>3</v>
      </c>
      <c r="AL766" s="4">
        <v>15</v>
      </c>
      <c r="AM766" s="4">
        <v>23</v>
      </c>
      <c r="AN766" s="4">
        <v>0</v>
      </c>
      <c r="AO766" s="4">
        <v>0</v>
      </c>
      <c r="AP766" s="4">
        <v>2</v>
      </c>
      <c r="AQ766" s="4">
        <v>3</v>
      </c>
      <c r="AR766" s="3" t="s">
        <v>64</v>
      </c>
      <c r="AS766" s="3" t="s">
        <v>64</v>
      </c>
      <c r="AT766" s="3" t="s">
        <v>64</v>
      </c>
      <c r="AV766" s="6" t="str">
        <f>HYPERLINK("http://mcgill.on.worldcat.org/oclc/795010725","Catalog Record")</f>
        <v>Catalog Record</v>
      </c>
      <c r="AW766" s="6" t="str">
        <f>HYPERLINK("http://www.worldcat.org/oclc/795010725","WorldCat Record")</f>
        <v>WorldCat Record</v>
      </c>
      <c r="AX766" s="3" t="s">
        <v>7976</v>
      </c>
      <c r="AY766" s="3" t="s">
        <v>7977</v>
      </c>
      <c r="AZ766" s="3" t="s">
        <v>7978</v>
      </c>
      <c r="BA766" s="3" t="s">
        <v>7978</v>
      </c>
      <c r="BB766" s="3" t="s">
        <v>7979</v>
      </c>
      <c r="BC766" s="3" t="s">
        <v>78</v>
      </c>
      <c r="BD766" s="3" t="s">
        <v>79</v>
      </c>
      <c r="BE766" s="3" t="s">
        <v>7980</v>
      </c>
      <c r="BF766" s="3" t="s">
        <v>7979</v>
      </c>
      <c r="BG766" s="3" t="s">
        <v>7981</v>
      </c>
    </row>
    <row r="767" spans="1:59" ht="58" x14ac:dyDescent="0.35">
      <c r="A767" s="2" t="s">
        <v>59</v>
      </c>
      <c r="B767" s="2" t="s">
        <v>94</v>
      </c>
      <c r="C767" s="2" t="s">
        <v>7982</v>
      </c>
      <c r="D767" s="2" t="s">
        <v>7983</v>
      </c>
      <c r="E767" s="2" t="s">
        <v>7984</v>
      </c>
      <c r="G767" s="3" t="s">
        <v>64</v>
      </c>
      <c r="I767" s="3" t="s">
        <v>64</v>
      </c>
      <c r="J767" s="3" t="s">
        <v>64</v>
      </c>
      <c r="K767" s="3" t="s">
        <v>65</v>
      </c>
      <c r="L767" s="2" t="s">
        <v>7985</v>
      </c>
      <c r="M767" s="2" t="s">
        <v>7986</v>
      </c>
      <c r="N767" s="3" t="s">
        <v>377</v>
      </c>
      <c r="P767" s="3" t="s">
        <v>69</v>
      </c>
      <c r="R767" s="3" t="s">
        <v>70</v>
      </c>
      <c r="S767" s="4">
        <v>5</v>
      </c>
      <c r="T767" s="4">
        <v>5</v>
      </c>
      <c r="U767" s="5" t="s">
        <v>7987</v>
      </c>
      <c r="V767" s="5" t="s">
        <v>7987</v>
      </c>
      <c r="W767" s="5" t="s">
        <v>72</v>
      </c>
      <c r="X767" s="5" t="s">
        <v>72</v>
      </c>
      <c r="Y767" s="4">
        <v>392</v>
      </c>
      <c r="Z767" s="4">
        <v>16</v>
      </c>
      <c r="AA767" s="4">
        <v>60</v>
      </c>
      <c r="AB767" s="4">
        <v>2</v>
      </c>
      <c r="AC767" s="4">
        <v>5</v>
      </c>
      <c r="AD767" s="4">
        <v>75</v>
      </c>
      <c r="AE767" s="4">
        <v>89</v>
      </c>
      <c r="AF767" s="4">
        <v>1</v>
      </c>
      <c r="AG767" s="4">
        <v>1</v>
      </c>
      <c r="AH767" s="4">
        <v>71</v>
      </c>
      <c r="AI767" s="4">
        <v>75</v>
      </c>
      <c r="AJ767" s="4">
        <v>8</v>
      </c>
      <c r="AK767" s="4">
        <v>11</v>
      </c>
      <c r="AL767" s="4">
        <v>45</v>
      </c>
      <c r="AM767" s="4">
        <v>48</v>
      </c>
      <c r="AN767" s="4">
        <v>0</v>
      </c>
      <c r="AO767" s="4">
        <v>0</v>
      </c>
      <c r="AP767" s="4">
        <v>8</v>
      </c>
      <c r="AQ767" s="4">
        <v>16</v>
      </c>
      <c r="AR767" s="3" t="s">
        <v>64</v>
      </c>
      <c r="AS767" s="3" t="s">
        <v>64</v>
      </c>
      <c r="AT767" s="3" t="s">
        <v>64</v>
      </c>
      <c r="AV767" s="6" t="str">
        <f>HYPERLINK("http://mcgill.on.worldcat.org/oclc/778422080","Catalog Record")</f>
        <v>Catalog Record</v>
      </c>
      <c r="AW767" s="6" t="str">
        <f>HYPERLINK("http://www.worldcat.org/oclc/778422080","WorldCat Record")</f>
        <v>WorldCat Record</v>
      </c>
      <c r="AX767" s="3" t="s">
        <v>7988</v>
      </c>
      <c r="AY767" s="3" t="s">
        <v>7989</v>
      </c>
      <c r="AZ767" s="3" t="s">
        <v>7990</v>
      </c>
      <c r="BA767" s="3" t="s">
        <v>7990</v>
      </c>
      <c r="BB767" s="3" t="s">
        <v>7991</v>
      </c>
      <c r="BC767" s="3" t="s">
        <v>78</v>
      </c>
      <c r="BD767" s="3" t="s">
        <v>79</v>
      </c>
      <c r="BE767" s="3" t="s">
        <v>7992</v>
      </c>
      <c r="BF767" s="3" t="s">
        <v>7991</v>
      </c>
      <c r="BG767" s="3" t="s">
        <v>7993</v>
      </c>
    </row>
    <row r="768" spans="1:59" ht="58" x14ac:dyDescent="0.35">
      <c r="A768" s="2" t="s">
        <v>59</v>
      </c>
      <c r="B768" s="2" t="s">
        <v>94</v>
      </c>
      <c r="C768" s="2" t="s">
        <v>7994</v>
      </c>
      <c r="D768" s="2" t="s">
        <v>7995</v>
      </c>
      <c r="E768" s="2" t="s">
        <v>7996</v>
      </c>
      <c r="G768" s="3" t="s">
        <v>64</v>
      </c>
      <c r="I768" s="3" t="s">
        <v>64</v>
      </c>
      <c r="J768" s="3" t="s">
        <v>64</v>
      </c>
      <c r="K768" s="3" t="s">
        <v>65</v>
      </c>
      <c r="L768" s="2" t="s">
        <v>7997</v>
      </c>
      <c r="M768" s="2" t="s">
        <v>7998</v>
      </c>
      <c r="N768" s="3" t="s">
        <v>214</v>
      </c>
      <c r="P768" s="3" t="s">
        <v>69</v>
      </c>
      <c r="R768" s="3" t="s">
        <v>70</v>
      </c>
      <c r="S768" s="4">
        <v>1</v>
      </c>
      <c r="T768" s="4">
        <v>1</v>
      </c>
      <c r="U768" s="5" t="s">
        <v>7999</v>
      </c>
      <c r="V768" s="5" t="s">
        <v>7999</v>
      </c>
      <c r="W768" s="5" t="s">
        <v>72</v>
      </c>
      <c r="X768" s="5" t="s">
        <v>72</v>
      </c>
      <c r="Y768" s="4">
        <v>274</v>
      </c>
      <c r="Z768" s="4">
        <v>17</v>
      </c>
      <c r="AA768" s="4">
        <v>85</v>
      </c>
      <c r="AB768" s="4">
        <v>2</v>
      </c>
      <c r="AC768" s="4">
        <v>15</v>
      </c>
      <c r="AD768" s="4">
        <v>74</v>
      </c>
      <c r="AE768" s="4">
        <v>125</v>
      </c>
      <c r="AF768" s="4">
        <v>1</v>
      </c>
      <c r="AG768" s="4">
        <v>8</v>
      </c>
      <c r="AH768" s="4">
        <v>67</v>
      </c>
      <c r="AI768" s="4">
        <v>91</v>
      </c>
      <c r="AJ768" s="4">
        <v>10</v>
      </c>
      <c r="AK768" s="4">
        <v>22</v>
      </c>
      <c r="AL768" s="4">
        <v>41</v>
      </c>
      <c r="AM768" s="4">
        <v>49</v>
      </c>
      <c r="AN768" s="4">
        <v>0</v>
      </c>
      <c r="AO768" s="4">
        <v>0</v>
      </c>
      <c r="AP768" s="4">
        <v>10</v>
      </c>
      <c r="AQ768" s="4">
        <v>41</v>
      </c>
      <c r="AR768" s="3" t="s">
        <v>64</v>
      </c>
      <c r="AS768" s="3" t="s">
        <v>64</v>
      </c>
      <c r="AT768" s="3" t="s">
        <v>64</v>
      </c>
      <c r="AV768" s="6" t="str">
        <f>HYPERLINK("http://mcgill.on.worldcat.org/oclc/519829882","Catalog Record")</f>
        <v>Catalog Record</v>
      </c>
      <c r="AW768" s="6" t="str">
        <f>HYPERLINK("http://www.worldcat.org/oclc/519829882","WorldCat Record")</f>
        <v>WorldCat Record</v>
      </c>
      <c r="AX768" s="3" t="s">
        <v>8000</v>
      </c>
      <c r="AY768" s="3" t="s">
        <v>8001</v>
      </c>
      <c r="AZ768" s="3" t="s">
        <v>8002</v>
      </c>
      <c r="BA768" s="3" t="s">
        <v>8002</v>
      </c>
      <c r="BB768" s="3" t="s">
        <v>8003</v>
      </c>
      <c r="BC768" s="3" t="s">
        <v>78</v>
      </c>
      <c r="BD768" s="3" t="s">
        <v>79</v>
      </c>
      <c r="BE768" s="3" t="s">
        <v>8004</v>
      </c>
      <c r="BF768" s="3" t="s">
        <v>8003</v>
      </c>
      <c r="BG768" s="3" t="s">
        <v>8005</v>
      </c>
    </row>
    <row r="769" spans="1:59" ht="58" x14ac:dyDescent="0.35">
      <c r="A769" s="2" t="s">
        <v>59</v>
      </c>
      <c r="B769" s="2" t="s">
        <v>94</v>
      </c>
      <c r="C769" s="2" t="s">
        <v>8006</v>
      </c>
      <c r="D769" s="2" t="s">
        <v>8007</v>
      </c>
      <c r="E769" s="2" t="s">
        <v>8008</v>
      </c>
      <c r="G769" s="3" t="s">
        <v>64</v>
      </c>
      <c r="I769" s="3" t="s">
        <v>64</v>
      </c>
      <c r="J769" s="3" t="s">
        <v>64</v>
      </c>
      <c r="K769" s="3" t="s">
        <v>65</v>
      </c>
      <c r="L769" s="2" t="s">
        <v>8009</v>
      </c>
      <c r="M769" s="2" t="s">
        <v>8010</v>
      </c>
      <c r="N769" s="3" t="s">
        <v>328</v>
      </c>
      <c r="P769" s="3" t="s">
        <v>69</v>
      </c>
      <c r="Q769" s="2" t="s">
        <v>8011</v>
      </c>
      <c r="R769" s="3" t="s">
        <v>70</v>
      </c>
      <c r="S769" s="4">
        <v>2</v>
      </c>
      <c r="T769" s="4">
        <v>2</v>
      </c>
      <c r="U769" s="5" t="s">
        <v>7686</v>
      </c>
      <c r="V769" s="5" t="s">
        <v>7686</v>
      </c>
      <c r="W769" s="5" t="s">
        <v>72</v>
      </c>
      <c r="X769" s="5" t="s">
        <v>72</v>
      </c>
      <c r="Y769" s="4">
        <v>211</v>
      </c>
      <c r="Z769" s="4">
        <v>14</v>
      </c>
      <c r="AA769" s="4">
        <v>19</v>
      </c>
      <c r="AB769" s="4">
        <v>1</v>
      </c>
      <c r="AC769" s="4">
        <v>6</v>
      </c>
      <c r="AD769" s="4">
        <v>51</v>
      </c>
      <c r="AE769" s="4">
        <v>56</v>
      </c>
      <c r="AF769" s="4">
        <v>0</v>
      </c>
      <c r="AG769" s="4">
        <v>3</v>
      </c>
      <c r="AH769" s="4">
        <v>45</v>
      </c>
      <c r="AI769" s="4">
        <v>48</v>
      </c>
      <c r="AJ769" s="4">
        <v>7</v>
      </c>
      <c r="AK769" s="4">
        <v>10</v>
      </c>
      <c r="AL769" s="4">
        <v>31</v>
      </c>
      <c r="AM769" s="4">
        <v>32</v>
      </c>
      <c r="AN769" s="4">
        <v>0</v>
      </c>
      <c r="AO769" s="4">
        <v>0</v>
      </c>
      <c r="AP769" s="4">
        <v>7</v>
      </c>
      <c r="AQ769" s="4">
        <v>9</v>
      </c>
      <c r="AR769" s="3" t="s">
        <v>64</v>
      </c>
      <c r="AS769" s="3" t="s">
        <v>64</v>
      </c>
      <c r="AT769" s="3" t="s">
        <v>64</v>
      </c>
      <c r="AV769" s="6" t="str">
        <f>HYPERLINK("http://mcgill.on.worldcat.org/oclc/690089927","Catalog Record")</f>
        <v>Catalog Record</v>
      </c>
      <c r="AW769" s="6" t="str">
        <f>HYPERLINK("http://www.worldcat.org/oclc/690089927","WorldCat Record")</f>
        <v>WorldCat Record</v>
      </c>
      <c r="AX769" s="3" t="s">
        <v>8012</v>
      </c>
      <c r="AY769" s="3" t="s">
        <v>8013</v>
      </c>
      <c r="AZ769" s="3" t="s">
        <v>8014</v>
      </c>
      <c r="BA769" s="3" t="s">
        <v>8014</v>
      </c>
      <c r="BB769" s="3" t="s">
        <v>8015</v>
      </c>
      <c r="BC769" s="3" t="s">
        <v>78</v>
      </c>
      <c r="BD769" s="3" t="s">
        <v>79</v>
      </c>
      <c r="BE769" s="3" t="s">
        <v>8016</v>
      </c>
      <c r="BF769" s="3" t="s">
        <v>8015</v>
      </c>
      <c r="BG769" s="3" t="s">
        <v>8017</v>
      </c>
    </row>
    <row r="770" spans="1:59" ht="58" x14ac:dyDescent="0.35">
      <c r="A770" s="2" t="s">
        <v>59</v>
      </c>
      <c r="B770" s="2" t="s">
        <v>94</v>
      </c>
      <c r="C770" s="2" t="s">
        <v>8018</v>
      </c>
      <c r="D770" s="2" t="s">
        <v>8019</v>
      </c>
      <c r="E770" s="2" t="s">
        <v>8020</v>
      </c>
      <c r="G770" s="3" t="s">
        <v>64</v>
      </c>
      <c r="I770" s="3" t="s">
        <v>64</v>
      </c>
      <c r="J770" s="3" t="s">
        <v>64</v>
      </c>
      <c r="K770" s="3" t="s">
        <v>65</v>
      </c>
      <c r="L770" s="2" t="s">
        <v>8021</v>
      </c>
      <c r="M770" s="2" t="s">
        <v>6841</v>
      </c>
      <c r="N770" s="3" t="s">
        <v>377</v>
      </c>
      <c r="P770" s="3" t="s">
        <v>69</v>
      </c>
      <c r="Q770" s="2" t="s">
        <v>8022</v>
      </c>
      <c r="R770" s="3" t="s">
        <v>70</v>
      </c>
      <c r="S770" s="4">
        <v>1</v>
      </c>
      <c r="T770" s="4">
        <v>1</v>
      </c>
      <c r="U770" s="5" t="s">
        <v>8023</v>
      </c>
      <c r="V770" s="5" t="s">
        <v>8023</v>
      </c>
      <c r="W770" s="5" t="s">
        <v>72</v>
      </c>
      <c r="X770" s="5" t="s">
        <v>72</v>
      </c>
      <c r="Y770" s="4">
        <v>89</v>
      </c>
      <c r="Z770" s="4">
        <v>6</v>
      </c>
      <c r="AA770" s="4">
        <v>102</v>
      </c>
      <c r="AB770" s="4">
        <v>1</v>
      </c>
      <c r="AC770" s="4">
        <v>14</v>
      </c>
      <c r="AD770" s="4">
        <v>50</v>
      </c>
      <c r="AE770" s="4">
        <v>125</v>
      </c>
      <c r="AF770" s="4">
        <v>0</v>
      </c>
      <c r="AG770" s="4">
        <v>8</v>
      </c>
      <c r="AH770" s="4">
        <v>49</v>
      </c>
      <c r="AI770" s="4">
        <v>86</v>
      </c>
      <c r="AJ770" s="4">
        <v>4</v>
      </c>
      <c r="AK770" s="4">
        <v>21</v>
      </c>
      <c r="AL770" s="4">
        <v>28</v>
      </c>
      <c r="AM770" s="4">
        <v>45</v>
      </c>
      <c r="AN770" s="4">
        <v>0</v>
      </c>
      <c r="AO770" s="4">
        <v>0</v>
      </c>
      <c r="AP770" s="4">
        <v>4</v>
      </c>
      <c r="AQ770" s="4">
        <v>44</v>
      </c>
      <c r="AR770" s="3" t="s">
        <v>64</v>
      </c>
      <c r="AS770" s="3" t="s">
        <v>64</v>
      </c>
      <c r="AT770" s="3" t="s">
        <v>64</v>
      </c>
      <c r="AV770" s="6" t="str">
        <f>HYPERLINK("http://mcgill.on.worldcat.org/oclc/811850338","Catalog Record")</f>
        <v>Catalog Record</v>
      </c>
      <c r="AW770" s="6" t="str">
        <f>HYPERLINK("http://www.worldcat.org/oclc/811850338","WorldCat Record")</f>
        <v>WorldCat Record</v>
      </c>
      <c r="AX770" s="3" t="s">
        <v>8024</v>
      </c>
      <c r="AY770" s="3" t="s">
        <v>8025</v>
      </c>
      <c r="AZ770" s="3" t="s">
        <v>8026</v>
      </c>
      <c r="BA770" s="3" t="s">
        <v>8026</v>
      </c>
      <c r="BB770" s="3" t="s">
        <v>8027</v>
      </c>
      <c r="BC770" s="3" t="s">
        <v>78</v>
      </c>
      <c r="BD770" s="3" t="s">
        <v>79</v>
      </c>
      <c r="BE770" s="3" t="s">
        <v>8028</v>
      </c>
      <c r="BF770" s="3" t="s">
        <v>8027</v>
      </c>
      <c r="BG770" s="3" t="s">
        <v>8029</v>
      </c>
    </row>
    <row r="771" spans="1:59" ht="58" x14ac:dyDescent="0.35">
      <c r="A771" s="2" t="s">
        <v>59</v>
      </c>
      <c r="B771" s="2" t="s">
        <v>94</v>
      </c>
      <c r="C771" s="2" t="s">
        <v>8030</v>
      </c>
      <c r="D771" s="2" t="s">
        <v>8031</v>
      </c>
      <c r="E771" s="2" t="s">
        <v>8032</v>
      </c>
      <c r="G771" s="3" t="s">
        <v>64</v>
      </c>
      <c r="I771" s="3" t="s">
        <v>64</v>
      </c>
      <c r="J771" s="3" t="s">
        <v>64</v>
      </c>
      <c r="K771" s="3" t="s">
        <v>65</v>
      </c>
      <c r="L771" s="2" t="s">
        <v>8033</v>
      </c>
      <c r="M771" s="2" t="s">
        <v>8034</v>
      </c>
      <c r="N771" s="3" t="s">
        <v>1029</v>
      </c>
      <c r="P771" s="3" t="s">
        <v>69</v>
      </c>
      <c r="Q771" s="2" t="s">
        <v>8035</v>
      </c>
      <c r="R771" s="3" t="s">
        <v>70</v>
      </c>
      <c r="S771" s="4">
        <v>4</v>
      </c>
      <c r="T771" s="4">
        <v>4</v>
      </c>
      <c r="U771" s="5" t="s">
        <v>8036</v>
      </c>
      <c r="V771" s="5" t="s">
        <v>8036</v>
      </c>
      <c r="W771" s="5" t="s">
        <v>72</v>
      </c>
      <c r="X771" s="5" t="s">
        <v>72</v>
      </c>
      <c r="Y771" s="4">
        <v>218</v>
      </c>
      <c r="Z771" s="4">
        <v>6</v>
      </c>
      <c r="AA771" s="4">
        <v>10</v>
      </c>
      <c r="AB771" s="4">
        <v>1</v>
      </c>
      <c r="AC771" s="4">
        <v>2</v>
      </c>
      <c r="AD771" s="4">
        <v>45</v>
      </c>
      <c r="AE771" s="4">
        <v>48</v>
      </c>
      <c r="AF771" s="4">
        <v>0</v>
      </c>
      <c r="AG771" s="4">
        <v>0</v>
      </c>
      <c r="AH771" s="4">
        <v>41</v>
      </c>
      <c r="AI771" s="4">
        <v>44</v>
      </c>
      <c r="AJ771" s="4">
        <v>3</v>
      </c>
      <c r="AK771" s="4">
        <v>4</v>
      </c>
      <c r="AL771" s="4">
        <v>29</v>
      </c>
      <c r="AM771" s="4">
        <v>31</v>
      </c>
      <c r="AN771" s="4">
        <v>0</v>
      </c>
      <c r="AO771" s="4">
        <v>0</v>
      </c>
      <c r="AP771" s="4">
        <v>5</v>
      </c>
      <c r="AQ771" s="4">
        <v>6</v>
      </c>
      <c r="AR771" s="3" t="s">
        <v>64</v>
      </c>
      <c r="AS771" s="3" t="s">
        <v>64</v>
      </c>
      <c r="AT771" s="3" t="s">
        <v>64</v>
      </c>
      <c r="AV771" s="6" t="str">
        <f>HYPERLINK("http://mcgill.on.worldcat.org/oclc/199464165","Catalog Record")</f>
        <v>Catalog Record</v>
      </c>
      <c r="AW771" s="6" t="str">
        <f>HYPERLINK("http://www.worldcat.org/oclc/199464165","WorldCat Record")</f>
        <v>WorldCat Record</v>
      </c>
      <c r="AX771" s="3" t="s">
        <v>8037</v>
      </c>
      <c r="AY771" s="3" t="s">
        <v>8038</v>
      </c>
      <c r="AZ771" s="3" t="s">
        <v>8039</v>
      </c>
      <c r="BA771" s="3" t="s">
        <v>8039</v>
      </c>
      <c r="BB771" s="3" t="s">
        <v>8040</v>
      </c>
      <c r="BC771" s="3" t="s">
        <v>78</v>
      </c>
      <c r="BD771" s="3" t="s">
        <v>79</v>
      </c>
      <c r="BE771" s="3" t="s">
        <v>8041</v>
      </c>
      <c r="BF771" s="3" t="s">
        <v>8040</v>
      </c>
      <c r="BG771" s="3" t="s">
        <v>8042</v>
      </c>
    </row>
    <row r="772" spans="1:59" ht="58" x14ac:dyDescent="0.35">
      <c r="A772" s="2" t="s">
        <v>59</v>
      </c>
      <c r="B772" s="2" t="s">
        <v>94</v>
      </c>
      <c r="C772" s="2" t="s">
        <v>8043</v>
      </c>
      <c r="D772" s="2" t="s">
        <v>8044</v>
      </c>
      <c r="E772" s="2" t="s">
        <v>8045</v>
      </c>
      <c r="G772" s="3" t="s">
        <v>64</v>
      </c>
      <c r="I772" s="3" t="s">
        <v>64</v>
      </c>
      <c r="J772" s="3" t="s">
        <v>64</v>
      </c>
      <c r="K772" s="3" t="s">
        <v>65</v>
      </c>
      <c r="L772" s="2" t="s">
        <v>8046</v>
      </c>
      <c r="M772" s="2" t="s">
        <v>8047</v>
      </c>
      <c r="N772" s="3" t="s">
        <v>377</v>
      </c>
      <c r="P772" s="3" t="s">
        <v>69</v>
      </c>
      <c r="R772" s="3" t="s">
        <v>70</v>
      </c>
      <c r="S772" s="4">
        <v>2</v>
      </c>
      <c r="T772" s="4">
        <v>2</v>
      </c>
      <c r="U772" s="5" t="s">
        <v>8048</v>
      </c>
      <c r="V772" s="5" t="s">
        <v>8048</v>
      </c>
      <c r="W772" s="5" t="s">
        <v>72</v>
      </c>
      <c r="X772" s="5" t="s">
        <v>72</v>
      </c>
      <c r="Y772" s="4">
        <v>185</v>
      </c>
      <c r="Z772" s="4">
        <v>10</v>
      </c>
      <c r="AA772" s="4">
        <v>125</v>
      </c>
      <c r="AB772" s="4">
        <v>1</v>
      </c>
      <c r="AC772" s="4">
        <v>17</v>
      </c>
      <c r="AD772" s="4">
        <v>62</v>
      </c>
      <c r="AE772" s="4">
        <v>132</v>
      </c>
      <c r="AF772" s="4">
        <v>0</v>
      </c>
      <c r="AG772" s="4">
        <v>8</v>
      </c>
      <c r="AH772" s="4">
        <v>59</v>
      </c>
      <c r="AI772" s="4">
        <v>91</v>
      </c>
      <c r="AJ772" s="4">
        <v>4</v>
      </c>
      <c r="AK772" s="4">
        <v>21</v>
      </c>
      <c r="AL772" s="4">
        <v>40</v>
      </c>
      <c r="AM772" s="4">
        <v>50</v>
      </c>
      <c r="AN772" s="4">
        <v>0</v>
      </c>
      <c r="AO772" s="4">
        <v>0</v>
      </c>
      <c r="AP772" s="4">
        <v>5</v>
      </c>
      <c r="AQ772" s="4">
        <v>45</v>
      </c>
      <c r="AR772" s="3" t="s">
        <v>64</v>
      </c>
      <c r="AS772" s="3" t="s">
        <v>64</v>
      </c>
      <c r="AT772" s="3" t="s">
        <v>64</v>
      </c>
      <c r="AV772" s="6" t="str">
        <f>HYPERLINK("http://mcgill.on.worldcat.org/oclc/788269842","Catalog Record")</f>
        <v>Catalog Record</v>
      </c>
      <c r="AW772" s="6" t="str">
        <f>HYPERLINK("http://www.worldcat.org/oclc/788269842","WorldCat Record")</f>
        <v>WorldCat Record</v>
      </c>
      <c r="AX772" s="3" t="s">
        <v>8049</v>
      </c>
      <c r="AY772" s="3" t="s">
        <v>8050</v>
      </c>
      <c r="AZ772" s="3" t="s">
        <v>8051</v>
      </c>
      <c r="BA772" s="3" t="s">
        <v>8051</v>
      </c>
      <c r="BB772" s="3" t="s">
        <v>8052</v>
      </c>
      <c r="BC772" s="3" t="s">
        <v>78</v>
      </c>
      <c r="BD772" s="3" t="s">
        <v>79</v>
      </c>
      <c r="BE772" s="3" t="s">
        <v>8053</v>
      </c>
      <c r="BF772" s="3" t="s">
        <v>8052</v>
      </c>
      <c r="BG772" s="3" t="s">
        <v>8054</v>
      </c>
    </row>
    <row r="773" spans="1:59" ht="58" x14ac:dyDescent="0.35">
      <c r="A773" s="2" t="s">
        <v>59</v>
      </c>
      <c r="B773" s="2" t="s">
        <v>94</v>
      </c>
      <c r="C773" s="2" t="s">
        <v>8055</v>
      </c>
      <c r="D773" s="2" t="s">
        <v>8056</v>
      </c>
      <c r="E773" s="2" t="s">
        <v>8057</v>
      </c>
      <c r="G773" s="3" t="s">
        <v>64</v>
      </c>
      <c r="I773" s="3" t="s">
        <v>64</v>
      </c>
      <c r="J773" s="3" t="s">
        <v>64</v>
      </c>
      <c r="K773" s="3" t="s">
        <v>65</v>
      </c>
      <c r="L773" s="2" t="s">
        <v>8058</v>
      </c>
      <c r="M773" s="2" t="s">
        <v>8059</v>
      </c>
      <c r="N773" s="3" t="s">
        <v>1813</v>
      </c>
      <c r="P773" s="3" t="s">
        <v>69</v>
      </c>
      <c r="Q773" s="2" t="s">
        <v>8060</v>
      </c>
      <c r="R773" s="3" t="s">
        <v>70</v>
      </c>
      <c r="S773" s="4">
        <v>1</v>
      </c>
      <c r="T773" s="4">
        <v>1</v>
      </c>
      <c r="U773" s="5" t="s">
        <v>8061</v>
      </c>
      <c r="V773" s="5" t="s">
        <v>8061</v>
      </c>
      <c r="W773" s="5" t="s">
        <v>72</v>
      </c>
      <c r="X773" s="5" t="s">
        <v>72</v>
      </c>
      <c r="Y773" s="4">
        <v>46</v>
      </c>
      <c r="Z773" s="4">
        <v>4</v>
      </c>
      <c r="AA773" s="4">
        <v>9</v>
      </c>
      <c r="AB773" s="4">
        <v>1</v>
      </c>
      <c r="AC773" s="4">
        <v>5</v>
      </c>
      <c r="AD773" s="4">
        <v>17</v>
      </c>
      <c r="AE773" s="4">
        <v>27</v>
      </c>
      <c r="AF773" s="4">
        <v>0</v>
      </c>
      <c r="AG773" s="4">
        <v>1</v>
      </c>
      <c r="AH773" s="4">
        <v>16</v>
      </c>
      <c r="AI773" s="4">
        <v>25</v>
      </c>
      <c r="AJ773" s="4">
        <v>1</v>
      </c>
      <c r="AK773" s="4">
        <v>3</v>
      </c>
      <c r="AL773" s="4">
        <v>11</v>
      </c>
      <c r="AM773" s="4">
        <v>16</v>
      </c>
      <c r="AN773" s="4">
        <v>0</v>
      </c>
      <c r="AO773" s="4">
        <v>0</v>
      </c>
      <c r="AP773" s="4">
        <v>2</v>
      </c>
      <c r="AQ773" s="4">
        <v>3</v>
      </c>
      <c r="AR773" s="3" t="s">
        <v>64</v>
      </c>
      <c r="AS773" s="3" t="s">
        <v>64</v>
      </c>
      <c r="AT773" s="3" t="s">
        <v>64</v>
      </c>
      <c r="AV773" s="6" t="str">
        <f>HYPERLINK("http://mcgill.on.worldcat.org/oclc/930255550","Catalog Record")</f>
        <v>Catalog Record</v>
      </c>
      <c r="AW773" s="6" t="str">
        <f>HYPERLINK("http://www.worldcat.org/oclc/930255550","WorldCat Record")</f>
        <v>WorldCat Record</v>
      </c>
      <c r="AX773" s="3" t="s">
        <v>8062</v>
      </c>
      <c r="AY773" s="3" t="s">
        <v>8063</v>
      </c>
      <c r="AZ773" s="3" t="s">
        <v>8064</v>
      </c>
      <c r="BA773" s="3" t="s">
        <v>8064</v>
      </c>
      <c r="BB773" s="3" t="s">
        <v>8065</v>
      </c>
      <c r="BC773" s="3" t="s">
        <v>78</v>
      </c>
      <c r="BD773" s="3" t="s">
        <v>79</v>
      </c>
      <c r="BE773" s="3" t="s">
        <v>8066</v>
      </c>
      <c r="BF773" s="3" t="s">
        <v>8065</v>
      </c>
      <c r="BG773" s="3" t="s">
        <v>8067</v>
      </c>
    </row>
    <row r="774" spans="1:59" ht="58" x14ac:dyDescent="0.35">
      <c r="A774" s="2" t="s">
        <v>59</v>
      </c>
      <c r="B774" s="2" t="s">
        <v>94</v>
      </c>
      <c r="C774" s="2" t="s">
        <v>8068</v>
      </c>
      <c r="D774" s="2" t="s">
        <v>8069</v>
      </c>
      <c r="E774" s="2" t="s">
        <v>8070</v>
      </c>
      <c r="G774" s="3" t="s">
        <v>64</v>
      </c>
      <c r="I774" s="3" t="s">
        <v>64</v>
      </c>
      <c r="J774" s="3" t="s">
        <v>64</v>
      </c>
      <c r="K774" s="3" t="s">
        <v>65</v>
      </c>
      <c r="L774" s="2" t="s">
        <v>8071</v>
      </c>
      <c r="M774" s="2" t="s">
        <v>8072</v>
      </c>
      <c r="N774" s="3" t="s">
        <v>5739</v>
      </c>
      <c r="P774" s="3" t="s">
        <v>69</v>
      </c>
      <c r="R774" s="3" t="s">
        <v>70</v>
      </c>
      <c r="S774" s="4">
        <v>23</v>
      </c>
      <c r="T774" s="4">
        <v>23</v>
      </c>
      <c r="U774" s="5" t="s">
        <v>8073</v>
      </c>
      <c r="V774" s="5" t="s">
        <v>8073</v>
      </c>
      <c r="W774" s="5" t="s">
        <v>72</v>
      </c>
      <c r="X774" s="5" t="s">
        <v>72</v>
      </c>
      <c r="Y774" s="4">
        <v>114</v>
      </c>
      <c r="Z774" s="4">
        <v>45</v>
      </c>
      <c r="AA774" s="4">
        <v>125</v>
      </c>
      <c r="AB774" s="4">
        <v>3</v>
      </c>
      <c r="AC774" s="4">
        <v>18</v>
      </c>
      <c r="AD774" s="4">
        <v>47</v>
      </c>
      <c r="AE774" s="4">
        <v>115</v>
      </c>
      <c r="AF774" s="4">
        <v>1</v>
      </c>
      <c r="AG774" s="4">
        <v>8</v>
      </c>
      <c r="AH774" s="4">
        <v>31</v>
      </c>
      <c r="AI774" s="4">
        <v>68</v>
      </c>
      <c r="AJ774" s="4">
        <v>11</v>
      </c>
      <c r="AK774" s="4">
        <v>27</v>
      </c>
      <c r="AL774" s="4">
        <v>19</v>
      </c>
      <c r="AM774" s="4">
        <v>38</v>
      </c>
      <c r="AN774" s="4">
        <v>0</v>
      </c>
      <c r="AO774" s="4">
        <v>0</v>
      </c>
      <c r="AP774" s="4">
        <v>21</v>
      </c>
      <c r="AQ774" s="4">
        <v>55</v>
      </c>
      <c r="AR774" s="3" t="s">
        <v>73</v>
      </c>
      <c r="AS774" s="3" t="s">
        <v>64</v>
      </c>
      <c r="AT774" s="3" t="s">
        <v>64</v>
      </c>
      <c r="AU774" s="6" t="str">
        <f>HYPERLINK("http://catalog.hathitrust.org/Record/000446509","HathiTrust Record")</f>
        <v>HathiTrust Record</v>
      </c>
      <c r="AV774" s="6" t="str">
        <f>HYPERLINK("http://mcgill.on.worldcat.org/oclc/2317262","Catalog Record")</f>
        <v>Catalog Record</v>
      </c>
      <c r="AW774" s="6" t="str">
        <f>HYPERLINK("http://www.worldcat.org/oclc/2317262","WorldCat Record")</f>
        <v>WorldCat Record</v>
      </c>
      <c r="AX774" s="3" t="s">
        <v>8074</v>
      </c>
      <c r="AY774" s="3" t="s">
        <v>8075</v>
      </c>
      <c r="AZ774" s="3" t="s">
        <v>8076</v>
      </c>
      <c r="BA774" s="3" t="s">
        <v>8076</v>
      </c>
      <c r="BB774" s="3" t="s">
        <v>8077</v>
      </c>
      <c r="BC774" s="3" t="s">
        <v>78</v>
      </c>
      <c r="BD774" s="3" t="s">
        <v>79</v>
      </c>
      <c r="BF774" s="3" t="s">
        <v>8077</v>
      </c>
      <c r="BG774" s="3" t="s">
        <v>8078</v>
      </c>
    </row>
    <row r="775" spans="1:59" ht="58" x14ac:dyDescent="0.35">
      <c r="A775" s="2" t="s">
        <v>59</v>
      </c>
      <c r="B775" s="2" t="s">
        <v>94</v>
      </c>
      <c r="C775" s="2" t="s">
        <v>8079</v>
      </c>
      <c r="D775" s="2" t="s">
        <v>8080</v>
      </c>
      <c r="E775" s="2" t="s">
        <v>8081</v>
      </c>
      <c r="G775" s="3" t="s">
        <v>64</v>
      </c>
      <c r="I775" s="3" t="s">
        <v>73</v>
      </c>
      <c r="J775" s="3" t="s">
        <v>64</v>
      </c>
      <c r="K775" s="3" t="s">
        <v>65</v>
      </c>
      <c r="L775" s="2" t="s">
        <v>8071</v>
      </c>
      <c r="M775" s="2" t="s">
        <v>8082</v>
      </c>
      <c r="N775" s="3" t="s">
        <v>148</v>
      </c>
      <c r="P775" s="3" t="s">
        <v>69</v>
      </c>
      <c r="R775" s="3" t="s">
        <v>70</v>
      </c>
      <c r="S775" s="4">
        <v>62</v>
      </c>
      <c r="T775" s="4">
        <v>65</v>
      </c>
      <c r="U775" s="5" t="s">
        <v>5485</v>
      </c>
      <c r="V775" s="5" t="s">
        <v>5485</v>
      </c>
      <c r="W775" s="5" t="s">
        <v>72</v>
      </c>
      <c r="X775" s="5" t="s">
        <v>72</v>
      </c>
      <c r="Y775" s="4">
        <v>23</v>
      </c>
      <c r="Z775" s="4">
        <v>9</v>
      </c>
      <c r="AA775" s="4">
        <v>43</v>
      </c>
      <c r="AB775" s="4">
        <v>3</v>
      </c>
      <c r="AC775" s="4">
        <v>6</v>
      </c>
      <c r="AD775" s="4">
        <v>13</v>
      </c>
      <c r="AE775" s="4">
        <v>36</v>
      </c>
      <c r="AF775" s="4">
        <v>1</v>
      </c>
      <c r="AG775" s="4">
        <v>4</v>
      </c>
      <c r="AH775" s="4">
        <v>11</v>
      </c>
      <c r="AI775" s="4">
        <v>21</v>
      </c>
      <c r="AJ775" s="4">
        <v>2</v>
      </c>
      <c r="AK775" s="4">
        <v>14</v>
      </c>
      <c r="AL775" s="4">
        <v>5</v>
      </c>
      <c r="AM775" s="4">
        <v>8</v>
      </c>
      <c r="AN775" s="4">
        <v>4</v>
      </c>
      <c r="AO775" s="4">
        <v>4</v>
      </c>
      <c r="AP775" s="4">
        <v>5</v>
      </c>
      <c r="AQ775" s="4">
        <v>23</v>
      </c>
      <c r="AR775" s="3" t="s">
        <v>73</v>
      </c>
      <c r="AS775" s="3" t="s">
        <v>64</v>
      </c>
      <c r="AT775" s="3" t="s">
        <v>73</v>
      </c>
      <c r="AU775" s="6" t="str">
        <f>HYPERLINK("http://catalog.hathitrust.org/Record/102113391","HathiTrust Record")</f>
        <v>HathiTrust Record</v>
      </c>
      <c r="AV775" s="6" t="str">
        <f>HYPERLINK("http://mcgill.on.worldcat.org/oclc/12252573","Catalog Record")</f>
        <v>Catalog Record</v>
      </c>
      <c r="AW775" s="6" t="str">
        <f>HYPERLINK("http://www.worldcat.org/oclc/12252573","WorldCat Record")</f>
        <v>WorldCat Record</v>
      </c>
      <c r="AX775" s="3" t="s">
        <v>8083</v>
      </c>
      <c r="AY775" s="3" t="s">
        <v>8084</v>
      </c>
      <c r="AZ775" s="3" t="s">
        <v>8085</v>
      </c>
      <c r="BA775" s="3" t="s">
        <v>8085</v>
      </c>
      <c r="BB775" s="3" t="s">
        <v>8086</v>
      </c>
      <c r="BC775" s="3" t="s">
        <v>78</v>
      </c>
      <c r="BD775" s="3" t="s">
        <v>79</v>
      </c>
      <c r="BF775" s="3" t="s">
        <v>8086</v>
      </c>
      <c r="BG775" s="3" t="s">
        <v>8087</v>
      </c>
    </row>
    <row r="776" spans="1:59" ht="58" x14ac:dyDescent="0.35">
      <c r="A776" s="2" t="s">
        <v>59</v>
      </c>
      <c r="B776" s="2" t="s">
        <v>94</v>
      </c>
      <c r="C776" s="2" t="s">
        <v>8088</v>
      </c>
      <c r="D776" s="2" t="s">
        <v>8089</v>
      </c>
      <c r="E776" s="2" t="s">
        <v>8090</v>
      </c>
      <c r="G776" s="3" t="s">
        <v>64</v>
      </c>
      <c r="I776" s="3" t="s">
        <v>64</v>
      </c>
      <c r="J776" s="3" t="s">
        <v>64</v>
      </c>
      <c r="K776" s="3" t="s">
        <v>65</v>
      </c>
      <c r="L776" s="2" t="s">
        <v>8091</v>
      </c>
      <c r="M776" s="2" t="s">
        <v>8092</v>
      </c>
      <c r="N776" s="3" t="s">
        <v>214</v>
      </c>
      <c r="P776" s="3" t="s">
        <v>69</v>
      </c>
      <c r="Q776" s="2" t="s">
        <v>8093</v>
      </c>
      <c r="R776" s="3" t="s">
        <v>70</v>
      </c>
      <c r="S776" s="4">
        <v>0</v>
      </c>
      <c r="T776" s="4">
        <v>0</v>
      </c>
      <c r="W776" s="5" t="s">
        <v>72</v>
      </c>
      <c r="X776" s="5" t="s">
        <v>72</v>
      </c>
      <c r="Y776" s="4">
        <v>59</v>
      </c>
      <c r="Z776" s="4">
        <v>18</v>
      </c>
      <c r="AA776" s="4">
        <v>18</v>
      </c>
      <c r="AB776" s="4">
        <v>1</v>
      </c>
      <c r="AC776" s="4">
        <v>1</v>
      </c>
      <c r="AD776" s="4">
        <v>37</v>
      </c>
      <c r="AE776" s="4">
        <v>37</v>
      </c>
      <c r="AF776" s="4">
        <v>0</v>
      </c>
      <c r="AG776" s="4">
        <v>0</v>
      </c>
      <c r="AH776" s="4">
        <v>31</v>
      </c>
      <c r="AI776" s="4">
        <v>31</v>
      </c>
      <c r="AJ776" s="4">
        <v>13</v>
      </c>
      <c r="AK776" s="4">
        <v>13</v>
      </c>
      <c r="AL776" s="4">
        <v>14</v>
      </c>
      <c r="AM776" s="4">
        <v>14</v>
      </c>
      <c r="AN776" s="4">
        <v>0</v>
      </c>
      <c r="AO776" s="4">
        <v>0</v>
      </c>
      <c r="AP776" s="4">
        <v>13</v>
      </c>
      <c r="AQ776" s="4">
        <v>13</v>
      </c>
      <c r="AR776" s="3" t="s">
        <v>73</v>
      </c>
      <c r="AS776" s="3" t="s">
        <v>64</v>
      </c>
      <c r="AT776" s="3" t="s">
        <v>64</v>
      </c>
      <c r="AV776" s="6" t="str">
        <f>HYPERLINK("http://mcgill.on.worldcat.org/oclc/578133327","Catalog Record")</f>
        <v>Catalog Record</v>
      </c>
      <c r="AW776" s="6" t="str">
        <f>HYPERLINK("http://www.worldcat.org/oclc/578133327","WorldCat Record")</f>
        <v>WorldCat Record</v>
      </c>
      <c r="AX776" s="3" t="s">
        <v>8094</v>
      </c>
      <c r="AY776" s="3" t="s">
        <v>8095</v>
      </c>
      <c r="AZ776" s="3" t="s">
        <v>8096</v>
      </c>
      <c r="BA776" s="3" t="s">
        <v>8096</v>
      </c>
      <c r="BB776" s="3" t="s">
        <v>8097</v>
      </c>
      <c r="BC776" s="3" t="s">
        <v>78</v>
      </c>
      <c r="BD776" s="3" t="s">
        <v>79</v>
      </c>
      <c r="BE776" s="3" t="s">
        <v>8098</v>
      </c>
      <c r="BF776" s="3" t="s">
        <v>8097</v>
      </c>
      <c r="BG776" s="3" t="s">
        <v>8099</v>
      </c>
    </row>
    <row r="777" spans="1:59" ht="58" x14ac:dyDescent="0.35">
      <c r="A777" s="2" t="s">
        <v>59</v>
      </c>
      <c r="B777" s="2" t="s">
        <v>94</v>
      </c>
      <c r="C777" s="2" t="s">
        <v>8100</v>
      </c>
      <c r="D777" s="2" t="s">
        <v>8101</v>
      </c>
      <c r="E777" s="2" t="s">
        <v>8102</v>
      </c>
      <c r="G777" s="3" t="s">
        <v>64</v>
      </c>
      <c r="H777" s="3" t="s">
        <v>2292</v>
      </c>
      <c r="I777" s="3" t="s">
        <v>64</v>
      </c>
      <c r="J777" s="3" t="s">
        <v>64</v>
      </c>
      <c r="K777" s="3" t="s">
        <v>65</v>
      </c>
      <c r="L777" s="2" t="s">
        <v>8103</v>
      </c>
      <c r="M777" s="2" t="s">
        <v>8104</v>
      </c>
      <c r="N777" s="3" t="s">
        <v>377</v>
      </c>
      <c r="P777" s="3" t="s">
        <v>69</v>
      </c>
      <c r="R777" s="3" t="s">
        <v>70</v>
      </c>
      <c r="S777" s="4">
        <v>0</v>
      </c>
      <c r="T777" s="4">
        <v>0</v>
      </c>
      <c r="W777" s="5" t="s">
        <v>8105</v>
      </c>
      <c r="X777" s="5" t="s">
        <v>8105</v>
      </c>
      <c r="Y777" s="4">
        <v>59</v>
      </c>
      <c r="Z777" s="4">
        <v>5</v>
      </c>
      <c r="AA777" s="4">
        <v>5</v>
      </c>
      <c r="AB777" s="4">
        <v>1</v>
      </c>
      <c r="AC777" s="4">
        <v>1</v>
      </c>
      <c r="AD777" s="4">
        <v>21</v>
      </c>
      <c r="AE777" s="4">
        <v>21</v>
      </c>
      <c r="AF777" s="4">
        <v>0</v>
      </c>
      <c r="AG777" s="4">
        <v>0</v>
      </c>
      <c r="AH777" s="4">
        <v>20</v>
      </c>
      <c r="AI777" s="4">
        <v>20</v>
      </c>
      <c r="AJ777" s="4">
        <v>3</v>
      </c>
      <c r="AK777" s="4">
        <v>3</v>
      </c>
      <c r="AL777" s="4">
        <v>14</v>
      </c>
      <c r="AM777" s="4">
        <v>14</v>
      </c>
      <c r="AN777" s="4">
        <v>0</v>
      </c>
      <c r="AO777" s="4">
        <v>0</v>
      </c>
      <c r="AP777" s="4">
        <v>3</v>
      </c>
      <c r="AQ777" s="4">
        <v>3</v>
      </c>
      <c r="AR777" s="3" t="s">
        <v>64</v>
      </c>
      <c r="AS777" s="3" t="s">
        <v>64</v>
      </c>
      <c r="AT777" s="3" t="s">
        <v>64</v>
      </c>
      <c r="AV777" s="6" t="str">
        <f>HYPERLINK("http://mcgill.on.worldcat.org/oclc/783167282","Catalog Record")</f>
        <v>Catalog Record</v>
      </c>
      <c r="AW777" s="6" t="str">
        <f>HYPERLINK("http://www.worldcat.org/oclc/783167282","WorldCat Record")</f>
        <v>WorldCat Record</v>
      </c>
      <c r="AX777" s="3" t="s">
        <v>8106</v>
      </c>
      <c r="AY777" s="3" t="s">
        <v>8107</v>
      </c>
      <c r="AZ777" s="3" t="s">
        <v>8108</v>
      </c>
      <c r="BA777" s="3" t="s">
        <v>8108</v>
      </c>
      <c r="BB777" s="3" t="s">
        <v>8109</v>
      </c>
      <c r="BC777" s="3" t="s">
        <v>78</v>
      </c>
      <c r="BD777" s="3" t="s">
        <v>79</v>
      </c>
      <c r="BE777" s="3" t="s">
        <v>8110</v>
      </c>
      <c r="BF777" s="3" t="s">
        <v>8109</v>
      </c>
      <c r="BG777" s="3" t="s">
        <v>8111</v>
      </c>
    </row>
    <row r="778" spans="1:59" ht="58" x14ac:dyDescent="0.35">
      <c r="A778" s="2" t="s">
        <v>59</v>
      </c>
      <c r="B778" s="2" t="s">
        <v>94</v>
      </c>
      <c r="C778" s="2" t="s">
        <v>8112</v>
      </c>
      <c r="D778" s="2" t="s">
        <v>8113</v>
      </c>
      <c r="E778" s="2" t="s">
        <v>8114</v>
      </c>
      <c r="G778" s="3" t="s">
        <v>64</v>
      </c>
      <c r="H778" s="3" t="s">
        <v>2292</v>
      </c>
      <c r="I778" s="3" t="s">
        <v>64</v>
      </c>
      <c r="J778" s="3" t="s">
        <v>64</v>
      </c>
      <c r="K778" s="3" t="s">
        <v>65</v>
      </c>
      <c r="L778" s="2" t="s">
        <v>8115</v>
      </c>
      <c r="M778" s="2" t="s">
        <v>8116</v>
      </c>
      <c r="N778" s="3" t="s">
        <v>4264</v>
      </c>
      <c r="P778" s="3" t="s">
        <v>69</v>
      </c>
      <c r="R778" s="3" t="s">
        <v>70</v>
      </c>
      <c r="S778" s="4">
        <v>1</v>
      </c>
      <c r="T778" s="4">
        <v>1</v>
      </c>
      <c r="U778" s="5" t="s">
        <v>8117</v>
      </c>
      <c r="V778" s="5" t="s">
        <v>8117</v>
      </c>
      <c r="W778" s="5" t="s">
        <v>2297</v>
      </c>
      <c r="X778" s="5" t="s">
        <v>2297</v>
      </c>
      <c r="Y778" s="4">
        <v>3</v>
      </c>
      <c r="Z778" s="4">
        <v>1</v>
      </c>
      <c r="AA778" s="4">
        <v>1</v>
      </c>
      <c r="AB778" s="4">
        <v>1</v>
      </c>
      <c r="AC778" s="4">
        <v>1</v>
      </c>
      <c r="AD778" s="4">
        <v>1</v>
      </c>
      <c r="AE778" s="4">
        <v>1</v>
      </c>
      <c r="AF778" s="4">
        <v>0</v>
      </c>
      <c r="AG778" s="4">
        <v>0</v>
      </c>
      <c r="AH778" s="4">
        <v>1</v>
      </c>
      <c r="AI778" s="4">
        <v>1</v>
      </c>
      <c r="AJ778" s="4">
        <v>0</v>
      </c>
      <c r="AK778" s="4">
        <v>0</v>
      </c>
      <c r="AL778" s="4">
        <v>1</v>
      </c>
      <c r="AM778" s="4">
        <v>1</v>
      </c>
      <c r="AN778" s="4">
        <v>0</v>
      </c>
      <c r="AO778" s="4">
        <v>0</v>
      </c>
      <c r="AP778" s="4">
        <v>0</v>
      </c>
      <c r="AQ778" s="4">
        <v>0</v>
      </c>
      <c r="AR778" s="3" t="s">
        <v>64</v>
      </c>
      <c r="AS778" s="3" t="s">
        <v>64</v>
      </c>
      <c r="AT778" s="3" t="s">
        <v>64</v>
      </c>
      <c r="AV778" s="6" t="str">
        <f>HYPERLINK("http://mcgill.on.worldcat.org/oclc/1127863269","Catalog Record")</f>
        <v>Catalog Record</v>
      </c>
      <c r="AW778" s="6" t="str">
        <f>HYPERLINK("http://www.worldcat.org/oclc/1127863269","WorldCat Record")</f>
        <v>WorldCat Record</v>
      </c>
      <c r="AX778" s="3" t="s">
        <v>8118</v>
      </c>
      <c r="AY778" s="3" t="s">
        <v>8119</v>
      </c>
      <c r="AZ778" s="3" t="s">
        <v>8120</v>
      </c>
      <c r="BA778" s="3" t="s">
        <v>8120</v>
      </c>
      <c r="BB778" s="3" t="s">
        <v>8121</v>
      </c>
      <c r="BC778" s="3" t="s">
        <v>78</v>
      </c>
      <c r="BD778" s="3" t="s">
        <v>79</v>
      </c>
      <c r="BE778" s="3" t="s">
        <v>8122</v>
      </c>
      <c r="BF778" s="3" t="s">
        <v>8121</v>
      </c>
      <c r="BG778" s="3" t="s">
        <v>8123</v>
      </c>
    </row>
    <row r="779" spans="1:59" ht="58" x14ac:dyDescent="0.35">
      <c r="A779" s="2" t="s">
        <v>59</v>
      </c>
      <c r="B779" s="2" t="s">
        <v>94</v>
      </c>
      <c r="C779" s="2" t="s">
        <v>8124</v>
      </c>
      <c r="D779" s="2" t="s">
        <v>8125</v>
      </c>
      <c r="E779" s="2" t="s">
        <v>8126</v>
      </c>
      <c r="G779" s="3" t="s">
        <v>64</v>
      </c>
      <c r="I779" s="3" t="s">
        <v>64</v>
      </c>
      <c r="J779" s="3" t="s">
        <v>64</v>
      </c>
      <c r="K779" s="3" t="s">
        <v>65</v>
      </c>
      <c r="L779" s="2" t="s">
        <v>8127</v>
      </c>
      <c r="M779" s="2" t="s">
        <v>8128</v>
      </c>
      <c r="N779" s="3" t="s">
        <v>328</v>
      </c>
      <c r="P779" s="3" t="s">
        <v>69</v>
      </c>
      <c r="R779" s="3" t="s">
        <v>70</v>
      </c>
      <c r="S779" s="4">
        <v>1</v>
      </c>
      <c r="T779" s="4">
        <v>1</v>
      </c>
      <c r="U779" s="5" t="s">
        <v>8129</v>
      </c>
      <c r="V779" s="5" t="s">
        <v>8129</v>
      </c>
      <c r="W779" s="5" t="s">
        <v>72</v>
      </c>
      <c r="X779" s="5" t="s">
        <v>72</v>
      </c>
      <c r="Y779" s="4">
        <v>10</v>
      </c>
      <c r="Z779" s="4">
        <v>1</v>
      </c>
      <c r="AA779" s="4">
        <v>1</v>
      </c>
      <c r="AB779" s="4">
        <v>1</v>
      </c>
      <c r="AC779" s="4">
        <v>1</v>
      </c>
      <c r="AD779" s="4">
        <v>1</v>
      </c>
      <c r="AE779" s="4">
        <v>2</v>
      </c>
      <c r="AF779" s="4">
        <v>0</v>
      </c>
      <c r="AG779" s="4">
        <v>0</v>
      </c>
      <c r="AH779" s="4">
        <v>1</v>
      </c>
      <c r="AI779" s="4">
        <v>2</v>
      </c>
      <c r="AJ779" s="4">
        <v>0</v>
      </c>
      <c r="AK779" s="4">
        <v>0</v>
      </c>
      <c r="AL779" s="4">
        <v>1</v>
      </c>
      <c r="AM779" s="4">
        <v>2</v>
      </c>
      <c r="AN779" s="4">
        <v>0</v>
      </c>
      <c r="AO779" s="4">
        <v>0</v>
      </c>
      <c r="AP779" s="4">
        <v>0</v>
      </c>
      <c r="AQ779" s="4">
        <v>0</v>
      </c>
      <c r="AR779" s="3" t="s">
        <v>64</v>
      </c>
      <c r="AS779" s="3" t="s">
        <v>64</v>
      </c>
      <c r="AT779" s="3" t="s">
        <v>64</v>
      </c>
      <c r="AV779" s="6" t="str">
        <f>HYPERLINK("http://mcgill.on.worldcat.org/oclc/1099770274","Catalog Record")</f>
        <v>Catalog Record</v>
      </c>
      <c r="AW779" s="6" t="str">
        <f>HYPERLINK("http://www.worldcat.org/oclc/1099770274","WorldCat Record")</f>
        <v>WorldCat Record</v>
      </c>
      <c r="AX779" s="3" t="s">
        <v>8130</v>
      </c>
      <c r="AY779" s="3" t="s">
        <v>8131</v>
      </c>
      <c r="AZ779" s="3" t="s">
        <v>8132</v>
      </c>
      <c r="BA779" s="3" t="s">
        <v>8132</v>
      </c>
      <c r="BB779" s="3" t="s">
        <v>8133</v>
      </c>
      <c r="BC779" s="3" t="s">
        <v>78</v>
      </c>
      <c r="BD779" s="3" t="s">
        <v>79</v>
      </c>
      <c r="BE779" s="3" t="s">
        <v>8134</v>
      </c>
      <c r="BF779" s="3" t="s">
        <v>8133</v>
      </c>
      <c r="BG779" s="3" t="s">
        <v>8135</v>
      </c>
    </row>
    <row r="780" spans="1:59" ht="58" x14ac:dyDescent="0.35">
      <c r="A780" s="2" t="s">
        <v>59</v>
      </c>
      <c r="B780" s="2" t="s">
        <v>94</v>
      </c>
      <c r="C780" s="2" t="s">
        <v>8136</v>
      </c>
      <c r="D780" s="2" t="s">
        <v>8137</v>
      </c>
      <c r="E780" s="2" t="s">
        <v>8138</v>
      </c>
      <c r="G780" s="3" t="s">
        <v>64</v>
      </c>
      <c r="I780" s="3" t="s">
        <v>64</v>
      </c>
      <c r="J780" s="3" t="s">
        <v>64</v>
      </c>
      <c r="K780" s="3" t="s">
        <v>65</v>
      </c>
      <c r="L780" s="2" t="s">
        <v>8139</v>
      </c>
      <c r="M780" s="2" t="s">
        <v>8140</v>
      </c>
      <c r="N780" s="3" t="s">
        <v>377</v>
      </c>
      <c r="P780" s="3" t="s">
        <v>69</v>
      </c>
      <c r="R780" s="3" t="s">
        <v>70</v>
      </c>
      <c r="S780" s="4">
        <v>16</v>
      </c>
      <c r="T780" s="4">
        <v>16</v>
      </c>
      <c r="U780" s="5" t="s">
        <v>7551</v>
      </c>
      <c r="V780" s="5" t="s">
        <v>7551</v>
      </c>
      <c r="W780" s="5" t="s">
        <v>72</v>
      </c>
      <c r="X780" s="5" t="s">
        <v>72</v>
      </c>
      <c r="Y780" s="4">
        <v>98</v>
      </c>
      <c r="Z780" s="4">
        <v>8</v>
      </c>
      <c r="AA780" s="4">
        <v>72</v>
      </c>
      <c r="AB780" s="4">
        <v>1</v>
      </c>
      <c r="AC780" s="4">
        <v>14</v>
      </c>
      <c r="AD780" s="4">
        <v>23</v>
      </c>
      <c r="AE780" s="4">
        <v>89</v>
      </c>
      <c r="AF780" s="4">
        <v>0</v>
      </c>
      <c r="AG780" s="4">
        <v>8</v>
      </c>
      <c r="AH780" s="4">
        <v>21</v>
      </c>
      <c r="AI780" s="4">
        <v>60</v>
      </c>
      <c r="AJ780" s="4">
        <v>4</v>
      </c>
      <c r="AK780" s="4">
        <v>18</v>
      </c>
      <c r="AL780" s="4">
        <v>13</v>
      </c>
      <c r="AM780" s="4">
        <v>29</v>
      </c>
      <c r="AN780" s="4">
        <v>0</v>
      </c>
      <c r="AO780" s="4">
        <v>0</v>
      </c>
      <c r="AP780" s="4">
        <v>4</v>
      </c>
      <c r="AQ780" s="4">
        <v>36</v>
      </c>
      <c r="AR780" s="3" t="s">
        <v>64</v>
      </c>
      <c r="AS780" s="3" t="s">
        <v>64</v>
      </c>
      <c r="AT780" s="3" t="s">
        <v>64</v>
      </c>
      <c r="AV780" s="6" t="str">
        <f>HYPERLINK("http://mcgill.on.worldcat.org/oclc/757148371","Catalog Record")</f>
        <v>Catalog Record</v>
      </c>
      <c r="AW780" s="6" t="str">
        <f>HYPERLINK("http://www.worldcat.org/oclc/757148371","WorldCat Record")</f>
        <v>WorldCat Record</v>
      </c>
      <c r="AX780" s="3" t="s">
        <v>8141</v>
      </c>
      <c r="AY780" s="3" t="s">
        <v>8142</v>
      </c>
      <c r="AZ780" s="3" t="s">
        <v>8143</v>
      </c>
      <c r="BA780" s="3" t="s">
        <v>8143</v>
      </c>
      <c r="BB780" s="3" t="s">
        <v>8144</v>
      </c>
      <c r="BC780" s="3" t="s">
        <v>78</v>
      </c>
      <c r="BD780" s="3" t="s">
        <v>79</v>
      </c>
      <c r="BE780" s="3" t="s">
        <v>8145</v>
      </c>
      <c r="BF780" s="3" t="s">
        <v>8144</v>
      </c>
      <c r="BG780" s="3" t="s">
        <v>8146</v>
      </c>
    </row>
    <row r="781" spans="1:59" ht="58" x14ac:dyDescent="0.35">
      <c r="A781" s="2" t="s">
        <v>59</v>
      </c>
      <c r="B781" s="2" t="s">
        <v>94</v>
      </c>
      <c r="C781" s="2" t="s">
        <v>8147</v>
      </c>
      <c r="D781" s="2" t="s">
        <v>8148</v>
      </c>
      <c r="E781" s="2" t="s">
        <v>8149</v>
      </c>
      <c r="G781" s="3" t="s">
        <v>64</v>
      </c>
      <c r="I781" s="3" t="s">
        <v>64</v>
      </c>
      <c r="J781" s="3" t="s">
        <v>64</v>
      </c>
      <c r="K781" s="3" t="s">
        <v>65</v>
      </c>
      <c r="L781" s="2" t="s">
        <v>1292</v>
      </c>
      <c r="M781" s="2" t="s">
        <v>8150</v>
      </c>
      <c r="N781" s="3" t="s">
        <v>524</v>
      </c>
      <c r="P781" s="3" t="s">
        <v>69</v>
      </c>
      <c r="R781" s="3" t="s">
        <v>70</v>
      </c>
      <c r="S781" s="4">
        <v>4</v>
      </c>
      <c r="T781" s="4">
        <v>4</v>
      </c>
      <c r="U781" s="5" t="s">
        <v>8151</v>
      </c>
      <c r="V781" s="5" t="s">
        <v>8151</v>
      </c>
      <c r="W781" s="5" t="s">
        <v>72</v>
      </c>
      <c r="X781" s="5" t="s">
        <v>72</v>
      </c>
      <c r="Y781" s="4">
        <v>289</v>
      </c>
      <c r="Z781" s="4">
        <v>16</v>
      </c>
      <c r="AA781" s="4">
        <v>81</v>
      </c>
      <c r="AB781" s="4">
        <v>1</v>
      </c>
      <c r="AC781" s="4">
        <v>15</v>
      </c>
      <c r="AD781" s="4">
        <v>57</v>
      </c>
      <c r="AE781" s="4">
        <v>119</v>
      </c>
      <c r="AF781" s="4">
        <v>0</v>
      </c>
      <c r="AG781" s="4">
        <v>8</v>
      </c>
      <c r="AH781" s="4">
        <v>51</v>
      </c>
      <c r="AI781" s="4">
        <v>83</v>
      </c>
      <c r="AJ781" s="4">
        <v>8</v>
      </c>
      <c r="AK781" s="4">
        <v>23</v>
      </c>
      <c r="AL781" s="4">
        <v>30</v>
      </c>
      <c r="AM781" s="4">
        <v>42</v>
      </c>
      <c r="AN781" s="4">
        <v>0</v>
      </c>
      <c r="AO781" s="4">
        <v>0</v>
      </c>
      <c r="AP781" s="4">
        <v>10</v>
      </c>
      <c r="AQ781" s="4">
        <v>44</v>
      </c>
      <c r="AR781" s="3" t="s">
        <v>64</v>
      </c>
      <c r="AS781" s="3" t="s">
        <v>64</v>
      </c>
      <c r="AT781" s="3" t="s">
        <v>64</v>
      </c>
      <c r="AV781" s="6" t="str">
        <f>HYPERLINK("http://mcgill.on.worldcat.org/oclc/814389764","Catalog Record")</f>
        <v>Catalog Record</v>
      </c>
      <c r="AW781" s="6" t="str">
        <f>HYPERLINK("http://www.worldcat.org/oclc/814389764","WorldCat Record")</f>
        <v>WorldCat Record</v>
      </c>
      <c r="AX781" s="3" t="s">
        <v>8152</v>
      </c>
      <c r="AY781" s="3" t="s">
        <v>8153</v>
      </c>
      <c r="AZ781" s="3" t="s">
        <v>8154</v>
      </c>
      <c r="BA781" s="3" t="s">
        <v>8154</v>
      </c>
      <c r="BB781" s="3" t="s">
        <v>8155</v>
      </c>
      <c r="BC781" s="3" t="s">
        <v>78</v>
      </c>
      <c r="BD781" s="3" t="s">
        <v>79</v>
      </c>
      <c r="BE781" s="3" t="s">
        <v>8156</v>
      </c>
      <c r="BF781" s="3" t="s">
        <v>8155</v>
      </c>
      <c r="BG781" s="3" t="s">
        <v>8157</v>
      </c>
    </row>
    <row r="782" spans="1:59" ht="58" x14ac:dyDescent="0.35">
      <c r="A782" s="2" t="s">
        <v>59</v>
      </c>
      <c r="B782" s="2" t="s">
        <v>94</v>
      </c>
      <c r="C782" s="2" t="s">
        <v>8158</v>
      </c>
      <c r="D782" s="2" t="s">
        <v>8159</v>
      </c>
      <c r="E782" s="2" t="s">
        <v>8160</v>
      </c>
      <c r="G782" s="3" t="s">
        <v>64</v>
      </c>
      <c r="I782" s="3" t="s">
        <v>64</v>
      </c>
      <c r="J782" s="3" t="s">
        <v>64</v>
      </c>
      <c r="K782" s="3" t="s">
        <v>65</v>
      </c>
      <c r="M782" s="2" t="s">
        <v>8161</v>
      </c>
      <c r="N782" s="3" t="s">
        <v>1813</v>
      </c>
      <c r="P782" s="3" t="s">
        <v>69</v>
      </c>
      <c r="Q782" s="2" t="s">
        <v>8162</v>
      </c>
      <c r="R782" s="3" t="s">
        <v>70</v>
      </c>
      <c r="S782" s="4">
        <v>3</v>
      </c>
      <c r="T782" s="4">
        <v>3</v>
      </c>
      <c r="U782" s="5" t="s">
        <v>8129</v>
      </c>
      <c r="V782" s="5" t="s">
        <v>8129</v>
      </c>
      <c r="W782" s="5" t="s">
        <v>72</v>
      </c>
      <c r="X782" s="5" t="s">
        <v>72</v>
      </c>
      <c r="Y782" s="4">
        <v>112</v>
      </c>
      <c r="Z782" s="4">
        <v>8</v>
      </c>
      <c r="AA782" s="4">
        <v>73</v>
      </c>
      <c r="AB782" s="4">
        <v>1</v>
      </c>
      <c r="AC782" s="4">
        <v>14</v>
      </c>
      <c r="AD782" s="4">
        <v>38</v>
      </c>
      <c r="AE782" s="4">
        <v>102</v>
      </c>
      <c r="AF782" s="4">
        <v>0</v>
      </c>
      <c r="AG782" s="4">
        <v>8</v>
      </c>
      <c r="AH782" s="4">
        <v>35</v>
      </c>
      <c r="AI782" s="4">
        <v>71</v>
      </c>
      <c r="AJ782" s="4">
        <v>4</v>
      </c>
      <c r="AK782" s="4">
        <v>19</v>
      </c>
      <c r="AL782" s="4">
        <v>24</v>
      </c>
      <c r="AM782" s="4">
        <v>39</v>
      </c>
      <c r="AN782" s="4">
        <v>0</v>
      </c>
      <c r="AO782" s="4">
        <v>0</v>
      </c>
      <c r="AP782" s="4">
        <v>5</v>
      </c>
      <c r="AQ782" s="4">
        <v>39</v>
      </c>
      <c r="AR782" s="3" t="s">
        <v>64</v>
      </c>
      <c r="AS782" s="3" t="s">
        <v>64</v>
      </c>
      <c r="AT782" s="3" t="s">
        <v>64</v>
      </c>
      <c r="AV782" s="6" t="str">
        <f>HYPERLINK("http://mcgill.on.worldcat.org/oclc/936684796","Catalog Record")</f>
        <v>Catalog Record</v>
      </c>
      <c r="AW782" s="6" t="str">
        <f>HYPERLINK("http://www.worldcat.org/oclc/936684796","WorldCat Record")</f>
        <v>WorldCat Record</v>
      </c>
      <c r="AX782" s="3" t="s">
        <v>8163</v>
      </c>
      <c r="AY782" s="3" t="s">
        <v>8164</v>
      </c>
      <c r="AZ782" s="3" t="s">
        <v>8165</v>
      </c>
      <c r="BA782" s="3" t="s">
        <v>8165</v>
      </c>
      <c r="BB782" s="3" t="s">
        <v>8166</v>
      </c>
      <c r="BC782" s="3" t="s">
        <v>78</v>
      </c>
      <c r="BD782" s="3" t="s">
        <v>79</v>
      </c>
      <c r="BE782" s="3" t="s">
        <v>8167</v>
      </c>
      <c r="BF782" s="3" t="s">
        <v>8166</v>
      </c>
      <c r="BG782" s="3" t="s">
        <v>8168</v>
      </c>
    </row>
    <row r="783" spans="1:59" ht="58" x14ac:dyDescent="0.35">
      <c r="A783" s="2" t="s">
        <v>59</v>
      </c>
      <c r="B783" s="2" t="s">
        <v>94</v>
      </c>
      <c r="C783" s="2" t="s">
        <v>8169</v>
      </c>
      <c r="D783" s="2" t="s">
        <v>8170</v>
      </c>
      <c r="E783" s="2" t="s">
        <v>8171</v>
      </c>
      <c r="G783" s="3" t="s">
        <v>64</v>
      </c>
      <c r="I783" s="3" t="s">
        <v>64</v>
      </c>
      <c r="J783" s="3" t="s">
        <v>64</v>
      </c>
      <c r="K783" s="3" t="s">
        <v>65</v>
      </c>
      <c r="L783" s="2" t="s">
        <v>8172</v>
      </c>
      <c r="M783" s="2" t="s">
        <v>8173</v>
      </c>
      <c r="N783" s="3" t="s">
        <v>68</v>
      </c>
      <c r="P783" s="3" t="s">
        <v>69</v>
      </c>
      <c r="R783" s="3" t="s">
        <v>70</v>
      </c>
      <c r="S783" s="4">
        <v>34</v>
      </c>
      <c r="T783" s="4">
        <v>34</v>
      </c>
      <c r="U783" s="5" t="s">
        <v>2772</v>
      </c>
      <c r="V783" s="5" t="s">
        <v>2772</v>
      </c>
      <c r="W783" s="5" t="s">
        <v>72</v>
      </c>
      <c r="X783" s="5" t="s">
        <v>72</v>
      </c>
      <c r="Y783" s="4">
        <v>221</v>
      </c>
      <c r="Z783" s="4">
        <v>15</v>
      </c>
      <c r="AA783" s="4">
        <v>15</v>
      </c>
      <c r="AB783" s="4">
        <v>2</v>
      </c>
      <c r="AC783" s="4">
        <v>2</v>
      </c>
      <c r="AD783" s="4">
        <v>58</v>
      </c>
      <c r="AE783" s="4">
        <v>58</v>
      </c>
      <c r="AF783" s="4">
        <v>0</v>
      </c>
      <c r="AG783" s="4">
        <v>0</v>
      </c>
      <c r="AH783" s="4">
        <v>51</v>
      </c>
      <c r="AI783" s="4">
        <v>51</v>
      </c>
      <c r="AJ783" s="4">
        <v>5</v>
      </c>
      <c r="AK783" s="4">
        <v>5</v>
      </c>
      <c r="AL783" s="4">
        <v>32</v>
      </c>
      <c r="AM783" s="4">
        <v>32</v>
      </c>
      <c r="AN783" s="4">
        <v>0</v>
      </c>
      <c r="AO783" s="4">
        <v>0</v>
      </c>
      <c r="AP783" s="4">
        <v>7</v>
      </c>
      <c r="AQ783" s="4">
        <v>7</v>
      </c>
      <c r="AR783" s="3" t="s">
        <v>64</v>
      </c>
      <c r="AS783" s="3" t="s">
        <v>64</v>
      </c>
      <c r="AT783" s="3" t="s">
        <v>64</v>
      </c>
      <c r="AV783" s="6" t="str">
        <f>HYPERLINK("http://mcgill.on.worldcat.org/oclc/68918463","Catalog Record")</f>
        <v>Catalog Record</v>
      </c>
      <c r="AW783" s="6" t="str">
        <f>HYPERLINK("http://www.worldcat.org/oclc/68918463","WorldCat Record")</f>
        <v>WorldCat Record</v>
      </c>
      <c r="AX783" s="3" t="s">
        <v>8174</v>
      </c>
      <c r="AY783" s="3" t="s">
        <v>8175</v>
      </c>
      <c r="AZ783" s="3" t="s">
        <v>8176</v>
      </c>
      <c r="BA783" s="3" t="s">
        <v>8176</v>
      </c>
      <c r="BB783" s="3" t="s">
        <v>8177</v>
      </c>
      <c r="BC783" s="3" t="s">
        <v>78</v>
      </c>
      <c r="BD783" s="3" t="s">
        <v>414</v>
      </c>
      <c r="BE783" s="3" t="s">
        <v>8178</v>
      </c>
      <c r="BF783" s="3" t="s">
        <v>8177</v>
      </c>
      <c r="BG783" s="3" t="s">
        <v>8179</v>
      </c>
    </row>
    <row r="784" spans="1:59" ht="58" x14ac:dyDescent="0.35">
      <c r="A784" s="2" t="s">
        <v>59</v>
      </c>
      <c r="B784" s="2" t="s">
        <v>94</v>
      </c>
      <c r="C784" s="2" t="s">
        <v>8180</v>
      </c>
      <c r="D784" s="2" t="s">
        <v>8181</v>
      </c>
      <c r="E784" s="2" t="s">
        <v>8182</v>
      </c>
      <c r="G784" s="3" t="s">
        <v>64</v>
      </c>
      <c r="I784" s="3" t="s">
        <v>64</v>
      </c>
      <c r="J784" s="3" t="s">
        <v>64</v>
      </c>
      <c r="K784" s="3" t="s">
        <v>65</v>
      </c>
      <c r="L784" s="2" t="s">
        <v>8183</v>
      </c>
      <c r="M784" s="2" t="s">
        <v>8184</v>
      </c>
      <c r="N784" s="3" t="s">
        <v>1167</v>
      </c>
      <c r="P784" s="3" t="s">
        <v>69</v>
      </c>
      <c r="R784" s="3" t="s">
        <v>70</v>
      </c>
      <c r="S784" s="4">
        <v>7</v>
      </c>
      <c r="T784" s="4">
        <v>7</v>
      </c>
      <c r="U784" s="5" t="s">
        <v>8185</v>
      </c>
      <c r="V784" s="5" t="s">
        <v>8185</v>
      </c>
      <c r="W784" s="5" t="s">
        <v>72</v>
      </c>
      <c r="X784" s="5" t="s">
        <v>72</v>
      </c>
      <c r="Y784" s="4">
        <v>1193</v>
      </c>
      <c r="Z784" s="4">
        <v>20</v>
      </c>
      <c r="AA784" s="4">
        <v>53</v>
      </c>
      <c r="AB784" s="4">
        <v>1</v>
      </c>
      <c r="AC784" s="4">
        <v>3</v>
      </c>
      <c r="AD784" s="4">
        <v>98</v>
      </c>
      <c r="AE784" s="4">
        <v>133</v>
      </c>
      <c r="AF784" s="4">
        <v>0</v>
      </c>
      <c r="AG784" s="4">
        <v>1</v>
      </c>
      <c r="AH784" s="4">
        <v>83</v>
      </c>
      <c r="AI784" s="4">
        <v>108</v>
      </c>
      <c r="AJ784" s="4">
        <v>7</v>
      </c>
      <c r="AK784" s="4">
        <v>23</v>
      </c>
      <c r="AL784" s="4">
        <v>45</v>
      </c>
      <c r="AM784" s="4">
        <v>58</v>
      </c>
      <c r="AN784" s="4">
        <v>0</v>
      </c>
      <c r="AO784" s="4">
        <v>0</v>
      </c>
      <c r="AP784" s="4">
        <v>13</v>
      </c>
      <c r="AQ784" s="4">
        <v>31</v>
      </c>
      <c r="AR784" s="3" t="s">
        <v>64</v>
      </c>
      <c r="AS784" s="3" t="s">
        <v>64</v>
      </c>
      <c r="AT784" s="3" t="s">
        <v>73</v>
      </c>
      <c r="AU784" s="6" t="str">
        <f>HYPERLINK("http://catalog.hathitrust.org/Record/000256585","HathiTrust Record")</f>
        <v>HathiTrust Record</v>
      </c>
      <c r="AV784" s="6" t="str">
        <f>HYPERLINK("http://mcgill.on.worldcat.org/oclc/4496917","Catalog Record")</f>
        <v>Catalog Record</v>
      </c>
      <c r="AW784" s="6" t="str">
        <f>HYPERLINK("http://www.worldcat.org/oclc/4496917","WorldCat Record")</f>
        <v>WorldCat Record</v>
      </c>
      <c r="AX784" s="3" t="s">
        <v>8186</v>
      </c>
      <c r="AY784" s="3" t="s">
        <v>8187</v>
      </c>
      <c r="AZ784" s="3" t="s">
        <v>8188</v>
      </c>
      <c r="BA784" s="3" t="s">
        <v>8188</v>
      </c>
      <c r="BB784" s="3" t="s">
        <v>8189</v>
      </c>
      <c r="BC784" s="3" t="s">
        <v>78</v>
      </c>
      <c r="BD784" s="3" t="s">
        <v>414</v>
      </c>
      <c r="BE784" s="3" t="s">
        <v>8190</v>
      </c>
      <c r="BF784" s="3" t="s">
        <v>8189</v>
      </c>
      <c r="BG784" s="3" t="s">
        <v>8191</v>
      </c>
    </row>
    <row r="785" spans="1:59" ht="58" x14ac:dyDescent="0.35">
      <c r="A785" s="2" t="s">
        <v>59</v>
      </c>
      <c r="B785" s="2" t="s">
        <v>94</v>
      </c>
      <c r="C785" s="2" t="s">
        <v>8192</v>
      </c>
      <c r="D785" s="2" t="s">
        <v>8193</v>
      </c>
      <c r="E785" s="2" t="s">
        <v>8194</v>
      </c>
      <c r="G785" s="3" t="s">
        <v>64</v>
      </c>
      <c r="I785" s="3" t="s">
        <v>64</v>
      </c>
      <c r="J785" s="3" t="s">
        <v>64</v>
      </c>
      <c r="K785" s="3" t="s">
        <v>65</v>
      </c>
      <c r="M785" s="2" t="s">
        <v>8195</v>
      </c>
      <c r="N785" s="3" t="s">
        <v>328</v>
      </c>
      <c r="P785" s="3" t="s">
        <v>69</v>
      </c>
      <c r="R785" s="3" t="s">
        <v>70</v>
      </c>
      <c r="S785" s="4">
        <v>1</v>
      </c>
      <c r="T785" s="4">
        <v>1</v>
      </c>
      <c r="U785" s="5" t="s">
        <v>8196</v>
      </c>
      <c r="V785" s="5" t="s">
        <v>8196</v>
      </c>
      <c r="W785" s="5" t="s">
        <v>72</v>
      </c>
      <c r="X785" s="5" t="s">
        <v>72</v>
      </c>
      <c r="Y785" s="4">
        <v>91</v>
      </c>
      <c r="Z785" s="4">
        <v>12</v>
      </c>
      <c r="AA785" s="4">
        <v>18</v>
      </c>
      <c r="AB785" s="4">
        <v>2</v>
      </c>
      <c r="AC785" s="4">
        <v>5</v>
      </c>
      <c r="AD785" s="4">
        <v>39</v>
      </c>
      <c r="AE785" s="4">
        <v>46</v>
      </c>
      <c r="AF785" s="4">
        <v>1</v>
      </c>
      <c r="AG785" s="4">
        <v>2</v>
      </c>
      <c r="AH785" s="4">
        <v>34</v>
      </c>
      <c r="AI785" s="4">
        <v>40</v>
      </c>
      <c r="AJ785" s="4">
        <v>8</v>
      </c>
      <c r="AK785" s="4">
        <v>11</v>
      </c>
      <c r="AL785" s="4">
        <v>23</v>
      </c>
      <c r="AM785" s="4">
        <v>27</v>
      </c>
      <c r="AN785" s="4">
        <v>0</v>
      </c>
      <c r="AO785" s="4">
        <v>0</v>
      </c>
      <c r="AP785" s="4">
        <v>9</v>
      </c>
      <c r="AQ785" s="4">
        <v>12</v>
      </c>
      <c r="AR785" s="3" t="s">
        <v>64</v>
      </c>
      <c r="AS785" s="3" t="s">
        <v>64</v>
      </c>
      <c r="AT785" s="3" t="s">
        <v>64</v>
      </c>
      <c r="AV785" s="6" t="str">
        <f>HYPERLINK("http://mcgill.on.worldcat.org/oclc/318872933","Catalog Record")</f>
        <v>Catalog Record</v>
      </c>
      <c r="AW785" s="6" t="str">
        <f>HYPERLINK("http://www.worldcat.org/oclc/318872933","WorldCat Record")</f>
        <v>WorldCat Record</v>
      </c>
      <c r="AX785" s="3" t="s">
        <v>8197</v>
      </c>
      <c r="AY785" s="3" t="s">
        <v>8198</v>
      </c>
      <c r="AZ785" s="3" t="s">
        <v>8199</v>
      </c>
      <c r="BA785" s="3" t="s">
        <v>8199</v>
      </c>
      <c r="BB785" s="3" t="s">
        <v>8200</v>
      </c>
      <c r="BC785" s="3" t="s">
        <v>78</v>
      </c>
      <c r="BD785" s="3" t="s">
        <v>79</v>
      </c>
      <c r="BE785" s="3" t="s">
        <v>8201</v>
      </c>
      <c r="BF785" s="3" t="s">
        <v>8200</v>
      </c>
      <c r="BG785" s="3" t="s">
        <v>8202</v>
      </c>
    </row>
    <row r="786" spans="1:59" ht="58" x14ac:dyDescent="0.35">
      <c r="A786" s="2" t="s">
        <v>59</v>
      </c>
      <c r="B786" s="2" t="s">
        <v>94</v>
      </c>
      <c r="C786" s="2" t="s">
        <v>8203</v>
      </c>
      <c r="D786" s="2" t="s">
        <v>8204</v>
      </c>
      <c r="E786" s="2" t="s">
        <v>8205</v>
      </c>
      <c r="G786" s="3" t="s">
        <v>64</v>
      </c>
      <c r="I786" s="3" t="s">
        <v>64</v>
      </c>
      <c r="J786" s="3" t="s">
        <v>64</v>
      </c>
      <c r="K786" s="3" t="s">
        <v>65</v>
      </c>
      <c r="L786" s="2" t="s">
        <v>8206</v>
      </c>
      <c r="M786" s="2" t="s">
        <v>1723</v>
      </c>
      <c r="N786" s="3" t="s">
        <v>214</v>
      </c>
      <c r="P786" s="3" t="s">
        <v>69</v>
      </c>
      <c r="R786" s="3" t="s">
        <v>70</v>
      </c>
      <c r="S786" s="4">
        <v>5</v>
      </c>
      <c r="T786" s="4">
        <v>5</v>
      </c>
      <c r="U786" s="5" t="s">
        <v>8207</v>
      </c>
      <c r="V786" s="5" t="s">
        <v>8207</v>
      </c>
      <c r="W786" s="5" t="s">
        <v>72</v>
      </c>
      <c r="X786" s="5" t="s">
        <v>72</v>
      </c>
      <c r="Y786" s="4">
        <v>138</v>
      </c>
      <c r="Z786" s="4">
        <v>11</v>
      </c>
      <c r="AA786" s="4">
        <v>16</v>
      </c>
      <c r="AB786" s="4">
        <v>1</v>
      </c>
      <c r="AC786" s="4">
        <v>4</v>
      </c>
      <c r="AD786" s="4">
        <v>52</v>
      </c>
      <c r="AE786" s="4">
        <v>60</v>
      </c>
      <c r="AF786" s="4">
        <v>0</v>
      </c>
      <c r="AG786" s="4">
        <v>1</v>
      </c>
      <c r="AH786" s="4">
        <v>46</v>
      </c>
      <c r="AI786" s="4">
        <v>52</v>
      </c>
      <c r="AJ786" s="4">
        <v>5</v>
      </c>
      <c r="AK786" s="4">
        <v>8</v>
      </c>
      <c r="AL786" s="4">
        <v>29</v>
      </c>
      <c r="AM786" s="4">
        <v>31</v>
      </c>
      <c r="AN786" s="4">
        <v>0</v>
      </c>
      <c r="AO786" s="4">
        <v>0</v>
      </c>
      <c r="AP786" s="4">
        <v>8</v>
      </c>
      <c r="AQ786" s="4">
        <v>10</v>
      </c>
      <c r="AR786" s="3" t="s">
        <v>64</v>
      </c>
      <c r="AS786" s="3" t="s">
        <v>64</v>
      </c>
      <c r="AT786" s="3" t="s">
        <v>64</v>
      </c>
      <c r="AV786" s="6" t="str">
        <f>HYPERLINK("http://mcgill.on.worldcat.org/oclc/649801972","Catalog Record")</f>
        <v>Catalog Record</v>
      </c>
      <c r="AW786" s="6" t="str">
        <f>HYPERLINK("http://www.worldcat.org/oclc/649801972","WorldCat Record")</f>
        <v>WorldCat Record</v>
      </c>
      <c r="AX786" s="3" t="s">
        <v>8208</v>
      </c>
      <c r="AY786" s="3" t="s">
        <v>8209</v>
      </c>
      <c r="AZ786" s="3" t="s">
        <v>8210</v>
      </c>
      <c r="BA786" s="3" t="s">
        <v>8210</v>
      </c>
      <c r="BB786" s="3" t="s">
        <v>8211</v>
      </c>
      <c r="BC786" s="3" t="s">
        <v>78</v>
      </c>
      <c r="BD786" s="3" t="s">
        <v>79</v>
      </c>
      <c r="BE786" s="3" t="s">
        <v>8212</v>
      </c>
      <c r="BF786" s="3" t="s">
        <v>8211</v>
      </c>
      <c r="BG786" s="3" t="s">
        <v>8213</v>
      </c>
    </row>
    <row r="787" spans="1:59" ht="58" x14ac:dyDescent="0.35">
      <c r="A787" s="2" t="s">
        <v>59</v>
      </c>
      <c r="B787" s="2" t="s">
        <v>94</v>
      </c>
      <c r="C787" s="2" t="s">
        <v>8214</v>
      </c>
      <c r="D787" s="2" t="s">
        <v>8215</v>
      </c>
      <c r="E787" s="2" t="s">
        <v>8216</v>
      </c>
      <c r="G787" s="3" t="s">
        <v>64</v>
      </c>
      <c r="I787" s="3" t="s">
        <v>64</v>
      </c>
      <c r="J787" s="3" t="s">
        <v>64</v>
      </c>
      <c r="K787" s="3" t="s">
        <v>65</v>
      </c>
      <c r="M787" s="2" t="s">
        <v>8217</v>
      </c>
      <c r="N787" s="3" t="s">
        <v>524</v>
      </c>
      <c r="P787" s="3" t="s">
        <v>69</v>
      </c>
      <c r="Q787" s="2" t="s">
        <v>8218</v>
      </c>
      <c r="R787" s="3" t="s">
        <v>70</v>
      </c>
      <c r="S787" s="4">
        <v>0</v>
      </c>
      <c r="T787" s="4">
        <v>0</v>
      </c>
      <c r="W787" s="5" t="s">
        <v>72</v>
      </c>
      <c r="X787" s="5" t="s">
        <v>72</v>
      </c>
      <c r="Y787" s="4">
        <v>53</v>
      </c>
      <c r="Z787" s="4">
        <v>4</v>
      </c>
      <c r="AA787" s="4">
        <v>34</v>
      </c>
      <c r="AB787" s="4">
        <v>1</v>
      </c>
      <c r="AC787" s="4">
        <v>8</v>
      </c>
      <c r="AD787" s="4">
        <v>37</v>
      </c>
      <c r="AE787" s="4">
        <v>97</v>
      </c>
      <c r="AF787" s="4">
        <v>0</v>
      </c>
      <c r="AG787" s="4">
        <v>2</v>
      </c>
      <c r="AH787" s="4">
        <v>36</v>
      </c>
      <c r="AI787" s="4">
        <v>80</v>
      </c>
      <c r="AJ787" s="4">
        <v>3</v>
      </c>
      <c r="AK787" s="4">
        <v>13</v>
      </c>
      <c r="AL787" s="4">
        <v>20</v>
      </c>
      <c r="AM787" s="4">
        <v>44</v>
      </c>
      <c r="AN787" s="4">
        <v>0</v>
      </c>
      <c r="AO787" s="4">
        <v>0</v>
      </c>
      <c r="AP787" s="4">
        <v>3</v>
      </c>
      <c r="AQ787" s="4">
        <v>23</v>
      </c>
      <c r="AR787" s="3" t="s">
        <v>64</v>
      </c>
      <c r="AS787" s="3" t="s">
        <v>64</v>
      </c>
      <c r="AT787" s="3" t="s">
        <v>64</v>
      </c>
      <c r="AV787" s="6" t="str">
        <f>HYPERLINK("http://mcgill.on.worldcat.org/oclc/830375305","Catalog Record")</f>
        <v>Catalog Record</v>
      </c>
      <c r="AW787" s="6" t="str">
        <f>HYPERLINK("http://www.worldcat.org/oclc/830375305","WorldCat Record")</f>
        <v>WorldCat Record</v>
      </c>
      <c r="AX787" s="3" t="s">
        <v>8219</v>
      </c>
      <c r="AY787" s="3" t="s">
        <v>8220</v>
      </c>
      <c r="AZ787" s="3" t="s">
        <v>8221</v>
      </c>
      <c r="BA787" s="3" t="s">
        <v>8221</v>
      </c>
      <c r="BB787" s="3" t="s">
        <v>8222</v>
      </c>
      <c r="BC787" s="3" t="s">
        <v>78</v>
      </c>
      <c r="BD787" s="3" t="s">
        <v>79</v>
      </c>
      <c r="BF787" s="3" t="s">
        <v>8222</v>
      </c>
      <c r="BG787" s="3" t="s">
        <v>8223</v>
      </c>
    </row>
    <row r="788" spans="1:59" ht="58" x14ac:dyDescent="0.35">
      <c r="A788" s="2" t="s">
        <v>59</v>
      </c>
      <c r="B788" s="2" t="s">
        <v>94</v>
      </c>
      <c r="C788" s="2" t="s">
        <v>8224</v>
      </c>
      <c r="D788" s="2" t="s">
        <v>8225</v>
      </c>
      <c r="E788" s="2" t="s">
        <v>8226</v>
      </c>
      <c r="G788" s="3" t="s">
        <v>64</v>
      </c>
      <c r="I788" s="3" t="s">
        <v>64</v>
      </c>
      <c r="J788" s="3" t="s">
        <v>64</v>
      </c>
      <c r="K788" s="3" t="s">
        <v>65</v>
      </c>
      <c r="L788" s="2" t="s">
        <v>8227</v>
      </c>
      <c r="M788" s="2" t="s">
        <v>8228</v>
      </c>
      <c r="N788" s="3" t="s">
        <v>1227</v>
      </c>
      <c r="P788" s="3" t="s">
        <v>69</v>
      </c>
      <c r="R788" s="3" t="s">
        <v>70</v>
      </c>
      <c r="S788" s="4">
        <v>2</v>
      </c>
      <c r="T788" s="4">
        <v>2</v>
      </c>
      <c r="U788" s="5" t="s">
        <v>3611</v>
      </c>
      <c r="V788" s="5" t="s">
        <v>3611</v>
      </c>
      <c r="W788" s="5" t="s">
        <v>72</v>
      </c>
      <c r="X788" s="5" t="s">
        <v>72</v>
      </c>
      <c r="Y788" s="4">
        <v>212</v>
      </c>
      <c r="Z788" s="4">
        <v>15</v>
      </c>
      <c r="AA788" s="4">
        <v>21</v>
      </c>
      <c r="AB788" s="4">
        <v>2</v>
      </c>
      <c r="AC788" s="4">
        <v>4</v>
      </c>
      <c r="AD788" s="4">
        <v>72</v>
      </c>
      <c r="AE788" s="4">
        <v>76</v>
      </c>
      <c r="AF788" s="4">
        <v>1</v>
      </c>
      <c r="AG788" s="4">
        <v>3</v>
      </c>
      <c r="AH788" s="4">
        <v>65</v>
      </c>
      <c r="AI788" s="4">
        <v>68</v>
      </c>
      <c r="AJ788" s="4">
        <v>12</v>
      </c>
      <c r="AK788" s="4">
        <v>16</v>
      </c>
      <c r="AL788" s="4">
        <v>37</v>
      </c>
      <c r="AM788" s="4">
        <v>38</v>
      </c>
      <c r="AN788" s="4">
        <v>0</v>
      </c>
      <c r="AO788" s="4">
        <v>0</v>
      </c>
      <c r="AP788" s="4">
        <v>10</v>
      </c>
      <c r="AQ788" s="4">
        <v>13</v>
      </c>
      <c r="AR788" s="3" t="s">
        <v>64</v>
      </c>
      <c r="AS788" s="3" t="s">
        <v>64</v>
      </c>
      <c r="AT788" s="3" t="s">
        <v>73</v>
      </c>
      <c r="AU788" s="6" t="str">
        <f>HYPERLINK("http://catalog.hathitrust.org/Record/001047371","HathiTrust Record")</f>
        <v>HathiTrust Record</v>
      </c>
      <c r="AV788" s="6" t="str">
        <f>HYPERLINK("http://mcgill.on.worldcat.org/oclc/700370","Catalog Record")</f>
        <v>Catalog Record</v>
      </c>
      <c r="AW788" s="6" t="str">
        <f>HYPERLINK("http://www.worldcat.org/oclc/700370","WorldCat Record")</f>
        <v>WorldCat Record</v>
      </c>
      <c r="AX788" s="3" t="s">
        <v>8229</v>
      </c>
      <c r="AY788" s="3" t="s">
        <v>8230</v>
      </c>
      <c r="AZ788" s="3" t="s">
        <v>8231</v>
      </c>
      <c r="BA788" s="3" t="s">
        <v>8231</v>
      </c>
      <c r="BB788" s="3" t="s">
        <v>8232</v>
      </c>
      <c r="BC788" s="3" t="s">
        <v>78</v>
      </c>
      <c r="BD788" s="3" t="s">
        <v>79</v>
      </c>
      <c r="BE788" s="3" t="s">
        <v>8233</v>
      </c>
      <c r="BF788" s="3" t="s">
        <v>8232</v>
      </c>
      <c r="BG788" s="3" t="s">
        <v>8234</v>
      </c>
    </row>
    <row r="789" spans="1:59" ht="58" x14ac:dyDescent="0.35">
      <c r="A789" s="2" t="s">
        <v>59</v>
      </c>
      <c r="B789" s="2" t="s">
        <v>94</v>
      </c>
      <c r="C789" s="2" t="s">
        <v>8235</v>
      </c>
      <c r="D789" s="2" t="s">
        <v>8236</v>
      </c>
      <c r="E789" s="2" t="s">
        <v>8237</v>
      </c>
      <c r="G789" s="3" t="s">
        <v>64</v>
      </c>
      <c r="I789" s="3" t="s">
        <v>64</v>
      </c>
      <c r="J789" s="3" t="s">
        <v>64</v>
      </c>
      <c r="K789" s="3" t="s">
        <v>65</v>
      </c>
      <c r="L789" s="2" t="s">
        <v>8238</v>
      </c>
      <c r="M789" s="2" t="s">
        <v>8239</v>
      </c>
      <c r="N789" s="3" t="s">
        <v>303</v>
      </c>
      <c r="P789" s="3" t="s">
        <v>69</v>
      </c>
      <c r="R789" s="3" t="s">
        <v>70</v>
      </c>
      <c r="S789" s="4">
        <v>8</v>
      </c>
      <c r="T789" s="4">
        <v>8</v>
      </c>
      <c r="U789" s="5" t="s">
        <v>8240</v>
      </c>
      <c r="V789" s="5" t="s">
        <v>8240</v>
      </c>
      <c r="W789" s="5" t="s">
        <v>72</v>
      </c>
      <c r="X789" s="5" t="s">
        <v>72</v>
      </c>
      <c r="Y789" s="4">
        <v>522</v>
      </c>
      <c r="Z789" s="4">
        <v>23</v>
      </c>
      <c r="AA789" s="4">
        <v>41</v>
      </c>
      <c r="AB789" s="4">
        <v>2</v>
      </c>
      <c r="AC789" s="4">
        <v>7</v>
      </c>
      <c r="AD789" s="4">
        <v>120</v>
      </c>
      <c r="AE789" s="4">
        <v>136</v>
      </c>
      <c r="AF789" s="4">
        <v>1</v>
      </c>
      <c r="AG789" s="4">
        <v>3</v>
      </c>
      <c r="AH789" s="4">
        <v>105</v>
      </c>
      <c r="AI789" s="4">
        <v>110</v>
      </c>
      <c r="AJ789" s="4">
        <v>15</v>
      </c>
      <c r="AK789" s="4">
        <v>21</v>
      </c>
      <c r="AL789" s="4">
        <v>60</v>
      </c>
      <c r="AM789" s="4">
        <v>62</v>
      </c>
      <c r="AN789" s="4">
        <v>0</v>
      </c>
      <c r="AO789" s="4">
        <v>0</v>
      </c>
      <c r="AP789" s="4">
        <v>20</v>
      </c>
      <c r="AQ789" s="4">
        <v>31</v>
      </c>
      <c r="AR789" s="3" t="s">
        <v>64</v>
      </c>
      <c r="AS789" s="3" t="s">
        <v>64</v>
      </c>
      <c r="AT789" s="3" t="s">
        <v>64</v>
      </c>
      <c r="AV789" s="6" t="str">
        <f>HYPERLINK("http://mcgill.on.worldcat.org/oclc/26396270","Catalog Record")</f>
        <v>Catalog Record</v>
      </c>
      <c r="AW789" s="6" t="str">
        <f>HYPERLINK("http://www.worldcat.org/oclc/26396270","WorldCat Record")</f>
        <v>WorldCat Record</v>
      </c>
      <c r="AX789" s="3" t="s">
        <v>8241</v>
      </c>
      <c r="AY789" s="3" t="s">
        <v>8242</v>
      </c>
      <c r="AZ789" s="3" t="s">
        <v>8243</v>
      </c>
      <c r="BA789" s="3" t="s">
        <v>8243</v>
      </c>
      <c r="BB789" s="3" t="s">
        <v>8244</v>
      </c>
      <c r="BC789" s="3" t="s">
        <v>78</v>
      </c>
      <c r="BD789" s="3" t="s">
        <v>79</v>
      </c>
      <c r="BE789" s="3" t="s">
        <v>8245</v>
      </c>
      <c r="BF789" s="3" t="s">
        <v>8244</v>
      </c>
      <c r="BG789" s="3" t="s">
        <v>8246</v>
      </c>
    </row>
    <row r="790" spans="1:59" ht="58" x14ac:dyDescent="0.35">
      <c r="A790" s="2" t="s">
        <v>59</v>
      </c>
      <c r="B790" s="2" t="s">
        <v>94</v>
      </c>
      <c r="C790" s="2" t="s">
        <v>8247</v>
      </c>
      <c r="D790" s="2" t="s">
        <v>8248</v>
      </c>
      <c r="E790" s="2" t="s">
        <v>8249</v>
      </c>
      <c r="G790" s="3" t="s">
        <v>64</v>
      </c>
      <c r="I790" s="3" t="s">
        <v>64</v>
      </c>
      <c r="J790" s="3" t="s">
        <v>64</v>
      </c>
      <c r="K790" s="3" t="s">
        <v>65</v>
      </c>
      <c r="M790" s="2" t="s">
        <v>6841</v>
      </c>
      <c r="N790" s="3" t="s">
        <v>377</v>
      </c>
      <c r="P790" s="3" t="s">
        <v>69</v>
      </c>
      <c r="Q790" s="2" t="s">
        <v>5134</v>
      </c>
      <c r="R790" s="3" t="s">
        <v>70</v>
      </c>
      <c r="S790" s="4">
        <v>0</v>
      </c>
      <c r="T790" s="4">
        <v>0</v>
      </c>
      <c r="W790" s="5" t="s">
        <v>72</v>
      </c>
      <c r="X790" s="5" t="s">
        <v>72</v>
      </c>
      <c r="Y790" s="4">
        <v>90</v>
      </c>
      <c r="Z790" s="4">
        <v>5</v>
      </c>
      <c r="AA790" s="4">
        <v>7</v>
      </c>
      <c r="AB790" s="4">
        <v>1</v>
      </c>
      <c r="AC790" s="4">
        <v>1</v>
      </c>
      <c r="AD790" s="4">
        <v>49</v>
      </c>
      <c r="AE790" s="4">
        <v>54</v>
      </c>
      <c r="AF790" s="4">
        <v>0</v>
      </c>
      <c r="AG790" s="4">
        <v>0</v>
      </c>
      <c r="AH790" s="4">
        <v>48</v>
      </c>
      <c r="AI790" s="4">
        <v>52</v>
      </c>
      <c r="AJ790" s="4">
        <v>3</v>
      </c>
      <c r="AK790" s="4">
        <v>5</v>
      </c>
      <c r="AL790" s="4">
        <v>28</v>
      </c>
      <c r="AM790" s="4">
        <v>29</v>
      </c>
      <c r="AN790" s="4">
        <v>0</v>
      </c>
      <c r="AO790" s="4">
        <v>0</v>
      </c>
      <c r="AP790" s="4">
        <v>3</v>
      </c>
      <c r="AQ790" s="4">
        <v>5</v>
      </c>
      <c r="AR790" s="3" t="s">
        <v>64</v>
      </c>
      <c r="AS790" s="3" t="s">
        <v>64</v>
      </c>
      <c r="AT790" s="3" t="s">
        <v>64</v>
      </c>
      <c r="AV790" s="6" t="str">
        <f>HYPERLINK("http://mcgill.on.worldcat.org/oclc/781077959","Catalog Record")</f>
        <v>Catalog Record</v>
      </c>
      <c r="AW790" s="6" t="str">
        <f>HYPERLINK("http://www.worldcat.org/oclc/781077959","WorldCat Record")</f>
        <v>WorldCat Record</v>
      </c>
      <c r="AX790" s="3" t="s">
        <v>8250</v>
      </c>
      <c r="AY790" s="3" t="s">
        <v>8251</v>
      </c>
      <c r="AZ790" s="3" t="s">
        <v>8252</v>
      </c>
      <c r="BA790" s="3" t="s">
        <v>8252</v>
      </c>
      <c r="BB790" s="3" t="s">
        <v>8253</v>
      </c>
      <c r="BC790" s="3" t="s">
        <v>78</v>
      </c>
      <c r="BD790" s="3" t="s">
        <v>79</v>
      </c>
      <c r="BE790" s="3" t="s">
        <v>8254</v>
      </c>
      <c r="BF790" s="3" t="s">
        <v>8253</v>
      </c>
      <c r="BG790" s="3" t="s">
        <v>8255</v>
      </c>
    </row>
    <row r="791" spans="1:59" ht="58" x14ac:dyDescent="0.35">
      <c r="A791" s="2" t="s">
        <v>59</v>
      </c>
      <c r="B791" s="2" t="s">
        <v>94</v>
      </c>
      <c r="C791" s="2" t="s">
        <v>8256</v>
      </c>
      <c r="D791" s="2" t="s">
        <v>8257</v>
      </c>
      <c r="E791" s="2" t="s">
        <v>8258</v>
      </c>
      <c r="G791" s="3" t="s">
        <v>64</v>
      </c>
      <c r="I791" s="3" t="s">
        <v>64</v>
      </c>
      <c r="J791" s="3" t="s">
        <v>64</v>
      </c>
      <c r="K791" s="3" t="s">
        <v>65</v>
      </c>
      <c r="L791" s="2" t="s">
        <v>8259</v>
      </c>
      <c r="M791" s="2" t="s">
        <v>8260</v>
      </c>
      <c r="N791" s="3" t="s">
        <v>87</v>
      </c>
      <c r="O791" s="2" t="s">
        <v>525</v>
      </c>
      <c r="P791" s="3" t="s">
        <v>69</v>
      </c>
      <c r="R791" s="3" t="s">
        <v>70</v>
      </c>
      <c r="S791" s="4">
        <v>0</v>
      </c>
      <c r="T791" s="4">
        <v>0</v>
      </c>
      <c r="W791" s="5" t="s">
        <v>72</v>
      </c>
      <c r="X791" s="5" t="s">
        <v>72</v>
      </c>
      <c r="Y791" s="4">
        <v>1308</v>
      </c>
      <c r="Z791" s="4">
        <v>22</v>
      </c>
      <c r="AA791" s="4">
        <v>28</v>
      </c>
      <c r="AB791" s="4">
        <v>2</v>
      </c>
      <c r="AC791" s="4">
        <v>6</v>
      </c>
      <c r="AD791" s="4">
        <v>69</v>
      </c>
      <c r="AE791" s="4">
        <v>81</v>
      </c>
      <c r="AF791" s="4">
        <v>0</v>
      </c>
      <c r="AG791" s="4">
        <v>1</v>
      </c>
      <c r="AH791" s="4">
        <v>66</v>
      </c>
      <c r="AI791" s="4">
        <v>76</v>
      </c>
      <c r="AJ791" s="4">
        <v>4</v>
      </c>
      <c r="AK791" s="4">
        <v>5</v>
      </c>
      <c r="AL791" s="4">
        <v>43</v>
      </c>
      <c r="AM791" s="4">
        <v>45</v>
      </c>
      <c r="AN791" s="4">
        <v>0</v>
      </c>
      <c r="AO791" s="4">
        <v>0</v>
      </c>
      <c r="AP791" s="4">
        <v>4</v>
      </c>
      <c r="AQ791" s="4">
        <v>5</v>
      </c>
      <c r="AR791" s="3" t="s">
        <v>64</v>
      </c>
      <c r="AS791" s="3" t="s">
        <v>64</v>
      </c>
      <c r="AT791" s="3" t="s">
        <v>64</v>
      </c>
      <c r="AV791" s="6" t="str">
        <f>HYPERLINK("http://mcgill.on.worldcat.org/oclc/900012161","Catalog Record")</f>
        <v>Catalog Record</v>
      </c>
      <c r="AW791" s="6" t="str">
        <f>HYPERLINK("http://www.worldcat.org/oclc/900012161","WorldCat Record")</f>
        <v>WorldCat Record</v>
      </c>
      <c r="AX791" s="3" t="s">
        <v>8261</v>
      </c>
      <c r="AY791" s="3" t="s">
        <v>8262</v>
      </c>
      <c r="AZ791" s="3" t="s">
        <v>8263</v>
      </c>
      <c r="BA791" s="3" t="s">
        <v>8263</v>
      </c>
      <c r="BB791" s="3" t="s">
        <v>8264</v>
      </c>
      <c r="BC791" s="3" t="s">
        <v>78</v>
      </c>
      <c r="BD791" s="3" t="s">
        <v>79</v>
      </c>
      <c r="BE791" s="3" t="s">
        <v>8265</v>
      </c>
      <c r="BF791" s="3" t="s">
        <v>8264</v>
      </c>
      <c r="BG791" s="3" t="s">
        <v>8266</v>
      </c>
    </row>
    <row r="792" spans="1:59" ht="72.5" x14ac:dyDescent="0.35">
      <c r="A792" s="2" t="s">
        <v>59</v>
      </c>
      <c r="B792" s="2" t="s">
        <v>94</v>
      </c>
      <c r="C792" s="2" t="s">
        <v>8267</v>
      </c>
      <c r="D792" s="2" t="s">
        <v>8268</v>
      </c>
      <c r="E792" s="2" t="s">
        <v>8269</v>
      </c>
      <c r="G792" s="3" t="s">
        <v>64</v>
      </c>
      <c r="I792" s="3" t="s">
        <v>64</v>
      </c>
      <c r="J792" s="3" t="s">
        <v>64</v>
      </c>
      <c r="K792" s="3" t="s">
        <v>65</v>
      </c>
      <c r="L792" s="2" t="s">
        <v>8270</v>
      </c>
      <c r="M792" s="2" t="s">
        <v>8271</v>
      </c>
      <c r="N792" s="3" t="s">
        <v>1645</v>
      </c>
      <c r="O792" s="2" t="s">
        <v>525</v>
      </c>
      <c r="P792" s="3" t="s">
        <v>69</v>
      </c>
      <c r="R792" s="3" t="s">
        <v>70</v>
      </c>
      <c r="S792" s="4">
        <v>0</v>
      </c>
      <c r="T792" s="4">
        <v>0</v>
      </c>
      <c r="W792" s="5" t="s">
        <v>72</v>
      </c>
      <c r="X792" s="5" t="s">
        <v>72</v>
      </c>
      <c r="Y792" s="4">
        <v>735</v>
      </c>
      <c r="Z792" s="4">
        <v>16</v>
      </c>
      <c r="AA792" s="4">
        <v>19</v>
      </c>
      <c r="AB792" s="4">
        <v>2</v>
      </c>
      <c r="AC792" s="4">
        <v>4</v>
      </c>
      <c r="AD792" s="4">
        <v>71</v>
      </c>
      <c r="AE792" s="4">
        <v>75</v>
      </c>
      <c r="AF792" s="4">
        <v>0</v>
      </c>
      <c r="AG792" s="4">
        <v>0</v>
      </c>
      <c r="AH792" s="4">
        <v>65</v>
      </c>
      <c r="AI792" s="4">
        <v>69</v>
      </c>
      <c r="AJ792" s="4">
        <v>5</v>
      </c>
      <c r="AK792" s="4">
        <v>6</v>
      </c>
      <c r="AL792" s="4">
        <v>47</v>
      </c>
      <c r="AM792" s="4">
        <v>48</v>
      </c>
      <c r="AN792" s="4">
        <v>0</v>
      </c>
      <c r="AO792" s="4">
        <v>0</v>
      </c>
      <c r="AP792" s="4">
        <v>4</v>
      </c>
      <c r="AQ792" s="4">
        <v>5</v>
      </c>
      <c r="AR792" s="3" t="s">
        <v>64</v>
      </c>
      <c r="AS792" s="3" t="s">
        <v>64</v>
      </c>
      <c r="AT792" s="3" t="s">
        <v>64</v>
      </c>
      <c r="AV792" s="6" t="str">
        <f>HYPERLINK("http://mcgill.on.worldcat.org/oclc/946610757","Catalog Record")</f>
        <v>Catalog Record</v>
      </c>
      <c r="AW792" s="6" t="str">
        <f>HYPERLINK("http://www.worldcat.org/oclc/946610757","WorldCat Record")</f>
        <v>WorldCat Record</v>
      </c>
      <c r="AX792" s="3" t="s">
        <v>8272</v>
      </c>
      <c r="AY792" s="3" t="s">
        <v>8273</v>
      </c>
      <c r="AZ792" s="3" t="s">
        <v>8274</v>
      </c>
      <c r="BA792" s="3" t="s">
        <v>8274</v>
      </c>
      <c r="BB792" s="3" t="s">
        <v>8275</v>
      </c>
      <c r="BC792" s="3" t="s">
        <v>78</v>
      </c>
      <c r="BD792" s="3" t="s">
        <v>79</v>
      </c>
      <c r="BE792" s="3" t="s">
        <v>8276</v>
      </c>
      <c r="BF792" s="3" t="s">
        <v>8275</v>
      </c>
      <c r="BG792" s="3" t="s">
        <v>8277</v>
      </c>
    </row>
    <row r="793" spans="1:59" ht="58" x14ac:dyDescent="0.35">
      <c r="A793" s="2" t="s">
        <v>59</v>
      </c>
      <c r="B793" s="2" t="s">
        <v>94</v>
      </c>
      <c r="C793" s="2" t="s">
        <v>8278</v>
      </c>
      <c r="D793" s="2" t="s">
        <v>8279</v>
      </c>
      <c r="E793" s="2" t="s">
        <v>8280</v>
      </c>
      <c r="G793" s="3" t="s">
        <v>64</v>
      </c>
      <c r="I793" s="3" t="s">
        <v>73</v>
      </c>
      <c r="J793" s="3" t="s">
        <v>64</v>
      </c>
      <c r="K793" s="3" t="s">
        <v>65</v>
      </c>
      <c r="L793" s="2" t="s">
        <v>8281</v>
      </c>
      <c r="M793" s="2" t="s">
        <v>8282</v>
      </c>
      <c r="N793" s="3" t="s">
        <v>3085</v>
      </c>
      <c r="P793" s="3" t="s">
        <v>69</v>
      </c>
      <c r="R793" s="3" t="s">
        <v>70</v>
      </c>
      <c r="S793" s="4">
        <v>5</v>
      </c>
      <c r="T793" s="4">
        <v>5</v>
      </c>
      <c r="U793" s="5" t="s">
        <v>8283</v>
      </c>
      <c r="V793" s="5" t="s">
        <v>8283</v>
      </c>
      <c r="W793" s="5" t="s">
        <v>72</v>
      </c>
      <c r="X793" s="5" t="s">
        <v>72</v>
      </c>
      <c r="Y793" s="4">
        <v>75</v>
      </c>
      <c r="Z793" s="4">
        <v>44</v>
      </c>
      <c r="AA793" s="4">
        <v>58</v>
      </c>
      <c r="AB793" s="4">
        <v>4</v>
      </c>
      <c r="AC793" s="4">
        <v>6</v>
      </c>
      <c r="AD793" s="4">
        <v>39</v>
      </c>
      <c r="AE793" s="4">
        <v>51</v>
      </c>
      <c r="AF793" s="4">
        <v>1</v>
      </c>
      <c r="AG793" s="4">
        <v>3</v>
      </c>
      <c r="AH793" s="4">
        <v>25</v>
      </c>
      <c r="AI793" s="4">
        <v>29</v>
      </c>
      <c r="AJ793" s="4">
        <v>17</v>
      </c>
      <c r="AK793" s="4">
        <v>25</v>
      </c>
      <c r="AL793" s="4">
        <v>13</v>
      </c>
      <c r="AM793" s="4">
        <v>13</v>
      </c>
      <c r="AN793" s="4">
        <v>0</v>
      </c>
      <c r="AO793" s="4">
        <v>0</v>
      </c>
      <c r="AP793" s="4">
        <v>21</v>
      </c>
      <c r="AQ793" s="4">
        <v>31</v>
      </c>
      <c r="AR793" s="3" t="s">
        <v>73</v>
      </c>
      <c r="AS793" s="3" t="s">
        <v>64</v>
      </c>
      <c r="AT793" s="3" t="s">
        <v>64</v>
      </c>
      <c r="AU793" s="6" t="str">
        <f>HYPERLINK("http://catalog.hathitrust.org/Record/001527110","HathiTrust Record")</f>
        <v>HathiTrust Record</v>
      </c>
      <c r="AV793" s="6" t="str">
        <f>HYPERLINK("http://mcgill.on.worldcat.org/oclc/10707558","Catalog Record")</f>
        <v>Catalog Record</v>
      </c>
      <c r="AW793" s="6" t="str">
        <f>HYPERLINK("http://www.worldcat.org/oclc/10707558","WorldCat Record")</f>
        <v>WorldCat Record</v>
      </c>
      <c r="AX793" s="3" t="s">
        <v>8284</v>
      </c>
      <c r="AY793" s="3" t="s">
        <v>8285</v>
      </c>
      <c r="AZ793" s="3" t="s">
        <v>8286</v>
      </c>
      <c r="BA793" s="3" t="s">
        <v>8286</v>
      </c>
      <c r="BB793" s="3" t="s">
        <v>8287</v>
      </c>
      <c r="BC793" s="3" t="s">
        <v>78</v>
      </c>
      <c r="BD793" s="3" t="s">
        <v>79</v>
      </c>
      <c r="BF793" s="3" t="s">
        <v>8287</v>
      </c>
      <c r="BG793" s="3" t="s">
        <v>8288</v>
      </c>
    </row>
    <row r="794" spans="1:59" ht="58" x14ac:dyDescent="0.35">
      <c r="A794" s="2" t="s">
        <v>59</v>
      </c>
      <c r="B794" s="2" t="s">
        <v>94</v>
      </c>
      <c r="C794" s="2" t="s">
        <v>8289</v>
      </c>
      <c r="D794" s="2" t="s">
        <v>8290</v>
      </c>
      <c r="E794" s="2" t="s">
        <v>8291</v>
      </c>
      <c r="G794" s="3" t="s">
        <v>64</v>
      </c>
      <c r="I794" s="3" t="s">
        <v>64</v>
      </c>
      <c r="J794" s="3" t="s">
        <v>64</v>
      </c>
      <c r="K794" s="3" t="s">
        <v>65</v>
      </c>
      <c r="L794" s="2" t="s">
        <v>8292</v>
      </c>
      <c r="M794" s="2" t="s">
        <v>8293</v>
      </c>
      <c r="N794" s="3" t="s">
        <v>705</v>
      </c>
      <c r="P794" s="3" t="s">
        <v>69</v>
      </c>
      <c r="Q794" s="2" t="s">
        <v>8294</v>
      </c>
      <c r="R794" s="3" t="s">
        <v>70</v>
      </c>
      <c r="S794" s="4">
        <v>5</v>
      </c>
      <c r="T794" s="4">
        <v>5</v>
      </c>
      <c r="U794" s="5" t="s">
        <v>8295</v>
      </c>
      <c r="V794" s="5" t="s">
        <v>8295</v>
      </c>
      <c r="W794" s="5" t="s">
        <v>72</v>
      </c>
      <c r="X794" s="5" t="s">
        <v>72</v>
      </c>
      <c r="Y794" s="4">
        <v>174</v>
      </c>
      <c r="Z794" s="4">
        <v>7</v>
      </c>
      <c r="AA794" s="4">
        <v>9</v>
      </c>
      <c r="AB794" s="4">
        <v>1</v>
      </c>
      <c r="AC794" s="4">
        <v>1</v>
      </c>
      <c r="AD794" s="4">
        <v>84</v>
      </c>
      <c r="AE794" s="4">
        <v>87</v>
      </c>
      <c r="AF794" s="4">
        <v>0</v>
      </c>
      <c r="AG794" s="4">
        <v>0</v>
      </c>
      <c r="AH794" s="4">
        <v>82</v>
      </c>
      <c r="AI794" s="4">
        <v>84</v>
      </c>
      <c r="AJ794" s="4">
        <v>5</v>
      </c>
      <c r="AK794" s="4">
        <v>7</v>
      </c>
      <c r="AL794" s="4">
        <v>43</v>
      </c>
      <c r="AM794" s="4">
        <v>43</v>
      </c>
      <c r="AN794" s="4">
        <v>0</v>
      </c>
      <c r="AO794" s="4">
        <v>0</v>
      </c>
      <c r="AP794" s="4">
        <v>5</v>
      </c>
      <c r="AQ794" s="4">
        <v>7</v>
      </c>
      <c r="AR794" s="3" t="s">
        <v>64</v>
      </c>
      <c r="AS794" s="3" t="s">
        <v>64</v>
      </c>
      <c r="AT794" s="3" t="s">
        <v>64</v>
      </c>
      <c r="AV794" s="6" t="str">
        <f>HYPERLINK("http://mcgill.on.worldcat.org/oclc/34619259","Catalog Record")</f>
        <v>Catalog Record</v>
      </c>
      <c r="AW794" s="6" t="str">
        <f>HYPERLINK("http://www.worldcat.org/oclc/34619259","WorldCat Record")</f>
        <v>WorldCat Record</v>
      </c>
      <c r="AX794" s="3" t="s">
        <v>8296</v>
      </c>
      <c r="AY794" s="3" t="s">
        <v>8297</v>
      </c>
      <c r="AZ794" s="3" t="s">
        <v>8298</v>
      </c>
      <c r="BA794" s="3" t="s">
        <v>8298</v>
      </c>
      <c r="BB794" s="3" t="s">
        <v>8299</v>
      </c>
      <c r="BC794" s="3" t="s">
        <v>78</v>
      </c>
      <c r="BD794" s="3" t="s">
        <v>79</v>
      </c>
      <c r="BE794" s="3" t="s">
        <v>8300</v>
      </c>
      <c r="BF794" s="3" t="s">
        <v>8299</v>
      </c>
      <c r="BG794" s="3" t="s">
        <v>8301</v>
      </c>
    </row>
    <row r="795" spans="1:59" ht="58" x14ac:dyDescent="0.35">
      <c r="A795" s="2" t="s">
        <v>59</v>
      </c>
      <c r="B795" s="2" t="s">
        <v>94</v>
      </c>
      <c r="C795" s="2" t="s">
        <v>8302</v>
      </c>
      <c r="D795" s="2" t="s">
        <v>8303</v>
      </c>
      <c r="E795" s="2" t="s">
        <v>8304</v>
      </c>
      <c r="G795" s="3" t="s">
        <v>64</v>
      </c>
      <c r="I795" s="3" t="s">
        <v>64</v>
      </c>
      <c r="J795" s="3" t="s">
        <v>64</v>
      </c>
      <c r="K795" s="3" t="s">
        <v>65</v>
      </c>
      <c r="L795" s="2" t="s">
        <v>8305</v>
      </c>
      <c r="M795" s="2" t="s">
        <v>6841</v>
      </c>
      <c r="N795" s="3" t="s">
        <v>377</v>
      </c>
      <c r="P795" s="3" t="s">
        <v>69</v>
      </c>
      <c r="Q795" s="2" t="s">
        <v>8306</v>
      </c>
      <c r="R795" s="3" t="s">
        <v>70</v>
      </c>
      <c r="S795" s="4">
        <v>0</v>
      </c>
      <c r="T795" s="4">
        <v>0</v>
      </c>
      <c r="W795" s="5" t="s">
        <v>72</v>
      </c>
      <c r="X795" s="5" t="s">
        <v>72</v>
      </c>
      <c r="Y795" s="4">
        <v>75</v>
      </c>
      <c r="Z795" s="4">
        <v>4</v>
      </c>
      <c r="AA795" s="4">
        <v>32</v>
      </c>
      <c r="AB795" s="4">
        <v>1</v>
      </c>
      <c r="AC795" s="4">
        <v>6</v>
      </c>
      <c r="AD795" s="4">
        <v>48</v>
      </c>
      <c r="AE795" s="4">
        <v>96</v>
      </c>
      <c r="AF795" s="4">
        <v>0</v>
      </c>
      <c r="AG795" s="4">
        <v>2</v>
      </c>
      <c r="AH795" s="4">
        <v>47</v>
      </c>
      <c r="AI795" s="4">
        <v>79</v>
      </c>
      <c r="AJ795" s="4">
        <v>3</v>
      </c>
      <c r="AK795" s="4">
        <v>13</v>
      </c>
      <c r="AL795" s="4">
        <v>28</v>
      </c>
      <c r="AM795" s="4">
        <v>44</v>
      </c>
      <c r="AN795" s="4">
        <v>0</v>
      </c>
      <c r="AO795" s="4">
        <v>0</v>
      </c>
      <c r="AP795" s="4">
        <v>3</v>
      </c>
      <c r="AQ795" s="4">
        <v>23</v>
      </c>
      <c r="AR795" s="3" t="s">
        <v>64</v>
      </c>
      <c r="AS795" s="3" t="s">
        <v>64</v>
      </c>
      <c r="AT795" s="3" t="s">
        <v>64</v>
      </c>
      <c r="AV795" s="6" t="str">
        <f>HYPERLINK("http://mcgill.on.worldcat.org/oclc/824158605","Catalog Record")</f>
        <v>Catalog Record</v>
      </c>
      <c r="AW795" s="6" t="str">
        <f>HYPERLINK("http://www.worldcat.org/oclc/824158605","WorldCat Record")</f>
        <v>WorldCat Record</v>
      </c>
      <c r="AX795" s="3" t="s">
        <v>8307</v>
      </c>
      <c r="AY795" s="3" t="s">
        <v>8308</v>
      </c>
      <c r="AZ795" s="3" t="s">
        <v>8309</v>
      </c>
      <c r="BA795" s="3" t="s">
        <v>8309</v>
      </c>
      <c r="BB795" s="3" t="s">
        <v>8310</v>
      </c>
      <c r="BC795" s="3" t="s">
        <v>78</v>
      </c>
      <c r="BD795" s="3" t="s">
        <v>79</v>
      </c>
      <c r="BE795" s="3" t="s">
        <v>8311</v>
      </c>
      <c r="BF795" s="3" t="s">
        <v>8310</v>
      </c>
      <c r="BG795" s="3" t="s">
        <v>8312</v>
      </c>
    </row>
    <row r="796" spans="1:59" ht="58" x14ac:dyDescent="0.35">
      <c r="A796" s="2" t="s">
        <v>59</v>
      </c>
      <c r="B796" s="2" t="s">
        <v>94</v>
      </c>
      <c r="C796" s="2" t="s">
        <v>8313</v>
      </c>
      <c r="D796" s="2" t="s">
        <v>8314</v>
      </c>
      <c r="E796" s="2" t="s">
        <v>8315</v>
      </c>
      <c r="G796" s="3" t="s">
        <v>64</v>
      </c>
      <c r="I796" s="3" t="s">
        <v>64</v>
      </c>
      <c r="J796" s="3" t="s">
        <v>64</v>
      </c>
      <c r="K796" s="3" t="s">
        <v>65</v>
      </c>
      <c r="L796" s="2" t="s">
        <v>8316</v>
      </c>
      <c r="M796" s="2" t="s">
        <v>8317</v>
      </c>
      <c r="N796" s="3" t="s">
        <v>328</v>
      </c>
      <c r="O796" s="2" t="s">
        <v>1294</v>
      </c>
      <c r="P796" s="3" t="s">
        <v>69</v>
      </c>
      <c r="R796" s="3" t="s">
        <v>70</v>
      </c>
      <c r="S796" s="4">
        <v>1</v>
      </c>
      <c r="T796" s="4">
        <v>1</v>
      </c>
      <c r="U796" s="5" t="s">
        <v>8318</v>
      </c>
      <c r="V796" s="5" t="s">
        <v>8318</v>
      </c>
      <c r="W796" s="5" t="s">
        <v>72</v>
      </c>
      <c r="X796" s="5" t="s">
        <v>72</v>
      </c>
      <c r="Y796" s="4">
        <v>145</v>
      </c>
      <c r="Z796" s="4">
        <v>8</v>
      </c>
      <c r="AA796" s="4">
        <v>26</v>
      </c>
      <c r="AB796" s="4">
        <v>1</v>
      </c>
      <c r="AC796" s="4">
        <v>5</v>
      </c>
      <c r="AD796" s="4">
        <v>46</v>
      </c>
      <c r="AE796" s="4">
        <v>58</v>
      </c>
      <c r="AF796" s="4">
        <v>0</v>
      </c>
      <c r="AG796" s="4">
        <v>2</v>
      </c>
      <c r="AH796" s="4">
        <v>43</v>
      </c>
      <c r="AI796" s="4">
        <v>51</v>
      </c>
      <c r="AJ796" s="4">
        <v>6</v>
      </c>
      <c r="AK796" s="4">
        <v>8</v>
      </c>
      <c r="AL796" s="4">
        <v>30</v>
      </c>
      <c r="AM796" s="4">
        <v>34</v>
      </c>
      <c r="AN796" s="4">
        <v>0</v>
      </c>
      <c r="AO796" s="4">
        <v>0</v>
      </c>
      <c r="AP796" s="4">
        <v>6</v>
      </c>
      <c r="AQ796" s="4">
        <v>11</v>
      </c>
      <c r="AR796" s="3" t="s">
        <v>64</v>
      </c>
      <c r="AS796" s="3" t="s">
        <v>64</v>
      </c>
      <c r="AT796" s="3" t="s">
        <v>64</v>
      </c>
      <c r="AV796" s="6" t="str">
        <f>HYPERLINK("http://mcgill.on.worldcat.org/oclc/694392539","Catalog Record")</f>
        <v>Catalog Record</v>
      </c>
      <c r="AW796" s="6" t="str">
        <f>HYPERLINK("http://www.worldcat.org/oclc/694392539","WorldCat Record")</f>
        <v>WorldCat Record</v>
      </c>
      <c r="AX796" s="3" t="s">
        <v>8319</v>
      </c>
      <c r="AY796" s="3" t="s">
        <v>8320</v>
      </c>
      <c r="AZ796" s="3" t="s">
        <v>8321</v>
      </c>
      <c r="BA796" s="3" t="s">
        <v>8321</v>
      </c>
      <c r="BB796" s="3" t="s">
        <v>8322</v>
      </c>
      <c r="BC796" s="3" t="s">
        <v>78</v>
      </c>
      <c r="BD796" s="3" t="s">
        <v>79</v>
      </c>
      <c r="BE796" s="3" t="s">
        <v>8323</v>
      </c>
      <c r="BF796" s="3" t="s">
        <v>8322</v>
      </c>
      <c r="BG796" s="3" t="s">
        <v>8324</v>
      </c>
    </row>
    <row r="797" spans="1:59" ht="72.5" x14ac:dyDescent="0.35">
      <c r="A797" s="2" t="s">
        <v>59</v>
      </c>
      <c r="B797" s="2" t="s">
        <v>94</v>
      </c>
      <c r="C797" s="2" t="s">
        <v>8325</v>
      </c>
      <c r="D797" s="2" t="s">
        <v>8326</v>
      </c>
      <c r="E797" s="2" t="s">
        <v>8327</v>
      </c>
      <c r="G797" s="3" t="s">
        <v>64</v>
      </c>
      <c r="I797" s="3" t="s">
        <v>64</v>
      </c>
      <c r="J797" s="3" t="s">
        <v>64</v>
      </c>
      <c r="K797" s="3" t="s">
        <v>65</v>
      </c>
      <c r="L797" s="2" t="s">
        <v>8328</v>
      </c>
      <c r="M797" s="2" t="s">
        <v>5066</v>
      </c>
      <c r="N797" s="3" t="s">
        <v>175</v>
      </c>
      <c r="P797" s="3" t="s">
        <v>69</v>
      </c>
      <c r="Q797" s="2" t="s">
        <v>8329</v>
      </c>
      <c r="R797" s="3" t="s">
        <v>70</v>
      </c>
      <c r="S797" s="4">
        <v>0</v>
      </c>
      <c r="T797" s="4">
        <v>0</v>
      </c>
      <c r="W797" s="5" t="s">
        <v>72</v>
      </c>
      <c r="X797" s="5" t="s">
        <v>72</v>
      </c>
      <c r="Y797" s="4">
        <v>63</v>
      </c>
      <c r="Z797" s="4">
        <v>3</v>
      </c>
      <c r="AA797" s="4">
        <v>32</v>
      </c>
      <c r="AB797" s="4">
        <v>1</v>
      </c>
      <c r="AC797" s="4">
        <v>6</v>
      </c>
      <c r="AD797" s="4">
        <v>41</v>
      </c>
      <c r="AE797" s="4">
        <v>94</v>
      </c>
      <c r="AF797" s="4">
        <v>0</v>
      </c>
      <c r="AG797" s="4">
        <v>2</v>
      </c>
      <c r="AH797" s="4">
        <v>40</v>
      </c>
      <c r="AI797" s="4">
        <v>77</v>
      </c>
      <c r="AJ797" s="4">
        <v>2</v>
      </c>
      <c r="AK797" s="4">
        <v>13</v>
      </c>
      <c r="AL797" s="4">
        <v>23</v>
      </c>
      <c r="AM797" s="4">
        <v>42</v>
      </c>
      <c r="AN797" s="4">
        <v>0</v>
      </c>
      <c r="AO797" s="4">
        <v>0</v>
      </c>
      <c r="AP797" s="4">
        <v>2</v>
      </c>
      <c r="AQ797" s="4">
        <v>23</v>
      </c>
      <c r="AR797" s="3" t="s">
        <v>64</v>
      </c>
      <c r="AS797" s="3" t="s">
        <v>64</v>
      </c>
      <c r="AT797" s="3" t="s">
        <v>64</v>
      </c>
      <c r="AV797" s="6" t="str">
        <f>HYPERLINK("http://mcgill.on.worldcat.org/oclc/881139362","Catalog Record")</f>
        <v>Catalog Record</v>
      </c>
      <c r="AW797" s="6" t="str">
        <f>HYPERLINK("http://www.worldcat.org/oclc/881139362","WorldCat Record")</f>
        <v>WorldCat Record</v>
      </c>
      <c r="AX797" s="3" t="s">
        <v>8330</v>
      </c>
      <c r="AY797" s="3" t="s">
        <v>8331</v>
      </c>
      <c r="AZ797" s="3" t="s">
        <v>8332</v>
      </c>
      <c r="BA797" s="3" t="s">
        <v>8332</v>
      </c>
      <c r="BB797" s="3" t="s">
        <v>8333</v>
      </c>
      <c r="BC797" s="3" t="s">
        <v>78</v>
      </c>
      <c r="BD797" s="3" t="s">
        <v>79</v>
      </c>
      <c r="BE797" s="3" t="s">
        <v>8334</v>
      </c>
      <c r="BF797" s="3" t="s">
        <v>8333</v>
      </c>
      <c r="BG797" s="3" t="s">
        <v>8335</v>
      </c>
    </row>
    <row r="798" spans="1:59" ht="58" x14ac:dyDescent="0.35">
      <c r="A798" s="2" t="s">
        <v>59</v>
      </c>
      <c r="B798" s="2" t="s">
        <v>94</v>
      </c>
      <c r="C798" s="2" t="s">
        <v>8336</v>
      </c>
      <c r="D798" s="2" t="s">
        <v>8337</v>
      </c>
      <c r="E798" s="2" t="s">
        <v>8338</v>
      </c>
      <c r="G798" s="3" t="s">
        <v>64</v>
      </c>
      <c r="I798" s="3" t="s">
        <v>64</v>
      </c>
      <c r="J798" s="3" t="s">
        <v>64</v>
      </c>
      <c r="K798" s="3" t="s">
        <v>65</v>
      </c>
      <c r="M798" s="2" t="s">
        <v>8339</v>
      </c>
      <c r="N798" s="3" t="s">
        <v>377</v>
      </c>
      <c r="P798" s="3" t="s">
        <v>69</v>
      </c>
      <c r="Q798" s="2" t="s">
        <v>5134</v>
      </c>
      <c r="R798" s="3" t="s">
        <v>70</v>
      </c>
      <c r="S798" s="4">
        <v>0</v>
      </c>
      <c r="T798" s="4">
        <v>0</v>
      </c>
      <c r="W798" s="5" t="s">
        <v>72</v>
      </c>
      <c r="X798" s="5" t="s">
        <v>72</v>
      </c>
      <c r="Y798" s="4">
        <v>82</v>
      </c>
      <c r="Z798" s="4">
        <v>5</v>
      </c>
      <c r="AA798" s="4">
        <v>6</v>
      </c>
      <c r="AB798" s="4">
        <v>1</v>
      </c>
      <c r="AC798" s="4">
        <v>1</v>
      </c>
      <c r="AD798" s="4">
        <v>45</v>
      </c>
      <c r="AE798" s="4">
        <v>47</v>
      </c>
      <c r="AF798" s="4">
        <v>0</v>
      </c>
      <c r="AG798" s="4">
        <v>0</v>
      </c>
      <c r="AH798" s="4">
        <v>44</v>
      </c>
      <c r="AI798" s="4">
        <v>45</v>
      </c>
      <c r="AJ798" s="4">
        <v>3</v>
      </c>
      <c r="AK798" s="4">
        <v>4</v>
      </c>
      <c r="AL798" s="4">
        <v>26</v>
      </c>
      <c r="AM798" s="4">
        <v>26</v>
      </c>
      <c r="AN798" s="4">
        <v>0</v>
      </c>
      <c r="AO798" s="4">
        <v>0</v>
      </c>
      <c r="AP798" s="4">
        <v>3</v>
      </c>
      <c r="AQ798" s="4">
        <v>4</v>
      </c>
      <c r="AR798" s="3" t="s">
        <v>64</v>
      </c>
      <c r="AS798" s="3" t="s">
        <v>64</v>
      </c>
      <c r="AT798" s="3" t="s">
        <v>64</v>
      </c>
      <c r="AV798" s="6" t="str">
        <f>HYPERLINK("http://mcgill.on.worldcat.org/oclc/772611145","Catalog Record")</f>
        <v>Catalog Record</v>
      </c>
      <c r="AW798" s="6" t="str">
        <f>HYPERLINK("http://www.worldcat.org/oclc/772611145","WorldCat Record")</f>
        <v>WorldCat Record</v>
      </c>
      <c r="AX798" s="3" t="s">
        <v>8340</v>
      </c>
      <c r="AY798" s="3" t="s">
        <v>8341</v>
      </c>
      <c r="AZ798" s="3" t="s">
        <v>8342</v>
      </c>
      <c r="BA798" s="3" t="s">
        <v>8342</v>
      </c>
      <c r="BB798" s="3" t="s">
        <v>8343</v>
      </c>
      <c r="BC798" s="3" t="s">
        <v>78</v>
      </c>
      <c r="BD798" s="3" t="s">
        <v>79</v>
      </c>
      <c r="BE798" s="3" t="s">
        <v>8344</v>
      </c>
      <c r="BF798" s="3" t="s">
        <v>8343</v>
      </c>
      <c r="BG798" s="3" t="s">
        <v>8345</v>
      </c>
    </row>
    <row r="799" spans="1:59" ht="58" x14ac:dyDescent="0.35">
      <c r="A799" s="2" t="s">
        <v>59</v>
      </c>
      <c r="B799" s="2" t="s">
        <v>94</v>
      </c>
      <c r="C799" s="2" t="s">
        <v>8346</v>
      </c>
      <c r="D799" s="2" t="s">
        <v>8347</v>
      </c>
      <c r="E799" s="2" t="s">
        <v>8348</v>
      </c>
      <c r="G799" s="3" t="s">
        <v>64</v>
      </c>
      <c r="I799" s="3" t="s">
        <v>64</v>
      </c>
      <c r="J799" s="3" t="s">
        <v>64</v>
      </c>
      <c r="K799" s="3" t="s">
        <v>65</v>
      </c>
      <c r="M799" s="2" t="s">
        <v>6841</v>
      </c>
      <c r="N799" s="3" t="s">
        <v>377</v>
      </c>
      <c r="P799" s="3" t="s">
        <v>69</v>
      </c>
      <c r="Q799" s="2" t="s">
        <v>8349</v>
      </c>
      <c r="R799" s="3" t="s">
        <v>70</v>
      </c>
      <c r="S799" s="4">
        <v>0</v>
      </c>
      <c r="T799" s="4">
        <v>0</v>
      </c>
      <c r="W799" s="5" t="s">
        <v>72</v>
      </c>
      <c r="X799" s="5" t="s">
        <v>72</v>
      </c>
      <c r="Y799" s="4">
        <v>75</v>
      </c>
      <c r="Z799" s="4">
        <v>4</v>
      </c>
      <c r="AA799" s="4">
        <v>5</v>
      </c>
      <c r="AB799" s="4">
        <v>1</v>
      </c>
      <c r="AC799" s="4">
        <v>1</v>
      </c>
      <c r="AD799" s="4">
        <v>47</v>
      </c>
      <c r="AE799" s="4">
        <v>52</v>
      </c>
      <c r="AF799" s="4">
        <v>0</v>
      </c>
      <c r="AG799" s="4">
        <v>0</v>
      </c>
      <c r="AH799" s="4">
        <v>46</v>
      </c>
      <c r="AI799" s="4">
        <v>50</v>
      </c>
      <c r="AJ799" s="4">
        <v>3</v>
      </c>
      <c r="AK799" s="4">
        <v>4</v>
      </c>
      <c r="AL799" s="4">
        <v>27</v>
      </c>
      <c r="AM799" s="4">
        <v>30</v>
      </c>
      <c r="AN799" s="4">
        <v>0</v>
      </c>
      <c r="AO799" s="4">
        <v>0</v>
      </c>
      <c r="AP799" s="4">
        <v>3</v>
      </c>
      <c r="AQ799" s="4">
        <v>4</v>
      </c>
      <c r="AR799" s="3" t="s">
        <v>64</v>
      </c>
      <c r="AS799" s="3" t="s">
        <v>64</v>
      </c>
      <c r="AT799" s="3" t="s">
        <v>64</v>
      </c>
      <c r="AV799" s="6" t="str">
        <f>HYPERLINK("http://mcgill.on.worldcat.org/oclc/798500007","Catalog Record")</f>
        <v>Catalog Record</v>
      </c>
      <c r="AW799" s="6" t="str">
        <f>HYPERLINK("http://www.worldcat.org/oclc/798500007","WorldCat Record")</f>
        <v>WorldCat Record</v>
      </c>
      <c r="AX799" s="3" t="s">
        <v>8350</v>
      </c>
      <c r="AY799" s="3" t="s">
        <v>8351</v>
      </c>
      <c r="AZ799" s="3" t="s">
        <v>8352</v>
      </c>
      <c r="BA799" s="3" t="s">
        <v>8352</v>
      </c>
      <c r="BB799" s="3" t="s">
        <v>8353</v>
      </c>
      <c r="BC799" s="3" t="s">
        <v>78</v>
      </c>
      <c r="BD799" s="3" t="s">
        <v>79</v>
      </c>
      <c r="BE799" s="3" t="s">
        <v>8354</v>
      </c>
      <c r="BF799" s="3" t="s">
        <v>8353</v>
      </c>
      <c r="BG799" s="3" t="s">
        <v>8355</v>
      </c>
    </row>
    <row r="800" spans="1:59" ht="72.5" x14ac:dyDescent="0.35">
      <c r="A800" s="2" t="s">
        <v>59</v>
      </c>
      <c r="B800" s="2" t="s">
        <v>94</v>
      </c>
      <c r="C800" s="2" t="s">
        <v>8356</v>
      </c>
      <c r="D800" s="2" t="s">
        <v>8357</v>
      </c>
      <c r="E800" s="2" t="s">
        <v>8358</v>
      </c>
      <c r="G800" s="3" t="s">
        <v>64</v>
      </c>
      <c r="I800" s="3" t="s">
        <v>64</v>
      </c>
      <c r="J800" s="3" t="s">
        <v>64</v>
      </c>
      <c r="K800" s="3" t="s">
        <v>65</v>
      </c>
      <c r="L800" s="2" t="s">
        <v>8359</v>
      </c>
      <c r="M800" s="2" t="s">
        <v>8360</v>
      </c>
      <c r="N800" s="3" t="s">
        <v>377</v>
      </c>
      <c r="P800" s="3" t="s">
        <v>69</v>
      </c>
      <c r="Q800" s="2" t="s">
        <v>8361</v>
      </c>
      <c r="R800" s="3" t="s">
        <v>70</v>
      </c>
      <c r="S800" s="4">
        <v>0</v>
      </c>
      <c r="T800" s="4">
        <v>0</v>
      </c>
      <c r="W800" s="5" t="s">
        <v>72</v>
      </c>
      <c r="X800" s="5" t="s">
        <v>72</v>
      </c>
      <c r="Y800" s="4">
        <v>68</v>
      </c>
      <c r="Z800" s="4">
        <v>3</v>
      </c>
      <c r="AA800" s="4">
        <v>69</v>
      </c>
      <c r="AB800" s="4">
        <v>1</v>
      </c>
      <c r="AC800" s="4">
        <v>8</v>
      </c>
      <c r="AD800" s="4">
        <v>44</v>
      </c>
      <c r="AE800" s="4">
        <v>110</v>
      </c>
      <c r="AF800" s="4">
        <v>0</v>
      </c>
      <c r="AG800" s="4">
        <v>2</v>
      </c>
      <c r="AH800" s="4">
        <v>43</v>
      </c>
      <c r="AI800" s="4">
        <v>83</v>
      </c>
      <c r="AJ800" s="4">
        <v>2</v>
      </c>
      <c r="AK800" s="4">
        <v>15</v>
      </c>
      <c r="AL800" s="4">
        <v>25</v>
      </c>
      <c r="AM800" s="4">
        <v>45</v>
      </c>
      <c r="AN800" s="4">
        <v>0</v>
      </c>
      <c r="AO800" s="4">
        <v>0</v>
      </c>
      <c r="AP800" s="4">
        <v>2</v>
      </c>
      <c r="AQ800" s="4">
        <v>32</v>
      </c>
      <c r="AR800" s="3" t="s">
        <v>64</v>
      </c>
      <c r="AS800" s="3" t="s">
        <v>64</v>
      </c>
      <c r="AT800" s="3" t="s">
        <v>64</v>
      </c>
      <c r="AV800" s="6" t="str">
        <f>HYPERLINK("http://mcgill.on.worldcat.org/oclc/815044347","Catalog Record")</f>
        <v>Catalog Record</v>
      </c>
      <c r="AW800" s="6" t="str">
        <f>HYPERLINK("http://www.worldcat.org/oclc/815044347","WorldCat Record")</f>
        <v>WorldCat Record</v>
      </c>
      <c r="AX800" s="3" t="s">
        <v>8362</v>
      </c>
      <c r="AY800" s="3" t="s">
        <v>8363</v>
      </c>
      <c r="AZ800" s="3" t="s">
        <v>8364</v>
      </c>
      <c r="BA800" s="3" t="s">
        <v>8364</v>
      </c>
      <c r="BB800" s="3" t="s">
        <v>8365</v>
      </c>
      <c r="BC800" s="3" t="s">
        <v>78</v>
      </c>
      <c r="BD800" s="3" t="s">
        <v>79</v>
      </c>
      <c r="BE800" s="3" t="s">
        <v>8366</v>
      </c>
      <c r="BF800" s="3" t="s">
        <v>8365</v>
      </c>
      <c r="BG800" s="3" t="s">
        <v>8367</v>
      </c>
    </row>
    <row r="801" spans="1:59" ht="87" x14ac:dyDescent="0.35">
      <c r="A801" s="2" t="s">
        <v>59</v>
      </c>
      <c r="B801" s="2" t="s">
        <v>94</v>
      </c>
      <c r="C801" s="2" t="s">
        <v>8368</v>
      </c>
      <c r="D801" s="2" t="s">
        <v>8369</v>
      </c>
      <c r="E801" s="2" t="s">
        <v>8370</v>
      </c>
      <c r="G801" s="3" t="s">
        <v>64</v>
      </c>
      <c r="I801" s="3" t="s">
        <v>64</v>
      </c>
      <c r="J801" s="3" t="s">
        <v>64</v>
      </c>
      <c r="K801" s="3" t="s">
        <v>65</v>
      </c>
      <c r="L801" s="2" t="s">
        <v>8371</v>
      </c>
      <c r="M801" s="2" t="s">
        <v>8372</v>
      </c>
      <c r="N801" s="3" t="s">
        <v>175</v>
      </c>
      <c r="P801" s="3" t="s">
        <v>69</v>
      </c>
      <c r="Q801" s="2" t="s">
        <v>7262</v>
      </c>
      <c r="R801" s="3" t="s">
        <v>70</v>
      </c>
      <c r="S801" s="4">
        <v>0</v>
      </c>
      <c r="T801" s="4">
        <v>0</v>
      </c>
      <c r="W801" s="5" t="s">
        <v>72</v>
      </c>
      <c r="X801" s="5" t="s">
        <v>72</v>
      </c>
      <c r="Y801" s="4">
        <v>64</v>
      </c>
      <c r="Z801" s="4">
        <v>3</v>
      </c>
      <c r="AA801" s="4">
        <v>4</v>
      </c>
      <c r="AB801" s="4">
        <v>1</v>
      </c>
      <c r="AC801" s="4">
        <v>1</v>
      </c>
      <c r="AD801" s="4">
        <v>39</v>
      </c>
      <c r="AE801" s="4">
        <v>45</v>
      </c>
      <c r="AF801" s="4">
        <v>0</v>
      </c>
      <c r="AG801" s="4">
        <v>0</v>
      </c>
      <c r="AH801" s="4">
        <v>38</v>
      </c>
      <c r="AI801" s="4">
        <v>43</v>
      </c>
      <c r="AJ801" s="4">
        <v>2</v>
      </c>
      <c r="AK801" s="4">
        <v>3</v>
      </c>
      <c r="AL801" s="4">
        <v>22</v>
      </c>
      <c r="AM801" s="4">
        <v>25</v>
      </c>
      <c r="AN801" s="4">
        <v>0</v>
      </c>
      <c r="AO801" s="4">
        <v>0</v>
      </c>
      <c r="AP801" s="4">
        <v>2</v>
      </c>
      <c r="AQ801" s="4">
        <v>3</v>
      </c>
      <c r="AR801" s="3" t="s">
        <v>64</v>
      </c>
      <c r="AS801" s="3" t="s">
        <v>64</v>
      </c>
      <c r="AT801" s="3" t="s">
        <v>64</v>
      </c>
      <c r="AV801" s="6" t="str">
        <f>HYPERLINK("http://mcgill.on.worldcat.org/oclc/870842055","Catalog Record")</f>
        <v>Catalog Record</v>
      </c>
      <c r="AW801" s="6" t="str">
        <f>HYPERLINK("http://www.worldcat.org/oclc/870842055","WorldCat Record")</f>
        <v>WorldCat Record</v>
      </c>
      <c r="AX801" s="3" t="s">
        <v>8373</v>
      </c>
      <c r="AY801" s="3" t="s">
        <v>8374</v>
      </c>
      <c r="AZ801" s="3" t="s">
        <v>8375</v>
      </c>
      <c r="BA801" s="3" t="s">
        <v>8375</v>
      </c>
      <c r="BB801" s="3" t="s">
        <v>8376</v>
      </c>
      <c r="BC801" s="3" t="s">
        <v>78</v>
      </c>
      <c r="BD801" s="3" t="s">
        <v>79</v>
      </c>
      <c r="BE801" s="3" t="s">
        <v>8377</v>
      </c>
      <c r="BF801" s="3" t="s">
        <v>8376</v>
      </c>
      <c r="BG801" s="3" t="s">
        <v>8378</v>
      </c>
    </row>
    <row r="802" spans="1:59" ht="72.5" x14ac:dyDescent="0.35">
      <c r="A802" s="2" t="s">
        <v>59</v>
      </c>
      <c r="B802" s="2" t="s">
        <v>94</v>
      </c>
      <c r="C802" s="2" t="s">
        <v>8379</v>
      </c>
      <c r="D802" s="2" t="s">
        <v>8380</v>
      </c>
      <c r="E802" s="2" t="s">
        <v>8381</v>
      </c>
      <c r="G802" s="3" t="s">
        <v>64</v>
      </c>
      <c r="I802" s="3" t="s">
        <v>64</v>
      </c>
      <c r="J802" s="3" t="s">
        <v>64</v>
      </c>
      <c r="K802" s="3" t="s">
        <v>65</v>
      </c>
      <c r="L802" s="2" t="s">
        <v>8371</v>
      </c>
      <c r="M802" s="2" t="s">
        <v>8382</v>
      </c>
      <c r="N802" s="3" t="s">
        <v>524</v>
      </c>
      <c r="P802" s="3" t="s">
        <v>69</v>
      </c>
      <c r="R802" s="3" t="s">
        <v>70</v>
      </c>
      <c r="S802" s="4">
        <v>0</v>
      </c>
      <c r="T802" s="4">
        <v>0</v>
      </c>
      <c r="W802" s="5" t="s">
        <v>72</v>
      </c>
      <c r="X802" s="5" t="s">
        <v>72</v>
      </c>
      <c r="Y802" s="4">
        <v>72</v>
      </c>
      <c r="Z802" s="4">
        <v>4</v>
      </c>
      <c r="AA802" s="4">
        <v>32</v>
      </c>
      <c r="AB802" s="4">
        <v>1</v>
      </c>
      <c r="AC802" s="4">
        <v>6</v>
      </c>
      <c r="AD802" s="4">
        <v>41</v>
      </c>
      <c r="AE802" s="4">
        <v>92</v>
      </c>
      <c r="AF802" s="4">
        <v>0</v>
      </c>
      <c r="AG802" s="4">
        <v>2</v>
      </c>
      <c r="AH802" s="4">
        <v>40</v>
      </c>
      <c r="AI802" s="4">
        <v>75</v>
      </c>
      <c r="AJ802" s="4">
        <v>3</v>
      </c>
      <c r="AK802" s="4">
        <v>13</v>
      </c>
      <c r="AL802" s="4">
        <v>21</v>
      </c>
      <c r="AM802" s="4">
        <v>40</v>
      </c>
      <c r="AN802" s="4">
        <v>0</v>
      </c>
      <c r="AO802" s="4">
        <v>0</v>
      </c>
      <c r="AP802" s="4">
        <v>3</v>
      </c>
      <c r="AQ802" s="4">
        <v>23</v>
      </c>
      <c r="AR802" s="3" t="s">
        <v>64</v>
      </c>
      <c r="AS802" s="3" t="s">
        <v>64</v>
      </c>
      <c r="AT802" s="3" t="s">
        <v>64</v>
      </c>
      <c r="AV802" s="6" t="str">
        <f>HYPERLINK("http://mcgill.on.worldcat.org/oclc/851068491","Catalog Record")</f>
        <v>Catalog Record</v>
      </c>
      <c r="AW802" s="6" t="str">
        <f>HYPERLINK("http://www.worldcat.org/oclc/851068491","WorldCat Record")</f>
        <v>WorldCat Record</v>
      </c>
      <c r="AX802" s="3" t="s">
        <v>8383</v>
      </c>
      <c r="AY802" s="3" t="s">
        <v>8384</v>
      </c>
      <c r="AZ802" s="3" t="s">
        <v>8385</v>
      </c>
      <c r="BA802" s="3" t="s">
        <v>8385</v>
      </c>
      <c r="BB802" s="3" t="s">
        <v>8386</v>
      </c>
      <c r="BC802" s="3" t="s">
        <v>78</v>
      </c>
      <c r="BD802" s="3" t="s">
        <v>79</v>
      </c>
      <c r="BE802" s="3" t="s">
        <v>8387</v>
      </c>
      <c r="BF802" s="3" t="s">
        <v>8386</v>
      </c>
      <c r="BG802" s="3" t="s">
        <v>8388</v>
      </c>
    </row>
    <row r="803" spans="1:59" ht="58" x14ac:dyDescent="0.35">
      <c r="A803" s="2" t="s">
        <v>59</v>
      </c>
      <c r="B803" s="2" t="s">
        <v>94</v>
      </c>
      <c r="C803" s="2" t="s">
        <v>8389</v>
      </c>
      <c r="D803" s="2" t="s">
        <v>8390</v>
      </c>
      <c r="E803" s="2" t="s">
        <v>8391</v>
      </c>
      <c r="G803" s="3" t="s">
        <v>64</v>
      </c>
      <c r="I803" s="3" t="s">
        <v>64</v>
      </c>
      <c r="J803" s="3" t="s">
        <v>64</v>
      </c>
      <c r="K803" s="3" t="s">
        <v>65</v>
      </c>
      <c r="L803" s="2" t="s">
        <v>1292</v>
      </c>
      <c r="M803" s="2" t="s">
        <v>3622</v>
      </c>
      <c r="N803" s="3" t="s">
        <v>473</v>
      </c>
      <c r="P803" s="3" t="s">
        <v>69</v>
      </c>
      <c r="R803" s="3" t="s">
        <v>70</v>
      </c>
      <c r="S803" s="4">
        <v>18</v>
      </c>
      <c r="T803" s="4">
        <v>18</v>
      </c>
      <c r="U803" s="5" t="s">
        <v>8392</v>
      </c>
      <c r="V803" s="5" t="s">
        <v>8392</v>
      </c>
      <c r="W803" s="5" t="s">
        <v>72</v>
      </c>
      <c r="X803" s="5" t="s">
        <v>72</v>
      </c>
      <c r="Y803" s="4">
        <v>352</v>
      </c>
      <c r="Z803" s="4">
        <v>15</v>
      </c>
      <c r="AA803" s="4">
        <v>15</v>
      </c>
      <c r="AB803" s="4">
        <v>1</v>
      </c>
      <c r="AC803" s="4">
        <v>1</v>
      </c>
      <c r="AD803" s="4">
        <v>76</v>
      </c>
      <c r="AE803" s="4">
        <v>76</v>
      </c>
      <c r="AF803" s="4">
        <v>0</v>
      </c>
      <c r="AG803" s="4">
        <v>0</v>
      </c>
      <c r="AH803" s="4">
        <v>71</v>
      </c>
      <c r="AI803" s="4">
        <v>71</v>
      </c>
      <c r="AJ803" s="4">
        <v>6</v>
      </c>
      <c r="AK803" s="4">
        <v>6</v>
      </c>
      <c r="AL803" s="4">
        <v>38</v>
      </c>
      <c r="AM803" s="4">
        <v>38</v>
      </c>
      <c r="AN803" s="4">
        <v>0</v>
      </c>
      <c r="AO803" s="4">
        <v>0</v>
      </c>
      <c r="AP803" s="4">
        <v>10</v>
      </c>
      <c r="AQ803" s="4">
        <v>10</v>
      </c>
      <c r="AR803" s="3" t="s">
        <v>64</v>
      </c>
      <c r="AS803" s="3" t="s">
        <v>64</v>
      </c>
      <c r="AT803" s="3" t="s">
        <v>64</v>
      </c>
      <c r="AV803" s="6" t="str">
        <f>HYPERLINK("http://mcgill.on.worldcat.org/oclc/20220244","Catalog Record")</f>
        <v>Catalog Record</v>
      </c>
      <c r="AW803" s="6" t="str">
        <f>HYPERLINK("http://www.worldcat.org/oclc/20220244","WorldCat Record")</f>
        <v>WorldCat Record</v>
      </c>
      <c r="AX803" s="3" t="s">
        <v>8393</v>
      </c>
      <c r="AY803" s="3" t="s">
        <v>8394</v>
      </c>
      <c r="AZ803" s="3" t="s">
        <v>8395</v>
      </c>
      <c r="BA803" s="3" t="s">
        <v>8395</v>
      </c>
      <c r="BB803" s="3" t="s">
        <v>8396</v>
      </c>
      <c r="BC803" s="3" t="s">
        <v>78</v>
      </c>
      <c r="BD803" s="3" t="s">
        <v>79</v>
      </c>
      <c r="BE803" s="3" t="s">
        <v>8397</v>
      </c>
      <c r="BF803" s="3" t="s">
        <v>8396</v>
      </c>
      <c r="BG803" s="3" t="s">
        <v>8398</v>
      </c>
    </row>
    <row r="804" spans="1:59" ht="58" x14ac:dyDescent="0.35">
      <c r="A804" s="2" t="s">
        <v>59</v>
      </c>
      <c r="B804" s="2" t="s">
        <v>94</v>
      </c>
      <c r="C804" s="2" t="s">
        <v>8399</v>
      </c>
      <c r="D804" s="2" t="s">
        <v>8400</v>
      </c>
      <c r="E804" s="2" t="s">
        <v>8401</v>
      </c>
      <c r="G804" s="3" t="s">
        <v>64</v>
      </c>
      <c r="I804" s="3" t="s">
        <v>64</v>
      </c>
      <c r="J804" s="3" t="s">
        <v>64</v>
      </c>
      <c r="K804" s="3" t="s">
        <v>65</v>
      </c>
      <c r="M804" s="2" t="s">
        <v>5089</v>
      </c>
      <c r="N804" s="3" t="s">
        <v>214</v>
      </c>
      <c r="P804" s="3" t="s">
        <v>69</v>
      </c>
      <c r="Q804" s="2" t="s">
        <v>8402</v>
      </c>
      <c r="R804" s="3" t="s">
        <v>70</v>
      </c>
      <c r="S804" s="4">
        <v>0</v>
      </c>
      <c r="T804" s="4">
        <v>0</v>
      </c>
      <c r="W804" s="5" t="s">
        <v>72</v>
      </c>
      <c r="X804" s="5" t="s">
        <v>72</v>
      </c>
      <c r="Y804" s="4">
        <v>102</v>
      </c>
      <c r="Z804" s="4">
        <v>8</v>
      </c>
      <c r="AA804" s="4">
        <v>11</v>
      </c>
      <c r="AB804" s="4">
        <v>1</v>
      </c>
      <c r="AC804" s="4">
        <v>1</v>
      </c>
      <c r="AD804" s="4">
        <v>54</v>
      </c>
      <c r="AE804" s="4">
        <v>61</v>
      </c>
      <c r="AF804" s="4">
        <v>0</v>
      </c>
      <c r="AG804" s="4">
        <v>0</v>
      </c>
      <c r="AH804" s="4">
        <v>52</v>
      </c>
      <c r="AI804" s="4">
        <v>58</v>
      </c>
      <c r="AJ804" s="4">
        <v>5</v>
      </c>
      <c r="AK804" s="4">
        <v>8</v>
      </c>
      <c r="AL804" s="4">
        <v>27</v>
      </c>
      <c r="AM804" s="4">
        <v>29</v>
      </c>
      <c r="AN804" s="4">
        <v>0</v>
      </c>
      <c r="AO804" s="4">
        <v>0</v>
      </c>
      <c r="AP804" s="4">
        <v>6</v>
      </c>
      <c r="AQ804" s="4">
        <v>9</v>
      </c>
      <c r="AR804" s="3" t="s">
        <v>64</v>
      </c>
      <c r="AS804" s="3" t="s">
        <v>64</v>
      </c>
      <c r="AT804" s="3" t="s">
        <v>64</v>
      </c>
      <c r="AV804" s="6" t="str">
        <f>HYPERLINK("http://mcgill.on.worldcat.org/oclc/554225982","Catalog Record")</f>
        <v>Catalog Record</v>
      </c>
      <c r="AW804" s="6" t="str">
        <f>HYPERLINK("http://www.worldcat.org/oclc/554225982","WorldCat Record")</f>
        <v>WorldCat Record</v>
      </c>
      <c r="AX804" s="3" t="s">
        <v>8403</v>
      </c>
      <c r="AY804" s="3" t="s">
        <v>8404</v>
      </c>
      <c r="AZ804" s="3" t="s">
        <v>8405</v>
      </c>
      <c r="BA804" s="3" t="s">
        <v>8405</v>
      </c>
      <c r="BB804" s="3" t="s">
        <v>8406</v>
      </c>
      <c r="BC804" s="3" t="s">
        <v>78</v>
      </c>
      <c r="BD804" s="3" t="s">
        <v>79</v>
      </c>
      <c r="BE804" s="3" t="s">
        <v>8407</v>
      </c>
      <c r="BF804" s="3" t="s">
        <v>8406</v>
      </c>
      <c r="BG804" s="3" t="s">
        <v>8408</v>
      </c>
    </row>
    <row r="805" spans="1:59" ht="58" x14ac:dyDescent="0.35">
      <c r="A805" s="2" t="s">
        <v>59</v>
      </c>
      <c r="B805" s="2" t="s">
        <v>94</v>
      </c>
      <c r="C805" s="2" t="s">
        <v>8409</v>
      </c>
      <c r="D805" s="2" t="s">
        <v>8410</v>
      </c>
      <c r="E805" s="2" t="s">
        <v>8411</v>
      </c>
      <c r="G805" s="3" t="s">
        <v>64</v>
      </c>
      <c r="I805" s="3" t="s">
        <v>64</v>
      </c>
      <c r="J805" s="3" t="s">
        <v>64</v>
      </c>
      <c r="K805" s="3" t="s">
        <v>65</v>
      </c>
      <c r="L805" s="2" t="s">
        <v>8412</v>
      </c>
      <c r="M805" s="2" t="s">
        <v>8413</v>
      </c>
      <c r="N805" s="3" t="s">
        <v>861</v>
      </c>
      <c r="P805" s="3" t="s">
        <v>69</v>
      </c>
      <c r="Q805" s="2" t="s">
        <v>8414</v>
      </c>
      <c r="R805" s="3" t="s">
        <v>70</v>
      </c>
      <c r="S805" s="4">
        <v>12</v>
      </c>
      <c r="T805" s="4">
        <v>12</v>
      </c>
      <c r="U805" s="5" t="s">
        <v>8415</v>
      </c>
      <c r="V805" s="5" t="s">
        <v>8415</v>
      </c>
      <c r="W805" s="5" t="s">
        <v>72</v>
      </c>
      <c r="X805" s="5" t="s">
        <v>72</v>
      </c>
      <c r="Y805" s="4">
        <v>776</v>
      </c>
      <c r="Z805" s="4">
        <v>28</v>
      </c>
      <c r="AA805" s="4">
        <v>42</v>
      </c>
      <c r="AB805" s="4">
        <v>1</v>
      </c>
      <c r="AC805" s="4">
        <v>5</v>
      </c>
      <c r="AD805" s="4">
        <v>117</v>
      </c>
      <c r="AE805" s="4">
        <v>130</v>
      </c>
      <c r="AF805" s="4">
        <v>0</v>
      </c>
      <c r="AG805" s="4">
        <v>2</v>
      </c>
      <c r="AH805" s="4">
        <v>104</v>
      </c>
      <c r="AI805" s="4">
        <v>107</v>
      </c>
      <c r="AJ805" s="4">
        <v>14</v>
      </c>
      <c r="AK805" s="4">
        <v>19</v>
      </c>
      <c r="AL805" s="4">
        <v>53</v>
      </c>
      <c r="AM805" s="4">
        <v>53</v>
      </c>
      <c r="AN805" s="4">
        <v>0</v>
      </c>
      <c r="AO805" s="4">
        <v>0</v>
      </c>
      <c r="AP805" s="4">
        <v>22</v>
      </c>
      <c r="AQ805" s="4">
        <v>32</v>
      </c>
      <c r="AR805" s="3" t="s">
        <v>64</v>
      </c>
      <c r="AS805" s="3" t="s">
        <v>64</v>
      </c>
      <c r="AT805" s="3" t="s">
        <v>73</v>
      </c>
      <c r="AU805" s="6" t="str">
        <f>HYPERLINK("http://catalog.hathitrust.org/Record/004763701","HathiTrust Record")</f>
        <v>HathiTrust Record</v>
      </c>
      <c r="AV805" s="6" t="str">
        <f>HYPERLINK("http://mcgill.on.worldcat.org/oclc/53972193","Catalog Record")</f>
        <v>Catalog Record</v>
      </c>
      <c r="AW805" s="6" t="str">
        <f>HYPERLINK("http://www.worldcat.org/oclc/53972193","WorldCat Record")</f>
        <v>WorldCat Record</v>
      </c>
      <c r="AX805" s="3" t="s">
        <v>8416</v>
      </c>
      <c r="AY805" s="3" t="s">
        <v>8417</v>
      </c>
      <c r="AZ805" s="3" t="s">
        <v>8418</v>
      </c>
      <c r="BA805" s="3" t="s">
        <v>8418</v>
      </c>
      <c r="BB805" s="3" t="s">
        <v>8419</v>
      </c>
      <c r="BC805" s="3" t="s">
        <v>78</v>
      </c>
      <c r="BD805" s="3" t="s">
        <v>79</v>
      </c>
      <c r="BE805" s="3" t="s">
        <v>8420</v>
      </c>
      <c r="BF805" s="3" t="s">
        <v>8419</v>
      </c>
      <c r="BG805" s="3" t="s">
        <v>8421</v>
      </c>
    </row>
    <row r="806" spans="1:59" ht="58" x14ac:dyDescent="0.35">
      <c r="A806" s="2" t="s">
        <v>59</v>
      </c>
      <c r="B806" s="2" t="s">
        <v>94</v>
      </c>
      <c r="C806" s="2" t="s">
        <v>8422</v>
      </c>
      <c r="D806" s="2" t="s">
        <v>8423</v>
      </c>
      <c r="E806" s="2" t="s">
        <v>8424</v>
      </c>
      <c r="G806" s="3" t="s">
        <v>64</v>
      </c>
      <c r="I806" s="3" t="s">
        <v>64</v>
      </c>
      <c r="J806" s="3" t="s">
        <v>64</v>
      </c>
      <c r="K806" s="3" t="s">
        <v>65</v>
      </c>
      <c r="L806" s="2" t="s">
        <v>8425</v>
      </c>
      <c r="M806" s="2" t="s">
        <v>8426</v>
      </c>
      <c r="N806" s="3" t="s">
        <v>377</v>
      </c>
      <c r="P806" s="3" t="s">
        <v>69</v>
      </c>
      <c r="R806" s="3" t="s">
        <v>70</v>
      </c>
      <c r="S806" s="4">
        <v>0</v>
      </c>
      <c r="T806" s="4">
        <v>0</v>
      </c>
      <c r="W806" s="5" t="s">
        <v>72</v>
      </c>
      <c r="X806" s="5" t="s">
        <v>72</v>
      </c>
      <c r="Y806" s="4">
        <v>219</v>
      </c>
      <c r="Z806" s="4">
        <v>12</v>
      </c>
      <c r="AA806" s="4">
        <v>31</v>
      </c>
      <c r="AB806" s="4">
        <v>1</v>
      </c>
      <c r="AC806" s="4">
        <v>4</v>
      </c>
      <c r="AD806" s="4">
        <v>61</v>
      </c>
      <c r="AE806" s="4">
        <v>88</v>
      </c>
      <c r="AF806" s="4">
        <v>0</v>
      </c>
      <c r="AG806" s="4">
        <v>1</v>
      </c>
      <c r="AH806" s="4">
        <v>56</v>
      </c>
      <c r="AI806" s="4">
        <v>74</v>
      </c>
      <c r="AJ806" s="4">
        <v>8</v>
      </c>
      <c r="AK806" s="4">
        <v>12</v>
      </c>
      <c r="AL806" s="4">
        <v>36</v>
      </c>
      <c r="AM806" s="4">
        <v>43</v>
      </c>
      <c r="AN806" s="4">
        <v>0</v>
      </c>
      <c r="AO806" s="4">
        <v>0</v>
      </c>
      <c r="AP806" s="4">
        <v>9</v>
      </c>
      <c r="AQ806" s="4">
        <v>18</v>
      </c>
      <c r="AR806" s="3" t="s">
        <v>64</v>
      </c>
      <c r="AS806" s="3" t="s">
        <v>64</v>
      </c>
      <c r="AT806" s="3" t="s">
        <v>64</v>
      </c>
      <c r="AV806" s="6" t="str">
        <f>HYPERLINK("http://mcgill.on.worldcat.org/oclc/749115620","Catalog Record")</f>
        <v>Catalog Record</v>
      </c>
      <c r="AW806" s="6" t="str">
        <f>HYPERLINK("http://www.worldcat.org/oclc/749115620","WorldCat Record")</f>
        <v>WorldCat Record</v>
      </c>
      <c r="AX806" s="3" t="s">
        <v>8427</v>
      </c>
      <c r="AY806" s="3" t="s">
        <v>8428</v>
      </c>
      <c r="AZ806" s="3" t="s">
        <v>8429</v>
      </c>
      <c r="BA806" s="3" t="s">
        <v>8429</v>
      </c>
      <c r="BB806" s="3" t="s">
        <v>8430</v>
      </c>
      <c r="BC806" s="3" t="s">
        <v>78</v>
      </c>
      <c r="BD806" s="3" t="s">
        <v>79</v>
      </c>
      <c r="BE806" s="3" t="s">
        <v>8431</v>
      </c>
      <c r="BF806" s="3" t="s">
        <v>8430</v>
      </c>
      <c r="BG806" s="3" t="s">
        <v>8432</v>
      </c>
    </row>
    <row r="807" spans="1:59" ht="58" x14ac:dyDescent="0.35">
      <c r="A807" s="2" t="s">
        <v>59</v>
      </c>
      <c r="B807" s="2" t="s">
        <v>94</v>
      </c>
      <c r="C807" s="2" t="s">
        <v>8433</v>
      </c>
      <c r="D807" s="2" t="s">
        <v>8434</v>
      </c>
      <c r="E807" s="2" t="s">
        <v>8435</v>
      </c>
      <c r="G807" s="3" t="s">
        <v>64</v>
      </c>
      <c r="I807" s="3" t="s">
        <v>64</v>
      </c>
      <c r="J807" s="3" t="s">
        <v>64</v>
      </c>
      <c r="K807" s="3" t="s">
        <v>65</v>
      </c>
      <c r="L807" s="2" t="s">
        <v>8436</v>
      </c>
      <c r="M807" s="2" t="s">
        <v>8437</v>
      </c>
      <c r="N807" s="3" t="s">
        <v>1645</v>
      </c>
      <c r="P807" s="3" t="s">
        <v>69</v>
      </c>
      <c r="Q807" s="2" t="s">
        <v>4287</v>
      </c>
      <c r="R807" s="3" t="s">
        <v>70</v>
      </c>
      <c r="S807" s="4">
        <v>0</v>
      </c>
      <c r="T807" s="4">
        <v>0</v>
      </c>
      <c r="W807" s="5" t="s">
        <v>72</v>
      </c>
      <c r="X807" s="5" t="s">
        <v>72</v>
      </c>
      <c r="Y807" s="4">
        <v>42</v>
      </c>
      <c r="Z807" s="4">
        <v>16</v>
      </c>
      <c r="AA807" s="4">
        <v>32</v>
      </c>
      <c r="AB807" s="4">
        <v>3</v>
      </c>
      <c r="AC807" s="4">
        <v>10</v>
      </c>
      <c r="AD807" s="4">
        <v>30</v>
      </c>
      <c r="AE807" s="4">
        <v>43</v>
      </c>
      <c r="AF807" s="4">
        <v>1</v>
      </c>
      <c r="AG807" s="4">
        <v>5</v>
      </c>
      <c r="AH807" s="4">
        <v>21</v>
      </c>
      <c r="AI807" s="4">
        <v>25</v>
      </c>
      <c r="AJ807" s="4">
        <v>7</v>
      </c>
      <c r="AK807" s="4">
        <v>15</v>
      </c>
      <c r="AL807" s="4">
        <v>13</v>
      </c>
      <c r="AM807" s="4">
        <v>14</v>
      </c>
      <c r="AN807" s="4">
        <v>0</v>
      </c>
      <c r="AO807" s="4">
        <v>0</v>
      </c>
      <c r="AP807" s="4">
        <v>11</v>
      </c>
      <c r="AQ807" s="4">
        <v>22</v>
      </c>
      <c r="AR807" s="3" t="s">
        <v>73</v>
      </c>
      <c r="AS807" s="3" t="s">
        <v>64</v>
      </c>
      <c r="AT807" s="3" t="s">
        <v>64</v>
      </c>
      <c r="AV807" s="6" t="str">
        <f>HYPERLINK("http://mcgill.on.worldcat.org/oclc/1043050321","Catalog Record")</f>
        <v>Catalog Record</v>
      </c>
      <c r="AW807" s="6" t="str">
        <f>HYPERLINK("http://www.worldcat.org/oclc/1043050321","WorldCat Record")</f>
        <v>WorldCat Record</v>
      </c>
      <c r="AX807" s="3" t="s">
        <v>8438</v>
      </c>
      <c r="AY807" s="3" t="s">
        <v>8439</v>
      </c>
      <c r="AZ807" s="3" t="s">
        <v>8440</v>
      </c>
      <c r="BA807" s="3" t="s">
        <v>8440</v>
      </c>
      <c r="BB807" s="3" t="s">
        <v>8441</v>
      </c>
      <c r="BC807" s="3" t="s">
        <v>78</v>
      </c>
      <c r="BD807" s="3" t="s">
        <v>79</v>
      </c>
      <c r="BE807" s="3" t="s">
        <v>8442</v>
      </c>
      <c r="BF807" s="3" t="s">
        <v>8441</v>
      </c>
      <c r="BG807" s="3" t="s">
        <v>8443</v>
      </c>
    </row>
    <row r="808" spans="1:59" ht="58" x14ac:dyDescent="0.35">
      <c r="A808" s="2" t="s">
        <v>59</v>
      </c>
      <c r="B808" s="2" t="s">
        <v>94</v>
      </c>
      <c r="C808" s="2" t="s">
        <v>8444</v>
      </c>
      <c r="D808" s="2" t="s">
        <v>8445</v>
      </c>
      <c r="E808" s="2" t="s">
        <v>8446</v>
      </c>
      <c r="G808" s="3" t="s">
        <v>64</v>
      </c>
      <c r="I808" s="3" t="s">
        <v>64</v>
      </c>
      <c r="J808" s="3" t="s">
        <v>64</v>
      </c>
      <c r="K808" s="3" t="s">
        <v>65</v>
      </c>
      <c r="L808" s="2" t="s">
        <v>8447</v>
      </c>
      <c r="M808" s="2" t="s">
        <v>8448</v>
      </c>
      <c r="N808" s="3" t="s">
        <v>214</v>
      </c>
      <c r="P808" s="3" t="s">
        <v>69</v>
      </c>
      <c r="R808" s="3" t="s">
        <v>70</v>
      </c>
      <c r="S808" s="4">
        <v>0</v>
      </c>
      <c r="T808" s="4">
        <v>0</v>
      </c>
      <c r="W808" s="5" t="s">
        <v>72</v>
      </c>
      <c r="X808" s="5" t="s">
        <v>72</v>
      </c>
      <c r="Y808" s="4">
        <v>22</v>
      </c>
      <c r="Z808" s="4">
        <v>10</v>
      </c>
      <c r="AA808" s="4">
        <v>10</v>
      </c>
      <c r="AB808" s="4">
        <v>1</v>
      </c>
      <c r="AC808" s="4">
        <v>1</v>
      </c>
      <c r="AD808" s="4">
        <v>9</v>
      </c>
      <c r="AE808" s="4">
        <v>9</v>
      </c>
      <c r="AF808" s="4">
        <v>0</v>
      </c>
      <c r="AG808" s="4">
        <v>0</v>
      </c>
      <c r="AH808" s="4">
        <v>7</v>
      </c>
      <c r="AI808" s="4">
        <v>7</v>
      </c>
      <c r="AJ808" s="4">
        <v>5</v>
      </c>
      <c r="AK808" s="4">
        <v>5</v>
      </c>
      <c r="AL808" s="4">
        <v>3</v>
      </c>
      <c r="AM808" s="4">
        <v>3</v>
      </c>
      <c r="AN808" s="4">
        <v>0</v>
      </c>
      <c r="AO808" s="4">
        <v>0</v>
      </c>
      <c r="AP808" s="4">
        <v>5</v>
      </c>
      <c r="AQ808" s="4">
        <v>5</v>
      </c>
      <c r="AR808" s="3" t="s">
        <v>73</v>
      </c>
      <c r="AS808" s="3" t="s">
        <v>64</v>
      </c>
      <c r="AT808" s="3" t="s">
        <v>64</v>
      </c>
      <c r="AV808" s="6" t="str">
        <f>HYPERLINK("http://mcgill.on.worldcat.org/oclc/521745133","Catalog Record")</f>
        <v>Catalog Record</v>
      </c>
      <c r="AW808" s="6" t="str">
        <f>HYPERLINK("http://www.worldcat.org/oclc/521745133","WorldCat Record")</f>
        <v>WorldCat Record</v>
      </c>
      <c r="AX808" s="3" t="s">
        <v>8449</v>
      </c>
      <c r="AY808" s="3" t="s">
        <v>8450</v>
      </c>
      <c r="AZ808" s="3" t="s">
        <v>8451</v>
      </c>
      <c r="BA808" s="3" t="s">
        <v>8451</v>
      </c>
      <c r="BB808" s="3" t="s">
        <v>8452</v>
      </c>
      <c r="BC808" s="3" t="s">
        <v>78</v>
      </c>
      <c r="BD808" s="3" t="s">
        <v>79</v>
      </c>
      <c r="BE808" s="3" t="s">
        <v>8453</v>
      </c>
      <c r="BF808" s="3" t="s">
        <v>8452</v>
      </c>
      <c r="BG808" s="3" t="s">
        <v>8454</v>
      </c>
    </row>
    <row r="809" spans="1:59" ht="58" x14ac:dyDescent="0.35">
      <c r="A809" s="2" t="s">
        <v>59</v>
      </c>
      <c r="B809" s="2" t="s">
        <v>94</v>
      </c>
      <c r="C809" s="2" t="s">
        <v>8455</v>
      </c>
      <c r="D809" s="2" t="s">
        <v>8456</v>
      </c>
      <c r="E809" s="2" t="s">
        <v>8457</v>
      </c>
      <c r="G809" s="3" t="s">
        <v>64</v>
      </c>
      <c r="I809" s="3" t="s">
        <v>64</v>
      </c>
      <c r="J809" s="3" t="s">
        <v>64</v>
      </c>
      <c r="K809" s="3" t="s">
        <v>65</v>
      </c>
      <c r="L809" s="2" t="s">
        <v>8458</v>
      </c>
      <c r="M809" s="2" t="s">
        <v>8459</v>
      </c>
      <c r="N809" s="3" t="s">
        <v>328</v>
      </c>
      <c r="P809" s="3" t="s">
        <v>162</v>
      </c>
      <c r="R809" s="3" t="s">
        <v>70</v>
      </c>
      <c r="S809" s="4">
        <v>1</v>
      </c>
      <c r="T809" s="4">
        <v>1</v>
      </c>
      <c r="U809" s="5" t="s">
        <v>8460</v>
      </c>
      <c r="V809" s="5" t="s">
        <v>8460</v>
      </c>
      <c r="W809" s="5" t="s">
        <v>72</v>
      </c>
      <c r="X809" s="5" t="s">
        <v>72</v>
      </c>
      <c r="Y809" s="4">
        <v>10</v>
      </c>
      <c r="Z809" s="4">
        <v>5</v>
      </c>
      <c r="AA809" s="4">
        <v>12</v>
      </c>
      <c r="AB809" s="4">
        <v>1</v>
      </c>
      <c r="AC809" s="4">
        <v>5</v>
      </c>
      <c r="AD809" s="4">
        <v>6</v>
      </c>
      <c r="AE809" s="4">
        <v>10</v>
      </c>
      <c r="AF809" s="4">
        <v>0</v>
      </c>
      <c r="AG809" s="4">
        <v>2</v>
      </c>
      <c r="AH809" s="4">
        <v>6</v>
      </c>
      <c r="AI809" s="4">
        <v>7</v>
      </c>
      <c r="AJ809" s="4">
        <v>2</v>
      </c>
      <c r="AK809" s="4">
        <v>6</v>
      </c>
      <c r="AL809" s="4">
        <v>4</v>
      </c>
      <c r="AM809" s="4">
        <v>4</v>
      </c>
      <c r="AN809" s="4">
        <v>0</v>
      </c>
      <c r="AO809" s="4">
        <v>0</v>
      </c>
      <c r="AP809" s="4">
        <v>2</v>
      </c>
      <c r="AQ809" s="4">
        <v>4</v>
      </c>
      <c r="AR809" s="3" t="s">
        <v>73</v>
      </c>
      <c r="AS809" s="3" t="s">
        <v>64</v>
      </c>
      <c r="AT809" s="3" t="s">
        <v>64</v>
      </c>
      <c r="AV809" s="6" t="str">
        <f>HYPERLINK("http://mcgill.on.worldcat.org/oclc/767541015","Catalog Record")</f>
        <v>Catalog Record</v>
      </c>
      <c r="AW809" s="6" t="str">
        <f>HYPERLINK("http://www.worldcat.org/oclc/767541015","WorldCat Record")</f>
        <v>WorldCat Record</v>
      </c>
      <c r="AX809" s="3" t="s">
        <v>8461</v>
      </c>
      <c r="AY809" s="3" t="s">
        <v>8462</v>
      </c>
      <c r="AZ809" s="3" t="s">
        <v>8463</v>
      </c>
      <c r="BA809" s="3" t="s">
        <v>8463</v>
      </c>
      <c r="BB809" s="3" t="s">
        <v>8464</v>
      </c>
      <c r="BC809" s="3" t="s">
        <v>78</v>
      </c>
      <c r="BD809" s="3" t="s">
        <v>79</v>
      </c>
      <c r="BE809" s="3" t="s">
        <v>8465</v>
      </c>
      <c r="BF809" s="3" t="s">
        <v>8464</v>
      </c>
      <c r="BG809" s="3" t="s">
        <v>8466</v>
      </c>
    </row>
    <row r="810" spans="1:59" ht="58" x14ac:dyDescent="0.35">
      <c r="A810" s="2" t="s">
        <v>59</v>
      </c>
      <c r="B810" s="2" t="s">
        <v>94</v>
      </c>
      <c r="C810" s="2" t="s">
        <v>8467</v>
      </c>
      <c r="D810" s="2" t="s">
        <v>8468</v>
      </c>
      <c r="E810" s="2" t="s">
        <v>8469</v>
      </c>
      <c r="G810" s="3" t="s">
        <v>64</v>
      </c>
      <c r="I810" s="3" t="s">
        <v>64</v>
      </c>
      <c r="J810" s="3" t="s">
        <v>64</v>
      </c>
      <c r="K810" s="3" t="s">
        <v>65</v>
      </c>
      <c r="L810" s="2" t="s">
        <v>8470</v>
      </c>
      <c r="M810" s="2" t="s">
        <v>8471</v>
      </c>
      <c r="N810" s="3" t="s">
        <v>2265</v>
      </c>
      <c r="P810" s="3" t="s">
        <v>69</v>
      </c>
      <c r="R810" s="3" t="s">
        <v>70</v>
      </c>
      <c r="S810" s="4">
        <v>10</v>
      </c>
      <c r="T810" s="4">
        <v>10</v>
      </c>
      <c r="U810" s="5" t="s">
        <v>8472</v>
      </c>
      <c r="V810" s="5" t="s">
        <v>8472</v>
      </c>
      <c r="W810" s="5" t="s">
        <v>72</v>
      </c>
      <c r="X810" s="5" t="s">
        <v>72</v>
      </c>
      <c r="Y810" s="4">
        <v>248</v>
      </c>
      <c r="Z810" s="4">
        <v>62</v>
      </c>
      <c r="AA810" s="4">
        <v>68</v>
      </c>
      <c r="AB810" s="4">
        <v>5</v>
      </c>
      <c r="AC810" s="4">
        <v>10</v>
      </c>
      <c r="AD810" s="4">
        <v>100</v>
      </c>
      <c r="AE810" s="4">
        <v>104</v>
      </c>
      <c r="AF810" s="4">
        <v>1</v>
      </c>
      <c r="AG810" s="4">
        <v>2</v>
      </c>
      <c r="AH810" s="4">
        <v>72</v>
      </c>
      <c r="AI810" s="4">
        <v>74</v>
      </c>
      <c r="AJ810" s="4">
        <v>24</v>
      </c>
      <c r="AK810" s="4">
        <v>25</v>
      </c>
      <c r="AL810" s="4">
        <v>36</v>
      </c>
      <c r="AM810" s="4">
        <v>36</v>
      </c>
      <c r="AN810" s="4">
        <v>0</v>
      </c>
      <c r="AO810" s="4">
        <v>0</v>
      </c>
      <c r="AP810" s="4">
        <v>36</v>
      </c>
      <c r="AQ810" s="4">
        <v>37</v>
      </c>
      <c r="AR810" s="3" t="s">
        <v>73</v>
      </c>
      <c r="AS810" s="3" t="s">
        <v>64</v>
      </c>
      <c r="AT810" s="3" t="s">
        <v>73</v>
      </c>
      <c r="AU810" s="6" t="str">
        <f>HYPERLINK("http://catalog.hathitrust.org/Record/007919206","HathiTrust Record")</f>
        <v>HathiTrust Record</v>
      </c>
      <c r="AV810" s="6" t="str">
        <f>HYPERLINK("http://mcgill.on.worldcat.org/oclc/32823","Catalog Record")</f>
        <v>Catalog Record</v>
      </c>
      <c r="AW810" s="6" t="str">
        <f>HYPERLINK("http://www.worldcat.org/oclc/32823","WorldCat Record")</f>
        <v>WorldCat Record</v>
      </c>
      <c r="AX810" s="3" t="s">
        <v>8473</v>
      </c>
      <c r="AY810" s="3" t="s">
        <v>8474</v>
      </c>
      <c r="AZ810" s="3" t="s">
        <v>8475</v>
      </c>
      <c r="BA810" s="3" t="s">
        <v>8475</v>
      </c>
      <c r="BB810" s="3" t="s">
        <v>8476</v>
      </c>
      <c r="BC810" s="3" t="s">
        <v>78</v>
      </c>
      <c r="BD810" s="3" t="s">
        <v>79</v>
      </c>
      <c r="BE810" s="3" t="s">
        <v>8477</v>
      </c>
      <c r="BF810" s="3" t="s">
        <v>8476</v>
      </c>
      <c r="BG810" s="3" t="s">
        <v>8478</v>
      </c>
    </row>
    <row r="811" spans="1:59" ht="58" x14ac:dyDescent="0.35">
      <c r="A811" s="2" t="s">
        <v>59</v>
      </c>
      <c r="B811" s="2" t="s">
        <v>94</v>
      </c>
      <c r="C811" s="2" t="s">
        <v>8479</v>
      </c>
      <c r="D811" s="2" t="s">
        <v>8480</v>
      </c>
      <c r="E811" s="2" t="s">
        <v>8481</v>
      </c>
      <c r="G811" s="3" t="s">
        <v>64</v>
      </c>
      <c r="I811" s="3" t="s">
        <v>73</v>
      </c>
      <c r="J811" s="3" t="s">
        <v>64</v>
      </c>
      <c r="K811" s="3" t="s">
        <v>65</v>
      </c>
      <c r="L811" s="2" t="s">
        <v>8470</v>
      </c>
      <c r="M811" s="2" t="s">
        <v>8482</v>
      </c>
      <c r="N811" s="3" t="s">
        <v>689</v>
      </c>
      <c r="P811" s="3" t="s">
        <v>69</v>
      </c>
      <c r="R811" s="3" t="s">
        <v>70</v>
      </c>
      <c r="S811" s="4">
        <v>2</v>
      </c>
      <c r="T811" s="4">
        <v>9</v>
      </c>
      <c r="U811" s="5" t="s">
        <v>8483</v>
      </c>
      <c r="V811" s="5" t="s">
        <v>8472</v>
      </c>
      <c r="W811" s="5" t="s">
        <v>72</v>
      </c>
      <c r="X811" s="5" t="s">
        <v>72</v>
      </c>
      <c r="Y811" s="4">
        <v>143</v>
      </c>
      <c r="Z811" s="4">
        <v>85</v>
      </c>
      <c r="AA811" s="4">
        <v>120</v>
      </c>
      <c r="AB811" s="4">
        <v>3</v>
      </c>
      <c r="AC811" s="4">
        <v>16</v>
      </c>
      <c r="AD811" s="4">
        <v>69</v>
      </c>
      <c r="AE811" s="4">
        <v>91</v>
      </c>
      <c r="AF811" s="4">
        <v>2</v>
      </c>
      <c r="AG811" s="4">
        <v>7</v>
      </c>
      <c r="AH811" s="4">
        <v>39</v>
      </c>
      <c r="AI811" s="4">
        <v>46</v>
      </c>
      <c r="AJ811" s="4">
        <v>22</v>
      </c>
      <c r="AK811" s="4">
        <v>28</v>
      </c>
      <c r="AL811" s="4">
        <v>21</v>
      </c>
      <c r="AM811" s="4">
        <v>24</v>
      </c>
      <c r="AN811" s="4">
        <v>0</v>
      </c>
      <c r="AO811" s="4">
        <v>0</v>
      </c>
      <c r="AP811" s="4">
        <v>40</v>
      </c>
      <c r="AQ811" s="4">
        <v>54</v>
      </c>
      <c r="AR811" s="3" t="s">
        <v>73</v>
      </c>
      <c r="AS811" s="3" t="s">
        <v>64</v>
      </c>
      <c r="AT811" s="3" t="s">
        <v>64</v>
      </c>
      <c r="AV811" s="6" t="str">
        <f>HYPERLINK("http://mcgill.on.worldcat.org/oclc/28150358","Catalog Record")</f>
        <v>Catalog Record</v>
      </c>
      <c r="AW811" s="6" t="str">
        <f>HYPERLINK("http://www.worldcat.org/oclc/28150358","WorldCat Record")</f>
        <v>WorldCat Record</v>
      </c>
      <c r="AX811" s="3" t="s">
        <v>8484</v>
      </c>
      <c r="AY811" s="3" t="s">
        <v>8485</v>
      </c>
      <c r="AZ811" s="3" t="s">
        <v>8486</v>
      </c>
      <c r="BA811" s="3" t="s">
        <v>8486</v>
      </c>
      <c r="BB811" s="3" t="s">
        <v>8487</v>
      </c>
      <c r="BC811" s="3" t="s">
        <v>78</v>
      </c>
      <c r="BD811" s="3" t="s">
        <v>79</v>
      </c>
      <c r="BE811" s="3" t="s">
        <v>8488</v>
      </c>
      <c r="BF811" s="3" t="s">
        <v>8487</v>
      </c>
      <c r="BG811" s="3" t="s">
        <v>8489</v>
      </c>
    </row>
    <row r="812" spans="1:59" ht="58" x14ac:dyDescent="0.35">
      <c r="A812" s="2" t="s">
        <v>59</v>
      </c>
      <c r="B812" s="2" t="s">
        <v>94</v>
      </c>
      <c r="C812" s="2" t="s">
        <v>8479</v>
      </c>
      <c r="D812" s="2" t="s">
        <v>8480</v>
      </c>
      <c r="E812" s="2" t="s">
        <v>8481</v>
      </c>
      <c r="G812" s="3" t="s">
        <v>64</v>
      </c>
      <c r="I812" s="3" t="s">
        <v>73</v>
      </c>
      <c r="J812" s="3" t="s">
        <v>64</v>
      </c>
      <c r="K812" s="3" t="s">
        <v>65</v>
      </c>
      <c r="L812" s="2" t="s">
        <v>8470</v>
      </c>
      <c r="M812" s="2" t="s">
        <v>8482</v>
      </c>
      <c r="N812" s="3" t="s">
        <v>689</v>
      </c>
      <c r="P812" s="3" t="s">
        <v>69</v>
      </c>
      <c r="R812" s="3" t="s">
        <v>70</v>
      </c>
      <c r="S812" s="4">
        <v>7</v>
      </c>
      <c r="T812" s="4">
        <v>9</v>
      </c>
      <c r="U812" s="5" t="s">
        <v>8472</v>
      </c>
      <c r="V812" s="5" t="s">
        <v>8472</v>
      </c>
      <c r="W812" s="5" t="s">
        <v>72</v>
      </c>
      <c r="X812" s="5" t="s">
        <v>72</v>
      </c>
      <c r="Y812" s="4">
        <v>143</v>
      </c>
      <c r="Z812" s="4">
        <v>85</v>
      </c>
      <c r="AA812" s="4">
        <v>120</v>
      </c>
      <c r="AB812" s="4">
        <v>3</v>
      </c>
      <c r="AC812" s="4">
        <v>16</v>
      </c>
      <c r="AD812" s="4">
        <v>69</v>
      </c>
      <c r="AE812" s="4">
        <v>91</v>
      </c>
      <c r="AF812" s="4">
        <v>2</v>
      </c>
      <c r="AG812" s="4">
        <v>7</v>
      </c>
      <c r="AH812" s="4">
        <v>39</v>
      </c>
      <c r="AI812" s="4">
        <v>46</v>
      </c>
      <c r="AJ812" s="4">
        <v>22</v>
      </c>
      <c r="AK812" s="4">
        <v>28</v>
      </c>
      <c r="AL812" s="4">
        <v>21</v>
      </c>
      <c r="AM812" s="4">
        <v>24</v>
      </c>
      <c r="AN812" s="4">
        <v>0</v>
      </c>
      <c r="AO812" s="4">
        <v>0</v>
      </c>
      <c r="AP812" s="4">
        <v>40</v>
      </c>
      <c r="AQ812" s="4">
        <v>54</v>
      </c>
      <c r="AR812" s="3" t="s">
        <v>73</v>
      </c>
      <c r="AS812" s="3" t="s">
        <v>64</v>
      </c>
      <c r="AT812" s="3" t="s">
        <v>64</v>
      </c>
      <c r="AV812" s="6" t="str">
        <f>HYPERLINK("http://mcgill.on.worldcat.org/oclc/28150358","Catalog Record")</f>
        <v>Catalog Record</v>
      </c>
      <c r="AW812" s="6" t="str">
        <f>HYPERLINK("http://www.worldcat.org/oclc/28150358","WorldCat Record")</f>
        <v>WorldCat Record</v>
      </c>
      <c r="AX812" s="3" t="s">
        <v>8484</v>
      </c>
      <c r="AY812" s="3" t="s">
        <v>8485</v>
      </c>
      <c r="AZ812" s="3" t="s">
        <v>8486</v>
      </c>
      <c r="BA812" s="3" t="s">
        <v>8486</v>
      </c>
      <c r="BB812" s="3" t="s">
        <v>8490</v>
      </c>
      <c r="BC812" s="3" t="s">
        <v>78</v>
      </c>
      <c r="BD812" s="3" t="s">
        <v>79</v>
      </c>
      <c r="BE812" s="3" t="s">
        <v>8488</v>
      </c>
      <c r="BF812" s="3" t="s">
        <v>8490</v>
      </c>
      <c r="BG812" s="3" t="s">
        <v>8491</v>
      </c>
    </row>
    <row r="813" spans="1:59" ht="58" x14ac:dyDescent="0.35">
      <c r="A813" s="2" t="s">
        <v>59</v>
      </c>
      <c r="B813" s="2" t="s">
        <v>94</v>
      </c>
      <c r="C813" s="2" t="s">
        <v>8492</v>
      </c>
      <c r="D813" s="2" t="s">
        <v>8493</v>
      </c>
      <c r="E813" s="2" t="s">
        <v>8494</v>
      </c>
      <c r="G813" s="3" t="s">
        <v>64</v>
      </c>
      <c r="I813" s="3" t="s">
        <v>64</v>
      </c>
      <c r="J813" s="3" t="s">
        <v>64</v>
      </c>
      <c r="K813" s="3" t="s">
        <v>65</v>
      </c>
      <c r="L813" s="2" t="s">
        <v>8495</v>
      </c>
      <c r="M813" s="2" t="s">
        <v>8496</v>
      </c>
      <c r="N813" s="3" t="s">
        <v>3437</v>
      </c>
      <c r="P813" s="3" t="s">
        <v>69</v>
      </c>
      <c r="R813" s="3" t="s">
        <v>70</v>
      </c>
      <c r="S813" s="4">
        <v>2</v>
      </c>
      <c r="T813" s="4">
        <v>2</v>
      </c>
      <c r="U813" s="5" t="s">
        <v>4625</v>
      </c>
      <c r="V813" s="5" t="s">
        <v>4625</v>
      </c>
      <c r="W813" s="5" t="s">
        <v>72</v>
      </c>
      <c r="X813" s="5" t="s">
        <v>72</v>
      </c>
      <c r="Y813" s="4">
        <v>119</v>
      </c>
      <c r="Z813" s="4">
        <v>16</v>
      </c>
      <c r="AA813" s="4">
        <v>16</v>
      </c>
      <c r="AB813" s="4">
        <v>1</v>
      </c>
      <c r="AC813" s="4">
        <v>1</v>
      </c>
      <c r="AD813" s="4">
        <v>33</v>
      </c>
      <c r="AE813" s="4">
        <v>33</v>
      </c>
      <c r="AF813" s="4">
        <v>0</v>
      </c>
      <c r="AG813" s="4">
        <v>0</v>
      </c>
      <c r="AH813" s="4">
        <v>26</v>
      </c>
      <c r="AI813" s="4">
        <v>26</v>
      </c>
      <c r="AJ813" s="4">
        <v>9</v>
      </c>
      <c r="AK813" s="4">
        <v>9</v>
      </c>
      <c r="AL813" s="4">
        <v>20</v>
      </c>
      <c r="AM813" s="4">
        <v>20</v>
      </c>
      <c r="AN813" s="4">
        <v>0</v>
      </c>
      <c r="AO813" s="4">
        <v>0</v>
      </c>
      <c r="AP813" s="4">
        <v>9</v>
      </c>
      <c r="AQ813" s="4">
        <v>9</v>
      </c>
      <c r="AR813" s="3" t="s">
        <v>64</v>
      </c>
      <c r="AS813" s="3" t="s">
        <v>64</v>
      </c>
      <c r="AT813" s="3" t="s">
        <v>73</v>
      </c>
      <c r="AU813" s="6" t="str">
        <f>HYPERLINK("http://catalog.hathitrust.org/Record/001047427","HathiTrust Record")</f>
        <v>HathiTrust Record</v>
      </c>
      <c r="AV813" s="6" t="str">
        <f>HYPERLINK("http://mcgill.on.worldcat.org/oclc/2943236","Catalog Record")</f>
        <v>Catalog Record</v>
      </c>
      <c r="AW813" s="6" t="str">
        <f>HYPERLINK("http://www.worldcat.org/oclc/2943236","WorldCat Record")</f>
        <v>WorldCat Record</v>
      </c>
      <c r="AX813" s="3" t="s">
        <v>8497</v>
      </c>
      <c r="AY813" s="3" t="s">
        <v>8498</v>
      </c>
      <c r="AZ813" s="3" t="s">
        <v>8499</v>
      </c>
      <c r="BA813" s="3" t="s">
        <v>8499</v>
      </c>
      <c r="BB813" s="3" t="s">
        <v>8500</v>
      </c>
      <c r="BC813" s="3" t="s">
        <v>78</v>
      </c>
      <c r="BD813" s="3" t="s">
        <v>79</v>
      </c>
      <c r="BF813" s="3" t="s">
        <v>8500</v>
      </c>
      <c r="BG813" s="3" t="s">
        <v>8501</v>
      </c>
    </row>
    <row r="814" spans="1:59" ht="58" x14ac:dyDescent="0.35">
      <c r="A814" s="2" t="s">
        <v>59</v>
      </c>
      <c r="B814" s="2" t="s">
        <v>94</v>
      </c>
      <c r="C814" s="2" t="s">
        <v>8503</v>
      </c>
      <c r="D814" s="2" t="s">
        <v>8504</v>
      </c>
      <c r="E814" s="2" t="s">
        <v>8505</v>
      </c>
      <c r="G814" s="3" t="s">
        <v>64</v>
      </c>
      <c r="I814" s="3" t="s">
        <v>64</v>
      </c>
      <c r="J814" s="3" t="s">
        <v>64</v>
      </c>
      <c r="K814" s="3" t="s">
        <v>65</v>
      </c>
      <c r="L814" s="2" t="s">
        <v>8506</v>
      </c>
      <c r="M814" s="2" t="s">
        <v>8507</v>
      </c>
      <c r="N814" s="3" t="s">
        <v>3563</v>
      </c>
      <c r="P814" s="3" t="s">
        <v>69</v>
      </c>
      <c r="Q814" s="2" t="s">
        <v>8508</v>
      </c>
      <c r="R814" s="3" t="s">
        <v>70</v>
      </c>
      <c r="S814" s="4">
        <v>11</v>
      </c>
      <c r="T814" s="4">
        <v>11</v>
      </c>
      <c r="U814" s="5" t="s">
        <v>8509</v>
      </c>
      <c r="V814" s="5" t="s">
        <v>8509</v>
      </c>
      <c r="W814" s="5" t="s">
        <v>72</v>
      </c>
      <c r="X814" s="5" t="s">
        <v>72</v>
      </c>
      <c r="Y814" s="4">
        <v>199</v>
      </c>
      <c r="Z814" s="4">
        <v>12</v>
      </c>
      <c r="AA814" s="4">
        <v>38</v>
      </c>
      <c r="AB814" s="4">
        <v>1</v>
      </c>
      <c r="AC814" s="4">
        <v>6</v>
      </c>
      <c r="AD814" s="4">
        <v>77</v>
      </c>
      <c r="AE814" s="4">
        <v>80</v>
      </c>
      <c r="AF814" s="4">
        <v>0</v>
      </c>
      <c r="AG814" s="4">
        <v>0</v>
      </c>
      <c r="AH814" s="4">
        <v>68</v>
      </c>
      <c r="AI814" s="4">
        <v>69</v>
      </c>
      <c r="AJ814" s="4">
        <v>5</v>
      </c>
      <c r="AK814" s="4">
        <v>5</v>
      </c>
      <c r="AL814" s="4">
        <v>41</v>
      </c>
      <c r="AM814" s="4">
        <v>41</v>
      </c>
      <c r="AN814" s="4">
        <v>0</v>
      </c>
      <c r="AO814" s="4">
        <v>0</v>
      </c>
      <c r="AP814" s="4">
        <v>9</v>
      </c>
      <c r="AQ814" s="4">
        <v>11</v>
      </c>
      <c r="AR814" s="3" t="s">
        <v>64</v>
      </c>
      <c r="AS814" s="3" t="s">
        <v>64</v>
      </c>
      <c r="AT814" s="3" t="s">
        <v>64</v>
      </c>
      <c r="AV814" s="6" t="str">
        <f>HYPERLINK("http://mcgill.on.worldcat.org/oclc/24504034","Catalog Record")</f>
        <v>Catalog Record</v>
      </c>
      <c r="AW814" s="6" t="str">
        <f>HYPERLINK("http://www.worldcat.org/oclc/24504034","WorldCat Record")</f>
        <v>WorldCat Record</v>
      </c>
      <c r="AX814" s="3" t="s">
        <v>8510</v>
      </c>
      <c r="AY814" s="3" t="s">
        <v>8511</v>
      </c>
      <c r="AZ814" s="3" t="s">
        <v>8512</v>
      </c>
      <c r="BA814" s="3" t="s">
        <v>8512</v>
      </c>
      <c r="BB814" s="3" t="s">
        <v>8513</v>
      </c>
      <c r="BC814" s="3" t="s">
        <v>78</v>
      </c>
      <c r="BD814" s="3" t="s">
        <v>79</v>
      </c>
      <c r="BE814" s="3" t="s">
        <v>8514</v>
      </c>
      <c r="BF814" s="3" t="s">
        <v>8513</v>
      </c>
      <c r="BG814" s="3" t="s">
        <v>8515</v>
      </c>
    </row>
    <row r="815" spans="1:59" ht="58" x14ac:dyDescent="0.35">
      <c r="A815" s="2" t="s">
        <v>59</v>
      </c>
      <c r="B815" s="2" t="s">
        <v>94</v>
      </c>
      <c r="C815" s="2" t="s">
        <v>8516</v>
      </c>
      <c r="D815" s="2" t="s">
        <v>8517</v>
      </c>
      <c r="E815" s="2" t="s">
        <v>8518</v>
      </c>
      <c r="G815" s="3" t="s">
        <v>64</v>
      </c>
      <c r="I815" s="3" t="s">
        <v>64</v>
      </c>
      <c r="J815" s="3" t="s">
        <v>64</v>
      </c>
      <c r="K815" s="3" t="s">
        <v>65</v>
      </c>
      <c r="L815" s="2" t="s">
        <v>8519</v>
      </c>
      <c r="M815" s="2" t="s">
        <v>8520</v>
      </c>
      <c r="N815" s="3" t="s">
        <v>538</v>
      </c>
      <c r="P815" s="3" t="s">
        <v>69</v>
      </c>
      <c r="Q815" s="2" t="s">
        <v>8521</v>
      </c>
      <c r="R815" s="3" t="s">
        <v>70</v>
      </c>
      <c r="S815" s="4">
        <v>3</v>
      </c>
      <c r="T815" s="4">
        <v>3</v>
      </c>
      <c r="U815" s="5" t="s">
        <v>8522</v>
      </c>
      <c r="V815" s="5" t="s">
        <v>8522</v>
      </c>
      <c r="W815" s="5" t="s">
        <v>72</v>
      </c>
      <c r="X815" s="5" t="s">
        <v>72</v>
      </c>
      <c r="Y815" s="4">
        <v>197</v>
      </c>
      <c r="Z815" s="4">
        <v>12</v>
      </c>
      <c r="AA815" s="4">
        <v>17</v>
      </c>
      <c r="AB815" s="4">
        <v>2</v>
      </c>
      <c r="AC815" s="4">
        <v>6</v>
      </c>
      <c r="AD815" s="4">
        <v>85</v>
      </c>
      <c r="AE815" s="4">
        <v>87</v>
      </c>
      <c r="AF815" s="4">
        <v>1</v>
      </c>
      <c r="AG815" s="4">
        <v>2</v>
      </c>
      <c r="AH815" s="4">
        <v>80</v>
      </c>
      <c r="AI815" s="4">
        <v>80</v>
      </c>
      <c r="AJ815" s="4">
        <v>9</v>
      </c>
      <c r="AK815" s="4">
        <v>10</v>
      </c>
      <c r="AL815" s="4">
        <v>49</v>
      </c>
      <c r="AM815" s="4">
        <v>49</v>
      </c>
      <c r="AN815" s="4">
        <v>5</v>
      </c>
      <c r="AO815" s="4">
        <v>5</v>
      </c>
      <c r="AP815" s="4">
        <v>10</v>
      </c>
      <c r="AQ815" s="4">
        <v>11</v>
      </c>
      <c r="AR815" s="3" t="s">
        <v>64</v>
      </c>
      <c r="AS815" s="3" t="s">
        <v>64</v>
      </c>
      <c r="AT815" s="3" t="s">
        <v>73</v>
      </c>
      <c r="AU815" s="6" t="str">
        <f>HYPERLINK("http://catalog.hathitrust.org/Record/005617409","HathiTrust Record")</f>
        <v>HathiTrust Record</v>
      </c>
      <c r="AV815" s="6" t="str">
        <f>HYPERLINK("http://mcgill.on.worldcat.org/oclc/80460612","Catalog Record")</f>
        <v>Catalog Record</v>
      </c>
      <c r="AW815" s="6" t="str">
        <f>HYPERLINK("http://www.worldcat.org/oclc/80460612","WorldCat Record")</f>
        <v>WorldCat Record</v>
      </c>
      <c r="AX815" s="3" t="s">
        <v>8523</v>
      </c>
      <c r="AY815" s="3" t="s">
        <v>8524</v>
      </c>
      <c r="AZ815" s="3" t="s">
        <v>8525</v>
      </c>
      <c r="BA815" s="3" t="s">
        <v>8525</v>
      </c>
      <c r="BB815" s="3" t="s">
        <v>8526</v>
      </c>
      <c r="BC815" s="3" t="s">
        <v>78</v>
      </c>
      <c r="BD815" s="3" t="s">
        <v>79</v>
      </c>
      <c r="BE815" s="3" t="s">
        <v>8527</v>
      </c>
      <c r="BF815" s="3" t="s">
        <v>8526</v>
      </c>
      <c r="BG815" s="3" t="s">
        <v>8528</v>
      </c>
    </row>
    <row r="816" spans="1:59" ht="116" x14ac:dyDescent="0.35">
      <c r="A816" s="2" t="s">
        <v>59</v>
      </c>
      <c r="B816" s="2" t="s">
        <v>3778</v>
      </c>
      <c r="C816" s="2" t="s">
        <v>8529</v>
      </c>
      <c r="D816" s="2" t="s">
        <v>8530</v>
      </c>
      <c r="E816" s="2" t="s">
        <v>8531</v>
      </c>
      <c r="F816" s="3" t="s">
        <v>3831</v>
      </c>
      <c r="G816" s="3" t="s">
        <v>73</v>
      </c>
      <c r="I816" s="3" t="s">
        <v>64</v>
      </c>
      <c r="J816" s="3" t="s">
        <v>64</v>
      </c>
      <c r="K816" s="3" t="s">
        <v>65</v>
      </c>
      <c r="M816" s="2" t="s">
        <v>8532</v>
      </c>
      <c r="N816" s="3" t="s">
        <v>377</v>
      </c>
      <c r="O816" s="2" t="s">
        <v>3783</v>
      </c>
      <c r="P816" s="3" t="s">
        <v>3784</v>
      </c>
      <c r="R816" s="3" t="s">
        <v>70</v>
      </c>
      <c r="S816" s="4">
        <v>0</v>
      </c>
      <c r="T816" s="4">
        <v>2</v>
      </c>
      <c r="V816" s="5" t="s">
        <v>8533</v>
      </c>
      <c r="W816" s="5" t="s">
        <v>72</v>
      </c>
      <c r="X816" s="5" t="s">
        <v>72</v>
      </c>
      <c r="Y816" s="4">
        <v>14</v>
      </c>
      <c r="Z816" s="4">
        <v>1</v>
      </c>
      <c r="AA816" s="4">
        <v>1</v>
      </c>
      <c r="AB816" s="4">
        <v>1</v>
      </c>
      <c r="AC816" s="4">
        <v>1</v>
      </c>
      <c r="AD816" s="4">
        <v>7</v>
      </c>
      <c r="AE816" s="4">
        <v>7</v>
      </c>
      <c r="AF816" s="4">
        <v>0</v>
      </c>
      <c r="AG816" s="4">
        <v>0</v>
      </c>
      <c r="AH816" s="4">
        <v>7</v>
      </c>
      <c r="AI816" s="4">
        <v>7</v>
      </c>
      <c r="AJ816" s="4">
        <v>0</v>
      </c>
      <c r="AK816" s="4">
        <v>0</v>
      </c>
      <c r="AL816" s="4">
        <v>6</v>
      </c>
      <c r="AM816" s="4">
        <v>6</v>
      </c>
      <c r="AN816" s="4">
        <v>0</v>
      </c>
      <c r="AO816" s="4">
        <v>0</v>
      </c>
      <c r="AP816" s="4">
        <v>0</v>
      </c>
      <c r="AQ816" s="4">
        <v>0</v>
      </c>
      <c r="AR816" s="3" t="s">
        <v>64</v>
      </c>
      <c r="AS816" s="3" t="s">
        <v>64</v>
      </c>
      <c r="AT816" s="3" t="s">
        <v>64</v>
      </c>
      <c r="AV816" s="6" t="str">
        <f t="shared" ref="AV816:AV837" si="10">HYPERLINK("http://mcgill.on.worldcat.org/oclc/826438735","Catalog Record")</f>
        <v>Catalog Record</v>
      </c>
      <c r="AW816" s="6" t="str">
        <f t="shared" ref="AW816:AW837" si="11">HYPERLINK("http://www.worldcat.org/oclc/826438735","WorldCat Record")</f>
        <v>WorldCat Record</v>
      </c>
      <c r="AX816" s="3" t="s">
        <v>8534</v>
      </c>
      <c r="AY816" s="3" t="s">
        <v>8535</v>
      </c>
      <c r="AZ816" s="3" t="s">
        <v>8536</v>
      </c>
      <c r="BA816" s="3" t="s">
        <v>8536</v>
      </c>
      <c r="BB816" s="3" t="s">
        <v>8537</v>
      </c>
      <c r="BC816" s="3" t="s">
        <v>78</v>
      </c>
      <c r="BD816" s="3" t="s">
        <v>79</v>
      </c>
      <c r="BE816" s="3" t="s">
        <v>8538</v>
      </c>
      <c r="BF816" s="3" t="s">
        <v>8537</v>
      </c>
      <c r="BG816" s="3" t="s">
        <v>8539</v>
      </c>
    </row>
    <row r="817" spans="1:59" ht="116" x14ac:dyDescent="0.35">
      <c r="A817" s="2" t="s">
        <v>59</v>
      </c>
      <c r="B817" s="2" t="s">
        <v>3778</v>
      </c>
      <c r="C817" s="2" t="s">
        <v>8529</v>
      </c>
      <c r="D817" s="2" t="s">
        <v>8530</v>
      </c>
      <c r="E817" s="2" t="s">
        <v>8531</v>
      </c>
      <c r="F817" s="3" t="s">
        <v>3852</v>
      </c>
      <c r="G817" s="3" t="s">
        <v>73</v>
      </c>
      <c r="I817" s="3" t="s">
        <v>64</v>
      </c>
      <c r="J817" s="3" t="s">
        <v>64</v>
      </c>
      <c r="K817" s="3" t="s">
        <v>65</v>
      </c>
      <c r="M817" s="2" t="s">
        <v>8532</v>
      </c>
      <c r="N817" s="3" t="s">
        <v>377</v>
      </c>
      <c r="O817" s="2" t="s">
        <v>3783</v>
      </c>
      <c r="P817" s="3" t="s">
        <v>3784</v>
      </c>
      <c r="R817" s="3" t="s">
        <v>70</v>
      </c>
      <c r="S817" s="4">
        <v>0</v>
      </c>
      <c r="T817" s="4">
        <v>2</v>
      </c>
      <c r="V817" s="5" t="s">
        <v>8533</v>
      </c>
      <c r="W817" s="5" t="s">
        <v>72</v>
      </c>
      <c r="X817" s="5" t="s">
        <v>72</v>
      </c>
      <c r="Y817" s="4">
        <v>14</v>
      </c>
      <c r="Z817" s="4">
        <v>1</v>
      </c>
      <c r="AA817" s="4">
        <v>1</v>
      </c>
      <c r="AB817" s="4">
        <v>1</v>
      </c>
      <c r="AC817" s="4">
        <v>1</v>
      </c>
      <c r="AD817" s="4">
        <v>7</v>
      </c>
      <c r="AE817" s="4">
        <v>7</v>
      </c>
      <c r="AF817" s="4">
        <v>0</v>
      </c>
      <c r="AG817" s="4">
        <v>0</v>
      </c>
      <c r="AH817" s="4">
        <v>7</v>
      </c>
      <c r="AI817" s="4">
        <v>7</v>
      </c>
      <c r="AJ817" s="4">
        <v>0</v>
      </c>
      <c r="AK817" s="4">
        <v>0</v>
      </c>
      <c r="AL817" s="4">
        <v>6</v>
      </c>
      <c r="AM817" s="4">
        <v>6</v>
      </c>
      <c r="AN817" s="4">
        <v>0</v>
      </c>
      <c r="AO817" s="4">
        <v>0</v>
      </c>
      <c r="AP817" s="4">
        <v>0</v>
      </c>
      <c r="AQ817" s="4">
        <v>0</v>
      </c>
      <c r="AR817" s="3" t="s">
        <v>64</v>
      </c>
      <c r="AS817" s="3" t="s">
        <v>64</v>
      </c>
      <c r="AT817" s="3" t="s">
        <v>64</v>
      </c>
      <c r="AV817" s="6" t="str">
        <f t="shared" si="10"/>
        <v>Catalog Record</v>
      </c>
      <c r="AW817" s="6" t="str">
        <f t="shared" si="11"/>
        <v>WorldCat Record</v>
      </c>
      <c r="AX817" s="3" t="s">
        <v>8534</v>
      </c>
      <c r="AY817" s="3" t="s">
        <v>8535</v>
      </c>
      <c r="AZ817" s="3" t="s">
        <v>8536</v>
      </c>
      <c r="BA817" s="3" t="s">
        <v>8536</v>
      </c>
      <c r="BB817" s="3" t="s">
        <v>8540</v>
      </c>
      <c r="BC817" s="3" t="s">
        <v>78</v>
      </c>
      <c r="BD817" s="3" t="s">
        <v>79</v>
      </c>
      <c r="BE817" s="3" t="s">
        <v>8538</v>
      </c>
      <c r="BF817" s="3" t="s">
        <v>8540</v>
      </c>
      <c r="BG817" s="3" t="s">
        <v>8541</v>
      </c>
    </row>
    <row r="818" spans="1:59" ht="116" x14ac:dyDescent="0.35">
      <c r="A818" s="2" t="s">
        <v>59</v>
      </c>
      <c r="B818" s="2" t="s">
        <v>3778</v>
      </c>
      <c r="C818" s="2" t="s">
        <v>8529</v>
      </c>
      <c r="D818" s="2" t="s">
        <v>8530</v>
      </c>
      <c r="E818" s="2" t="s">
        <v>8531</v>
      </c>
      <c r="F818" s="3" t="s">
        <v>3653</v>
      </c>
      <c r="G818" s="3" t="s">
        <v>73</v>
      </c>
      <c r="I818" s="3" t="s">
        <v>64</v>
      </c>
      <c r="J818" s="3" t="s">
        <v>64</v>
      </c>
      <c r="K818" s="3" t="s">
        <v>65</v>
      </c>
      <c r="M818" s="2" t="s">
        <v>8532</v>
      </c>
      <c r="N818" s="3" t="s">
        <v>377</v>
      </c>
      <c r="O818" s="2" t="s">
        <v>3783</v>
      </c>
      <c r="P818" s="3" t="s">
        <v>3784</v>
      </c>
      <c r="R818" s="3" t="s">
        <v>70</v>
      </c>
      <c r="S818" s="4">
        <v>0</v>
      </c>
      <c r="T818" s="4">
        <v>2</v>
      </c>
      <c r="V818" s="5" t="s">
        <v>8533</v>
      </c>
      <c r="W818" s="5" t="s">
        <v>72</v>
      </c>
      <c r="X818" s="5" t="s">
        <v>72</v>
      </c>
      <c r="Y818" s="4">
        <v>14</v>
      </c>
      <c r="Z818" s="4">
        <v>1</v>
      </c>
      <c r="AA818" s="4">
        <v>1</v>
      </c>
      <c r="AB818" s="4">
        <v>1</v>
      </c>
      <c r="AC818" s="4">
        <v>1</v>
      </c>
      <c r="AD818" s="4">
        <v>7</v>
      </c>
      <c r="AE818" s="4">
        <v>7</v>
      </c>
      <c r="AF818" s="4">
        <v>0</v>
      </c>
      <c r="AG818" s="4">
        <v>0</v>
      </c>
      <c r="AH818" s="4">
        <v>7</v>
      </c>
      <c r="AI818" s="4">
        <v>7</v>
      </c>
      <c r="AJ818" s="4">
        <v>0</v>
      </c>
      <c r="AK818" s="4">
        <v>0</v>
      </c>
      <c r="AL818" s="4">
        <v>6</v>
      </c>
      <c r="AM818" s="4">
        <v>6</v>
      </c>
      <c r="AN818" s="4">
        <v>0</v>
      </c>
      <c r="AO818" s="4">
        <v>0</v>
      </c>
      <c r="AP818" s="4">
        <v>0</v>
      </c>
      <c r="AQ818" s="4">
        <v>0</v>
      </c>
      <c r="AR818" s="3" t="s">
        <v>64</v>
      </c>
      <c r="AS818" s="3" t="s">
        <v>64</v>
      </c>
      <c r="AT818" s="3" t="s">
        <v>64</v>
      </c>
      <c r="AV818" s="6" t="str">
        <f t="shared" si="10"/>
        <v>Catalog Record</v>
      </c>
      <c r="AW818" s="6" t="str">
        <f t="shared" si="11"/>
        <v>WorldCat Record</v>
      </c>
      <c r="AX818" s="3" t="s">
        <v>8534</v>
      </c>
      <c r="AY818" s="3" t="s">
        <v>8535</v>
      </c>
      <c r="AZ818" s="3" t="s">
        <v>8536</v>
      </c>
      <c r="BA818" s="3" t="s">
        <v>8536</v>
      </c>
      <c r="BB818" s="3" t="s">
        <v>8542</v>
      </c>
      <c r="BC818" s="3" t="s">
        <v>78</v>
      </c>
      <c r="BD818" s="3" t="s">
        <v>79</v>
      </c>
      <c r="BE818" s="3" t="s">
        <v>8538</v>
      </c>
      <c r="BF818" s="3" t="s">
        <v>8542</v>
      </c>
      <c r="BG818" s="3" t="s">
        <v>8543</v>
      </c>
    </row>
    <row r="819" spans="1:59" ht="116" x14ac:dyDescent="0.35">
      <c r="A819" s="2" t="s">
        <v>59</v>
      </c>
      <c r="B819" s="2" t="s">
        <v>3778</v>
      </c>
      <c r="C819" s="2" t="s">
        <v>8529</v>
      </c>
      <c r="D819" s="2" t="s">
        <v>8530</v>
      </c>
      <c r="E819" s="2" t="s">
        <v>8531</v>
      </c>
      <c r="F819" s="3" t="s">
        <v>8544</v>
      </c>
      <c r="G819" s="3" t="s">
        <v>73</v>
      </c>
      <c r="I819" s="3" t="s">
        <v>64</v>
      </c>
      <c r="J819" s="3" t="s">
        <v>64</v>
      </c>
      <c r="K819" s="3" t="s">
        <v>65</v>
      </c>
      <c r="M819" s="2" t="s">
        <v>8532</v>
      </c>
      <c r="N819" s="3" t="s">
        <v>377</v>
      </c>
      <c r="O819" s="2" t="s">
        <v>3783</v>
      </c>
      <c r="P819" s="3" t="s">
        <v>3784</v>
      </c>
      <c r="R819" s="3" t="s">
        <v>70</v>
      </c>
      <c r="S819" s="4">
        <v>0</v>
      </c>
      <c r="T819" s="4">
        <v>2</v>
      </c>
      <c r="V819" s="5" t="s">
        <v>8533</v>
      </c>
      <c r="W819" s="5" t="s">
        <v>72</v>
      </c>
      <c r="X819" s="5" t="s">
        <v>72</v>
      </c>
      <c r="Y819" s="4">
        <v>14</v>
      </c>
      <c r="Z819" s="4">
        <v>1</v>
      </c>
      <c r="AA819" s="4">
        <v>1</v>
      </c>
      <c r="AB819" s="4">
        <v>1</v>
      </c>
      <c r="AC819" s="4">
        <v>1</v>
      </c>
      <c r="AD819" s="4">
        <v>7</v>
      </c>
      <c r="AE819" s="4">
        <v>7</v>
      </c>
      <c r="AF819" s="4">
        <v>0</v>
      </c>
      <c r="AG819" s="4">
        <v>0</v>
      </c>
      <c r="AH819" s="4">
        <v>7</v>
      </c>
      <c r="AI819" s="4">
        <v>7</v>
      </c>
      <c r="AJ819" s="4">
        <v>0</v>
      </c>
      <c r="AK819" s="4">
        <v>0</v>
      </c>
      <c r="AL819" s="4">
        <v>6</v>
      </c>
      <c r="AM819" s="4">
        <v>6</v>
      </c>
      <c r="AN819" s="4">
        <v>0</v>
      </c>
      <c r="AO819" s="4">
        <v>0</v>
      </c>
      <c r="AP819" s="4">
        <v>0</v>
      </c>
      <c r="AQ819" s="4">
        <v>0</v>
      </c>
      <c r="AR819" s="3" t="s">
        <v>64</v>
      </c>
      <c r="AS819" s="3" t="s">
        <v>64</v>
      </c>
      <c r="AT819" s="3" t="s">
        <v>64</v>
      </c>
      <c r="AV819" s="6" t="str">
        <f t="shared" si="10"/>
        <v>Catalog Record</v>
      </c>
      <c r="AW819" s="6" t="str">
        <f t="shared" si="11"/>
        <v>WorldCat Record</v>
      </c>
      <c r="AX819" s="3" t="s">
        <v>8534</v>
      </c>
      <c r="AY819" s="3" t="s">
        <v>8535</v>
      </c>
      <c r="AZ819" s="3" t="s">
        <v>8536</v>
      </c>
      <c r="BA819" s="3" t="s">
        <v>8536</v>
      </c>
      <c r="BB819" s="3" t="s">
        <v>8545</v>
      </c>
      <c r="BC819" s="3" t="s">
        <v>78</v>
      </c>
      <c r="BD819" s="3" t="s">
        <v>79</v>
      </c>
      <c r="BE819" s="3" t="s">
        <v>8538</v>
      </c>
      <c r="BF819" s="3" t="s">
        <v>8545</v>
      </c>
      <c r="BG819" s="3" t="s">
        <v>8546</v>
      </c>
    </row>
    <row r="820" spans="1:59" ht="116" x14ac:dyDescent="0.35">
      <c r="A820" s="2" t="s">
        <v>59</v>
      </c>
      <c r="B820" s="2" t="s">
        <v>3778</v>
      </c>
      <c r="C820" s="2" t="s">
        <v>8529</v>
      </c>
      <c r="D820" s="2" t="s">
        <v>8530</v>
      </c>
      <c r="E820" s="2" t="s">
        <v>8531</v>
      </c>
      <c r="F820" s="3" t="s">
        <v>3660</v>
      </c>
      <c r="G820" s="3" t="s">
        <v>73</v>
      </c>
      <c r="I820" s="3" t="s">
        <v>64</v>
      </c>
      <c r="J820" s="3" t="s">
        <v>64</v>
      </c>
      <c r="K820" s="3" t="s">
        <v>65</v>
      </c>
      <c r="M820" s="2" t="s">
        <v>8532</v>
      </c>
      <c r="N820" s="3" t="s">
        <v>377</v>
      </c>
      <c r="O820" s="2" t="s">
        <v>3783</v>
      </c>
      <c r="P820" s="3" t="s">
        <v>3784</v>
      </c>
      <c r="R820" s="3" t="s">
        <v>70</v>
      </c>
      <c r="S820" s="4">
        <v>0</v>
      </c>
      <c r="T820" s="4">
        <v>2</v>
      </c>
      <c r="V820" s="5" t="s">
        <v>8533</v>
      </c>
      <c r="W820" s="5" t="s">
        <v>72</v>
      </c>
      <c r="X820" s="5" t="s">
        <v>72</v>
      </c>
      <c r="Y820" s="4">
        <v>14</v>
      </c>
      <c r="Z820" s="4">
        <v>1</v>
      </c>
      <c r="AA820" s="4">
        <v>1</v>
      </c>
      <c r="AB820" s="4">
        <v>1</v>
      </c>
      <c r="AC820" s="4">
        <v>1</v>
      </c>
      <c r="AD820" s="4">
        <v>7</v>
      </c>
      <c r="AE820" s="4">
        <v>7</v>
      </c>
      <c r="AF820" s="4">
        <v>0</v>
      </c>
      <c r="AG820" s="4">
        <v>0</v>
      </c>
      <c r="AH820" s="4">
        <v>7</v>
      </c>
      <c r="AI820" s="4">
        <v>7</v>
      </c>
      <c r="AJ820" s="4">
        <v>0</v>
      </c>
      <c r="AK820" s="4">
        <v>0</v>
      </c>
      <c r="AL820" s="4">
        <v>6</v>
      </c>
      <c r="AM820" s="4">
        <v>6</v>
      </c>
      <c r="AN820" s="4">
        <v>0</v>
      </c>
      <c r="AO820" s="4">
        <v>0</v>
      </c>
      <c r="AP820" s="4">
        <v>0</v>
      </c>
      <c r="AQ820" s="4">
        <v>0</v>
      </c>
      <c r="AR820" s="3" t="s">
        <v>64</v>
      </c>
      <c r="AS820" s="3" t="s">
        <v>64</v>
      </c>
      <c r="AT820" s="3" t="s">
        <v>64</v>
      </c>
      <c r="AV820" s="6" t="str">
        <f t="shared" si="10"/>
        <v>Catalog Record</v>
      </c>
      <c r="AW820" s="6" t="str">
        <f t="shared" si="11"/>
        <v>WorldCat Record</v>
      </c>
      <c r="AX820" s="3" t="s">
        <v>8534</v>
      </c>
      <c r="AY820" s="3" t="s">
        <v>8535</v>
      </c>
      <c r="AZ820" s="3" t="s">
        <v>8536</v>
      </c>
      <c r="BA820" s="3" t="s">
        <v>8536</v>
      </c>
      <c r="BB820" s="3" t="s">
        <v>8547</v>
      </c>
      <c r="BC820" s="3" t="s">
        <v>78</v>
      </c>
      <c r="BD820" s="3" t="s">
        <v>79</v>
      </c>
      <c r="BE820" s="3" t="s">
        <v>8538</v>
      </c>
      <c r="BF820" s="3" t="s">
        <v>8547</v>
      </c>
      <c r="BG820" s="3" t="s">
        <v>8548</v>
      </c>
    </row>
    <row r="821" spans="1:59" ht="116" x14ac:dyDescent="0.35">
      <c r="A821" s="2" t="s">
        <v>59</v>
      </c>
      <c r="B821" s="2" t="s">
        <v>3778</v>
      </c>
      <c r="C821" s="2" t="s">
        <v>8529</v>
      </c>
      <c r="D821" s="2" t="s">
        <v>8530</v>
      </c>
      <c r="E821" s="2" t="s">
        <v>8531</v>
      </c>
      <c r="F821" s="3" t="s">
        <v>3880</v>
      </c>
      <c r="G821" s="3" t="s">
        <v>73</v>
      </c>
      <c r="I821" s="3" t="s">
        <v>64</v>
      </c>
      <c r="J821" s="3" t="s">
        <v>64</v>
      </c>
      <c r="K821" s="3" t="s">
        <v>65</v>
      </c>
      <c r="M821" s="2" t="s">
        <v>8532</v>
      </c>
      <c r="N821" s="3" t="s">
        <v>377</v>
      </c>
      <c r="O821" s="2" t="s">
        <v>3783</v>
      </c>
      <c r="P821" s="3" t="s">
        <v>3784</v>
      </c>
      <c r="R821" s="3" t="s">
        <v>70</v>
      </c>
      <c r="S821" s="4">
        <v>0</v>
      </c>
      <c r="T821" s="4">
        <v>2</v>
      </c>
      <c r="V821" s="5" t="s">
        <v>8533</v>
      </c>
      <c r="W821" s="5" t="s">
        <v>72</v>
      </c>
      <c r="X821" s="5" t="s">
        <v>72</v>
      </c>
      <c r="Y821" s="4">
        <v>14</v>
      </c>
      <c r="Z821" s="4">
        <v>1</v>
      </c>
      <c r="AA821" s="4">
        <v>1</v>
      </c>
      <c r="AB821" s="4">
        <v>1</v>
      </c>
      <c r="AC821" s="4">
        <v>1</v>
      </c>
      <c r="AD821" s="4">
        <v>7</v>
      </c>
      <c r="AE821" s="4">
        <v>7</v>
      </c>
      <c r="AF821" s="4">
        <v>0</v>
      </c>
      <c r="AG821" s="4">
        <v>0</v>
      </c>
      <c r="AH821" s="4">
        <v>7</v>
      </c>
      <c r="AI821" s="4">
        <v>7</v>
      </c>
      <c r="AJ821" s="4">
        <v>0</v>
      </c>
      <c r="AK821" s="4">
        <v>0</v>
      </c>
      <c r="AL821" s="4">
        <v>6</v>
      </c>
      <c r="AM821" s="4">
        <v>6</v>
      </c>
      <c r="AN821" s="4">
        <v>0</v>
      </c>
      <c r="AO821" s="4">
        <v>0</v>
      </c>
      <c r="AP821" s="4">
        <v>0</v>
      </c>
      <c r="AQ821" s="4">
        <v>0</v>
      </c>
      <c r="AR821" s="3" t="s">
        <v>64</v>
      </c>
      <c r="AS821" s="3" t="s">
        <v>64</v>
      </c>
      <c r="AT821" s="3" t="s">
        <v>64</v>
      </c>
      <c r="AV821" s="6" t="str">
        <f t="shared" si="10"/>
        <v>Catalog Record</v>
      </c>
      <c r="AW821" s="6" t="str">
        <f t="shared" si="11"/>
        <v>WorldCat Record</v>
      </c>
      <c r="AX821" s="3" t="s">
        <v>8534</v>
      </c>
      <c r="AY821" s="3" t="s">
        <v>8535</v>
      </c>
      <c r="AZ821" s="3" t="s">
        <v>8536</v>
      </c>
      <c r="BA821" s="3" t="s">
        <v>8536</v>
      </c>
      <c r="BB821" s="3" t="s">
        <v>8549</v>
      </c>
      <c r="BC821" s="3" t="s">
        <v>78</v>
      </c>
      <c r="BD821" s="3" t="s">
        <v>79</v>
      </c>
      <c r="BE821" s="3" t="s">
        <v>8538</v>
      </c>
      <c r="BF821" s="3" t="s">
        <v>8549</v>
      </c>
      <c r="BG821" s="3" t="s">
        <v>8550</v>
      </c>
    </row>
    <row r="822" spans="1:59" ht="116" x14ac:dyDescent="0.35">
      <c r="A822" s="2" t="s">
        <v>59</v>
      </c>
      <c r="B822" s="2" t="s">
        <v>3778</v>
      </c>
      <c r="C822" s="2" t="s">
        <v>8529</v>
      </c>
      <c r="D822" s="2" t="s">
        <v>8530</v>
      </c>
      <c r="E822" s="2" t="s">
        <v>8531</v>
      </c>
      <c r="F822" s="3" t="s">
        <v>3864</v>
      </c>
      <c r="G822" s="3" t="s">
        <v>73</v>
      </c>
      <c r="I822" s="3" t="s">
        <v>64</v>
      </c>
      <c r="J822" s="3" t="s">
        <v>64</v>
      </c>
      <c r="K822" s="3" t="s">
        <v>65</v>
      </c>
      <c r="M822" s="2" t="s">
        <v>8532</v>
      </c>
      <c r="N822" s="3" t="s">
        <v>377</v>
      </c>
      <c r="O822" s="2" t="s">
        <v>3783</v>
      </c>
      <c r="P822" s="3" t="s">
        <v>3784</v>
      </c>
      <c r="R822" s="3" t="s">
        <v>70</v>
      </c>
      <c r="S822" s="4">
        <v>0</v>
      </c>
      <c r="T822" s="4">
        <v>2</v>
      </c>
      <c r="V822" s="5" t="s">
        <v>8533</v>
      </c>
      <c r="W822" s="5" t="s">
        <v>72</v>
      </c>
      <c r="X822" s="5" t="s">
        <v>72</v>
      </c>
      <c r="Y822" s="4">
        <v>14</v>
      </c>
      <c r="Z822" s="4">
        <v>1</v>
      </c>
      <c r="AA822" s="4">
        <v>1</v>
      </c>
      <c r="AB822" s="4">
        <v>1</v>
      </c>
      <c r="AC822" s="4">
        <v>1</v>
      </c>
      <c r="AD822" s="4">
        <v>7</v>
      </c>
      <c r="AE822" s="4">
        <v>7</v>
      </c>
      <c r="AF822" s="4">
        <v>0</v>
      </c>
      <c r="AG822" s="4">
        <v>0</v>
      </c>
      <c r="AH822" s="4">
        <v>7</v>
      </c>
      <c r="AI822" s="4">
        <v>7</v>
      </c>
      <c r="AJ822" s="4">
        <v>0</v>
      </c>
      <c r="AK822" s="4">
        <v>0</v>
      </c>
      <c r="AL822" s="4">
        <v>6</v>
      </c>
      <c r="AM822" s="4">
        <v>6</v>
      </c>
      <c r="AN822" s="4">
        <v>0</v>
      </c>
      <c r="AO822" s="4">
        <v>0</v>
      </c>
      <c r="AP822" s="4">
        <v>0</v>
      </c>
      <c r="AQ822" s="4">
        <v>0</v>
      </c>
      <c r="AR822" s="3" t="s">
        <v>64</v>
      </c>
      <c r="AS822" s="3" t="s">
        <v>64</v>
      </c>
      <c r="AT822" s="3" t="s">
        <v>64</v>
      </c>
      <c r="AV822" s="6" t="str">
        <f t="shared" si="10"/>
        <v>Catalog Record</v>
      </c>
      <c r="AW822" s="6" t="str">
        <f t="shared" si="11"/>
        <v>WorldCat Record</v>
      </c>
      <c r="AX822" s="3" t="s">
        <v>8534</v>
      </c>
      <c r="AY822" s="3" t="s">
        <v>8535</v>
      </c>
      <c r="AZ822" s="3" t="s">
        <v>8536</v>
      </c>
      <c r="BA822" s="3" t="s">
        <v>8536</v>
      </c>
      <c r="BB822" s="3" t="s">
        <v>8551</v>
      </c>
      <c r="BC822" s="3" t="s">
        <v>78</v>
      </c>
      <c r="BD822" s="3" t="s">
        <v>79</v>
      </c>
      <c r="BE822" s="3" t="s">
        <v>8538</v>
      </c>
      <c r="BF822" s="3" t="s">
        <v>8551</v>
      </c>
      <c r="BG822" s="3" t="s">
        <v>8552</v>
      </c>
    </row>
    <row r="823" spans="1:59" ht="116" x14ac:dyDescent="0.35">
      <c r="A823" s="2" t="s">
        <v>59</v>
      </c>
      <c r="B823" s="2" t="s">
        <v>3778</v>
      </c>
      <c r="C823" s="2" t="s">
        <v>8529</v>
      </c>
      <c r="D823" s="2" t="s">
        <v>8530</v>
      </c>
      <c r="E823" s="2" t="s">
        <v>8531</v>
      </c>
      <c r="F823" s="3" t="s">
        <v>8553</v>
      </c>
      <c r="G823" s="3" t="s">
        <v>73</v>
      </c>
      <c r="I823" s="3" t="s">
        <v>64</v>
      </c>
      <c r="J823" s="3" t="s">
        <v>64</v>
      </c>
      <c r="K823" s="3" t="s">
        <v>65</v>
      </c>
      <c r="M823" s="2" t="s">
        <v>8532</v>
      </c>
      <c r="N823" s="3" t="s">
        <v>377</v>
      </c>
      <c r="O823" s="2" t="s">
        <v>3783</v>
      </c>
      <c r="P823" s="3" t="s">
        <v>3784</v>
      </c>
      <c r="R823" s="3" t="s">
        <v>70</v>
      </c>
      <c r="S823" s="4">
        <v>0</v>
      </c>
      <c r="T823" s="4">
        <v>2</v>
      </c>
      <c r="V823" s="5" t="s">
        <v>8533</v>
      </c>
      <c r="W823" s="5" t="s">
        <v>72</v>
      </c>
      <c r="X823" s="5" t="s">
        <v>72</v>
      </c>
      <c r="Y823" s="4">
        <v>14</v>
      </c>
      <c r="Z823" s="4">
        <v>1</v>
      </c>
      <c r="AA823" s="4">
        <v>1</v>
      </c>
      <c r="AB823" s="4">
        <v>1</v>
      </c>
      <c r="AC823" s="4">
        <v>1</v>
      </c>
      <c r="AD823" s="4">
        <v>7</v>
      </c>
      <c r="AE823" s="4">
        <v>7</v>
      </c>
      <c r="AF823" s="4">
        <v>0</v>
      </c>
      <c r="AG823" s="4">
        <v>0</v>
      </c>
      <c r="AH823" s="4">
        <v>7</v>
      </c>
      <c r="AI823" s="4">
        <v>7</v>
      </c>
      <c r="AJ823" s="4">
        <v>0</v>
      </c>
      <c r="AK823" s="4">
        <v>0</v>
      </c>
      <c r="AL823" s="4">
        <v>6</v>
      </c>
      <c r="AM823" s="4">
        <v>6</v>
      </c>
      <c r="AN823" s="4">
        <v>0</v>
      </c>
      <c r="AO823" s="4">
        <v>0</v>
      </c>
      <c r="AP823" s="4">
        <v>0</v>
      </c>
      <c r="AQ823" s="4">
        <v>0</v>
      </c>
      <c r="AR823" s="3" t="s">
        <v>64</v>
      </c>
      <c r="AS823" s="3" t="s">
        <v>64</v>
      </c>
      <c r="AT823" s="3" t="s">
        <v>64</v>
      </c>
      <c r="AV823" s="6" t="str">
        <f t="shared" si="10"/>
        <v>Catalog Record</v>
      </c>
      <c r="AW823" s="6" t="str">
        <f t="shared" si="11"/>
        <v>WorldCat Record</v>
      </c>
      <c r="AX823" s="3" t="s">
        <v>8534</v>
      </c>
      <c r="AY823" s="3" t="s">
        <v>8535</v>
      </c>
      <c r="AZ823" s="3" t="s">
        <v>8536</v>
      </c>
      <c r="BA823" s="3" t="s">
        <v>8536</v>
      </c>
      <c r="BB823" s="3" t="s">
        <v>8554</v>
      </c>
      <c r="BC823" s="3" t="s">
        <v>78</v>
      </c>
      <c r="BD823" s="3" t="s">
        <v>79</v>
      </c>
      <c r="BE823" s="3" t="s">
        <v>8538</v>
      </c>
      <c r="BF823" s="3" t="s">
        <v>8554</v>
      </c>
      <c r="BG823" s="3" t="s">
        <v>8555</v>
      </c>
    </row>
    <row r="824" spans="1:59" ht="116" x14ac:dyDescent="0.35">
      <c r="A824" s="2" t="s">
        <v>59</v>
      </c>
      <c r="B824" s="2" t="s">
        <v>3778</v>
      </c>
      <c r="C824" s="2" t="s">
        <v>8529</v>
      </c>
      <c r="D824" s="2" t="s">
        <v>8530</v>
      </c>
      <c r="E824" s="2" t="s">
        <v>8531</v>
      </c>
      <c r="F824" s="3" t="s">
        <v>3868</v>
      </c>
      <c r="G824" s="3" t="s">
        <v>73</v>
      </c>
      <c r="I824" s="3" t="s">
        <v>64</v>
      </c>
      <c r="J824" s="3" t="s">
        <v>64</v>
      </c>
      <c r="K824" s="3" t="s">
        <v>65</v>
      </c>
      <c r="M824" s="2" t="s">
        <v>8532</v>
      </c>
      <c r="N824" s="3" t="s">
        <v>377</v>
      </c>
      <c r="O824" s="2" t="s">
        <v>3783</v>
      </c>
      <c r="P824" s="3" t="s">
        <v>3784</v>
      </c>
      <c r="R824" s="3" t="s">
        <v>70</v>
      </c>
      <c r="S824" s="4">
        <v>0</v>
      </c>
      <c r="T824" s="4">
        <v>2</v>
      </c>
      <c r="V824" s="5" t="s">
        <v>8533</v>
      </c>
      <c r="W824" s="5" t="s">
        <v>72</v>
      </c>
      <c r="X824" s="5" t="s">
        <v>72</v>
      </c>
      <c r="Y824" s="4">
        <v>14</v>
      </c>
      <c r="Z824" s="4">
        <v>1</v>
      </c>
      <c r="AA824" s="4">
        <v>1</v>
      </c>
      <c r="AB824" s="4">
        <v>1</v>
      </c>
      <c r="AC824" s="4">
        <v>1</v>
      </c>
      <c r="AD824" s="4">
        <v>7</v>
      </c>
      <c r="AE824" s="4">
        <v>7</v>
      </c>
      <c r="AF824" s="4">
        <v>0</v>
      </c>
      <c r="AG824" s="4">
        <v>0</v>
      </c>
      <c r="AH824" s="4">
        <v>7</v>
      </c>
      <c r="AI824" s="4">
        <v>7</v>
      </c>
      <c r="AJ824" s="4">
        <v>0</v>
      </c>
      <c r="AK824" s="4">
        <v>0</v>
      </c>
      <c r="AL824" s="4">
        <v>6</v>
      </c>
      <c r="AM824" s="4">
        <v>6</v>
      </c>
      <c r="AN824" s="4">
        <v>0</v>
      </c>
      <c r="AO824" s="4">
        <v>0</v>
      </c>
      <c r="AP824" s="4">
        <v>0</v>
      </c>
      <c r="AQ824" s="4">
        <v>0</v>
      </c>
      <c r="AR824" s="3" t="s">
        <v>64</v>
      </c>
      <c r="AS824" s="3" t="s">
        <v>64</v>
      </c>
      <c r="AT824" s="3" t="s">
        <v>64</v>
      </c>
      <c r="AV824" s="6" t="str">
        <f t="shared" si="10"/>
        <v>Catalog Record</v>
      </c>
      <c r="AW824" s="6" t="str">
        <f t="shared" si="11"/>
        <v>WorldCat Record</v>
      </c>
      <c r="AX824" s="3" t="s">
        <v>8534</v>
      </c>
      <c r="AY824" s="3" t="s">
        <v>8535</v>
      </c>
      <c r="AZ824" s="3" t="s">
        <v>8536</v>
      </c>
      <c r="BA824" s="3" t="s">
        <v>8536</v>
      </c>
      <c r="BB824" s="3" t="s">
        <v>8556</v>
      </c>
      <c r="BC824" s="3" t="s">
        <v>78</v>
      </c>
      <c r="BD824" s="3" t="s">
        <v>79</v>
      </c>
      <c r="BE824" s="3" t="s">
        <v>8538</v>
      </c>
      <c r="BF824" s="3" t="s">
        <v>8556</v>
      </c>
      <c r="BG824" s="3" t="s">
        <v>8557</v>
      </c>
    </row>
    <row r="825" spans="1:59" ht="116" x14ac:dyDescent="0.35">
      <c r="A825" s="2" t="s">
        <v>59</v>
      </c>
      <c r="B825" s="2" t="s">
        <v>3778</v>
      </c>
      <c r="C825" s="2" t="s">
        <v>8529</v>
      </c>
      <c r="D825" s="2" t="s">
        <v>8530</v>
      </c>
      <c r="E825" s="2" t="s">
        <v>8531</v>
      </c>
      <c r="F825" s="3" t="s">
        <v>3822</v>
      </c>
      <c r="G825" s="3" t="s">
        <v>73</v>
      </c>
      <c r="I825" s="3" t="s">
        <v>64</v>
      </c>
      <c r="J825" s="3" t="s">
        <v>64</v>
      </c>
      <c r="K825" s="3" t="s">
        <v>65</v>
      </c>
      <c r="M825" s="2" t="s">
        <v>8532</v>
      </c>
      <c r="N825" s="3" t="s">
        <v>377</v>
      </c>
      <c r="O825" s="2" t="s">
        <v>3783</v>
      </c>
      <c r="P825" s="3" t="s">
        <v>3784</v>
      </c>
      <c r="R825" s="3" t="s">
        <v>70</v>
      </c>
      <c r="S825" s="4">
        <v>0</v>
      </c>
      <c r="T825" s="4">
        <v>2</v>
      </c>
      <c r="V825" s="5" t="s">
        <v>8533</v>
      </c>
      <c r="W825" s="5" t="s">
        <v>72</v>
      </c>
      <c r="X825" s="5" t="s">
        <v>72</v>
      </c>
      <c r="Y825" s="4">
        <v>14</v>
      </c>
      <c r="Z825" s="4">
        <v>1</v>
      </c>
      <c r="AA825" s="4">
        <v>1</v>
      </c>
      <c r="AB825" s="4">
        <v>1</v>
      </c>
      <c r="AC825" s="4">
        <v>1</v>
      </c>
      <c r="AD825" s="4">
        <v>7</v>
      </c>
      <c r="AE825" s="4">
        <v>7</v>
      </c>
      <c r="AF825" s="4">
        <v>0</v>
      </c>
      <c r="AG825" s="4">
        <v>0</v>
      </c>
      <c r="AH825" s="4">
        <v>7</v>
      </c>
      <c r="AI825" s="4">
        <v>7</v>
      </c>
      <c r="AJ825" s="4">
        <v>0</v>
      </c>
      <c r="AK825" s="4">
        <v>0</v>
      </c>
      <c r="AL825" s="4">
        <v>6</v>
      </c>
      <c r="AM825" s="4">
        <v>6</v>
      </c>
      <c r="AN825" s="4">
        <v>0</v>
      </c>
      <c r="AO825" s="4">
        <v>0</v>
      </c>
      <c r="AP825" s="4">
        <v>0</v>
      </c>
      <c r="AQ825" s="4">
        <v>0</v>
      </c>
      <c r="AR825" s="3" t="s">
        <v>64</v>
      </c>
      <c r="AS825" s="3" t="s">
        <v>64</v>
      </c>
      <c r="AT825" s="3" t="s">
        <v>64</v>
      </c>
      <c r="AV825" s="6" t="str">
        <f t="shared" si="10"/>
        <v>Catalog Record</v>
      </c>
      <c r="AW825" s="6" t="str">
        <f t="shared" si="11"/>
        <v>WorldCat Record</v>
      </c>
      <c r="AX825" s="3" t="s">
        <v>8534</v>
      </c>
      <c r="AY825" s="3" t="s">
        <v>8535</v>
      </c>
      <c r="AZ825" s="3" t="s">
        <v>8536</v>
      </c>
      <c r="BA825" s="3" t="s">
        <v>8536</v>
      </c>
      <c r="BB825" s="3" t="s">
        <v>8558</v>
      </c>
      <c r="BC825" s="3" t="s">
        <v>78</v>
      </c>
      <c r="BD825" s="3" t="s">
        <v>79</v>
      </c>
      <c r="BE825" s="3" t="s">
        <v>8538</v>
      </c>
      <c r="BF825" s="3" t="s">
        <v>8558</v>
      </c>
      <c r="BG825" s="3" t="s">
        <v>8559</v>
      </c>
    </row>
    <row r="826" spans="1:59" ht="116" x14ac:dyDescent="0.35">
      <c r="A826" s="2" t="s">
        <v>59</v>
      </c>
      <c r="B826" s="2" t="s">
        <v>3778</v>
      </c>
      <c r="C826" s="2" t="s">
        <v>8529</v>
      </c>
      <c r="D826" s="2" t="s">
        <v>8530</v>
      </c>
      <c r="E826" s="2" t="s">
        <v>8531</v>
      </c>
      <c r="F826" s="3" t="s">
        <v>3811</v>
      </c>
      <c r="G826" s="3" t="s">
        <v>73</v>
      </c>
      <c r="I826" s="3" t="s">
        <v>64</v>
      </c>
      <c r="J826" s="3" t="s">
        <v>64</v>
      </c>
      <c r="K826" s="3" t="s">
        <v>65</v>
      </c>
      <c r="M826" s="2" t="s">
        <v>8532</v>
      </c>
      <c r="N826" s="3" t="s">
        <v>377</v>
      </c>
      <c r="O826" s="2" t="s">
        <v>3783</v>
      </c>
      <c r="P826" s="3" t="s">
        <v>3784</v>
      </c>
      <c r="R826" s="3" t="s">
        <v>70</v>
      </c>
      <c r="S826" s="4">
        <v>0</v>
      </c>
      <c r="T826" s="4">
        <v>2</v>
      </c>
      <c r="V826" s="5" t="s">
        <v>8533</v>
      </c>
      <c r="W826" s="5" t="s">
        <v>72</v>
      </c>
      <c r="X826" s="5" t="s">
        <v>72</v>
      </c>
      <c r="Y826" s="4">
        <v>14</v>
      </c>
      <c r="Z826" s="4">
        <v>1</v>
      </c>
      <c r="AA826" s="4">
        <v>1</v>
      </c>
      <c r="AB826" s="4">
        <v>1</v>
      </c>
      <c r="AC826" s="4">
        <v>1</v>
      </c>
      <c r="AD826" s="4">
        <v>7</v>
      </c>
      <c r="AE826" s="4">
        <v>7</v>
      </c>
      <c r="AF826" s="4">
        <v>0</v>
      </c>
      <c r="AG826" s="4">
        <v>0</v>
      </c>
      <c r="AH826" s="4">
        <v>7</v>
      </c>
      <c r="AI826" s="4">
        <v>7</v>
      </c>
      <c r="AJ826" s="4">
        <v>0</v>
      </c>
      <c r="AK826" s="4">
        <v>0</v>
      </c>
      <c r="AL826" s="4">
        <v>6</v>
      </c>
      <c r="AM826" s="4">
        <v>6</v>
      </c>
      <c r="AN826" s="4">
        <v>0</v>
      </c>
      <c r="AO826" s="4">
        <v>0</v>
      </c>
      <c r="AP826" s="4">
        <v>0</v>
      </c>
      <c r="AQ826" s="4">
        <v>0</v>
      </c>
      <c r="AR826" s="3" t="s">
        <v>64</v>
      </c>
      <c r="AS826" s="3" t="s">
        <v>64</v>
      </c>
      <c r="AT826" s="3" t="s">
        <v>64</v>
      </c>
      <c r="AV826" s="6" t="str">
        <f t="shared" si="10"/>
        <v>Catalog Record</v>
      </c>
      <c r="AW826" s="6" t="str">
        <f t="shared" si="11"/>
        <v>WorldCat Record</v>
      </c>
      <c r="AX826" s="3" t="s">
        <v>8534</v>
      </c>
      <c r="AY826" s="3" t="s">
        <v>8535</v>
      </c>
      <c r="AZ826" s="3" t="s">
        <v>8536</v>
      </c>
      <c r="BA826" s="3" t="s">
        <v>8536</v>
      </c>
      <c r="BB826" s="3" t="s">
        <v>8560</v>
      </c>
      <c r="BC826" s="3" t="s">
        <v>78</v>
      </c>
      <c r="BD826" s="3" t="s">
        <v>79</v>
      </c>
      <c r="BE826" s="3" t="s">
        <v>8538</v>
      </c>
      <c r="BF826" s="3" t="s">
        <v>8560</v>
      </c>
      <c r="BG826" s="3" t="s">
        <v>8561</v>
      </c>
    </row>
    <row r="827" spans="1:59" ht="116" x14ac:dyDescent="0.35">
      <c r="A827" s="2" t="s">
        <v>59</v>
      </c>
      <c r="B827" s="2" t="s">
        <v>3778</v>
      </c>
      <c r="C827" s="2" t="s">
        <v>8529</v>
      </c>
      <c r="D827" s="2" t="s">
        <v>8530</v>
      </c>
      <c r="E827" s="2" t="s">
        <v>8531</v>
      </c>
      <c r="F827" s="3" t="s">
        <v>8562</v>
      </c>
      <c r="G827" s="3" t="s">
        <v>73</v>
      </c>
      <c r="I827" s="3" t="s">
        <v>64</v>
      </c>
      <c r="J827" s="3" t="s">
        <v>64</v>
      </c>
      <c r="K827" s="3" t="s">
        <v>65</v>
      </c>
      <c r="M827" s="2" t="s">
        <v>8532</v>
      </c>
      <c r="N827" s="3" t="s">
        <v>377</v>
      </c>
      <c r="O827" s="2" t="s">
        <v>3783</v>
      </c>
      <c r="P827" s="3" t="s">
        <v>3784</v>
      </c>
      <c r="R827" s="3" t="s">
        <v>70</v>
      </c>
      <c r="S827" s="4">
        <v>0</v>
      </c>
      <c r="T827" s="4">
        <v>2</v>
      </c>
      <c r="V827" s="5" t="s">
        <v>8533</v>
      </c>
      <c r="W827" s="5" t="s">
        <v>72</v>
      </c>
      <c r="X827" s="5" t="s">
        <v>72</v>
      </c>
      <c r="Y827" s="4">
        <v>14</v>
      </c>
      <c r="Z827" s="4">
        <v>1</v>
      </c>
      <c r="AA827" s="4">
        <v>1</v>
      </c>
      <c r="AB827" s="4">
        <v>1</v>
      </c>
      <c r="AC827" s="4">
        <v>1</v>
      </c>
      <c r="AD827" s="4">
        <v>7</v>
      </c>
      <c r="AE827" s="4">
        <v>7</v>
      </c>
      <c r="AF827" s="4">
        <v>0</v>
      </c>
      <c r="AG827" s="4">
        <v>0</v>
      </c>
      <c r="AH827" s="4">
        <v>7</v>
      </c>
      <c r="AI827" s="4">
        <v>7</v>
      </c>
      <c r="AJ827" s="4">
        <v>0</v>
      </c>
      <c r="AK827" s="4">
        <v>0</v>
      </c>
      <c r="AL827" s="4">
        <v>6</v>
      </c>
      <c r="AM827" s="4">
        <v>6</v>
      </c>
      <c r="AN827" s="4">
        <v>0</v>
      </c>
      <c r="AO827" s="4">
        <v>0</v>
      </c>
      <c r="AP827" s="4">
        <v>0</v>
      </c>
      <c r="AQ827" s="4">
        <v>0</v>
      </c>
      <c r="AR827" s="3" t="s">
        <v>64</v>
      </c>
      <c r="AS827" s="3" t="s">
        <v>64</v>
      </c>
      <c r="AT827" s="3" t="s">
        <v>64</v>
      </c>
      <c r="AV827" s="6" t="str">
        <f t="shared" si="10"/>
        <v>Catalog Record</v>
      </c>
      <c r="AW827" s="6" t="str">
        <f t="shared" si="11"/>
        <v>WorldCat Record</v>
      </c>
      <c r="AX827" s="3" t="s">
        <v>8534</v>
      </c>
      <c r="AY827" s="3" t="s">
        <v>8535</v>
      </c>
      <c r="AZ827" s="3" t="s">
        <v>8536</v>
      </c>
      <c r="BA827" s="3" t="s">
        <v>8536</v>
      </c>
      <c r="BB827" s="3" t="s">
        <v>8563</v>
      </c>
      <c r="BC827" s="3" t="s">
        <v>78</v>
      </c>
      <c r="BD827" s="3" t="s">
        <v>79</v>
      </c>
      <c r="BE827" s="3" t="s">
        <v>8538</v>
      </c>
      <c r="BF827" s="3" t="s">
        <v>8563</v>
      </c>
      <c r="BG827" s="3" t="s">
        <v>8564</v>
      </c>
    </row>
    <row r="828" spans="1:59" ht="116" x14ac:dyDescent="0.35">
      <c r="A828" s="2" t="s">
        <v>59</v>
      </c>
      <c r="B828" s="2" t="s">
        <v>3778</v>
      </c>
      <c r="C828" s="2" t="s">
        <v>8529</v>
      </c>
      <c r="D828" s="2" t="s">
        <v>8530</v>
      </c>
      <c r="E828" s="2" t="s">
        <v>8531</v>
      </c>
      <c r="F828" s="3" t="s">
        <v>8565</v>
      </c>
      <c r="G828" s="3" t="s">
        <v>73</v>
      </c>
      <c r="I828" s="3" t="s">
        <v>64</v>
      </c>
      <c r="J828" s="3" t="s">
        <v>64</v>
      </c>
      <c r="K828" s="3" t="s">
        <v>65</v>
      </c>
      <c r="M828" s="2" t="s">
        <v>8532</v>
      </c>
      <c r="N828" s="3" t="s">
        <v>377</v>
      </c>
      <c r="O828" s="2" t="s">
        <v>3783</v>
      </c>
      <c r="P828" s="3" t="s">
        <v>3784</v>
      </c>
      <c r="R828" s="3" t="s">
        <v>70</v>
      </c>
      <c r="S828" s="4">
        <v>1</v>
      </c>
      <c r="T828" s="4">
        <v>2</v>
      </c>
      <c r="U828" s="5" t="s">
        <v>8533</v>
      </c>
      <c r="V828" s="5" t="s">
        <v>8533</v>
      </c>
      <c r="W828" s="5" t="s">
        <v>72</v>
      </c>
      <c r="X828" s="5" t="s">
        <v>72</v>
      </c>
      <c r="Y828" s="4">
        <v>14</v>
      </c>
      <c r="Z828" s="4">
        <v>1</v>
      </c>
      <c r="AA828" s="4">
        <v>1</v>
      </c>
      <c r="AB828" s="4">
        <v>1</v>
      </c>
      <c r="AC828" s="4">
        <v>1</v>
      </c>
      <c r="AD828" s="4">
        <v>7</v>
      </c>
      <c r="AE828" s="4">
        <v>7</v>
      </c>
      <c r="AF828" s="4">
        <v>0</v>
      </c>
      <c r="AG828" s="4">
        <v>0</v>
      </c>
      <c r="AH828" s="4">
        <v>7</v>
      </c>
      <c r="AI828" s="4">
        <v>7</v>
      </c>
      <c r="AJ828" s="4">
        <v>0</v>
      </c>
      <c r="AK828" s="4">
        <v>0</v>
      </c>
      <c r="AL828" s="4">
        <v>6</v>
      </c>
      <c r="AM828" s="4">
        <v>6</v>
      </c>
      <c r="AN828" s="4">
        <v>0</v>
      </c>
      <c r="AO828" s="4">
        <v>0</v>
      </c>
      <c r="AP828" s="4">
        <v>0</v>
      </c>
      <c r="AQ828" s="4">
        <v>0</v>
      </c>
      <c r="AR828" s="3" t="s">
        <v>64</v>
      </c>
      <c r="AS828" s="3" t="s">
        <v>64</v>
      </c>
      <c r="AT828" s="3" t="s">
        <v>64</v>
      </c>
      <c r="AV828" s="6" t="str">
        <f t="shared" si="10"/>
        <v>Catalog Record</v>
      </c>
      <c r="AW828" s="6" t="str">
        <f t="shared" si="11"/>
        <v>WorldCat Record</v>
      </c>
      <c r="AX828" s="3" t="s">
        <v>8534</v>
      </c>
      <c r="AY828" s="3" t="s">
        <v>8535</v>
      </c>
      <c r="AZ828" s="3" t="s">
        <v>8536</v>
      </c>
      <c r="BA828" s="3" t="s">
        <v>8536</v>
      </c>
      <c r="BB828" s="3" t="s">
        <v>8566</v>
      </c>
      <c r="BC828" s="3" t="s">
        <v>78</v>
      </c>
      <c r="BD828" s="3" t="s">
        <v>79</v>
      </c>
      <c r="BE828" s="3" t="s">
        <v>8538</v>
      </c>
      <c r="BF828" s="3" t="s">
        <v>8566</v>
      </c>
      <c r="BG828" s="3" t="s">
        <v>8567</v>
      </c>
    </row>
    <row r="829" spans="1:59" ht="116" x14ac:dyDescent="0.35">
      <c r="A829" s="2" t="s">
        <v>59</v>
      </c>
      <c r="B829" s="2" t="s">
        <v>3778</v>
      </c>
      <c r="C829" s="2" t="s">
        <v>8529</v>
      </c>
      <c r="D829" s="2" t="s">
        <v>8530</v>
      </c>
      <c r="E829" s="2" t="s">
        <v>8531</v>
      </c>
      <c r="F829" s="3" t="s">
        <v>8568</v>
      </c>
      <c r="G829" s="3" t="s">
        <v>73</v>
      </c>
      <c r="I829" s="3" t="s">
        <v>64</v>
      </c>
      <c r="J829" s="3" t="s">
        <v>64</v>
      </c>
      <c r="K829" s="3" t="s">
        <v>65</v>
      </c>
      <c r="M829" s="2" t="s">
        <v>8532</v>
      </c>
      <c r="N829" s="3" t="s">
        <v>377</v>
      </c>
      <c r="O829" s="2" t="s">
        <v>3783</v>
      </c>
      <c r="P829" s="3" t="s">
        <v>3784</v>
      </c>
      <c r="R829" s="3" t="s">
        <v>70</v>
      </c>
      <c r="S829" s="4">
        <v>0</v>
      </c>
      <c r="T829" s="4">
        <v>2</v>
      </c>
      <c r="V829" s="5" t="s">
        <v>8533</v>
      </c>
      <c r="W829" s="5" t="s">
        <v>72</v>
      </c>
      <c r="X829" s="5" t="s">
        <v>72</v>
      </c>
      <c r="Y829" s="4">
        <v>14</v>
      </c>
      <c r="Z829" s="4">
        <v>1</v>
      </c>
      <c r="AA829" s="4">
        <v>1</v>
      </c>
      <c r="AB829" s="4">
        <v>1</v>
      </c>
      <c r="AC829" s="4">
        <v>1</v>
      </c>
      <c r="AD829" s="4">
        <v>7</v>
      </c>
      <c r="AE829" s="4">
        <v>7</v>
      </c>
      <c r="AF829" s="4">
        <v>0</v>
      </c>
      <c r="AG829" s="4">
        <v>0</v>
      </c>
      <c r="AH829" s="4">
        <v>7</v>
      </c>
      <c r="AI829" s="4">
        <v>7</v>
      </c>
      <c r="AJ829" s="4">
        <v>0</v>
      </c>
      <c r="AK829" s="4">
        <v>0</v>
      </c>
      <c r="AL829" s="4">
        <v>6</v>
      </c>
      <c r="AM829" s="4">
        <v>6</v>
      </c>
      <c r="AN829" s="4">
        <v>0</v>
      </c>
      <c r="AO829" s="4">
        <v>0</v>
      </c>
      <c r="AP829" s="4">
        <v>0</v>
      </c>
      <c r="AQ829" s="4">
        <v>0</v>
      </c>
      <c r="AR829" s="3" t="s">
        <v>64</v>
      </c>
      <c r="AS829" s="3" t="s">
        <v>64</v>
      </c>
      <c r="AT829" s="3" t="s">
        <v>64</v>
      </c>
      <c r="AV829" s="6" t="str">
        <f t="shared" si="10"/>
        <v>Catalog Record</v>
      </c>
      <c r="AW829" s="6" t="str">
        <f t="shared" si="11"/>
        <v>WorldCat Record</v>
      </c>
      <c r="AX829" s="3" t="s">
        <v>8534</v>
      </c>
      <c r="AY829" s="3" t="s">
        <v>8535</v>
      </c>
      <c r="AZ829" s="3" t="s">
        <v>8536</v>
      </c>
      <c r="BA829" s="3" t="s">
        <v>8536</v>
      </c>
      <c r="BB829" s="3" t="s">
        <v>8569</v>
      </c>
      <c r="BC829" s="3" t="s">
        <v>78</v>
      </c>
      <c r="BD829" s="3" t="s">
        <v>79</v>
      </c>
      <c r="BE829" s="3" t="s">
        <v>8538</v>
      </c>
      <c r="BF829" s="3" t="s">
        <v>8569</v>
      </c>
      <c r="BG829" s="3" t="s">
        <v>8570</v>
      </c>
    </row>
    <row r="830" spans="1:59" ht="116" x14ac:dyDescent="0.35">
      <c r="A830" s="2" t="s">
        <v>59</v>
      </c>
      <c r="B830" s="2" t="s">
        <v>3778</v>
      </c>
      <c r="C830" s="2" t="s">
        <v>8529</v>
      </c>
      <c r="D830" s="2" t="s">
        <v>8530</v>
      </c>
      <c r="E830" s="2" t="s">
        <v>8531</v>
      </c>
      <c r="F830" s="3" t="s">
        <v>8571</v>
      </c>
      <c r="G830" s="3" t="s">
        <v>73</v>
      </c>
      <c r="I830" s="3" t="s">
        <v>64</v>
      </c>
      <c r="J830" s="3" t="s">
        <v>64</v>
      </c>
      <c r="K830" s="3" t="s">
        <v>65</v>
      </c>
      <c r="M830" s="2" t="s">
        <v>8532</v>
      </c>
      <c r="N830" s="3" t="s">
        <v>377</v>
      </c>
      <c r="O830" s="2" t="s">
        <v>3783</v>
      </c>
      <c r="P830" s="3" t="s">
        <v>3784</v>
      </c>
      <c r="R830" s="3" t="s">
        <v>70</v>
      </c>
      <c r="S830" s="4">
        <v>0</v>
      </c>
      <c r="T830" s="4">
        <v>2</v>
      </c>
      <c r="V830" s="5" t="s">
        <v>8533</v>
      </c>
      <c r="W830" s="5" t="s">
        <v>72</v>
      </c>
      <c r="X830" s="5" t="s">
        <v>72</v>
      </c>
      <c r="Y830" s="4">
        <v>14</v>
      </c>
      <c r="Z830" s="4">
        <v>1</v>
      </c>
      <c r="AA830" s="4">
        <v>1</v>
      </c>
      <c r="AB830" s="4">
        <v>1</v>
      </c>
      <c r="AC830" s="4">
        <v>1</v>
      </c>
      <c r="AD830" s="4">
        <v>7</v>
      </c>
      <c r="AE830" s="4">
        <v>7</v>
      </c>
      <c r="AF830" s="4">
        <v>0</v>
      </c>
      <c r="AG830" s="4">
        <v>0</v>
      </c>
      <c r="AH830" s="4">
        <v>7</v>
      </c>
      <c r="AI830" s="4">
        <v>7</v>
      </c>
      <c r="AJ830" s="4">
        <v>0</v>
      </c>
      <c r="AK830" s="4">
        <v>0</v>
      </c>
      <c r="AL830" s="4">
        <v>6</v>
      </c>
      <c r="AM830" s="4">
        <v>6</v>
      </c>
      <c r="AN830" s="4">
        <v>0</v>
      </c>
      <c r="AO830" s="4">
        <v>0</v>
      </c>
      <c r="AP830" s="4">
        <v>0</v>
      </c>
      <c r="AQ830" s="4">
        <v>0</v>
      </c>
      <c r="AR830" s="3" t="s">
        <v>64</v>
      </c>
      <c r="AS830" s="3" t="s">
        <v>64</v>
      </c>
      <c r="AT830" s="3" t="s">
        <v>64</v>
      </c>
      <c r="AV830" s="6" t="str">
        <f t="shared" si="10"/>
        <v>Catalog Record</v>
      </c>
      <c r="AW830" s="6" t="str">
        <f t="shared" si="11"/>
        <v>WorldCat Record</v>
      </c>
      <c r="AX830" s="3" t="s">
        <v>8534</v>
      </c>
      <c r="AY830" s="3" t="s">
        <v>8535</v>
      </c>
      <c r="AZ830" s="3" t="s">
        <v>8536</v>
      </c>
      <c r="BA830" s="3" t="s">
        <v>8536</v>
      </c>
      <c r="BB830" s="3" t="s">
        <v>8572</v>
      </c>
      <c r="BC830" s="3" t="s">
        <v>78</v>
      </c>
      <c r="BD830" s="3" t="s">
        <v>79</v>
      </c>
      <c r="BE830" s="3" t="s">
        <v>8538</v>
      </c>
      <c r="BF830" s="3" t="s">
        <v>8572</v>
      </c>
      <c r="BG830" s="3" t="s">
        <v>8573</v>
      </c>
    </row>
    <row r="831" spans="1:59" ht="116" x14ac:dyDescent="0.35">
      <c r="A831" s="2" t="s">
        <v>59</v>
      </c>
      <c r="B831" s="2" t="s">
        <v>3778</v>
      </c>
      <c r="C831" s="2" t="s">
        <v>8529</v>
      </c>
      <c r="D831" s="2" t="s">
        <v>8530</v>
      </c>
      <c r="E831" s="2" t="s">
        <v>8531</v>
      </c>
      <c r="F831" s="3" t="s">
        <v>388</v>
      </c>
      <c r="G831" s="3" t="s">
        <v>73</v>
      </c>
      <c r="I831" s="3" t="s">
        <v>64</v>
      </c>
      <c r="J831" s="3" t="s">
        <v>64</v>
      </c>
      <c r="K831" s="3" t="s">
        <v>65</v>
      </c>
      <c r="M831" s="2" t="s">
        <v>8532</v>
      </c>
      <c r="N831" s="3" t="s">
        <v>377</v>
      </c>
      <c r="O831" s="2" t="s">
        <v>3783</v>
      </c>
      <c r="P831" s="3" t="s">
        <v>3784</v>
      </c>
      <c r="R831" s="3" t="s">
        <v>70</v>
      </c>
      <c r="S831" s="4">
        <v>0</v>
      </c>
      <c r="T831" s="4">
        <v>2</v>
      </c>
      <c r="V831" s="5" t="s">
        <v>8533</v>
      </c>
      <c r="W831" s="5" t="s">
        <v>72</v>
      </c>
      <c r="X831" s="5" t="s">
        <v>72</v>
      </c>
      <c r="Y831" s="4">
        <v>14</v>
      </c>
      <c r="Z831" s="4">
        <v>1</v>
      </c>
      <c r="AA831" s="4">
        <v>1</v>
      </c>
      <c r="AB831" s="4">
        <v>1</v>
      </c>
      <c r="AC831" s="4">
        <v>1</v>
      </c>
      <c r="AD831" s="4">
        <v>7</v>
      </c>
      <c r="AE831" s="4">
        <v>7</v>
      </c>
      <c r="AF831" s="4">
        <v>0</v>
      </c>
      <c r="AG831" s="4">
        <v>0</v>
      </c>
      <c r="AH831" s="4">
        <v>7</v>
      </c>
      <c r="AI831" s="4">
        <v>7</v>
      </c>
      <c r="AJ831" s="4">
        <v>0</v>
      </c>
      <c r="AK831" s="4">
        <v>0</v>
      </c>
      <c r="AL831" s="4">
        <v>6</v>
      </c>
      <c r="AM831" s="4">
        <v>6</v>
      </c>
      <c r="AN831" s="4">
        <v>0</v>
      </c>
      <c r="AO831" s="4">
        <v>0</v>
      </c>
      <c r="AP831" s="4">
        <v>0</v>
      </c>
      <c r="AQ831" s="4">
        <v>0</v>
      </c>
      <c r="AR831" s="3" t="s">
        <v>64</v>
      </c>
      <c r="AS831" s="3" t="s">
        <v>64</v>
      </c>
      <c r="AT831" s="3" t="s">
        <v>64</v>
      </c>
      <c r="AV831" s="6" t="str">
        <f t="shared" si="10"/>
        <v>Catalog Record</v>
      </c>
      <c r="AW831" s="6" t="str">
        <f t="shared" si="11"/>
        <v>WorldCat Record</v>
      </c>
      <c r="AX831" s="3" t="s">
        <v>8534</v>
      </c>
      <c r="AY831" s="3" t="s">
        <v>8535</v>
      </c>
      <c r="AZ831" s="3" t="s">
        <v>8536</v>
      </c>
      <c r="BA831" s="3" t="s">
        <v>8536</v>
      </c>
      <c r="BB831" s="3" t="s">
        <v>8574</v>
      </c>
      <c r="BC831" s="3" t="s">
        <v>78</v>
      </c>
      <c r="BD831" s="3" t="s">
        <v>79</v>
      </c>
      <c r="BE831" s="3" t="s">
        <v>8538</v>
      </c>
      <c r="BF831" s="3" t="s">
        <v>8574</v>
      </c>
      <c r="BG831" s="3" t="s">
        <v>8575</v>
      </c>
    </row>
    <row r="832" spans="1:59" ht="116" x14ac:dyDescent="0.35">
      <c r="A832" s="2" t="s">
        <v>59</v>
      </c>
      <c r="B832" s="2" t="s">
        <v>3778</v>
      </c>
      <c r="C832" s="2" t="s">
        <v>8529</v>
      </c>
      <c r="D832" s="2" t="s">
        <v>8530</v>
      </c>
      <c r="E832" s="2" t="s">
        <v>8531</v>
      </c>
      <c r="F832" s="3" t="s">
        <v>399</v>
      </c>
      <c r="G832" s="3" t="s">
        <v>73</v>
      </c>
      <c r="I832" s="3" t="s">
        <v>64</v>
      </c>
      <c r="J832" s="3" t="s">
        <v>64</v>
      </c>
      <c r="K832" s="3" t="s">
        <v>65</v>
      </c>
      <c r="M832" s="2" t="s">
        <v>8532</v>
      </c>
      <c r="N832" s="3" t="s">
        <v>377</v>
      </c>
      <c r="O832" s="2" t="s">
        <v>3783</v>
      </c>
      <c r="P832" s="3" t="s">
        <v>3784</v>
      </c>
      <c r="R832" s="3" t="s">
        <v>70</v>
      </c>
      <c r="S832" s="4">
        <v>0</v>
      </c>
      <c r="T832" s="4">
        <v>2</v>
      </c>
      <c r="V832" s="5" t="s">
        <v>8533</v>
      </c>
      <c r="W832" s="5" t="s">
        <v>72</v>
      </c>
      <c r="X832" s="5" t="s">
        <v>72</v>
      </c>
      <c r="Y832" s="4">
        <v>14</v>
      </c>
      <c r="Z832" s="4">
        <v>1</v>
      </c>
      <c r="AA832" s="4">
        <v>1</v>
      </c>
      <c r="AB832" s="4">
        <v>1</v>
      </c>
      <c r="AC832" s="4">
        <v>1</v>
      </c>
      <c r="AD832" s="4">
        <v>7</v>
      </c>
      <c r="AE832" s="4">
        <v>7</v>
      </c>
      <c r="AF832" s="4">
        <v>0</v>
      </c>
      <c r="AG832" s="4">
        <v>0</v>
      </c>
      <c r="AH832" s="4">
        <v>7</v>
      </c>
      <c r="AI832" s="4">
        <v>7</v>
      </c>
      <c r="AJ832" s="4">
        <v>0</v>
      </c>
      <c r="AK832" s="4">
        <v>0</v>
      </c>
      <c r="AL832" s="4">
        <v>6</v>
      </c>
      <c r="AM832" s="4">
        <v>6</v>
      </c>
      <c r="AN832" s="4">
        <v>0</v>
      </c>
      <c r="AO832" s="4">
        <v>0</v>
      </c>
      <c r="AP832" s="4">
        <v>0</v>
      </c>
      <c r="AQ832" s="4">
        <v>0</v>
      </c>
      <c r="AR832" s="3" t="s">
        <v>64</v>
      </c>
      <c r="AS832" s="3" t="s">
        <v>64</v>
      </c>
      <c r="AT832" s="3" t="s">
        <v>64</v>
      </c>
      <c r="AV832" s="6" t="str">
        <f t="shared" si="10"/>
        <v>Catalog Record</v>
      </c>
      <c r="AW832" s="6" t="str">
        <f t="shared" si="11"/>
        <v>WorldCat Record</v>
      </c>
      <c r="AX832" s="3" t="s">
        <v>8534</v>
      </c>
      <c r="AY832" s="3" t="s">
        <v>8535</v>
      </c>
      <c r="AZ832" s="3" t="s">
        <v>8536</v>
      </c>
      <c r="BA832" s="3" t="s">
        <v>8536</v>
      </c>
      <c r="BB832" s="3" t="s">
        <v>8576</v>
      </c>
      <c r="BC832" s="3" t="s">
        <v>78</v>
      </c>
      <c r="BD832" s="3" t="s">
        <v>79</v>
      </c>
      <c r="BE832" s="3" t="s">
        <v>8538</v>
      </c>
      <c r="BF832" s="3" t="s">
        <v>8576</v>
      </c>
      <c r="BG832" s="3" t="s">
        <v>8577</v>
      </c>
    </row>
    <row r="833" spans="1:59" ht="116" x14ac:dyDescent="0.35">
      <c r="A833" s="2" t="s">
        <v>59</v>
      </c>
      <c r="B833" s="2" t="s">
        <v>3778</v>
      </c>
      <c r="C833" s="2" t="s">
        <v>8529</v>
      </c>
      <c r="D833" s="2" t="s">
        <v>8530</v>
      </c>
      <c r="E833" s="2" t="s">
        <v>8531</v>
      </c>
      <c r="F833" s="3" t="s">
        <v>8578</v>
      </c>
      <c r="G833" s="3" t="s">
        <v>73</v>
      </c>
      <c r="I833" s="3" t="s">
        <v>64</v>
      </c>
      <c r="J833" s="3" t="s">
        <v>64</v>
      </c>
      <c r="K833" s="3" t="s">
        <v>65</v>
      </c>
      <c r="M833" s="2" t="s">
        <v>8532</v>
      </c>
      <c r="N833" s="3" t="s">
        <v>377</v>
      </c>
      <c r="O833" s="2" t="s">
        <v>3783</v>
      </c>
      <c r="P833" s="3" t="s">
        <v>3784</v>
      </c>
      <c r="R833" s="3" t="s">
        <v>70</v>
      </c>
      <c r="S833" s="4">
        <v>1</v>
      </c>
      <c r="T833" s="4">
        <v>2</v>
      </c>
      <c r="U833" s="5" t="s">
        <v>8533</v>
      </c>
      <c r="V833" s="5" t="s">
        <v>8533</v>
      </c>
      <c r="W833" s="5" t="s">
        <v>72</v>
      </c>
      <c r="X833" s="5" t="s">
        <v>72</v>
      </c>
      <c r="Y833" s="4">
        <v>14</v>
      </c>
      <c r="Z833" s="4">
        <v>1</v>
      </c>
      <c r="AA833" s="4">
        <v>1</v>
      </c>
      <c r="AB833" s="4">
        <v>1</v>
      </c>
      <c r="AC833" s="4">
        <v>1</v>
      </c>
      <c r="AD833" s="4">
        <v>7</v>
      </c>
      <c r="AE833" s="4">
        <v>7</v>
      </c>
      <c r="AF833" s="4">
        <v>0</v>
      </c>
      <c r="AG833" s="4">
        <v>0</v>
      </c>
      <c r="AH833" s="4">
        <v>7</v>
      </c>
      <c r="AI833" s="4">
        <v>7</v>
      </c>
      <c r="AJ833" s="4">
        <v>0</v>
      </c>
      <c r="AK833" s="4">
        <v>0</v>
      </c>
      <c r="AL833" s="4">
        <v>6</v>
      </c>
      <c r="AM833" s="4">
        <v>6</v>
      </c>
      <c r="AN833" s="4">
        <v>0</v>
      </c>
      <c r="AO833" s="4">
        <v>0</v>
      </c>
      <c r="AP833" s="4">
        <v>0</v>
      </c>
      <c r="AQ833" s="4">
        <v>0</v>
      </c>
      <c r="AR833" s="3" t="s">
        <v>64</v>
      </c>
      <c r="AS833" s="3" t="s">
        <v>64</v>
      </c>
      <c r="AT833" s="3" t="s">
        <v>64</v>
      </c>
      <c r="AV833" s="6" t="str">
        <f t="shared" si="10"/>
        <v>Catalog Record</v>
      </c>
      <c r="AW833" s="6" t="str">
        <f t="shared" si="11"/>
        <v>WorldCat Record</v>
      </c>
      <c r="AX833" s="3" t="s">
        <v>8534</v>
      </c>
      <c r="AY833" s="3" t="s">
        <v>8535</v>
      </c>
      <c r="AZ833" s="3" t="s">
        <v>8536</v>
      </c>
      <c r="BA833" s="3" t="s">
        <v>8536</v>
      </c>
      <c r="BB833" s="3" t="s">
        <v>8579</v>
      </c>
      <c r="BC833" s="3" t="s">
        <v>78</v>
      </c>
      <c r="BD833" s="3" t="s">
        <v>79</v>
      </c>
      <c r="BE833" s="3" t="s">
        <v>8538</v>
      </c>
      <c r="BF833" s="3" t="s">
        <v>8579</v>
      </c>
      <c r="BG833" s="3" t="s">
        <v>8580</v>
      </c>
    </row>
    <row r="834" spans="1:59" ht="116" x14ac:dyDescent="0.35">
      <c r="A834" s="2" t="s">
        <v>59</v>
      </c>
      <c r="B834" s="2" t="s">
        <v>3778</v>
      </c>
      <c r="C834" s="2" t="s">
        <v>8529</v>
      </c>
      <c r="D834" s="2" t="s">
        <v>8530</v>
      </c>
      <c r="E834" s="2" t="s">
        <v>8531</v>
      </c>
      <c r="F834" s="3" t="s">
        <v>3835</v>
      </c>
      <c r="G834" s="3" t="s">
        <v>73</v>
      </c>
      <c r="I834" s="3" t="s">
        <v>64</v>
      </c>
      <c r="J834" s="3" t="s">
        <v>64</v>
      </c>
      <c r="K834" s="3" t="s">
        <v>65</v>
      </c>
      <c r="M834" s="2" t="s">
        <v>8532</v>
      </c>
      <c r="N834" s="3" t="s">
        <v>377</v>
      </c>
      <c r="O834" s="2" t="s">
        <v>3783</v>
      </c>
      <c r="P834" s="3" t="s">
        <v>3784</v>
      </c>
      <c r="R834" s="3" t="s">
        <v>70</v>
      </c>
      <c r="S834" s="4">
        <v>0</v>
      </c>
      <c r="T834" s="4">
        <v>2</v>
      </c>
      <c r="V834" s="5" t="s">
        <v>8533</v>
      </c>
      <c r="W834" s="5" t="s">
        <v>72</v>
      </c>
      <c r="X834" s="5" t="s">
        <v>72</v>
      </c>
      <c r="Y834" s="4">
        <v>14</v>
      </c>
      <c r="Z834" s="4">
        <v>1</v>
      </c>
      <c r="AA834" s="4">
        <v>1</v>
      </c>
      <c r="AB834" s="4">
        <v>1</v>
      </c>
      <c r="AC834" s="4">
        <v>1</v>
      </c>
      <c r="AD834" s="4">
        <v>7</v>
      </c>
      <c r="AE834" s="4">
        <v>7</v>
      </c>
      <c r="AF834" s="4">
        <v>0</v>
      </c>
      <c r="AG834" s="4">
        <v>0</v>
      </c>
      <c r="AH834" s="4">
        <v>7</v>
      </c>
      <c r="AI834" s="4">
        <v>7</v>
      </c>
      <c r="AJ834" s="4">
        <v>0</v>
      </c>
      <c r="AK834" s="4">
        <v>0</v>
      </c>
      <c r="AL834" s="4">
        <v>6</v>
      </c>
      <c r="AM834" s="4">
        <v>6</v>
      </c>
      <c r="AN834" s="4">
        <v>0</v>
      </c>
      <c r="AO834" s="4">
        <v>0</v>
      </c>
      <c r="AP834" s="4">
        <v>0</v>
      </c>
      <c r="AQ834" s="4">
        <v>0</v>
      </c>
      <c r="AR834" s="3" t="s">
        <v>64</v>
      </c>
      <c r="AS834" s="3" t="s">
        <v>64</v>
      </c>
      <c r="AT834" s="3" t="s">
        <v>64</v>
      </c>
      <c r="AV834" s="6" t="str">
        <f t="shared" si="10"/>
        <v>Catalog Record</v>
      </c>
      <c r="AW834" s="6" t="str">
        <f t="shared" si="11"/>
        <v>WorldCat Record</v>
      </c>
      <c r="AX834" s="3" t="s">
        <v>8534</v>
      </c>
      <c r="AY834" s="3" t="s">
        <v>8535</v>
      </c>
      <c r="AZ834" s="3" t="s">
        <v>8536</v>
      </c>
      <c r="BA834" s="3" t="s">
        <v>8536</v>
      </c>
      <c r="BB834" s="3" t="s">
        <v>8581</v>
      </c>
      <c r="BC834" s="3" t="s">
        <v>78</v>
      </c>
      <c r="BD834" s="3" t="s">
        <v>79</v>
      </c>
      <c r="BE834" s="3" t="s">
        <v>8538</v>
      </c>
      <c r="BF834" s="3" t="s">
        <v>8581</v>
      </c>
      <c r="BG834" s="3" t="s">
        <v>8582</v>
      </c>
    </row>
    <row r="835" spans="1:59" ht="116" x14ac:dyDescent="0.35">
      <c r="A835" s="2" t="s">
        <v>59</v>
      </c>
      <c r="B835" s="2" t="s">
        <v>3778</v>
      </c>
      <c r="C835" s="2" t="s">
        <v>8529</v>
      </c>
      <c r="D835" s="2" t="s">
        <v>8530</v>
      </c>
      <c r="E835" s="2" t="s">
        <v>8531</v>
      </c>
      <c r="F835" s="3" t="s">
        <v>3861</v>
      </c>
      <c r="G835" s="3" t="s">
        <v>73</v>
      </c>
      <c r="I835" s="3" t="s">
        <v>64</v>
      </c>
      <c r="J835" s="3" t="s">
        <v>64</v>
      </c>
      <c r="K835" s="3" t="s">
        <v>65</v>
      </c>
      <c r="M835" s="2" t="s">
        <v>8532</v>
      </c>
      <c r="N835" s="3" t="s">
        <v>377</v>
      </c>
      <c r="O835" s="2" t="s">
        <v>3783</v>
      </c>
      <c r="P835" s="3" t="s">
        <v>3784</v>
      </c>
      <c r="R835" s="3" t="s">
        <v>70</v>
      </c>
      <c r="S835" s="4">
        <v>0</v>
      </c>
      <c r="T835" s="4">
        <v>2</v>
      </c>
      <c r="V835" s="5" t="s">
        <v>8533</v>
      </c>
      <c r="W835" s="5" t="s">
        <v>72</v>
      </c>
      <c r="X835" s="5" t="s">
        <v>72</v>
      </c>
      <c r="Y835" s="4">
        <v>14</v>
      </c>
      <c r="Z835" s="4">
        <v>1</v>
      </c>
      <c r="AA835" s="4">
        <v>1</v>
      </c>
      <c r="AB835" s="4">
        <v>1</v>
      </c>
      <c r="AC835" s="4">
        <v>1</v>
      </c>
      <c r="AD835" s="4">
        <v>7</v>
      </c>
      <c r="AE835" s="4">
        <v>7</v>
      </c>
      <c r="AF835" s="4">
        <v>0</v>
      </c>
      <c r="AG835" s="4">
        <v>0</v>
      </c>
      <c r="AH835" s="4">
        <v>7</v>
      </c>
      <c r="AI835" s="4">
        <v>7</v>
      </c>
      <c r="AJ835" s="4">
        <v>0</v>
      </c>
      <c r="AK835" s="4">
        <v>0</v>
      </c>
      <c r="AL835" s="4">
        <v>6</v>
      </c>
      <c r="AM835" s="4">
        <v>6</v>
      </c>
      <c r="AN835" s="4">
        <v>0</v>
      </c>
      <c r="AO835" s="4">
        <v>0</v>
      </c>
      <c r="AP835" s="4">
        <v>0</v>
      </c>
      <c r="AQ835" s="4">
        <v>0</v>
      </c>
      <c r="AR835" s="3" t="s">
        <v>64</v>
      </c>
      <c r="AS835" s="3" t="s">
        <v>64</v>
      </c>
      <c r="AT835" s="3" t="s">
        <v>64</v>
      </c>
      <c r="AV835" s="6" t="str">
        <f t="shared" si="10"/>
        <v>Catalog Record</v>
      </c>
      <c r="AW835" s="6" t="str">
        <f t="shared" si="11"/>
        <v>WorldCat Record</v>
      </c>
      <c r="AX835" s="3" t="s">
        <v>8534</v>
      </c>
      <c r="AY835" s="3" t="s">
        <v>8535</v>
      </c>
      <c r="AZ835" s="3" t="s">
        <v>8536</v>
      </c>
      <c r="BA835" s="3" t="s">
        <v>8536</v>
      </c>
      <c r="BB835" s="3" t="s">
        <v>8583</v>
      </c>
      <c r="BC835" s="3" t="s">
        <v>78</v>
      </c>
      <c r="BD835" s="3" t="s">
        <v>79</v>
      </c>
      <c r="BE835" s="3" t="s">
        <v>8538</v>
      </c>
      <c r="BF835" s="3" t="s">
        <v>8583</v>
      </c>
      <c r="BG835" s="3" t="s">
        <v>8584</v>
      </c>
    </row>
    <row r="836" spans="1:59" ht="116" x14ac:dyDescent="0.35">
      <c r="A836" s="2" t="s">
        <v>59</v>
      </c>
      <c r="B836" s="2" t="s">
        <v>3778</v>
      </c>
      <c r="C836" s="2" t="s">
        <v>8529</v>
      </c>
      <c r="D836" s="2" t="s">
        <v>8530</v>
      </c>
      <c r="E836" s="2" t="s">
        <v>8531</v>
      </c>
      <c r="F836" s="3" t="s">
        <v>8585</v>
      </c>
      <c r="G836" s="3" t="s">
        <v>73</v>
      </c>
      <c r="I836" s="3" t="s">
        <v>64</v>
      </c>
      <c r="J836" s="3" t="s">
        <v>64</v>
      </c>
      <c r="K836" s="3" t="s">
        <v>65</v>
      </c>
      <c r="M836" s="2" t="s">
        <v>8532</v>
      </c>
      <c r="N836" s="3" t="s">
        <v>377</v>
      </c>
      <c r="O836" s="2" t="s">
        <v>3783</v>
      </c>
      <c r="P836" s="3" t="s">
        <v>3784</v>
      </c>
      <c r="R836" s="3" t="s">
        <v>70</v>
      </c>
      <c r="S836" s="4">
        <v>0</v>
      </c>
      <c r="T836" s="4">
        <v>2</v>
      </c>
      <c r="V836" s="5" t="s">
        <v>8533</v>
      </c>
      <c r="W836" s="5" t="s">
        <v>72</v>
      </c>
      <c r="X836" s="5" t="s">
        <v>72</v>
      </c>
      <c r="Y836" s="4">
        <v>14</v>
      </c>
      <c r="Z836" s="4">
        <v>1</v>
      </c>
      <c r="AA836" s="4">
        <v>1</v>
      </c>
      <c r="AB836" s="4">
        <v>1</v>
      </c>
      <c r="AC836" s="4">
        <v>1</v>
      </c>
      <c r="AD836" s="4">
        <v>7</v>
      </c>
      <c r="AE836" s="4">
        <v>7</v>
      </c>
      <c r="AF836" s="4">
        <v>0</v>
      </c>
      <c r="AG836" s="4">
        <v>0</v>
      </c>
      <c r="AH836" s="4">
        <v>7</v>
      </c>
      <c r="AI836" s="4">
        <v>7</v>
      </c>
      <c r="AJ836" s="4">
        <v>0</v>
      </c>
      <c r="AK836" s="4">
        <v>0</v>
      </c>
      <c r="AL836" s="4">
        <v>6</v>
      </c>
      <c r="AM836" s="4">
        <v>6</v>
      </c>
      <c r="AN836" s="4">
        <v>0</v>
      </c>
      <c r="AO836" s="4">
        <v>0</v>
      </c>
      <c r="AP836" s="4">
        <v>0</v>
      </c>
      <c r="AQ836" s="4">
        <v>0</v>
      </c>
      <c r="AR836" s="3" t="s">
        <v>64</v>
      </c>
      <c r="AS836" s="3" t="s">
        <v>64</v>
      </c>
      <c r="AT836" s="3" t="s">
        <v>64</v>
      </c>
      <c r="AV836" s="6" t="str">
        <f t="shared" si="10"/>
        <v>Catalog Record</v>
      </c>
      <c r="AW836" s="6" t="str">
        <f t="shared" si="11"/>
        <v>WorldCat Record</v>
      </c>
      <c r="AX836" s="3" t="s">
        <v>8534</v>
      </c>
      <c r="AY836" s="3" t="s">
        <v>8535</v>
      </c>
      <c r="AZ836" s="3" t="s">
        <v>8536</v>
      </c>
      <c r="BA836" s="3" t="s">
        <v>8536</v>
      </c>
      <c r="BB836" s="3" t="s">
        <v>8586</v>
      </c>
      <c r="BC836" s="3" t="s">
        <v>78</v>
      </c>
      <c r="BD836" s="3" t="s">
        <v>79</v>
      </c>
      <c r="BE836" s="3" t="s">
        <v>8538</v>
      </c>
      <c r="BF836" s="3" t="s">
        <v>8586</v>
      </c>
      <c r="BG836" s="3" t="s">
        <v>8587</v>
      </c>
    </row>
    <row r="837" spans="1:59" ht="116" x14ac:dyDescent="0.35">
      <c r="A837" s="2" t="s">
        <v>59</v>
      </c>
      <c r="B837" s="2" t="s">
        <v>3778</v>
      </c>
      <c r="C837" s="2" t="s">
        <v>8529</v>
      </c>
      <c r="D837" s="2" t="s">
        <v>8530</v>
      </c>
      <c r="E837" s="2" t="s">
        <v>8531</v>
      </c>
      <c r="F837" s="3" t="s">
        <v>3858</v>
      </c>
      <c r="G837" s="3" t="s">
        <v>73</v>
      </c>
      <c r="I837" s="3" t="s">
        <v>64</v>
      </c>
      <c r="J837" s="3" t="s">
        <v>64</v>
      </c>
      <c r="K837" s="3" t="s">
        <v>65</v>
      </c>
      <c r="M837" s="2" t="s">
        <v>8532</v>
      </c>
      <c r="N837" s="3" t="s">
        <v>377</v>
      </c>
      <c r="O837" s="2" t="s">
        <v>3783</v>
      </c>
      <c r="P837" s="3" t="s">
        <v>3784</v>
      </c>
      <c r="R837" s="3" t="s">
        <v>70</v>
      </c>
      <c r="S837" s="4">
        <v>0</v>
      </c>
      <c r="T837" s="4">
        <v>2</v>
      </c>
      <c r="V837" s="5" t="s">
        <v>8533</v>
      </c>
      <c r="W837" s="5" t="s">
        <v>72</v>
      </c>
      <c r="X837" s="5" t="s">
        <v>72</v>
      </c>
      <c r="Y837" s="4">
        <v>14</v>
      </c>
      <c r="Z837" s="4">
        <v>1</v>
      </c>
      <c r="AA837" s="4">
        <v>1</v>
      </c>
      <c r="AB837" s="4">
        <v>1</v>
      </c>
      <c r="AC837" s="4">
        <v>1</v>
      </c>
      <c r="AD837" s="4">
        <v>7</v>
      </c>
      <c r="AE837" s="4">
        <v>7</v>
      </c>
      <c r="AF837" s="4">
        <v>0</v>
      </c>
      <c r="AG837" s="4">
        <v>0</v>
      </c>
      <c r="AH837" s="4">
        <v>7</v>
      </c>
      <c r="AI837" s="4">
        <v>7</v>
      </c>
      <c r="AJ837" s="4">
        <v>0</v>
      </c>
      <c r="AK837" s="4">
        <v>0</v>
      </c>
      <c r="AL837" s="4">
        <v>6</v>
      </c>
      <c r="AM837" s="4">
        <v>6</v>
      </c>
      <c r="AN837" s="4">
        <v>0</v>
      </c>
      <c r="AO837" s="4">
        <v>0</v>
      </c>
      <c r="AP837" s="4">
        <v>0</v>
      </c>
      <c r="AQ837" s="4">
        <v>0</v>
      </c>
      <c r="AR837" s="3" t="s">
        <v>64</v>
      </c>
      <c r="AS837" s="3" t="s">
        <v>64</v>
      </c>
      <c r="AT837" s="3" t="s">
        <v>64</v>
      </c>
      <c r="AV837" s="6" t="str">
        <f t="shared" si="10"/>
        <v>Catalog Record</v>
      </c>
      <c r="AW837" s="6" t="str">
        <f t="shared" si="11"/>
        <v>WorldCat Record</v>
      </c>
      <c r="AX837" s="3" t="s">
        <v>8534</v>
      </c>
      <c r="AY837" s="3" t="s">
        <v>8535</v>
      </c>
      <c r="AZ837" s="3" t="s">
        <v>8536</v>
      </c>
      <c r="BA837" s="3" t="s">
        <v>8536</v>
      </c>
      <c r="BB837" s="3" t="s">
        <v>8588</v>
      </c>
      <c r="BC837" s="3" t="s">
        <v>78</v>
      </c>
      <c r="BD837" s="3" t="s">
        <v>79</v>
      </c>
      <c r="BE837" s="3" t="s">
        <v>8538</v>
      </c>
      <c r="BF837" s="3" t="s">
        <v>8588</v>
      </c>
      <c r="BG837" s="3" t="s">
        <v>8589</v>
      </c>
    </row>
    <row r="838" spans="1:59" ht="116" x14ac:dyDescent="0.35">
      <c r="A838" s="2" t="s">
        <v>59</v>
      </c>
      <c r="B838" s="2" t="s">
        <v>3778</v>
      </c>
      <c r="C838" s="2" t="s">
        <v>8590</v>
      </c>
      <c r="D838" s="2" t="s">
        <v>8591</v>
      </c>
      <c r="E838" s="2" t="s">
        <v>8592</v>
      </c>
      <c r="G838" s="3" t="s">
        <v>64</v>
      </c>
      <c r="I838" s="3" t="s">
        <v>64</v>
      </c>
      <c r="J838" s="3" t="s">
        <v>64</v>
      </c>
      <c r="K838" s="3" t="s">
        <v>65</v>
      </c>
      <c r="M838" s="2" t="s">
        <v>8593</v>
      </c>
      <c r="N838" s="3" t="s">
        <v>365</v>
      </c>
      <c r="O838" s="2" t="s">
        <v>8594</v>
      </c>
      <c r="P838" s="3" t="s">
        <v>3784</v>
      </c>
      <c r="Q838" s="2" t="s">
        <v>8595</v>
      </c>
      <c r="R838" s="3" t="s">
        <v>70</v>
      </c>
      <c r="S838" s="4">
        <v>7</v>
      </c>
      <c r="T838" s="4">
        <v>7</v>
      </c>
      <c r="U838" s="5" t="s">
        <v>8596</v>
      </c>
      <c r="V838" s="5" t="s">
        <v>8596</v>
      </c>
      <c r="W838" s="5" t="s">
        <v>72</v>
      </c>
      <c r="X838" s="5" t="s">
        <v>72</v>
      </c>
      <c r="Y838" s="4">
        <v>20</v>
      </c>
      <c r="Z838" s="4">
        <v>4</v>
      </c>
      <c r="AA838" s="4">
        <v>6</v>
      </c>
      <c r="AB838" s="4">
        <v>1</v>
      </c>
      <c r="AC838" s="4">
        <v>1</v>
      </c>
      <c r="AD838" s="4">
        <v>12</v>
      </c>
      <c r="AE838" s="4">
        <v>39</v>
      </c>
      <c r="AF838" s="4">
        <v>0</v>
      </c>
      <c r="AG838" s="4">
        <v>0</v>
      </c>
      <c r="AH838" s="4">
        <v>12</v>
      </c>
      <c r="AI838" s="4">
        <v>36</v>
      </c>
      <c r="AJ838" s="4">
        <v>1</v>
      </c>
      <c r="AK838" s="4">
        <v>3</v>
      </c>
      <c r="AL838" s="4">
        <v>11</v>
      </c>
      <c r="AM838" s="4">
        <v>30</v>
      </c>
      <c r="AN838" s="4">
        <v>0</v>
      </c>
      <c r="AO838" s="4">
        <v>0</v>
      </c>
      <c r="AP838" s="4">
        <v>1</v>
      </c>
      <c r="AQ838" s="4">
        <v>3</v>
      </c>
      <c r="AR838" s="3" t="s">
        <v>64</v>
      </c>
      <c r="AS838" s="3" t="s">
        <v>64</v>
      </c>
      <c r="AT838" s="3" t="s">
        <v>73</v>
      </c>
      <c r="AU838" s="6" t="str">
        <f>HYPERLINK("http://catalog.hathitrust.org/Record/007164465","HathiTrust Record")</f>
        <v>HathiTrust Record</v>
      </c>
      <c r="AV838" s="6" t="str">
        <f>HYPERLINK("http://mcgill.on.worldcat.org/oclc/16933710","Catalog Record")</f>
        <v>Catalog Record</v>
      </c>
      <c r="AW838" s="6" t="str">
        <f>HYPERLINK("http://www.worldcat.org/oclc/16933710","WorldCat Record")</f>
        <v>WorldCat Record</v>
      </c>
      <c r="AX838" s="3" t="s">
        <v>8597</v>
      </c>
      <c r="AY838" s="3" t="s">
        <v>8598</v>
      </c>
      <c r="AZ838" s="3" t="s">
        <v>8599</v>
      </c>
      <c r="BA838" s="3" t="s">
        <v>8599</v>
      </c>
      <c r="BB838" s="3" t="s">
        <v>8600</v>
      </c>
      <c r="BC838" s="3" t="s">
        <v>78</v>
      </c>
      <c r="BD838" s="3" t="s">
        <v>79</v>
      </c>
      <c r="BE838" s="3" t="s">
        <v>8601</v>
      </c>
      <c r="BF838" s="3" t="s">
        <v>8600</v>
      </c>
      <c r="BG838" s="3" t="s">
        <v>8602</v>
      </c>
    </row>
    <row r="839" spans="1:59" ht="58" x14ac:dyDescent="0.35">
      <c r="A839" s="2" t="s">
        <v>59</v>
      </c>
      <c r="B839" s="2" t="s">
        <v>94</v>
      </c>
      <c r="C839" s="2" t="s">
        <v>8603</v>
      </c>
      <c r="D839" s="2" t="s">
        <v>8604</v>
      </c>
      <c r="E839" s="2" t="s">
        <v>8605</v>
      </c>
      <c r="G839" s="3" t="s">
        <v>64</v>
      </c>
      <c r="I839" s="3" t="s">
        <v>64</v>
      </c>
      <c r="J839" s="3" t="s">
        <v>64</v>
      </c>
      <c r="K839" s="3" t="s">
        <v>65</v>
      </c>
      <c r="L839" s="2" t="s">
        <v>8606</v>
      </c>
      <c r="M839" s="2" t="s">
        <v>7914</v>
      </c>
      <c r="N839" s="3" t="s">
        <v>377</v>
      </c>
      <c r="P839" s="3" t="s">
        <v>69</v>
      </c>
      <c r="Q839" s="2" t="s">
        <v>8607</v>
      </c>
      <c r="R839" s="3" t="s">
        <v>70</v>
      </c>
      <c r="S839" s="4">
        <v>2</v>
      </c>
      <c r="T839" s="4">
        <v>2</v>
      </c>
      <c r="U839" s="5" t="s">
        <v>8608</v>
      </c>
      <c r="V839" s="5" t="s">
        <v>8608</v>
      </c>
      <c r="W839" s="5" t="s">
        <v>72</v>
      </c>
      <c r="X839" s="5" t="s">
        <v>72</v>
      </c>
      <c r="Y839" s="4">
        <v>97</v>
      </c>
      <c r="Z839" s="4">
        <v>13</v>
      </c>
      <c r="AA839" s="4">
        <v>49</v>
      </c>
      <c r="AB839" s="4">
        <v>1</v>
      </c>
      <c r="AC839" s="4">
        <v>4</v>
      </c>
      <c r="AD839" s="4">
        <v>43</v>
      </c>
      <c r="AE839" s="4">
        <v>66</v>
      </c>
      <c r="AF839" s="4">
        <v>0</v>
      </c>
      <c r="AG839" s="4">
        <v>1</v>
      </c>
      <c r="AH839" s="4">
        <v>37</v>
      </c>
      <c r="AI839" s="4">
        <v>49</v>
      </c>
      <c r="AJ839" s="4">
        <v>10</v>
      </c>
      <c r="AK839" s="4">
        <v>18</v>
      </c>
      <c r="AL839" s="4">
        <v>26</v>
      </c>
      <c r="AM839" s="4">
        <v>33</v>
      </c>
      <c r="AN839" s="4">
        <v>0</v>
      </c>
      <c r="AO839" s="4">
        <v>0</v>
      </c>
      <c r="AP839" s="4">
        <v>10</v>
      </c>
      <c r="AQ839" s="4">
        <v>24</v>
      </c>
      <c r="AR839" s="3" t="s">
        <v>64</v>
      </c>
      <c r="AS839" s="3" t="s">
        <v>64</v>
      </c>
      <c r="AT839" s="3" t="s">
        <v>64</v>
      </c>
      <c r="AV839" s="6" t="str">
        <f>HYPERLINK("http://mcgill.on.worldcat.org/oclc/752068322","Catalog Record")</f>
        <v>Catalog Record</v>
      </c>
      <c r="AW839" s="6" t="str">
        <f>HYPERLINK("http://www.worldcat.org/oclc/752068322","WorldCat Record")</f>
        <v>WorldCat Record</v>
      </c>
      <c r="AX839" s="3" t="s">
        <v>8609</v>
      </c>
      <c r="AY839" s="3" t="s">
        <v>8610</v>
      </c>
      <c r="AZ839" s="3" t="s">
        <v>8611</v>
      </c>
      <c r="BA839" s="3" t="s">
        <v>8611</v>
      </c>
      <c r="BB839" s="3" t="s">
        <v>8612</v>
      </c>
      <c r="BC839" s="3" t="s">
        <v>78</v>
      </c>
      <c r="BD839" s="3" t="s">
        <v>79</v>
      </c>
      <c r="BE839" s="3" t="s">
        <v>8613</v>
      </c>
      <c r="BF839" s="3" t="s">
        <v>8612</v>
      </c>
      <c r="BG839" s="3" t="s">
        <v>8614</v>
      </c>
    </row>
    <row r="840" spans="1:59" ht="58" x14ac:dyDescent="0.35">
      <c r="A840" s="2" t="s">
        <v>59</v>
      </c>
      <c r="B840" s="2" t="s">
        <v>94</v>
      </c>
      <c r="C840" s="2" t="s">
        <v>8615</v>
      </c>
      <c r="D840" s="2" t="s">
        <v>8616</v>
      </c>
      <c r="E840" s="2" t="s">
        <v>8617</v>
      </c>
      <c r="G840" s="3" t="s">
        <v>64</v>
      </c>
      <c r="I840" s="3" t="s">
        <v>64</v>
      </c>
      <c r="J840" s="3" t="s">
        <v>64</v>
      </c>
      <c r="K840" s="3" t="s">
        <v>65</v>
      </c>
      <c r="M840" s="2" t="s">
        <v>8618</v>
      </c>
      <c r="N840" s="3" t="s">
        <v>733</v>
      </c>
      <c r="P840" s="3" t="s">
        <v>69</v>
      </c>
      <c r="Q840" s="2" t="s">
        <v>8619</v>
      </c>
      <c r="R840" s="3" t="s">
        <v>70</v>
      </c>
      <c r="S840" s="4">
        <v>5</v>
      </c>
      <c r="T840" s="4">
        <v>5</v>
      </c>
      <c r="U840" s="5" t="s">
        <v>1802</v>
      </c>
      <c r="V840" s="5" t="s">
        <v>1802</v>
      </c>
      <c r="W840" s="5" t="s">
        <v>72</v>
      </c>
      <c r="X840" s="5" t="s">
        <v>72</v>
      </c>
      <c r="Y840" s="4">
        <v>301</v>
      </c>
      <c r="Z840" s="4">
        <v>17</v>
      </c>
      <c r="AA840" s="4">
        <v>20</v>
      </c>
      <c r="AB840" s="4">
        <v>2</v>
      </c>
      <c r="AC840" s="4">
        <v>3</v>
      </c>
      <c r="AD840" s="4">
        <v>92</v>
      </c>
      <c r="AE840" s="4">
        <v>95</v>
      </c>
      <c r="AF840" s="4">
        <v>1</v>
      </c>
      <c r="AG840" s="4">
        <v>2</v>
      </c>
      <c r="AH840" s="4">
        <v>85</v>
      </c>
      <c r="AI840" s="4">
        <v>86</v>
      </c>
      <c r="AJ840" s="4">
        <v>12</v>
      </c>
      <c r="AK840" s="4">
        <v>15</v>
      </c>
      <c r="AL840" s="4">
        <v>50</v>
      </c>
      <c r="AM840" s="4">
        <v>50</v>
      </c>
      <c r="AN840" s="4">
        <v>0</v>
      </c>
      <c r="AO840" s="4">
        <v>0</v>
      </c>
      <c r="AP840" s="4">
        <v>15</v>
      </c>
      <c r="AQ840" s="4">
        <v>17</v>
      </c>
      <c r="AR840" s="3" t="s">
        <v>64</v>
      </c>
      <c r="AS840" s="3" t="s">
        <v>64</v>
      </c>
      <c r="AT840" s="3" t="s">
        <v>73</v>
      </c>
      <c r="AU840" s="6" t="str">
        <f>HYPERLINK("http://catalog.hathitrust.org/Record/000194001","HathiTrust Record")</f>
        <v>HathiTrust Record</v>
      </c>
      <c r="AV840" s="6" t="str">
        <f>HYPERLINK("http://mcgill.on.worldcat.org/oclc/8785217","Catalog Record")</f>
        <v>Catalog Record</v>
      </c>
      <c r="AW840" s="6" t="str">
        <f>HYPERLINK("http://www.worldcat.org/oclc/8785217","WorldCat Record")</f>
        <v>WorldCat Record</v>
      </c>
      <c r="AX840" s="3" t="s">
        <v>8620</v>
      </c>
      <c r="AY840" s="3" t="s">
        <v>8621</v>
      </c>
      <c r="AZ840" s="3" t="s">
        <v>8622</v>
      </c>
      <c r="BA840" s="3" t="s">
        <v>8622</v>
      </c>
      <c r="BB840" s="3" t="s">
        <v>8623</v>
      </c>
      <c r="BC840" s="3" t="s">
        <v>78</v>
      </c>
      <c r="BD840" s="3" t="s">
        <v>79</v>
      </c>
      <c r="BE840" s="3" t="s">
        <v>8624</v>
      </c>
      <c r="BF840" s="3" t="s">
        <v>8623</v>
      </c>
      <c r="BG840" s="3" t="s">
        <v>8625</v>
      </c>
    </row>
    <row r="841" spans="1:59" ht="87" x14ac:dyDescent="0.35">
      <c r="A841" s="2" t="s">
        <v>59</v>
      </c>
      <c r="B841" s="2" t="s">
        <v>94</v>
      </c>
      <c r="C841" s="2" t="s">
        <v>8626</v>
      </c>
      <c r="D841" s="2" t="s">
        <v>8627</v>
      </c>
      <c r="E841" s="2" t="s">
        <v>8628</v>
      </c>
      <c r="G841" s="3" t="s">
        <v>64</v>
      </c>
      <c r="I841" s="3" t="s">
        <v>64</v>
      </c>
      <c r="J841" s="3" t="s">
        <v>64</v>
      </c>
      <c r="K841" s="3" t="s">
        <v>65</v>
      </c>
      <c r="M841" s="2" t="s">
        <v>6832</v>
      </c>
      <c r="N841" s="3" t="s">
        <v>377</v>
      </c>
      <c r="P841" s="3" t="s">
        <v>69</v>
      </c>
      <c r="Q841" s="2" t="s">
        <v>8629</v>
      </c>
      <c r="R841" s="3" t="s">
        <v>70</v>
      </c>
      <c r="S841" s="4">
        <v>0</v>
      </c>
      <c r="T841" s="4">
        <v>0</v>
      </c>
      <c r="W841" s="5" t="s">
        <v>72</v>
      </c>
      <c r="X841" s="5" t="s">
        <v>72</v>
      </c>
      <c r="Y841" s="4">
        <v>79</v>
      </c>
      <c r="Z841" s="4">
        <v>4</v>
      </c>
      <c r="AA841" s="4">
        <v>32</v>
      </c>
      <c r="AB841" s="4">
        <v>1</v>
      </c>
      <c r="AC841" s="4">
        <v>6</v>
      </c>
      <c r="AD841" s="4">
        <v>48</v>
      </c>
      <c r="AE841" s="4">
        <v>96</v>
      </c>
      <c r="AF841" s="4">
        <v>0</v>
      </c>
      <c r="AG841" s="4">
        <v>2</v>
      </c>
      <c r="AH841" s="4">
        <v>47</v>
      </c>
      <c r="AI841" s="4">
        <v>79</v>
      </c>
      <c r="AJ841" s="4">
        <v>3</v>
      </c>
      <c r="AK841" s="4">
        <v>13</v>
      </c>
      <c r="AL841" s="4">
        <v>28</v>
      </c>
      <c r="AM841" s="4">
        <v>44</v>
      </c>
      <c r="AN841" s="4">
        <v>0</v>
      </c>
      <c r="AO841" s="4">
        <v>0</v>
      </c>
      <c r="AP841" s="4">
        <v>3</v>
      </c>
      <c r="AQ841" s="4">
        <v>23</v>
      </c>
      <c r="AR841" s="3" t="s">
        <v>64</v>
      </c>
      <c r="AS841" s="3" t="s">
        <v>64</v>
      </c>
      <c r="AT841" s="3" t="s">
        <v>64</v>
      </c>
      <c r="AV841" s="6" t="str">
        <f>HYPERLINK("http://mcgill.on.worldcat.org/oclc/808628415","Catalog Record")</f>
        <v>Catalog Record</v>
      </c>
      <c r="AW841" s="6" t="str">
        <f>HYPERLINK("http://www.worldcat.org/oclc/808628415","WorldCat Record")</f>
        <v>WorldCat Record</v>
      </c>
      <c r="AX841" s="3" t="s">
        <v>8630</v>
      </c>
      <c r="AY841" s="3" t="s">
        <v>8631</v>
      </c>
      <c r="AZ841" s="3" t="s">
        <v>8632</v>
      </c>
      <c r="BA841" s="3" t="s">
        <v>8632</v>
      </c>
      <c r="BB841" s="3" t="s">
        <v>8633</v>
      </c>
      <c r="BC841" s="3" t="s">
        <v>78</v>
      </c>
      <c r="BD841" s="3" t="s">
        <v>79</v>
      </c>
      <c r="BE841" s="3" t="s">
        <v>8634</v>
      </c>
      <c r="BF841" s="3" t="s">
        <v>8633</v>
      </c>
      <c r="BG841" s="3" t="s">
        <v>8635</v>
      </c>
    </row>
    <row r="842" spans="1:59" ht="58" x14ac:dyDescent="0.35">
      <c r="A842" s="2" t="s">
        <v>59</v>
      </c>
      <c r="B842" s="2" t="s">
        <v>94</v>
      </c>
      <c r="C842" s="2" t="s">
        <v>8637</v>
      </c>
      <c r="D842" s="2" t="s">
        <v>8638</v>
      </c>
      <c r="E842" s="2" t="s">
        <v>8639</v>
      </c>
      <c r="G842" s="3" t="s">
        <v>64</v>
      </c>
      <c r="I842" s="3" t="s">
        <v>64</v>
      </c>
      <c r="J842" s="3" t="s">
        <v>64</v>
      </c>
      <c r="K842" s="3" t="s">
        <v>65</v>
      </c>
      <c r="L842" s="2" t="s">
        <v>8640</v>
      </c>
      <c r="M842" s="2" t="s">
        <v>8641</v>
      </c>
      <c r="N842" s="3" t="s">
        <v>3437</v>
      </c>
      <c r="P842" s="3" t="s">
        <v>202</v>
      </c>
      <c r="R842" s="3" t="s">
        <v>70</v>
      </c>
      <c r="S842" s="4">
        <v>1</v>
      </c>
      <c r="T842" s="4">
        <v>1</v>
      </c>
      <c r="U842" s="5" t="s">
        <v>2747</v>
      </c>
      <c r="V842" s="5" t="s">
        <v>2747</v>
      </c>
      <c r="W842" s="5" t="s">
        <v>72</v>
      </c>
      <c r="X842" s="5" t="s">
        <v>72</v>
      </c>
      <c r="Y842" s="4">
        <v>30</v>
      </c>
      <c r="Z842" s="4">
        <v>2</v>
      </c>
      <c r="AA842" s="4">
        <v>2</v>
      </c>
      <c r="AB842" s="4">
        <v>1</v>
      </c>
      <c r="AC842" s="4">
        <v>1</v>
      </c>
      <c r="AD842" s="4">
        <v>21</v>
      </c>
      <c r="AE842" s="4">
        <v>21</v>
      </c>
      <c r="AF842" s="4">
        <v>0</v>
      </c>
      <c r="AG842" s="4">
        <v>0</v>
      </c>
      <c r="AH842" s="4">
        <v>20</v>
      </c>
      <c r="AI842" s="4">
        <v>20</v>
      </c>
      <c r="AJ842" s="4">
        <v>1</v>
      </c>
      <c r="AK842" s="4">
        <v>1</v>
      </c>
      <c r="AL842" s="4">
        <v>15</v>
      </c>
      <c r="AM842" s="4">
        <v>15</v>
      </c>
      <c r="AN842" s="4">
        <v>0</v>
      </c>
      <c r="AO842" s="4">
        <v>0</v>
      </c>
      <c r="AP842" s="4">
        <v>1</v>
      </c>
      <c r="AQ842" s="4">
        <v>1</v>
      </c>
      <c r="AR842" s="3" t="s">
        <v>64</v>
      </c>
      <c r="AS842" s="3" t="s">
        <v>64</v>
      </c>
      <c r="AT842" s="3" t="s">
        <v>73</v>
      </c>
      <c r="AU842" s="6" t="str">
        <f>HYPERLINK("http://catalog.hathitrust.org/Record/006077963","HathiTrust Record")</f>
        <v>HathiTrust Record</v>
      </c>
      <c r="AV842" s="6" t="str">
        <f>HYPERLINK("http://mcgill.on.worldcat.org/oclc/15695213","Catalog Record")</f>
        <v>Catalog Record</v>
      </c>
      <c r="AW842" s="6" t="str">
        <f>HYPERLINK("http://www.worldcat.org/oclc/15695213","WorldCat Record")</f>
        <v>WorldCat Record</v>
      </c>
      <c r="AX842" s="3" t="s">
        <v>8642</v>
      </c>
      <c r="AY842" s="3" t="s">
        <v>8643</v>
      </c>
      <c r="AZ842" s="3" t="s">
        <v>8644</v>
      </c>
      <c r="BA842" s="3" t="s">
        <v>8644</v>
      </c>
      <c r="BB842" s="3" t="s">
        <v>8645</v>
      </c>
      <c r="BC842" s="3" t="s">
        <v>78</v>
      </c>
      <c r="BD842" s="3" t="s">
        <v>79</v>
      </c>
      <c r="BF842" s="3" t="s">
        <v>8645</v>
      </c>
      <c r="BG842" s="3" t="s">
        <v>8646</v>
      </c>
    </row>
    <row r="843" spans="1:59" ht="58" x14ac:dyDescent="0.35">
      <c r="A843" s="2" t="s">
        <v>59</v>
      </c>
      <c r="B843" s="2" t="s">
        <v>94</v>
      </c>
      <c r="C843" s="2" t="s">
        <v>8647</v>
      </c>
      <c r="D843" s="2" t="s">
        <v>8648</v>
      </c>
      <c r="E843" s="2" t="s">
        <v>8649</v>
      </c>
      <c r="G843" s="3" t="s">
        <v>64</v>
      </c>
      <c r="I843" s="3" t="s">
        <v>64</v>
      </c>
      <c r="J843" s="3" t="s">
        <v>64</v>
      </c>
      <c r="K843" s="3" t="s">
        <v>65</v>
      </c>
      <c r="M843" s="2" t="s">
        <v>8650</v>
      </c>
      <c r="N843" s="3" t="s">
        <v>1267</v>
      </c>
      <c r="O843" s="2" t="s">
        <v>8651</v>
      </c>
      <c r="P843" s="3" t="s">
        <v>202</v>
      </c>
      <c r="Q843" s="2" t="s">
        <v>8652</v>
      </c>
      <c r="R843" s="3" t="s">
        <v>70</v>
      </c>
      <c r="S843" s="4">
        <v>1</v>
      </c>
      <c r="T843" s="4">
        <v>1</v>
      </c>
      <c r="U843" s="5" t="s">
        <v>3623</v>
      </c>
      <c r="V843" s="5" t="s">
        <v>3623</v>
      </c>
      <c r="W843" s="5" t="s">
        <v>72</v>
      </c>
      <c r="X843" s="5" t="s">
        <v>72</v>
      </c>
      <c r="Y843" s="4">
        <v>9</v>
      </c>
      <c r="Z843" s="4">
        <v>4</v>
      </c>
      <c r="AA843" s="4">
        <v>4</v>
      </c>
      <c r="AB843" s="4">
        <v>1</v>
      </c>
      <c r="AC843" s="4">
        <v>1</v>
      </c>
      <c r="AD843" s="4">
        <v>4</v>
      </c>
      <c r="AE843" s="4">
        <v>4</v>
      </c>
      <c r="AF843" s="4">
        <v>0</v>
      </c>
      <c r="AG843" s="4">
        <v>0</v>
      </c>
      <c r="AH843" s="4">
        <v>3</v>
      </c>
      <c r="AI843" s="4">
        <v>3</v>
      </c>
      <c r="AJ843" s="4">
        <v>2</v>
      </c>
      <c r="AK843" s="4">
        <v>2</v>
      </c>
      <c r="AL843" s="4">
        <v>2</v>
      </c>
      <c r="AM843" s="4">
        <v>2</v>
      </c>
      <c r="AN843" s="4">
        <v>0</v>
      </c>
      <c r="AO843" s="4">
        <v>0</v>
      </c>
      <c r="AP843" s="4">
        <v>2</v>
      </c>
      <c r="AQ843" s="4">
        <v>2</v>
      </c>
      <c r="AR843" s="3" t="s">
        <v>64</v>
      </c>
      <c r="AS843" s="3" t="s">
        <v>64</v>
      </c>
      <c r="AT843" s="3" t="s">
        <v>64</v>
      </c>
      <c r="AV843" s="6" t="str">
        <f>HYPERLINK("http://mcgill.on.worldcat.org/oclc/61588093","Catalog Record")</f>
        <v>Catalog Record</v>
      </c>
      <c r="AW843" s="6" t="str">
        <f>HYPERLINK("http://www.worldcat.org/oclc/61588093","WorldCat Record")</f>
        <v>WorldCat Record</v>
      </c>
      <c r="AX843" s="3" t="s">
        <v>8653</v>
      </c>
      <c r="AY843" s="3" t="s">
        <v>8654</v>
      </c>
      <c r="AZ843" s="3" t="s">
        <v>8655</v>
      </c>
      <c r="BA843" s="3" t="s">
        <v>8655</v>
      </c>
      <c r="BB843" s="3" t="s">
        <v>8656</v>
      </c>
      <c r="BC843" s="3" t="s">
        <v>78</v>
      </c>
      <c r="BD843" s="3" t="s">
        <v>79</v>
      </c>
      <c r="BF843" s="3" t="s">
        <v>8656</v>
      </c>
      <c r="BG843" s="3" t="s">
        <v>8657</v>
      </c>
    </row>
    <row r="844" spans="1:59" ht="58" x14ac:dyDescent="0.35">
      <c r="A844" s="2" t="s">
        <v>59</v>
      </c>
      <c r="B844" s="2" t="s">
        <v>94</v>
      </c>
      <c r="C844" s="2" t="s">
        <v>8658</v>
      </c>
      <c r="D844" s="2" t="s">
        <v>8659</v>
      </c>
      <c r="E844" s="2" t="s">
        <v>8660</v>
      </c>
      <c r="G844" s="3" t="s">
        <v>64</v>
      </c>
      <c r="I844" s="3" t="s">
        <v>64</v>
      </c>
      <c r="J844" s="3" t="s">
        <v>64</v>
      </c>
      <c r="K844" s="3" t="s">
        <v>65</v>
      </c>
      <c r="M844" s="2" t="s">
        <v>8661</v>
      </c>
      <c r="N844" s="3" t="s">
        <v>1227</v>
      </c>
      <c r="P844" s="3" t="s">
        <v>202</v>
      </c>
      <c r="R844" s="3" t="s">
        <v>70</v>
      </c>
      <c r="S844" s="4">
        <v>1</v>
      </c>
      <c r="T844" s="4">
        <v>1</v>
      </c>
      <c r="U844" s="5" t="s">
        <v>3623</v>
      </c>
      <c r="V844" s="5" t="s">
        <v>3623</v>
      </c>
      <c r="W844" s="5" t="s">
        <v>72</v>
      </c>
      <c r="X844" s="5" t="s">
        <v>72</v>
      </c>
      <c r="Y844" s="4">
        <v>23</v>
      </c>
      <c r="Z844" s="4">
        <v>2</v>
      </c>
      <c r="AA844" s="4">
        <v>2</v>
      </c>
      <c r="AB844" s="4">
        <v>1</v>
      </c>
      <c r="AC844" s="4">
        <v>1</v>
      </c>
      <c r="AD844" s="4">
        <v>17</v>
      </c>
      <c r="AE844" s="4">
        <v>17</v>
      </c>
      <c r="AF844" s="4">
        <v>0</v>
      </c>
      <c r="AG844" s="4">
        <v>0</v>
      </c>
      <c r="AH844" s="4">
        <v>16</v>
      </c>
      <c r="AI844" s="4">
        <v>16</v>
      </c>
      <c r="AJ844" s="4">
        <v>1</v>
      </c>
      <c r="AK844" s="4">
        <v>1</v>
      </c>
      <c r="AL844" s="4">
        <v>11</v>
      </c>
      <c r="AM844" s="4">
        <v>11</v>
      </c>
      <c r="AN844" s="4">
        <v>0</v>
      </c>
      <c r="AO844" s="4">
        <v>0</v>
      </c>
      <c r="AP844" s="4">
        <v>1</v>
      </c>
      <c r="AQ844" s="4">
        <v>1</v>
      </c>
      <c r="AR844" s="3" t="s">
        <v>64</v>
      </c>
      <c r="AS844" s="3" t="s">
        <v>64</v>
      </c>
      <c r="AT844" s="3" t="s">
        <v>64</v>
      </c>
      <c r="AV844" s="6" t="str">
        <f>HYPERLINK("http://mcgill.on.worldcat.org/oclc/9306043","Catalog Record")</f>
        <v>Catalog Record</v>
      </c>
      <c r="AW844" s="6" t="str">
        <f>HYPERLINK("http://www.worldcat.org/oclc/9306043","WorldCat Record")</f>
        <v>WorldCat Record</v>
      </c>
      <c r="AX844" s="3" t="s">
        <v>8662</v>
      </c>
      <c r="AY844" s="3" t="s">
        <v>8663</v>
      </c>
      <c r="AZ844" s="3" t="s">
        <v>8664</v>
      </c>
      <c r="BA844" s="3" t="s">
        <v>8664</v>
      </c>
      <c r="BB844" s="3" t="s">
        <v>8665</v>
      </c>
      <c r="BC844" s="3" t="s">
        <v>78</v>
      </c>
      <c r="BD844" s="3" t="s">
        <v>79</v>
      </c>
      <c r="BF844" s="3" t="s">
        <v>8665</v>
      </c>
      <c r="BG844" s="3" t="s">
        <v>8666</v>
      </c>
    </row>
    <row r="845" spans="1:59" ht="58" x14ac:dyDescent="0.35">
      <c r="A845" s="2" t="s">
        <v>59</v>
      </c>
      <c r="B845" s="2" t="s">
        <v>94</v>
      </c>
      <c r="C845" s="2" t="s">
        <v>8667</v>
      </c>
      <c r="D845" s="2" t="s">
        <v>8668</v>
      </c>
      <c r="E845" s="2" t="s">
        <v>8669</v>
      </c>
      <c r="G845" s="3" t="s">
        <v>64</v>
      </c>
      <c r="I845" s="3" t="s">
        <v>64</v>
      </c>
      <c r="J845" s="3" t="s">
        <v>64</v>
      </c>
      <c r="K845" s="3" t="s">
        <v>65</v>
      </c>
      <c r="L845" s="2" t="s">
        <v>8670</v>
      </c>
      <c r="M845" s="2" t="s">
        <v>8671</v>
      </c>
      <c r="N845" s="3" t="s">
        <v>1267</v>
      </c>
      <c r="P845" s="3" t="s">
        <v>202</v>
      </c>
      <c r="R845" s="3" t="s">
        <v>70</v>
      </c>
      <c r="S845" s="4">
        <v>2</v>
      </c>
      <c r="T845" s="4">
        <v>2</v>
      </c>
      <c r="U845" s="5" t="s">
        <v>3623</v>
      </c>
      <c r="V845" s="5" t="s">
        <v>3623</v>
      </c>
      <c r="W845" s="5" t="s">
        <v>72</v>
      </c>
      <c r="X845" s="5" t="s">
        <v>72</v>
      </c>
      <c r="Y845" s="4">
        <v>5</v>
      </c>
      <c r="Z845" s="4">
        <v>3</v>
      </c>
      <c r="AA845" s="4">
        <v>4</v>
      </c>
      <c r="AB845" s="4">
        <v>1</v>
      </c>
      <c r="AC845" s="4">
        <v>1</v>
      </c>
      <c r="AD845" s="4">
        <v>2</v>
      </c>
      <c r="AE845" s="4">
        <v>3</v>
      </c>
      <c r="AF845" s="4">
        <v>0</v>
      </c>
      <c r="AG845" s="4">
        <v>0</v>
      </c>
      <c r="AH845" s="4">
        <v>2</v>
      </c>
      <c r="AI845" s="4">
        <v>3</v>
      </c>
      <c r="AJ845" s="4">
        <v>2</v>
      </c>
      <c r="AK845" s="4">
        <v>3</v>
      </c>
      <c r="AL845" s="4">
        <v>0</v>
      </c>
      <c r="AM845" s="4">
        <v>0</v>
      </c>
      <c r="AN845" s="4">
        <v>0</v>
      </c>
      <c r="AO845" s="4">
        <v>0</v>
      </c>
      <c r="AP845" s="4">
        <v>2</v>
      </c>
      <c r="AQ845" s="4">
        <v>3</v>
      </c>
      <c r="AR845" s="3" t="s">
        <v>64</v>
      </c>
      <c r="AS845" s="3" t="s">
        <v>64</v>
      </c>
      <c r="AT845" s="3" t="s">
        <v>64</v>
      </c>
      <c r="AV845" s="6" t="str">
        <f>HYPERLINK("http://mcgill.on.worldcat.org/oclc/65670962","Catalog Record")</f>
        <v>Catalog Record</v>
      </c>
      <c r="AW845" s="6" t="str">
        <f>HYPERLINK("http://www.worldcat.org/oclc/65670962","WorldCat Record")</f>
        <v>WorldCat Record</v>
      </c>
      <c r="AX845" s="3" t="s">
        <v>8672</v>
      </c>
      <c r="AY845" s="3" t="s">
        <v>8673</v>
      </c>
      <c r="AZ845" s="3" t="s">
        <v>8674</v>
      </c>
      <c r="BA845" s="3" t="s">
        <v>8674</v>
      </c>
      <c r="BB845" s="3" t="s">
        <v>8675</v>
      </c>
      <c r="BC845" s="3" t="s">
        <v>78</v>
      </c>
      <c r="BD845" s="3" t="s">
        <v>79</v>
      </c>
      <c r="BF845" s="3" t="s">
        <v>8675</v>
      </c>
      <c r="BG845" s="3" t="s">
        <v>8676</v>
      </c>
    </row>
    <row r="846" spans="1:59" ht="58" x14ac:dyDescent="0.35">
      <c r="A846" s="2" t="s">
        <v>59</v>
      </c>
      <c r="B846" s="2" t="s">
        <v>94</v>
      </c>
      <c r="C846" s="2" t="s">
        <v>8677</v>
      </c>
      <c r="D846" s="2" t="s">
        <v>8678</v>
      </c>
      <c r="E846" s="2" t="s">
        <v>8679</v>
      </c>
      <c r="G846" s="3" t="s">
        <v>64</v>
      </c>
      <c r="I846" s="3" t="s">
        <v>64</v>
      </c>
      <c r="J846" s="3" t="s">
        <v>64</v>
      </c>
      <c r="K846" s="3" t="s">
        <v>65</v>
      </c>
      <c r="M846" s="2" t="s">
        <v>8680</v>
      </c>
      <c r="N846" s="3" t="s">
        <v>252</v>
      </c>
      <c r="P846" s="3" t="s">
        <v>202</v>
      </c>
      <c r="R846" s="3" t="s">
        <v>70</v>
      </c>
      <c r="S846" s="4">
        <v>1</v>
      </c>
      <c r="T846" s="4">
        <v>1</v>
      </c>
      <c r="U846" s="5" t="s">
        <v>2747</v>
      </c>
      <c r="V846" s="5" t="s">
        <v>2747</v>
      </c>
      <c r="W846" s="5" t="s">
        <v>72</v>
      </c>
      <c r="X846" s="5" t="s">
        <v>72</v>
      </c>
      <c r="Y846" s="4">
        <v>17</v>
      </c>
      <c r="Z846" s="4">
        <v>1</v>
      </c>
      <c r="AA846" s="4">
        <v>1</v>
      </c>
      <c r="AB846" s="4">
        <v>1</v>
      </c>
      <c r="AC846" s="4">
        <v>1</v>
      </c>
      <c r="AD846" s="4">
        <v>14</v>
      </c>
      <c r="AE846" s="4">
        <v>14</v>
      </c>
      <c r="AF846" s="4">
        <v>0</v>
      </c>
      <c r="AG846" s="4">
        <v>0</v>
      </c>
      <c r="AH846" s="4">
        <v>13</v>
      </c>
      <c r="AI846" s="4">
        <v>13</v>
      </c>
      <c r="AJ846" s="4">
        <v>0</v>
      </c>
      <c r="AK846" s="4">
        <v>0</v>
      </c>
      <c r="AL846" s="4">
        <v>12</v>
      </c>
      <c r="AM846" s="4">
        <v>12</v>
      </c>
      <c r="AN846" s="4">
        <v>0</v>
      </c>
      <c r="AO846" s="4">
        <v>0</v>
      </c>
      <c r="AP846" s="4">
        <v>0</v>
      </c>
      <c r="AQ846" s="4">
        <v>0</v>
      </c>
      <c r="AR846" s="3" t="s">
        <v>64</v>
      </c>
      <c r="AS846" s="3" t="s">
        <v>64</v>
      </c>
      <c r="AT846" s="3" t="s">
        <v>64</v>
      </c>
      <c r="AV846" s="6" t="str">
        <f>HYPERLINK("http://mcgill.on.worldcat.org/oclc/27340602","Catalog Record")</f>
        <v>Catalog Record</v>
      </c>
      <c r="AW846" s="6" t="str">
        <f>HYPERLINK("http://www.worldcat.org/oclc/27340602","WorldCat Record")</f>
        <v>WorldCat Record</v>
      </c>
      <c r="AX846" s="3" t="s">
        <v>8681</v>
      </c>
      <c r="AY846" s="3" t="s">
        <v>8682</v>
      </c>
      <c r="AZ846" s="3" t="s">
        <v>8683</v>
      </c>
      <c r="BA846" s="3" t="s">
        <v>8683</v>
      </c>
      <c r="BB846" s="3" t="s">
        <v>8684</v>
      </c>
      <c r="BC846" s="3" t="s">
        <v>78</v>
      </c>
      <c r="BD846" s="3" t="s">
        <v>79</v>
      </c>
      <c r="BF846" s="3" t="s">
        <v>8684</v>
      </c>
      <c r="BG846" s="3" t="s">
        <v>8685</v>
      </c>
    </row>
    <row r="847" spans="1:59" ht="72.5" x14ac:dyDescent="0.35">
      <c r="A847" s="2" t="s">
        <v>59</v>
      </c>
      <c r="B847" s="2" t="s">
        <v>94</v>
      </c>
      <c r="C847" s="2" t="s">
        <v>8686</v>
      </c>
      <c r="D847" s="2" t="s">
        <v>8687</v>
      </c>
      <c r="E847" s="2" t="s">
        <v>8688</v>
      </c>
      <c r="G847" s="3" t="s">
        <v>64</v>
      </c>
      <c r="I847" s="3" t="s">
        <v>64</v>
      </c>
      <c r="J847" s="3" t="s">
        <v>64</v>
      </c>
      <c r="K847" s="3" t="s">
        <v>65</v>
      </c>
      <c r="M847" s="2" t="s">
        <v>8689</v>
      </c>
      <c r="N847" s="3" t="s">
        <v>719</v>
      </c>
      <c r="P847" s="3" t="s">
        <v>202</v>
      </c>
      <c r="R847" s="3" t="s">
        <v>70</v>
      </c>
      <c r="S847" s="4">
        <v>1</v>
      </c>
      <c r="T847" s="4">
        <v>1</v>
      </c>
      <c r="U847" s="5" t="s">
        <v>2747</v>
      </c>
      <c r="V847" s="5" t="s">
        <v>2747</v>
      </c>
      <c r="W847" s="5" t="s">
        <v>72</v>
      </c>
      <c r="X847" s="5" t="s">
        <v>72</v>
      </c>
      <c r="Y847" s="4">
        <v>53</v>
      </c>
      <c r="Z847" s="4">
        <v>5</v>
      </c>
      <c r="AA847" s="4">
        <v>5</v>
      </c>
      <c r="AB847" s="4">
        <v>1</v>
      </c>
      <c r="AC847" s="4">
        <v>1</v>
      </c>
      <c r="AD847" s="4">
        <v>37</v>
      </c>
      <c r="AE847" s="4">
        <v>37</v>
      </c>
      <c r="AF847" s="4">
        <v>0</v>
      </c>
      <c r="AG847" s="4">
        <v>0</v>
      </c>
      <c r="AH847" s="4">
        <v>36</v>
      </c>
      <c r="AI847" s="4">
        <v>36</v>
      </c>
      <c r="AJ847" s="4">
        <v>3</v>
      </c>
      <c r="AK847" s="4">
        <v>3</v>
      </c>
      <c r="AL847" s="4">
        <v>28</v>
      </c>
      <c r="AM847" s="4">
        <v>28</v>
      </c>
      <c r="AN847" s="4">
        <v>0</v>
      </c>
      <c r="AO847" s="4">
        <v>0</v>
      </c>
      <c r="AP847" s="4">
        <v>3</v>
      </c>
      <c r="AQ847" s="4">
        <v>3</v>
      </c>
      <c r="AR847" s="3" t="s">
        <v>64</v>
      </c>
      <c r="AS847" s="3" t="s">
        <v>64</v>
      </c>
      <c r="AT847" s="3" t="s">
        <v>73</v>
      </c>
      <c r="AU847" s="6" t="str">
        <f>HYPERLINK("http://catalog.hathitrust.org/Record/000622437","HathiTrust Record")</f>
        <v>HathiTrust Record</v>
      </c>
      <c r="AV847" s="6" t="str">
        <f>HYPERLINK("http://mcgill.on.worldcat.org/oclc/12237376","Catalog Record")</f>
        <v>Catalog Record</v>
      </c>
      <c r="AW847" s="6" t="str">
        <f>HYPERLINK("http://www.worldcat.org/oclc/12237376","WorldCat Record")</f>
        <v>WorldCat Record</v>
      </c>
      <c r="AX847" s="3" t="s">
        <v>8690</v>
      </c>
      <c r="AY847" s="3" t="s">
        <v>8691</v>
      </c>
      <c r="AZ847" s="3" t="s">
        <v>8692</v>
      </c>
      <c r="BA847" s="3" t="s">
        <v>8692</v>
      </c>
      <c r="BB847" s="3" t="s">
        <v>8693</v>
      </c>
      <c r="BC847" s="3" t="s">
        <v>78</v>
      </c>
      <c r="BD847" s="3" t="s">
        <v>79</v>
      </c>
      <c r="BF847" s="3" t="s">
        <v>8693</v>
      </c>
      <c r="BG847" s="3" t="s">
        <v>8694</v>
      </c>
    </row>
    <row r="848" spans="1:59" ht="58" x14ac:dyDescent="0.35">
      <c r="A848" s="2" t="s">
        <v>59</v>
      </c>
      <c r="B848" s="2" t="s">
        <v>94</v>
      </c>
      <c r="C848" s="2" t="s">
        <v>8695</v>
      </c>
      <c r="D848" s="2" t="s">
        <v>8696</v>
      </c>
      <c r="E848" s="2" t="s">
        <v>8697</v>
      </c>
      <c r="G848" s="3" t="s">
        <v>64</v>
      </c>
      <c r="I848" s="3" t="s">
        <v>64</v>
      </c>
      <c r="J848" s="3" t="s">
        <v>64</v>
      </c>
      <c r="K848" s="3" t="s">
        <v>65</v>
      </c>
      <c r="L848" s="2" t="s">
        <v>8698</v>
      </c>
      <c r="M848" s="2" t="s">
        <v>8699</v>
      </c>
      <c r="N848" s="3" t="s">
        <v>473</v>
      </c>
      <c r="P848" s="3" t="s">
        <v>69</v>
      </c>
      <c r="R848" s="3" t="s">
        <v>70</v>
      </c>
      <c r="S848" s="4">
        <v>6</v>
      </c>
      <c r="T848" s="4">
        <v>6</v>
      </c>
      <c r="U848" s="5" t="s">
        <v>8700</v>
      </c>
      <c r="V848" s="5" t="s">
        <v>8700</v>
      </c>
      <c r="W848" s="5" t="s">
        <v>72</v>
      </c>
      <c r="X848" s="5" t="s">
        <v>72</v>
      </c>
      <c r="Y848" s="4">
        <v>181</v>
      </c>
      <c r="Z848" s="4">
        <v>6</v>
      </c>
      <c r="AA848" s="4">
        <v>30</v>
      </c>
      <c r="AB848" s="4">
        <v>2</v>
      </c>
      <c r="AC848" s="4">
        <v>5</v>
      </c>
      <c r="AD848" s="4">
        <v>25</v>
      </c>
      <c r="AE848" s="4">
        <v>80</v>
      </c>
      <c r="AF848" s="4">
        <v>0</v>
      </c>
      <c r="AG848" s="4">
        <v>1</v>
      </c>
      <c r="AH848" s="4">
        <v>22</v>
      </c>
      <c r="AI848" s="4">
        <v>70</v>
      </c>
      <c r="AJ848" s="4">
        <v>1</v>
      </c>
      <c r="AK848" s="4">
        <v>10</v>
      </c>
      <c r="AL848" s="4">
        <v>17</v>
      </c>
      <c r="AM848" s="4">
        <v>40</v>
      </c>
      <c r="AN848" s="4">
        <v>0</v>
      </c>
      <c r="AO848" s="4">
        <v>0</v>
      </c>
      <c r="AP848" s="4">
        <v>2</v>
      </c>
      <c r="AQ848" s="4">
        <v>12</v>
      </c>
      <c r="AR848" s="3" t="s">
        <v>64</v>
      </c>
      <c r="AS848" s="3" t="s">
        <v>64</v>
      </c>
      <c r="AT848" s="3" t="s">
        <v>64</v>
      </c>
      <c r="AV848" s="6" t="str">
        <f>HYPERLINK("http://mcgill.on.worldcat.org/oclc/20853008","Catalog Record")</f>
        <v>Catalog Record</v>
      </c>
      <c r="AW848" s="6" t="str">
        <f>HYPERLINK("http://www.worldcat.org/oclc/20853008","WorldCat Record")</f>
        <v>WorldCat Record</v>
      </c>
      <c r="AX848" s="3" t="s">
        <v>8701</v>
      </c>
      <c r="AY848" s="3" t="s">
        <v>8702</v>
      </c>
      <c r="AZ848" s="3" t="s">
        <v>8703</v>
      </c>
      <c r="BA848" s="3" t="s">
        <v>8703</v>
      </c>
      <c r="BB848" s="3" t="s">
        <v>8704</v>
      </c>
      <c r="BC848" s="3" t="s">
        <v>78</v>
      </c>
      <c r="BD848" s="3" t="s">
        <v>79</v>
      </c>
      <c r="BE848" s="3" t="s">
        <v>8705</v>
      </c>
      <c r="BF848" s="3" t="s">
        <v>8704</v>
      </c>
      <c r="BG848" s="3" t="s">
        <v>8706</v>
      </c>
    </row>
    <row r="849" spans="1:59" ht="58" x14ac:dyDescent="0.35">
      <c r="A849" s="2" t="s">
        <v>59</v>
      </c>
      <c r="B849" s="2" t="s">
        <v>94</v>
      </c>
      <c r="C849" s="2" t="s">
        <v>8707</v>
      </c>
      <c r="D849" s="2" t="s">
        <v>8708</v>
      </c>
      <c r="E849" s="2" t="s">
        <v>8709</v>
      </c>
      <c r="G849" s="3" t="s">
        <v>64</v>
      </c>
      <c r="I849" s="3" t="s">
        <v>64</v>
      </c>
      <c r="J849" s="3" t="s">
        <v>64</v>
      </c>
      <c r="K849" s="3" t="s">
        <v>65</v>
      </c>
      <c r="L849" s="2" t="s">
        <v>8183</v>
      </c>
      <c r="M849" s="2" t="s">
        <v>8710</v>
      </c>
      <c r="N849" s="3" t="s">
        <v>2466</v>
      </c>
      <c r="P849" s="3" t="s">
        <v>69</v>
      </c>
      <c r="Q849" s="2" t="s">
        <v>8711</v>
      </c>
      <c r="R849" s="3" t="s">
        <v>70</v>
      </c>
      <c r="S849" s="4">
        <v>5</v>
      </c>
      <c r="T849" s="4">
        <v>5</v>
      </c>
      <c r="U849" s="5" t="s">
        <v>8712</v>
      </c>
      <c r="V849" s="5" t="s">
        <v>8712</v>
      </c>
      <c r="W849" s="5" t="s">
        <v>72</v>
      </c>
      <c r="X849" s="5" t="s">
        <v>72</v>
      </c>
      <c r="Y849" s="4">
        <v>61</v>
      </c>
      <c r="Z849" s="4">
        <v>10</v>
      </c>
      <c r="AA849" s="4">
        <v>44</v>
      </c>
      <c r="AB849" s="4">
        <v>3</v>
      </c>
      <c r="AC849" s="4">
        <v>6</v>
      </c>
      <c r="AD849" s="4">
        <v>22</v>
      </c>
      <c r="AE849" s="4">
        <v>99</v>
      </c>
      <c r="AF849" s="4">
        <v>1</v>
      </c>
      <c r="AG849" s="4">
        <v>2</v>
      </c>
      <c r="AH849" s="4">
        <v>16</v>
      </c>
      <c r="AI849" s="4">
        <v>82</v>
      </c>
      <c r="AJ849" s="4">
        <v>8</v>
      </c>
      <c r="AK849" s="4">
        <v>17</v>
      </c>
      <c r="AL849" s="4">
        <v>10</v>
      </c>
      <c r="AM849" s="4">
        <v>50</v>
      </c>
      <c r="AN849" s="4">
        <v>0</v>
      </c>
      <c r="AO849" s="4">
        <v>5</v>
      </c>
      <c r="AP849" s="4">
        <v>6</v>
      </c>
      <c r="AQ849" s="4">
        <v>22</v>
      </c>
      <c r="AR849" s="3" t="s">
        <v>64</v>
      </c>
      <c r="AS849" s="3" t="s">
        <v>64</v>
      </c>
      <c r="AT849" s="3" t="s">
        <v>73</v>
      </c>
      <c r="AU849" s="6" t="str">
        <f>HYPERLINK("http://catalog.hathitrust.org/Record/002028386","HathiTrust Record")</f>
        <v>HathiTrust Record</v>
      </c>
      <c r="AV849" s="6" t="str">
        <f>HYPERLINK("http://mcgill.on.worldcat.org/oclc/3931422","Catalog Record")</f>
        <v>Catalog Record</v>
      </c>
      <c r="AW849" s="6" t="str">
        <f>HYPERLINK("http://www.worldcat.org/oclc/3931422","WorldCat Record")</f>
        <v>WorldCat Record</v>
      </c>
      <c r="AX849" s="3" t="s">
        <v>8713</v>
      </c>
      <c r="AY849" s="3" t="s">
        <v>8714</v>
      </c>
      <c r="AZ849" s="3" t="s">
        <v>8715</v>
      </c>
      <c r="BA849" s="3" t="s">
        <v>8715</v>
      </c>
      <c r="BB849" s="3" t="s">
        <v>8716</v>
      </c>
      <c r="BC849" s="3" t="s">
        <v>78</v>
      </c>
      <c r="BD849" s="3" t="s">
        <v>79</v>
      </c>
      <c r="BF849" s="3" t="s">
        <v>8716</v>
      </c>
      <c r="BG849" s="3" t="s">
        <v>8717</v>
      </c>
    </row>
    <row r="850" spans="1:59" ht="58" x14ac:dyDescent="0.35">
      <c r="A850" s="2" t="s">
        <v>59</v>
      </c>
      <c r="B850" s="2" t="s">
        <v>94</v>
      </c>
      <c r="C850" s="2" t="s">
        <v>8718</v>
      </c>
      <c r="D850" s="2" t="s">
        <v>8719</v>
      </c>
      <c r="E850" s="2" t="s">
        <v>8720</v>
      </c>
      <c r="G850" s="3" t="s">
        <v>64</v>
      </c>
      <c r="I850" s="3" t="s">
        <v>64</v>
      </c>
      <c r="J850" s="3" t="s">
        <v>64</v>
      </c>
      <c r="K850" s="3" t="s">
        <v>65</v>
      </c>
      <c r="L850" s="2" t="s">
        <v>8721</v>
      </c>
      <c r="M850" s="2" t="s">
        <v>8722</v>
      </c>
      <c r="N850" s="3" t="s">
        <v>2265</v>
      </c>
      <c r="P850" s="3" t="s">
        <v>69</v>
      </c>
      <c r="Q850" s="2" t="s">
        <v>8723</v>
      </c>
      <c r="R850" s="3" t="s">
        <v>70</v>
      </c>
      <c r="S850" s="4">
        <v>2</v>
      </c>
      <c r="T850" s="4">
        <v>2</v>
      </c>
      <c r="U850" s="5" t="s">
        <v>8724</v>
      </c>
      <c r="V850" s="5" t="s">
        <v>8724</v>
      </c>
      <c r="W850" s="5" t="s">
        <v>72</v>
      </c>
      <c r="X850" s="5" t="s">
        <v>72</v>
      </c>
      <c r="Y850" s="4">
        <v>434</v>
      </c>
      <c r="Z850" s="4">
        <v>26</v>
      </c>
      <c r="AA850" s="4">
        <v>27</v>
      </c>
      <c r="AB850" s="4">
        <v>2</v>
      </c>
      <c r="AC850" s="4">
        <v>3</v>
      </c>
      <c r="AD850" s="4">
        <v>108</v>
      </c>
      <c r="AE850" s="4">
        <v>109</v>
      </c>
      <c r="AF850" s="4">
        <v>1</v>
      </c>
      <c r="AG850" s="4">
        <v>2</v>
      </c>
      <c r="AH850" s="4">
        <v>93</v>
      </c>
      <c r="AI850" s="4">
        <v>93</v>
      </c>
      <c r="AJ850" s="4">
        <v>17</v>
      </c>
      <c r="AK850" s="4">
        <v>18</v>
      </c>
      <c r="AL850" s="4">
        <v>52</v>
      </c>
      <c r="AM850" s="4">
        <v>52</v>
      </c>
      <c r="AN850" s="4">
        <v>0</v>
      </c>
      <c r="AO850" s="4">
        <v>0</v>
      </c>
      <c r="AP850" s="4">
        <v>23</v>
      </c>
      <c r="AQ850" s="4">
        <v>23</v>
      </c>
      <c r="AR850" s="3" t="s">
        <v>64</v>
      </c>
      <c r="AS850" s="3" t="s">
        <v>64</v>
      </c>
      <c r="AT850" s="3" t="s">
        <v>73</v>
      </c>
      <c r="AU850" s="6" t="str">
        <f>HYPERLINK("http://catalog.hathitrust.org/Record/001047487","HathiTrust Record")</f>
        <v>HathiTrust Record</v>
      </c>
      <c r="AV850" s="6" t="str">
        <f>HYPERLINK("http://mcgill.on.worldcat.org/oclc/63406","Catalog Record")</f>
        <v>Catalog Record</v>
      </c>
      <c r="AW850" s="6" t="str">
        <f>HYPERLINK("http://www.worldcat.org/oclc/63406","WorldCat Record")</f>
        <v>WorldCat Record</v>
      </c>
      <c r="AX850" s="3" t="s">
        <v>8725</v>
      </c>
      <c r="AY850" s="3" t="s">
        <v>8726</v>
      </c>
      <c r="AZ850" s="3" t="s">
        <v>8727</v>
      </c>
      <c r="BA850" s="3" t="s">
        <v>8727</v>
      </c>
      <c r="BB850" s="3" t="s">
        <v>8728</v>
      </c>
      <c r="BC850" s="3" t="s">
        <v>78</v>
      </c>
      <c r="BD850" s="3" t="s">
        <v>79</v>
      </c>
      <c r="BE850" s="3" t="s">
        <v>8729</v>
      </c>
      <c r="BF850" s="3" t="s">
        <v>8728</v>
      </c>
      <c r="BG850" s="3" t="s">
        <v>8730</v>
      </c>
    </row>
    <row r="851" spans="1:59" ht="58" x14ac:dyDescent="0.35">
      <c r="A851" s="2" t="s">
        <v>59</v>
      </c>
      <c r="B851" s="2" t="s">
        <v>94</v>
      </c>
      <c r="C851" s="2" t="s">
        <v>8731</v>
      </c>
      <c r="D851" s="2" t="s">
        <v>8732</v>
      </c>
      <c r="E851" s="2" t="s">
        <v>8733</v>
      </c>
      <c r="G851" s="3" t="s">
        <v>64</v>
      </c>
      <c r="I851" s="3" t="s">
        <v>64</v>
      </c>
      <c r="J851" s="3" t="s">
        <v>64</v>
      </c>
      <c r="K851" s="3" t="s">
        <v>65</v>
      </c>
      <c r="L851" s="2" t="s">
        <v>8734</v>
      </c>
      <c r="M851" s="2" t="s">
        <v>8735</v>
      </c>
      <c r="N851" s="3" t="s">
        <v>214</v>
      </c>
      <c r="P851" s="3" t="s">
        <v>69</v>
      </c>
      <c r="R851" s="3" t="s">
        <v>70</v>
      </c>
      <c r="S851" s="4">
        <v>1</v>
      </c>
      <c r="T851" s="4">
        <v>1</v>
      </c>
      <c r="U851" s="5" t="s">
        <v>8736</v>
      </c>
      <c r="V851" s="5" t="s">
        <v>8736</v>
      </c>
      <c r="W851" s="5" t="s">
        <v>72</v>
      </c>
      <c r="X851" s="5" t="s">
        <v>72</v>
      </c>
      <c r="Y851" s="4">
        <v>323</v>
      </c>
      <c r="Z851" s="4">
        <v>24</v>
      </c>
      <c r="AA851" s="4">
        <v>40</v>
      </c>
      <c r="AB851" s="4">
        <v>2</v>
      </c>
      <c r="AC851" s="4">
        <v>5</v>
      </c>
      <c r="AD851" s="4">
        <v>102</v>
      </c>
      <c r="AE851" s="4">
        <v>117</v>
      </c>
      <c r="AF851" s="4">
        <v>1</v>
      </c>
      <c r="AG851" s="4">
        <v>1</v>
      </c>
      <c r="AH851" s="4">
        <v>90</v>
      </c>
      <c r="AI851" s="4">
        <v>98</v>
      </c>
      <c r="AJ851" s="4">
        <v>15</v>
      </c>
      <c r="AK851" s="4">
        <v>16</v>
      </c>
      <c r="AL851" s="4">
        <v>51</v>
      </c>
      <c r="AM851" s="4">
        <v>54</v>
      </c>
      <c r="AN851" s="4">
        <v>0</v>
      </c>
      <c r="AO851" s="4">
        <v>0</v>
      </c>
      <c r="AP851" s="4">
        <v>19</v>
      </c>
      <c r="AQ851" s="4">
        <v>26</v>
      </c>
      <c r="AR851" s="3" t="s">
        <v>64</v>
      </c>
      <c r="AS851" s="3" t="s">
        <v>64</v>
      </c>
      <c r="AT851" s="3" t="s">
        <v>64</v>
      </c>
      <c r="AV851" s="6" t="str">
        <f>HYPERLINK("http://mcgill.on.worldcat.org/oclc/441212494","Catalog Record")</f>
        <v>Catalog Record</v>
      </c>
      <c r="AW851" s="6" t="str">
        <f>HYPERLINK("http://www.worldcat.org/oclc/441212494","WorldCat Record")</f>
        <v>WorldCat Record</v>
      </c>
      <c r="AX851" s="3" t="s">
        <v>8737</v>
      </c>
      <c r="AY851" s="3" t="s">
        <v>8738</v>
      </c>
      <c r="AZ851" s="3" t="s">
        <v>8739</v>
      </c>
      <c r="BA851" s="3" t="s">
        <v>8739</v>
      </c>
      <c r="BB851" s="3" t="s">
        <v>8740</v>
      </c>
      <c r="BC851" s="3" t="s">
        <v>78</v>
      </c>
      <c r="BD851" s="3" t="s">
        <v>79</v>
      </c>
      <c r="BE851" s="3" t="s">
        <v>8741</v>
      </c>
      <c r="BF851" s="3" t="s">
        <v>8740</v>
      </c>
      <c r="BG851" s="3" t="s">
        <v>8742</v>
      </c>
    </row>
    <row r="852" spans="1:59" ht="58" x14ac:dyDescent="0.35">
      <c r="A852" s="2" t="s">
        <v>59</v>
      </c>
      <c r="B852" s="2" t="s">
        <v>94</v>
      </c>
      <c r="C852" s="2" t="s">
        <v>8743</v>
      </c>
      <c r="D852" s="2" t="s">
        <v>8744</v>
      </c>
      <c r="E852" s="2" t="s">
        <v>8745</v>
      </c>
      <c r="G852" s="3" t="s">
        <v>64</v>
      </c>
      <c r="I852" s="3" t="s">
        <v>64</v>
      </c>
      <c r="J852" s="3" t="s">
        <v>64</v>
      </c>
      <c r="K852" s="3" t="s">
        <v>65</v>
      </c>
      <c r="L852" s="2" t="s">
        <v>8746</v>
      </c>
      <c r="M852" s="2" t="s">
        <v>8747</v>
      </c>
      <c r="N852" s="3" t="s">
        <v>4513</v>
      </c>
      <c r="P852" s="3" t="s">
        <v>69</v>
      </c>
      <c r="R852" s="3" t="s">
        <v>70</v>
      </c>
      <c r="S852" s="4">
        <v>11</v>
      </c>
      <c r="T852" s="4">
        <v>11</v>
      </c>
      <c r="U852" s="5" t="s">
        <v>639</v>
      </c>
      <c r="V852" s="5" t="s">
        <v>639</v>
      </c>
      <c r="W852" s="5" t="s">
        <v>72</v>
      </c>
      <c r="X852" s="5" t="s">
        <v>72</v>
      </c>
      <c r="Y852" s="4">
        <v>127</v>
      </c>
      <c r="Z852" s="4">
        <v>16</v>
      </c>
      <c r="AA852" s="4">
        <v>18</v>
      </c>
      <c r="AB852" s="4">
        <v>2</v>
      </c>
      <c r="AC852" s="4">
        <v>2</v>
      </c>
      <c r="AD852" s="4">
        <v>36</v>
      </c>
      <c r="AE852" s="4">
        <v>56</v>
      </c>
      <c r="AF852" s="4">
        <v>0</v>
      </c>
      <c r="AG852" s="4">
        <v>0</v>
      </c>
      <c r="AH852" s="4">
        <v>30</v>
      </c>
      <c r="AI852" s="4">
        <v>48</v>
      </c>
      <c r="AJ852" s="4">
        <v>7</v>
      </c>
      <c r="AK852" s="4">
        <v>8</v>
      </c>
      <c r="AL852" s="4">
        <v>19</v>
      </c>
      <c r="AM852" s="4">
        <v>31</v>
      </c>
      <c r="AN852" s="4">
        <v>0</v>
      </c>
      <c r="AO852" s="4">
        <v>0</v>
      </c>
      <c r="AP852" s="4">
        <v>9</v>
      </c>
      <c r="AQ852" s="4">
        <v>11</v>
      </c>
      <c r="AR852" s="3" t="s">
        <v>64</v>
      </c>
      <c r="AS852" s="3" t="s">
        <v>64</v>
      </c>
      <c r="AT852" s="3" t="s">
        <v>73</v>
      </c>
      <c r="AU852" s="6" t="str">
        <f>HYPERLINK("http://catalog.hathitrust.org/Record/001047489","HathiTrust Record")</f>
        <v>HathiTrust Record</v>
      </c>
      <c r="AV852" s="6" t="str">
        <f>HYPERLINK("http://mcgill.on.worldcat.org/oclc/990318","Catalog Record")</f>
        <v>Catalog Record</v>
      </c>
      <c r="AW852" s="6" t="str">
        <f>HYPERLINK("http://www.worldcat.org/oclc/990318","WorldCat Record")</f>
        <v>WorldCat Record</v>
      </c>
      <c r="AX852" s="3" t="s">
        <v>8748</v>
      </c>
      <c r="AY852" s="3" t="s">
        <v>8749</v>
      </c>
      <c r="AZ852" s="3" t="s">
        <v>8750</v>
      </c>
      <c r="BA852" s="3" t="s">
        <v>8750</v>
      </c>
      <c r="BB852" s="3" t="s">
        <v>8751</v>
      </c>
      <c r="BC852" s="3" t="s">
        <v>78</v>
      </c>
      <c r="BD852" s="3" t="s">
        <v>79</v>
      </c>
      <c r="BF852" s="3" t="s">
        <v>8751</v>
      </c>
      <c r="BG852" s="3" t="s">
        <v>8752</v>
      </c>
    </row>
    <row r="853" spans="1:59" ht="58" x14ac:dyDescent="0.35">
      <c r="A853" s="2" t="s">
        <v>59</v>
      </c>
      <c r="B853" s="2" t="s">
        <v>94</v>
      </c>
      <c r="C853" s="2" t="s">
        <v>8753</v>
      </c>
      <c r="D853" s="2" t="s">
        <v>8754</v>
      </c>
      <c r="E853" s="2" t="s">
        <v>8755</v>
      </c>
      <c r="G853" s="3" t="s">
        <v>64</v>
      </c>
      <c r="I853" s="3" t="s">
        <v>64</v>
      </c>
      <c r="J853" s="3" t="s">
        <v>64</v>
      </c>
      <c r="K853" s="3" t="s">
        <v>65</v>
      </c>
      <c r="L853" s="2" t="s">
        <v>8756</v>
      </c>
      <c r="M853" s="2" t="s">
        <v>8757</v>
      </c>
      <c r="N853" s="3" t="s">
        <v>1645</v>
      </c>
      <c r="P853" s="3" t="s">
        <v>69</v>
      </c>
      <c r="R853" s="3" t="s">
        <v>70</v>
      </c>
      <c r="S853" s="4">
        <v>0</v>
      </c>
      <c r="T853" s="4">
        <v>0</v>
      </c>
      <c r="W853" s="5" t="s">
        <v>72</v>
      </c>
      <c r="X853" s="5" t="s">
        <v>72</v>
      </c>
      <c r="Y853" s="4">
        <v>83</v>
      </c>
      <c r="Z853" s="4">
        <v>4</v>
      </c>
      <c r="AA853" s="4">
        <v>9</v>
      </c>
      <c r="AB853" s="4">
        <v>1</v>
      </c>
      <c r="AC853" s="4">
        <v>4</v>
      </c>
      <c r="AD853" s="4">
        <v>44</v>
      </c>
      <c r="AE853" s="4">
        <v>53</v>
      </c>
      <c r="AF853" s="4">
        <v>0</v>
      </c>
      <c r="AG853" s="4">
        <v>1</v>
      </c>
      <c r="AH853" s="4">
        <v>41</v>
      </c>
      <c r="AI853" s="4">
        <v>49</v>
      </c>
      <c r="AJ853" s="4">
        <v>2</v>
      </c>
      <c r="AK853" s="4">
        <v>5</v>
      </c>
      <c r="AL853" s="4">
        <v>25</v>
      </c>
      <c r="AM853" s="4">
        <v>30</v>
      </c>
      <c r="AN853" s="4">
        <v>0</v>
      </c>
      <c r="AO853" s="4">
        <v>0</v>
      </c>
      <c r="AP853" s="4">
        <v>3</v>
      </c>
      <c r="AQ853" s="4">
        <v>6</v>
      </c>
      <c r="AR853" s="3" t="s">
        <v>64</v>
      </c>
      <c r="AS853" s="3" t="s">
        <v>64</v>
      </c>
      <c r="AT853" s="3" t="s">
        <v>64</v>
      </c>
      <c r="AV853" s="6" t="str">
        <f>HYPERLINK("http://mcgill.on.worldcat.org/oclc/985800981","Catalog Record")</f>
        <v>Catalog Record</v>
      </c>
      <c r="AW853" s="6" t="str">
        <f>HYPERLINK("http://www.worldcat.org/oclc/985800981","WorldCat Record")</f>
        <v>WorldCat Record</v>
      </c>
      <c r="AX853" s="3" t="s">
        <v>8758</v>
      </c>
      <c r="AY853" s="3" t="s">
        <v>8759</v>
      </c>
      <c r="AZ853" s="3" t="s">
        <v>8760</v>
      </c>
      <c r="BA853" s="3" t="s">
        <v>8760</v>
      </c>
      <c r="BB853" s="3" t="s">
        <v>8761</v>
      </c>
      <c r="BC853" s="3" t="s">
        <v>78</v>
      </c>
      <c r="BD853" s="3" t="s">
        <v>79</v>
      </c>
      <c r="BE853" s="3" t="s">
        <v>8762</v>
      </c>
      <c r="BF853" s="3" t="s">
        <v>8761</v>
      </c>
      <c r="BG853" s="3" t="s">
        <v>8763</v>
      </c>
    </row>
    <row r="854" spans="1:59" ht="58" x14ac:dyDescent="0.35">
      <c r="A854" s="2" t="s">
        <v>59</v>
      </c>
      <c r="B854" s="2" t="s">
        <v>94</v>
      </c>
      <c r="C854" s="2" t="s">
        <v>8764</v>
      </c>
      <c r="D854" s="2" t="s">
        <v>8765</v>
      </c>
      <c r="E854" s="2" t="s">
        <v>8766</v>
      </c>
      <c r="G854" s="3" t="s">
        <v>64</v>
      </c>
      <c r="I854" s="3" t="s">
        <v>64</v>
      </c>
      <c r="J854" s="3" t="s">
        <v>64</v>
      </c>
      <c r="K854" s="3" t="s">
        <v>65</v>
      </c>
      <c r="L854" s="2" t="s">
        <v>8767</v>
      </c>
      <c r="M854" s="2" t="s">
        <v>8768</v>
      </c>
      <c r="N854" s="3" t="s">
        <v>2362</v>
      </c>
      <c r="P854" s="3" t="s">
        <v>162</v>
      </c>
      <c r="Q854" s="2" t="s">
        <v>8769</v>
      </c>
      <c r="R854" s="3" t="s">
        <v>70</v>
      </c>
      <c r="S854" s="4">
        <v>2</v>
      </c>
      <c r="T854" s="4">
        <v>2</v>
      </c>
      <c r="U854" s="5" t="s">
        <v>552</v>
      </c>
      <c r="V854" s="5" t="s">
        <v>552</v>
      </c>
      <c r="W854" s="5" t="s">
        <v>72</v>
      </c>
      <c r="X854" s="5" t="s">
        <v>72</v>
      </c>
      <c r="Y854" s="4">
        <v>76</v>
      </c>
      <c r="Z854" s="4">
        <v>7</v>
      </c>
      <c r="AA854" s="4">
        <v>18</v>
      </c>
      <c r="AB854" s="4">
        <v>1</v>
      </c>
      <c r="AC854" s="4">
        <v>8</v>
      </c>
      <c r="AD854" s="4">
        <v>40</v>
      </c>
      <c r="AE854" s="4">
        <v>50</v>
      </c>
      <c r="AF854" s="4">
        <v>0</v>
      </c>
      <c r="AG854" s="4">
        <v>3</v>
      </c>
      <c r="AH854" s="4">
        <v>38</v>
      </c>
      <c r="AI854" s="4">
        <v>43</v>
      </c>
      <c r="AJ854" s="4">
        <v>3</v>
      </c>
      <c r="AK854" s="4">
        <v>7</v>
      </c>
      <c r="AL854" s="4">
        <v>27</v>
      </c>
      <c r="AM854" s="4">
        <v>31</v>
      </c>
      <c r="AN854" s="4">
        <v>0</v>
      </c>
      <c r="AO854" s="4">
        <v>0</v>
      </c>
      <c r="AP854" s="4">
        <v>3</v>
      </c>
      <c r="AQ854" s="4">
        <v>8</v>
      </c>
      <c r="AR854" s="3" t="s">
        <v>64</v>
      </c>
      <c r="AS854" s="3" t="s">
        <v>64</v>
      </c>
      <c r="AT854" s="3" t="s">
        <v>64</v>
      </c>
      <c r="AV854" s="6" t="str">
        <f>HYPERLINK("http://mcgill.on.worldcat.org/oclc/854622","Catalog Record")</f>
        <v>Catalog Record</v>
      </c>
      <c r="AW854" s="6" t="str">
        <f>HYPERLINK("http://www.worldcat.org/oclc/854622","WorldCat Record")</f>
        <v>WorldCat Record</v>
      </c>
      <c r="AX854" s="3" t="s">
        <v>8770</v>
      </c>
      <c r="AY854" s="3" t="s">
        <v>8771</v>
      </c>
      <c r="AZ854" s="3" t="s">
        <v>8772</v>
      </c>
      <c r="BA854" s="3" t="s">
        <v>8772</v>
      </c>
      <c r="BB854" s="3" t="s">
        <v>8773</v>
      </c>
      <c r="BC854" s="3" t="s">
        <v>78</v>
      </c>
      <c r="BD854" s="3" t="s">
        <v>79</v>
      </c>
      <c r="BF854" s="3" t="s">
        <v>8773</v>
      </c>
      <c r="BG854" s="3" t="s">
        <v>8774</v>
      </c>
    </row>
    <row r="855" spans="1:59" ht="58" x14ac:dyDescent="0.35">
      <c r="A855" s="2" t="s">
        <v>59</v>
      </c>
      <c r="B855" s="2" t="s">
        <v>94</v>
      </c>
      <c r="C855" s="2" t="s">
        <v>8775</v>
      </c>
      <c r="D855" s="2" t="s">
        <v>8776</v>
      </c>
      <c r="E855" s="2" t="s">
        <v>8777</v>
      </c>
      <c r="G855" s="3" t="s">
        <v>64</v>
      </c>
      <c r="I855" s="3" t="s">
        <v>64</v>
      </c>
      <c r="J855" s="3" t="s">
        <v>64</v>
      </c>
      <c r="K855" s="3" t="s">
        <v>65</v>
      </c>
      <c r="L855" s="2" t="s">
        <v>8778</v>
      </c>
      <c r="M855" s="2" t="s">
        <v>8779</v>
      </c>
      <c r="N855" s="3" t="s">
        <v>3411</v>
      </c>
      <c r="P855" s="3" t="s">
        <v>69</v>
      </c>
      <c r="R855" s="3" t="s">
        <v>70</v>
      </c>
      <c r="S855" s="4">
        <v>7</v>
      </c>
      <c r="T855" s="4">
        <v>7</v>
      </c>
      <c r="U855" s="5" t="s">
        <v>8780</v>
      </c>
      <c r="V855" s="5" t="s">
        <v>8780</v>
      </c>
      <c r="W855" s="5" t="s">
        <v>72</v>
      </c>
      <c r="X855" s="5" t="s">
        <v>72</v>
      </c>
      <c r="Y855" s="4">
        <v>624</v>
      </c>
      <c r="Z855" s="4">
        <v>30</v>
      </c>
      <c r="AA855" s="4">
        <v>41</v>
      </c>
      <c r="AB855" s="4">
        <v>2</v>
      </c>
      <c r="AC855" s="4">
        <v>4</v>
      </c>
      <c r="AD855" s="4">
        <v>113</v>
      </c>
      <c r="AE855" s="4">
        <v>125</v>
      </c>
      <c r="AF855" s="4">
        <v>1</v>
      </c>
      <c r="AG855" s="4">
        <v>3</v>
      </c>
      <c r="AH855" s="4">
        <v>95</v>
      </c>
      <c r="AI855" s="4">
        <v>98</v>
      </c>
      <c r="AJ855" s="4">
        <v>15</v>
      </c>
      <c r="AK855" s="4">
        <v>23</v>
      </c>
      <c r="AL855" s="4">
        <v>56</v>
      </c>
      <c r="AM855" s="4">
        <v>57</v>
      </c>
      <c r="AN855" s="4">
        <v>0</v>
      </c>
      <c r="AO855" s="4">
        <v>0</v>
      </c>
      <c r="AP855" s="4">
        <v>22</v>
      </c>
      <c r="AQ855" s="4">
        <v>33</v>
      </c>
      <c r="AR855" s="3" t="s">
        <v>64</v>
      </c>
      <c r="AS855" s="3" t="s">
        <v>64</v>
      </c>
      <c r="AT855" s="3" t="s">
        <v>73</v>
      </c>
      <c r="AU855" s="6" t="str">
        <f>HYPERLINK("http://catalog.hathitrust.org/Record/001116237","HathiTrust Record")</f>
        <v>HathiTrust Record</v>
      </c>
      <c r="AV855" s="6" t="str">
        <f>HYPERLINK("http://mcgill.on.worldcat.org/oclc/283339","Catalog Record")</f>
        <v>Catalog Record</v>
      </c>
      <c r="AW855" s="6" t="str">
        <f>HYPERLINK("http://www.worldcat.org/oclc/283339","WorldCat Record")</f>
        <v>WorldCat Record</v>
      </c>
      <c r="AX855" s="3" t="s">
        <v>8781</v>
      </c>
      <c r="AY855" s="3" t="s">
        <v>8782</v>
      </c>
      <c r="AZ855" s="3" t="s">
        <v>8783</v>
      </c>
      <c r="BA855" s="3" t="s">
        <v>8783</v>
      </c>
      <c r="BB855" s="3" t="s">
        <v>8784</v>
      </c>
      <c r="BC855" s="3" t="s">
        <v>78</v>
      </c>
      <c r="BD855" s="3" t="s">
        <v>79</v>
      </c>
      <c r="BF855" s="3" t="s">
        <v>8784</v>
      </c>
      <c r="BG855" s="3" t="s">
        <v>8785</v>
      </c>
    </row>
    <row r="856" spans="1:59" ht="58" x14ac:dyDescent="0.35">
      <c r="A856" s="2" t="s">
        <v>59</v>
      </c>
      <c r="B856" s="2" t="s">
        <v>94</v>
      </c>
      <c r="C856" s="2" t="s">
        <v>8786</v>
      </c>
      <c r="D856" s="2" t="s">
        <v>8787</v>
      </c>
      <c r="E856" s="2" t="s">
        <v>8788</v>
      </c>
      <c r="G856" s="3" t="s">
        <v>64</v>
      </c>
      <c r="I856" s="3" t="s">
        <v>64</v>
      </c>
      <c r="J856" s="3" t="s">
        <v>64</v>
      </c>
      <c r="K856" s="3" t="s">
        <v>65</v>
      </c>
      <c r="L856" s="2" t="s">
        <v>8789</v>
      </c>
      <c r="M856" s="2" t="s">
        <v>8790</v>
      </c>
      <c r="N856" s="3" t="s">
        <v>8791</v>
      </c>
      <c r="P856" s="3" t="s">
        <v>69</v>
      </c>
      <c r="R856" s="3" t="s">
        <v>70</v>
      </c>
      <c r="S856" s="4">
        <v>1</v>
      </c>
      <c r="T856" s="4">
        <v>1</v>
      </c>
      <c r="U856" s="5" t="s">
        <v>8792</v>
      </c>
      <c r="V856" s="5" t="s">
        <v>8792</v>
      </c>
      <c r="W856" s="5" t="s">
        <v>72</v>
      </c>
      <c r="X856" s="5" t="s">
        <v>72</v>
      </c>
      <c r="Y856" s="4">
        <v>30</v>
      </c>
      <c r="Z856" s="4">
        <v>4</v>
      </c>
      <c r="AA856" s="4">
        <v>8</v>
      </c>
      <c r="AB856" s="4">
        <v>1</v>
      </c>
      <c r="AC856" s="4">
        <v>2</v>
      </c>
      <c r="AD856" s="4">
        <v>10</v>
      </c>
      <c r="AE856" s="4">
        <v>15</v>
      </c>
      <c r="AF856" s="4">
        <v>0</v>
      </c>
      <c r="AG856" s="4">
        <v>1</v>
      </c>
      <c r="AH856" s="4">
        <v>10</v>
      </c>
      <c r="AI856" s="4">
        <v>13</v>
      </c>
      <c r="AJ856" s="4">
        <v>1</v>
      </c>
      <c r="AK856" s="4">
        <v>4</v>
      </c>
      <c r="AL856" s="4">
        <v>5</v>
      </c>
      <c r="AM856" s="4">
        <v>6</v>
      </c>
      <c r="AN856" s="4">
        <v>0</v>
      </c>
      <c r="AO856" s="4">
        <v>0</v>
      </c>
      <c r="AP856" s="4">
        <v>1</v>
      </c>
      <c r="AQ856" s="4">
        <v>3</v>
      </c>
      <c r="AR856" s="3" t="s">
        <v>64</v>
      </c>
      <c r="AS856" s="3" t="s">
        <v>64</v>
      </c>
      <c r="AT856" s="3" t="s">
        <v>64</v>
      </c>
      <c r="AU856" s="6" t="str">
        <f>HYPERLINK("http://catalog.hathitrust.org/Record/009013958","HathiTrust Record")</f>
        <v>HathiTrust Record</v>
      </c>
      <c r="AV856" s="6" t="str">
        <f>HYPERLINK("http://mcgill.on.worldcat.org/oclc/4227659","Catalog Record")</f>
        <v>Catalog Record</v>
      </c>
      <c r="AW856" s="6" t="str">
        <f>HYPERLINK("http://www.worldcat.org/oclc/4227659","WorldCat Record")</f>
        <v>WorldCat Record</v>
      </c>
      <c r="AX856" s="3" t="s">
        <v>8793</v>
      </c>
      <c r="AY856" s="3" t="s">
        <v>8794</v>
      </c>
      <c r="AZ856" s="3" t="s">
        <v>8795</v>
      </c>
      <c r="BA856" s="3" t="s">
        <v>8795</v>
      </c>
      <c r="BB856" s="3" t="s">
        <v>8796</v>
      </c>
      <c r="BC856" s="3" t="s">
        <v>78</v>
      </c>
      <c r="BD856" s="3" t="s">
        <v>79</v>
      </c>
      <c r="BF856" s="3" t="s">
        <v>8796</v>
      </c>
      <c r="BG856" s="3" t="s">
        <v>8797</v>
      </c>
    </row>
    <row r="857" spans="1:59" ht="58" x14ac:dyDescent="0.35">
      <c r="A857" s="2" t="s">
        <v>59</v>
      </c>
      <c r="B857" s="2" t="s">
        <v>94</v>
      </c>
      <c r="C857" s="2" t="s">
        <v>8798</v>
      </c>
      <c r="D857" s="2" t="s">
        <v>8799</v>
      </c>
      <c r="E857" s="2" t="s">
        <v>8800</v>
      </c>
      <c r="G857" s="3" t="s">
        <v>64</v>
      </c>
      <c r="I857" s="3" t="s">
        <v>64</v>
      </c>
      <c r="J857" s="3" t="s">
        <v>64</v>
      </c>
      <c r="K857" s="3" t="s">
        <v>65</v>
      </c>
      <c r="L857" s="2" t="s">
        <v>8801</v>
      </c>
      <c r="M857" s="2" t="s">
        <v>8802</v>
      </c>
      <c r="N857" s="3" t="s">
        <v>1530</v>
      </c>
      <c r="P857" s="3" t="s">
        <v>69</v>
      </c>
      <c r="R857" s="3" t="s">
        <v>70</v>
      </c>
      <c r="S857" s="4">
        <v>7</v>
      </c>
      <c r="T857" s="4">
        <v>7</v>
      </c>
      <c r="U857" s="5" t="s">
        <v>8803</v>
      </c>
      <c r="V857" s="5" t="s">
        <v>8803</v>
      </c>
      <c r="W857" s="5" t="s">
        <v>72</v>
      </c>
      <c r="X857" s="5" t="s">
        <v>72</v>
      </c>
      <c r="Y857" s="4">
        <v>56</v>
      </c>
      <c r="Z857" s="4">
        <v>45</v>
      </c>
      <c r="AA857" s="4">
        <v>53</v>
      </c>
      <c r="AB857" s="4">
        <v>2</v>
      </c>
      <c r="AC857" s="4">
        <v>8</v>
      </c>
      <c r="AD857" s="4">
        <v>31</v>
      </c>
      <c r="AE857" s="4">
        <v>35</v>
      </c>
      <c r="AF857" s="4">
        <v>0</v>
      </c>
      <c r="AG857" s="4">
        <v>2</v>
      </c>
      <c r="AH857" s="4">
        <v>16</v>
      </c>
      <c r="AI857" s="4">
        <v>16</v>
      </c>
      <c r="AJ857" s="4">
        <v>13</v>
      </c>
      <c r="AK857" s="4">
        <v>15</v>
      </c>
      <c r="AL857" s="4">
        <v>8</v>
      </c>
      <c r="AM857" s="4">
        <v>8</v>
      </c>
      <c r="AN857" s="4">
        <v>0</v>
      </c>
      <c r="AO857" s="4">
        <v>0</v>
      </c>
      <c r="AP857" s="4">
        <v>22</v>
      </c>
      <c r="AQ857" s="4">
        <v>26</v>
      </c>
      <c r="AR857" s="3" t="s">
        <v>73</v>
      </c>
      <c r="AS857" s="3" t="s">
        <v>64</v>
      </c>
      <c r="AT857" s="3" t="s">
        <v>64</v>
      </c>
      <c r="AV857" s="6" t="str">
        <f>HYPERLINK("http://mcgill.on.worldcat.org/oclc/48803935","Catalog Record")</f>
        <v>Catalog Record</v>
      </c>
      <c r="AW857" s="6" t="str">
        <f>HYPERLINK("http://www.worldcat.org/oclc/48803935","WorldCat Record")</f>
        <v>WorldCat Record</v>
      </c>
      <c r="AX857" s="3" t="s">
        <v>8804</v>
      </c>
      <c r="AY857" s="3" t="s">
        <v>8805</v>
      </c>
      <c r="AZ857" s="3" t="s">
        <v>8806</v>
      </c>
      <c r="BA857" s="3" t="s">
        <v>8806</v>
      </c>
      <c r="BB857" s="3" t="s">
        <v>8807</v>
      </c>
      <c r="BC857" s="3" t="s">
        <v>78</v>
      </c>
      <c r="BD857" s="3" t="s">
        <v>79</v>
      </c>
      <c r="BE857" s="3" t="s">
        <v>8808</v>
      </c>
      <c r="BF857" s="3" t="s">
        <v>8807</v>
      </c>
      <c r="BG857" s="3" t="s">
        <v>8809</v>
      </c>
    </row>
    <row r="858" spans="1:59" ht="58" x14ac:dyDescent="0.35">
      <c r="A858" s="2" t="s">
        <v>59</v>
      </c>
      <c r="B858" s="2" t="s">
        <v>94</v>
      </c>
      <c r="C858" s="2" t="s">
        <v>8810</v>
      </c>
      <c r="D858" s="2" t="s">
        <v>8811</v>
      </c>
      <c r="E858" s="2" t="s">
        <v>8812</v>
      </c>
      <c r="G858" s="3" t="s">
        <v>64</v>
      </c>
      <c r="I858" s="3" t="s">
        <v>64</v>
      </c>
      <c r="J858" s="3" t="s">
        <v>64</v>
      </c>
      <c r="K858" s="3" t="s">
        <v>65</v>
      </c>
      <c r="L858" s="2" t="s">
        <v>8813</v>
      </c>
      <c r="M858" s="2" t="s">
        <v>8814</v>
      </c>
      <c r="N858" s="3" t="s">
        <v>861</v>
      </c>
      <c r="P858" s="3" t="s">
        <v>69</v>
      </c>
      <c r="R858" s="3" t="s">
        <v>70</v>
      </c>
      <c r="S858" s="4">
        <v>8</v>
      </c>
      <c r="T858" s="4">
        <v>8</v>
      </c>
      <c r="U858" s="5" t="s">
        <v>6386</v>
      </c>
      <c r="V858" s="5" t="s">
        <v>6386</v>
      </c>
      <c r="W858" s="5" t="s">
        <v>72</v>
      </c>
      <c r="X858" s="5" t="s">
        <v>72</v>
      </c>
      <c r="Y858" s="4">
        <v>142</v>
      </c>
      <c r="Z858" s="4">
        <v>6</v>
      </c>
      <c r="AA858" s="4">
        <v>16</v>
      </c>
      <c r="AB858" s="4">
        <v>2</v>
      </c>
      <c r="AC858" s="4">
        <v>3</v>
      </c>
      <c r="AD858" s="4">
        <v>43</v>
      </c>
      <c r="AE858" s="4">
        <v>58</v>
      </c>
      <c r="AF858" s="4">
        <v>0</v>
      </c>
      <c r="AG858" s="4">
        <v>0</v>
      </c>
      <c r="AH858" s="4">
        <v>41</v>
      </c>
      <c r="AI858" s="4">
        <v>54</v>
      </c>
      <c r="AJ858" s="4">
        <v>3</v>
      </c>
      <c r="AK858" s="4">
        <v>7</v>
      </c>
      <c r="AL858" s="4">
        <v>17</v>
      </c>
      <c r="AM858" s="4">
        <v>27</v>
      </c>
      <c r="AN858" s="4">
        <v>0</v>
      </c>
      <c r="AO858" s="4">
        <v>0</v>
      </c>
      <c r="AP858" s="4">
        <v>4</v>
      </c>
      <c r="AQ858" s="4">
        <v>7</v>
      </c>
      <c r="AR858" s="3" t="s">
        <v>64</v>
      </c>
      <c r="AS858" s="3" t="s">
        <v>64</v>
      </c>
      <c r="AT858" s="3" t="s">
        <v>64</v>
      </c>
      <c r="AV858" s="6" t="str">
        <f>HYPERLINK("http://mcgill.on.worldcat.org/oclc/54697475","Catalog Record")</f>
        <v>Catalog Record</v>
      </c>
      <c r="AW858" s="6" t="str">
        <f>HYPERLINK("http://www.worldcat.org/oclc/54697475","WorldCat Record")</f>
        <v>WorldCat Record</v>
      </c>
      <c r="AX858" s="3" t="s">
        <v>8815</v>
      </c>
      <c r="AY858" s="3" t="s">
        <v>8816</v>
      </c>
      <c r="AZ858" s="3" t="s">
        <v>8817</v>
      </c>
      <c r="BA858" s="3" t="s">
        <v>8817</v>
      </c>
      <c r="BB858" s="3" t="s">
        <v>8818</v>
      </c>
      <c r="BC858" s="3" t="s">
        <v>78</v>
      </c>
      <c r="BD858" s="3" t="s">
        <v>79</v>
      </c>
      <c r="BE858" s="3" t="s">
        <v>8819</v>
      </c>
      <c r="BF858" s="3" t="s">
        <v>8818</v>
      </c>
      <c r="BG858" s="3" t="s">
        <v>8820</v>
      </c>
    </row>
    <row r="859" spans="1:59" ht="58" x14ac:dyDescent="0.35">
      <c r="A859" s="2" t="s">
        <v>59</v>
      </c>
      <c r="B859" s="2" t="s">
        <v>94</v>
      </c>
      <c r="C859" s="2" t="s">
        <v>8821</v>
      </c>
      <c r="D859" s="2" t="s">
        <v>8822</v>
      </c>
      <c r="E859" s="2" t="s">
        <v>8823</v>
      </c>
      <c r="G859" s="3" t="s">
        <v>64</v>
      </c>
      <c r="I859" s="3" t="s">
        <v>64</v>
      </c>
      <c r="J859" s="3" t="s">
        <v>64</v>
      </c>
      <c r="K859" s="3" t="s">
        <v>65</v>
      </c>
      <c r="L859" s="2" t="s">
        <v>8824</v>
      </c>
      <c r="M859" s="2" t="s">
        <v>8825</v>
      </c>
      <c r="N859" s="3" t="s">
        <v>861</v>
      </c>
      <c r="O859" s="2" t="s">
        <v>1294</v>
      </c>
      <c r="P859" s="3" t="s">
        <v>69</v>
      </c>
      <c r="R859" s="3" t="s">
        <v>70</v>
      </c>
      <c r="S859" s="4">
        <v>11</v>
      </c>
      <c r="T859" s="4">
        <v>11</v>
      </c>
      <c r="U859" s="5" t="s">
        <v>8792</v>
      </c>
      <c r="V859" s="5" t="s">
        <v>8792</v>
      </c>
      <c r="W859" s="5" t="s">
        <v>72</v>
      </c>
      <c r="X859" s="5" t="s">
        <v>72</v>
      </c>
      <c r="Y859" s="4">
        <v>1363</v>
      </c>
      <c r="Z859" s="4">
        <v>56</v>
      </c>
      <c r="AA859" s="4">
        <v>66</v>
      </c>
      <c r="AB859" s="4">
        <v>3</v>
      </c>
      <c r="AC859" s="4">
        <v>8</v>
      </c>
      <c r="AD859" s="4">
        <v>118</v>
      </c>
      <c r="AE859" s="4">
        <v>125</v>
      </c>
      <c r="AF859" s="4">
        <v>0</v>
      </c>
      <c r="AG859" s="4">
        <v>3</v>
      </c>
      <c r="AH859" s="4">
        <v>100</v>
      </c>
      <c r="AI859" s="4">
        <v>104</v>
      </c>
      <c r="AJ859" s="4">
        <v>15</v>
      </c>
      <c r="AK859" s="4">
        <v>20</v>
      </c>
      <c r="AL859" s="4">
        <v>54</v>
      </c>
      <c r="AM859" s="4">
        <v>55</v>
      </c>
      <c r="AN859" s="4">
        <v>0</v>
      </c>
      <c r="AO859" s="4">
        <v>0</v>
      </c>
      <c r="AP859" s="4">
        <v>22</v>
      </c>
      <c r="AQ859" s="4">
        <v>27</v>
      </c>
      <c r="AR859" s="3" t="s">
        <v>64</v>
      </c>
      <c r="AS859" s="3" t="s">
        <v>64</v>
      </c>
      <c r="AT859" s="3" t="s">
        <v>73</v>
      </c>
      <c r="AU859" s="6" t="str">
        <f>HYPERLINK("http://catalog.hathitrust.org/Record/004366923","HathiTrust Record")</f>
        <v>HathiTrust Record</v>
      </c>
      <c r="AV859" s="6" t="str">
        <f>HYPERLINK("http://mcgill.on.worldcat.org/oclc/54029444","Catalog Record")</f>
        <v>Catalog Record</v>
      </c>
      <c r="AW859" s="6" t="str">
        <f>HYPERLINK("http://www.worldcat.org/oclc/54029444","WorldCat Record")</f>
        <v>WorldCat Record</v>
      </c>
      <c r="AX859" s="3" t="s">
        <v>8826</v>
      </c>
      <c r="AY859" s="3" t="s">
        <v>8827</v>
      </c>
      <c r="AZ859" s="3" t="s">
        <v>8828</v>
      </c>
      <c r="BA859" s="3" t="s">
        <v>8828</v>
      </c>
      <c r="BB859" s="3" t="s">
        <v>8829</v>
      </c>
      <c r="BC859" s="3" t="s">
        <v>78</v>
      </c>
      <c r="BD859" s="3" t="s">
        <v>79</v>
      </c>
      <c r="BE859" s="3" t="s">
        <v>8830</v>
      </c>
      <c r="BF859" s="3" t="s">
        <v>8829</v>
      </c>
      <c r="BG859" s="3" t="s">
        <v>8831</v>
      </c>
    </row>
    <row r="860" spans="1:59" ht="58" x14ac:dyDescent="0.35">
      <c r="A860" s="2" t="s">
        <v>59</v>
      </c>
      <c r="B860" s="2" t="s">
        <v>94</v>
      </c>
      <c r="C860" s="2" t="s">
        <v>8832</v>
      </c>
      <c r="D860" s="2" t="s">
        <v>8833</v>
      </c>
      <c r="E860" s="2" t="s">
        <v>8834</v>
      </c>
      <c r="G860" s="3" t="s">
        <v>64</v>
      </c>
      <c r="I860" s="3" t="s">
        <v>64</v>
      </c>
      <c r="J860" s="3" t="s">
        <v>64</v>
      </c>
      <c r="K860" s="3" t="s">
        <v>65</v>
      </c>
      <c r="L860" s="2" t="s">
        <v>8835</v>
      </c>
      <c r="M860" s="2" t="s">
        <v>8836</v>
      </c>
      <c r="N860" s="3" t="s">
        <v>68</v>
      </c>
      <c r="P860" s="3" t="s">
        <v>69</v>
      </c>
      <c r="R860" s="3" t="s">
        <v>70</v>
      </c>
      <c r="S860" s="4">
        <v>11</v>
      </c>
      <c r="T860" s="4">
        <v>11</v>
      </c>
      <c r="U860" s="5" t="s">
        <v>6060</v>
      </c>
      <c r="V860" s="5" t="s">
        <v>6060</v>
      </c>
      <c r="W860" s="5" t="s">
        <v>72</v>
      </c>
      <c r="X860" s="5" t="s">
        <v>72</v>
      </c>
      <c r="Y860" s="4">
        <v>358</v>
      </c>
      <c r="Z860" s="4">
        <v>23</v>
      </c>
      <c r="AA860" s="4">
        <v>24</v>
      </c>
      <c r="AB860" s="4">
        <v>1</v>
      </c>
      <c r="AC860" s="4">
        <v>2</v>
      </c>
      <c r="AD860" s="4">
        <v>95</v>
      </c>
      <c r="AE860" s="4">
        <v>96</v>
      </c>
      <c r="AF860" s="4">
        <v>0</v>
      </c>
      <c r="AG860" s="4">
        <v>1</v>
      </c>
      <c r="AH860" s="4">
        <v>86</v>
      </c>
      <c r="AI860" s="4">
        <v>86</v>
      </c>
      <c r="AJ860" s="4">
        <v>12</v>
      </c>
      <c r="AK860" s="4">
        <v>13</v>
      </c>
      <c r="AL860" s="4">
        <v>49</v>
      </c>
      <c r="AM860" s="4">
        <v>49</v>
      </c>
      <c r="AN860" s="4">
        <v>0</v>
      </c>
      <c r="AO860" s="4">
        <v>0</v>
      </c>
      <c r="AP860" s="4">
        <v>16</v>
      </c>
      <c r="AQ860" s="4">
        <v>16</v>
      </c>
      <c r="AR860" s="3" t="s">
        <v>64</v>
      </c>
      <c r="AS860" s="3" t="s">
        <v>64</v>
      </c>
      <c r="AT860" s="3" t="s">
        <v>64</v>
      </c>
      <c r="AV860" s="6" t="str">
        <f>HYPERLINK("http://mcgill.on.worldcat.org/oclc/60373724","Catalog Record")</f>
        <v>Catalog Record</v>
      </c>
      <c r="AW860" s="6" t="str">
        <f>HYPERLINK("http://www.worldcat.org/oclc/60373724","WorldCat Record")</f>
        <v>WorldCat Record</v>
      </c>
      <c r="AX860" s="3" t="s">
        <v>8837</v>
      </c>
      <c r="AY860" s="3" t="s">
        <v>8838</v>
      </c>
      <c r="AZ860" s="3" t="s">
        <v>8839</v>
      </c>
      <c r="BA860" s="3" t="s">
        <v>8839</v>
      </c>
      <c r="BB860" s="3" t="s">
        <v>8840</v>
      </c>
      <c r="BC860" s="3" t="s">
        <v>78</v>
      </c>
      <c r="BD860" s="3" t="s">
        <v>79</v>
      </c>
      <c r="BE860" s="3" t="s">
        <v>8841</v>
      </c>
      <c r="BF860" s="3" t="s">
        <v>8840</v>
      </c>
      <c r="BG860" s="3" t="s">
        <v>8842</v>
      </c>
    </row>
    <row r="861" spans="1:59" ht="58" x14ac:dyDescent="0.35">
      <c r="A861" s="2" t="s">
        <v>59</v>
      </c>
      <c r="B861" s="2" t="s">
        <v>94</v>
      </c>
      <c r="C861" s="2" t="s">
        <v>8843</v>
      </c>
      <c r="D861" s="2" t="s">
        <v>8844</v>
      </c>
      <c r="E861" s="2" t="s">
        <v>8845</v>
      </c>
      <c r="G861" s="3" t="s">
        <v>64</v>
      </c>
      <c r="I861" s="3" t="s">
        <v>64</v>
      </c>
      <c r="J861" s="3" t="s">
        <v>64</v>
      </c>
      <c r="K861" s="3" t="s">
        <v>65</v>
      </c>
      <c r="L861" s="2" t="s">
        <v>8846</v>
      </c>
      <c r="M861" s="2" t="s">
        <v>8847</v>
      </c>
      <c r="N861" s="3" t="s">
        <v>214</v>
      </c>
      <c r="P861" s="3" t="s">
        <v>69</v>
      </c>
      <c r="Q861" s="2" t="s">
        <v>8848</v>
      </c>
      <c r="R861" s="3" t="s">
        <v>70</v>
      </c>
      <c r="S861" s="4">
        <v>4</v>
      </c>
      <c r="T861" s="4">
        <v>4</v>
      </c>
      <c r="U861" s="5" t="s">
        <v>8849</v>
      </c>
      <c r="V861" s="5" t="s">
        <v>8849</v>
      </c>
      <c r="W861" s="5" t="s">
        <v>72</v>
      </c>
      <c r="X861" s="5" t="s">
        <v>72</v>
      </c>
      <c r="Y861" s="4">
        <v>267</v>
      </c>
      <c r="Z861" s="4">
        <v>12</v>
      </c>
      <c r="AA861" s="4">
        <v>14</v>
      </c>
      <c r="AB861" s="4">
        <v>1</v>
      </c>
      <c r="AC861" s="4">
        <v>2</v>
      </c>
      <c r="AD861" s="4">
        <v>31</v>
      </c>
      <c r="AE861" s="4">
        <v>40</v>
      </c>
      <c r="AF861" s="4">
        <v>0</v>
      </c>
      <c r="AG861" s="4">
        <v>1</v>
      </c>
      <c r="AH861" s="4">
        <v>25</v>
      </c>
      <c r="AI861" s="4">
        <v>33</v>
      </c>
      <c r="AJ861" s="4">
        <v>3</v>
      </c>
      <c r="AK861" s="4">
        <v>4</v>
      </c>
      <c r="AL861" s="4">
        <v>17</v>
      </c>
      <c r="AM861" s="4">
        <v>22</v>
      </c>
      <c r="AN861" s="4">
        <v>0</v>
      </c>
      <c r="AO861" s="4">
        <v>0</v>
      </c>
      <c r="AP861" s="4">
        <v>7</v>
      </c>
      <c r="AQ861" s="4">
        <v>7</v>
      </c>
      <c r="AR861" s="3" t="s">
        <v>64</v>
      </c>
      <c r="AS861" s="3" t="s">
        <v>64</v>
      </c>
      <c r="AT861" s="3" t="s">
        <v>64</v>
      </c>
      <c r="AV861" s="6" t="str">
        <f>HYPERLINK("http://mcgill.on.worldcat.org/oclc/401140492","Catalog Record")</f>
        <v>Catalog Record</v>
      </c>
      <c r="AW861" s="6" t="str">
        <f>HYPERLINK("http://www.worldcat.org/oclc/401140492","WorldCat Record")</f>
        <v>WorldCat Record</v>
      </c>
      <c r="AX861" s="3" t="s">
        <v>8850</v>
      </c>
      <c r="AY861" s="3" t="s">
        <v>8851</v>
      </c>
      <c r="AZ861" s="3" t="s">
        <v>8852</v>
      </c>
      <c r="BA861" s="3" t="s">
        <v>8852</v>
      </c>
      <c r="BB861" s="3" t="s">
        <v>8853</v>
      </c>
      <c r="BC861" s="3" t="s">
        <v>78</v>
      </c>
      <c r="BD861" s="3" t="s">
        <v>79</v>
      </c>
      <c r="BE861" s="3" t="s">
        <v>8854</v>
      </c>
      <c r="BF861" s="3" t="s">
        <v>8853</v>
      </c>
      <c r="BG861" s="3" t="s">
        <v>8855</v>
      </c>
    </row>
    <row r="862" spans="1:59" ht="58" x14ac:dyDescent="0.35">
      <c r="A862" s="2" t="s">
        <v>59</v>
      </c>
      <c r="B862" s="2" t="s">
        <v>94</v>
      </c>
      <c r="C862" s="2" t="s">
        <v>8856</v>
      </c>
      <c r="D862" s="2" t="s">
        <v>8857</v>
      </c>
      <c r="E862" s="2" t="s">
        <v>8858</v>
      </c>
      <c r="G862" s="3" t="s">
        <v>64</v>
      </c>
      <c r="I862" s="3" t="s">
        <v>64</v>
      </c>
      <c r="J862" s="3" t="s">
        <v>64</v>
      </c>
      <c r="K862" s="3" t="s">
        <v>65</v>
      </c>
      <c r="L862" s="2" t="s">
        <v>8859</v>
      </c>
      <c r="M862" s="2" t="s">
        <v>8860</v>
      </c>
      <c r="N862" s="3" t="s">
        <v>226</v>
      </c>
      <c r="P862" s="3" t="s">
        <v>69</v>
      </c>
      <c r="R862" s="3" t="s">
        <v>70</v>
      </c>
      <c r="S862" s="4">
        <v>11</v>
      </c>
      <c r="T862" s="4">
        <v>11</v>
      </c>
      <c r="U862" s="5" t="s">
        <v>2154</v>
      </c>
      <c r="V862" s="5" t="s">
        <v>2154</v>
      </c>
      <c r="W862" s="5" t="s">
        <v>72</v>
      </c>
      <c r="X862" s="5" t="s">
        <v>72</v>
      </c>
      <c r="Y862" s="4">
        <v>164</v>
      </c>
      <c r="Z862" s="4">
        <v>9</v>
      </c>
      <c r="AA862" s="4">
        <v>9</v>
      </c>
      <c r="AB862" s="4">
        <v>1</v>
      </c>
      <c r="AC862" s="4">
        <v>1</v>
      </c>
      <c r="AD862" s="4">
        <v>62</v>
      </c>
      <c r="AE862" s="4">
        <v>62</v>
      </c>
      <c r="AF862" s="4">
        <v>0</v>
      </c>
      <c r="AG862" s="4">
        <v>0</v>
      </c>
      <c r="AH862" s="4">
        <v>59</v>
      </c>
      <c r="AI862" s="4">
        <v>59</v>
      </c>
      <c r="AJ862" s="4">
        <v>5</v>
      </c>
      <c r="AK862" s="4">
        <v>5</v>
      </c>
      <c r="AL862" s="4">
        <v>38</v>
      </c>
      <c r="AM862" s="4">
        <v>38</v>
      </c>
      <c r="AN862" s="4">
        <v>0</v>
      </c>
      <c r="AO862" s="4">
        <v>0</v>
      </c>
      <c r="AP862" s="4">
        <v>5</v>
      </c>
      <c r="AQ862" s="4">
        <v>5</v>
      </c>
      <c r="AR862" s="3" t="s">
        <v>64</v>
      </c>
      <c r="AS862" s="3" t="s">
        <v>64</v>
      </c>
      <c r="AT862" s="3" t="s">
        <v>64</v>
      </c>
      <c r="AV862" s="6" t="str">
        <f>HYPERLINK("http://mcgill.on.worldcat.org/oclc/35269934","Catalog Record")</f>
        <v>Catalog Record</v>
      </c>
      <c r="AW862" s="6" t="str">
        <f>HYPERLINK("http://www.worldcat.org/oclc/35269934","WorldCat Record")</f>
        <v>WorldCat Record</v>
      </c>
      <c r="AX862" s="3" t="s">
        <v>8861</v>
      </c>
      <c r="AY862" s="3" t="s">
        <v>8862</v>
      </c>
      <c r="AZ862" s="3" t="s">
        <v>8863</v>
      </c>
      <c r="BA862" s="3" t="s">
        <v>8863</v>
      </c>
      <c r="BB862" s="3" t="s">
        <v>8864</v>
      </c>
      <c r="BC862" s="3" t="s">
        <v>78</v>
      </c>
      <c r="BD862" s="3" t="s">
        <v>79</v>
      </c>
      <c r="BE862" s="3" t="s">
        <v>8865</v>
      </c>
      <c r="BF862" s="3" t="s">
        <v>8864</v>
      </c>
      <c r="BG862" s="3" t="s">
        <v>8866</v>
      </c>
    </row>
    <row r="863" spans="1:59" ht="87" x14ac:dyDescent="0.35">
      <c r="A863" s="2" t="s">
        <v>59</v>
      </c>
      <c r="B863" s="2" t="s">
        <v>94</v>
      </c>
      <c r="C863" s="2" t="s">
        <v>8867</v>
      </c>
      <c r="D863" s="2" t="s">
        <v>8868</v>
      </c>
      <c r="E863" s="2" t="s">
        <v>8869</v>
      </c>
      <c r="G863" s="3" t="s">
        <v>64</v>
      </c>
      <c r="I863" s="3" t="s">
        <v>64</v>
      </c>
      <c r="J863" s="3" t="s">
        <v>64</v>
      </c>
      <c r="K863" s="3" t="s">
        <v>65</v>
      </c>
      <c r="M863" s="2" t="s">
        <v>8870</v>
      </c>
      <c r="N863" s="3" t="s">
        <v>861</v>
      </c>
      <c r="P863" s="3" t="s">
        <v>69</v>
      </c>
      <c r="Q863" s="2" t="s">
        <v>8871</v>
      </c>
      <c r="R863" s="3" t="s">
        <v>70</v>
      </c>
      <c r="S863" s="4">
        <v>1</v>
      </c>
      <c r="T863" s="4">
        <v>1</v>
      </c>
      <c r="U863" s="5" t="s">
        <v>2154</v>
      </c>
      <c r="V863" s="5" t="s">
        <v>2154</v>
      </c>
      <c r="W863" s="5" t="s">
        <v>72</v>
      </c>
      <c r="X863" s="5" t="s">
        <v>72</v>
      </c>
      <c r="Y863" s="4">
        <v>155</v>
      </c>
      <c r="Z863" s="4">
        <v>7</v>
      </c>
      <c r="AA863" s="4">
        <v>26</v>
      </c>
      <c r="AB863" s="4">
        <v>1</v>
      </c>
      <c r="AC863" s="4">
        <v>1</v>
      </c>
      <c r="AD863" s="4">
        <v>57</v>
      </c>
      <c r="AE863" s="4">
        <v>68</v>
      </c>
      <c r="AF863" s="4">
        <v>0</v>
      </c>
      <c r="AG863" s="4">
        <v>0</v>
      </c>
      <c r="AH863" s="4">
        <v>56</v>
      </c>
      <c r="AI863" s="4">
        <v>62</v>
      </c>
      <c r="AJ863" s="4">
        <v>4</v>
      </c>
      <c r="AK863" s="4">
        <v>5</v>
      </c>
      <c r="AL863" s="4">
        <v>35</v>
      </c>
      <c r="AM863" s="4">
        <v>38</v>
      </c>
      <c r="AN863" s="4">
        <v>0</v>
      </c>
      <c r="AO863" s="4">
        <v>0</v>
      </c>
      <c r="AP863" s="4">
        <v>4</v>
      </c>
      <c r="AQ863" s="4">
        <v>9</v>
      </c>
      <c r="AR863" s="3" t="s">
        <v>64</v>
      </c>
      <c r="AS863" s="3" t="s">
        <v>64</v>
      </c>
      <c r="AT863" s="3" t="s">
        <v>64</v>
      </c>
      <c r="AV863" s="6" t="str">
        <f>HYPERLINK("http://mcgill.on.worldcat.org/oclc/54751784","Catalog Record")</f>
        <v>Catalog Record</v>
      </c>
      <c r="AW863" s="6" t="str">
        <f>HYPERLINK("http://www.worldcat.org/oclc/54751784","WorldCat Record")</f>
        <v>WorldCat Record</v>
      </c>
      <c r="AX863" s="3" t="s">
        <v>8872</v>
      </c>
      <c r="AY863" s="3" t="s">
        <v>8873</v>
      </c>
      <c r="AZ863" s="3" t="s">
        <v>8874</v>
      </c>
      <c r="BA863" s="3" t="s">
        <v>8874</v>
      </c>
      <c r="BB863" s="3" t="s">
        <v>8875</v>
      </c>
      <c r="BC863" s="3" t="s">
        <v>78</v>
      </c>
      <c r="BD863" s="3" t="s">
        <v>79</v>
      </c>
      <c r="BE863" s="3" t="s">
        <v>8876</v>
      </c>
      <c r="BF863" s="3" t="s">
        <v>8875</v>
      </c>
      <c r="BG863" s="3" t="s">
        <v>8877</v>
      </c>
    </row>
    <row r="864" spans="1:59" ht="58" x14ac:dyDescent="0.35">
      <c r="A864" s="2" t="s">
        <v>59</v>
      </c>
      <c r="B864" s="2" t="s">
        <v>94</v>
      </c>
      <c r="C864" s="2" t="s">
        <v>8878</v>
      </c>
      <c r="D864" s="2" t="s">
        <v>8879</v>
      </c>
      <c r="E864" s="2" t="s">
        <v>8880</v>
      </c>
      <c r="G864" s="3" t="s">
        <v>64</v>
      </c>
      <c r="I864" s="3" t="s">
        <v>64</v>
      </c>
      <c r="J864" s="3" t="s">
        <v>64</v>
      </c>
      <c r="K864" s="3" t="s">
        <v>65</v>
      </c>
      <c r="L864" s="2" t="s">
        <v>8881</v>
      </c>
      <c r="M864" s="2" t="s">
        <v>8882</v>
      </c>
      <c r="N864" s="3" t="s">
        <v>8883</v>
      </c>
      <c r="P864" s="3" t="s">
        <v>69</v>
      </c>
      <c r="Q864" s="2" t="s">
        <v>8884</v>
      </c>
      <c r="R864" s="3" t="s">
        <v>70</v>
      </c>
      <c r="S864" s="4">
        <v>15</v>
      </c>
      <c r="T864" s="4">
        <v>15</v>
      </c>
      <c r="U864" s="5" t="s">
        <v>8885</v>
      </c>
      <c r="V864" s="5" t="s">
        <v>8885</v>
      </c>
      <c r="W864" s="5" t="s">
        <v>72</v>
      </c>
      <c r="X864" s="5" t="s">
        <v>72</v>
      </c>
      <c r="Y864" s="4">
        <v>15</v>
      </c>
      <c r="Z864" s="4">
        <v>3</v>
      </c>
      <c r="AA864" s="4">
        <v>12</v>
      </c>
      <c r="AB864" s="4">
        <v>1</v>
      </c>
      <c r="AC864" s="4">
        <v>1</v>
      </c>
      <c r="AD864" s="4">
        <v>3</v>
      </c>
      <c r="AE864" s="4">
        <v>32</v>
      </c>
      <c r="AF864" s="4">
        <v>0</v>
      </c>
      <c r="AG864" s="4">
        <v>0</v>
      </c>
      <c r="AH864" s="4">
        <v>3</v>
      </c>
      <c r="AI864" s="4">
        <v>28</v>
      </c>
      <c r="AJ864" s="4">
        <v>0</v>
      </c>
      <c r="AK864" s="4">
        <v>4</v>
      </c>
      <c r="AL864" s="4">
        <v>3</v>
      </c>
      <c r="AM864" s="4">
        <v>18</v>
      </c>
      <c r="AN864" s="4">
        <v>0</v>
      </c>
      <c r="AO864" s="4">
        <v>0</v>
      </c>
      <c r="AP864" s="4">
        <v>0</v>
      </c>
      <c r="AQ864" s="4">
        <v>4</v>
      </c>
      <c r="AR864" s="3" t="s">
        <v>64</v>
      </c>
      <c r="AS864" s="3" t="s">
        <v>64</v>
      </c>
      <c r="AT864" s="3" t="s">
        <v>64</v>
      </c>
      <c r="AU864" s="6" t="str">
        <f>HYPERLINK("http://catalog.hathitrust.org/Record/009020124","HathiTrust Record")</f>
        <v>HathiTrust Record</v>
      </c>
      <c r="AV864" s="6" t="str">
        <f>HYPERLINK("http://mcgill.on.worldcat.org/oclc/5949440","Catalog Record")</f>
        <v>Catalog Record</v>
      </c>
      <c r="AW864" s="6" t="str">
        <f>HYPERLINK("http://www.worldcat.org/oclc/5949440","WorldCat Record")</f>
        <v>WorldCat Record</v>
      </c>
      <c r="AX864" s="3" t="s">
        <v>8886</v>
      </c>
      <c r="AY864" s="3" t="s">
        <v>8887</v>
      </c>
      <c r="AZ864" s="3" t="s">
        <v>8888</v>
      </c>
      <c r="BA864" s="3" t="s">
        <v>8888</v>
      </c>
      <c r="BB864" s="3" t="s">
        <v>8889</v>
      </c>
      <c r="BC864" s="3" t="s">
        <v>78</v>
      </c>
      <c r="BD864" s="3" t="s">
        <v>79</v>
      </c>
      <c r="BF864" s="3" t="s">
        <v>8889</v>
      </c>
      <c r="BG864" s="3" t="s">
        <v>8890</v>
      </c>
    </row>
    <row r="865" spans="1:59" ht="58" x14ac:dyDescent="0.35">
      <c r="A865" s="2" t="s">
        <v>59</v>
      </c>
      <c r="B865" s="2" t="s">
        <v>94</v>
      </c>
      <c r="C865" s="2" t="s">
        <v>8891</v>
      </c>
      <c r="D865" s="2" t="s">
        <v>8892</v>
      </c>
      <c r="E865" s="2" t="s">
        <v>8893</v>
      </c>
      <c r="G865" s="3" t="s">
        <v>64</v>
      </c>
      <c r="I865" s="3" t="s">
        <v>64</v>
      </c>
      <c r="J865" s="3" t="s">
        <v>64</v>
      </c>
      <c r="K865" s="3" t="s">
        <v>65</v>
      </c>
      <c r="L865" s="2" t="s">
        <v>8894</v>
      </c>
      <c r="M865" s="2" t="s">
        <v>8895</v>
      </c>
      <c r="N865" s="3" t="s">
        <v>8896</v>
      </c>
      <c r="P865" s="3" t="s">
        <v>69</v>
      </c>
      <c r="R865" s="3" t="s">
        <v>70</v>
      </c>
      <c r="S865" s="4">
        <v>14</v>
      </c>
      <c r="T865" s="4">
        <v>14</v>
      </c>
      <c r="U865" s="5" t="s">
        <v>8885</v>
      </c>
      <c r="V865" s="5" t="s">
        <v>8885</v>
      </c>
      <c r="W865" s="5" t="s">
        <v>72</v>
      </c>
      <c r="X865" s="5" t="s">
        <v>72</v>
      </c>
      <c r="Y865" s="4">
        <v>3</v>
      </c>
      <c r="Z865" s="4">
        <v>3</v>
      </c>
      <c r="AA865" s="4">
        <v>29</v>
      </c>
      <c r="AB865" s="4">
        <v>1</v>
      </c>
      <c r="AC865" s="4">
        <v>3</v>
      </c>
      <c r="AD865" s="4">
        <v>1</v>
      </c>
      <c r="AE865" s="4">
        <v>53</v>
      </c>
      <c r="AF865" s="4">
        <v>0</v>
      </c>
      <c r="AG865" s="4">
        <v>1</v>
      </c>
      <c r="AH865" s="4">
        <v>1</v>
      </c>
      <c r="AI865" s="4">
        <v>42</v>
      </c>
      <c r="AJ865" s="4">
        <v>1</v>
      </c>
      <c r="AK865" s="4">
        <v>13</v>
      </c>
      <c r="AL865" s="4">
        <v>1</v>
      </c>
      <c r="AM865" s="4">
        <v>26</v>
      </c>
      <c r="AN865" s="4">
        <v>0</v>
      </c>
      <c r="AO865" s="4">
        <v>0</v>
      </c>
      <c r="AP865" s="4">
        <v>1</v>
      </c>
      <c r="AQ865" s="4">
        <v>16</v>
      </c>
      <c r="AR865" s="3" t="s">
        <v>64</v>
      </c>
      <c r="AS865" s="3" t="s">
        <v>64</v>
      </c>
      <c r="AT865" s="3" t="s">
        <v>64</v>
      </c>
      <c r="AV865" s="6" t="str">
        <f>HYPERLINK("http://mcgill.on.worldcat.org/oclc/427540263","Catalog Record")</f>
        <v>Catalog Record</v>
      </c>
      <c r="AW865" s="6" t="str">
        <f>HYPERLINK("http://www.worldcat.org/oclc/427540263","WorldCat Record")</f>
        <v>WorldCat Record</v>
      </c>
      <c r="AX865" s="3" t="s">
        <v>8897</v>
      </c>
      <c r="AY865" s="3" t="s">
        <v>8898</v>
      </c>
      <c r="AZ865" s="3" t="s">
        <v>8899</v>
      </c>
      <c r="BA865" s="3" t="s">
        <v>8899</v>
      </c>
      <c r="BB865" s="3" t="s">
        <v>8900</v>
      </c>
      <c r="BC865" s="3" t="s">
        <v>78</v>
      </c>
      <c r="BD865" s="3" t="s">
        <v>79</v>
      </c>
      <c r="BF865" s="3" t="s">
        <v>8900</v>
      </c>
      <c r="BG865" s="3" t="s">
        <v>8901</v>
      </c>
    </row>
    <row r="866" spans="1:59" ht="58" x14ac:dyDescent="0.35">
      <c r="A866" s="2" t="s">
        <v>59</v>
      </c>
      <c r="B866" s="2" t="s">
        <v>94</v>
      </c>
      <c r="C866" s="2" t="s">
        <v>8902</v>
      </c>
      <c r="D866" s="2" t="s">
        <v>8903</v>
      </c>
      <c r="E866" s="2" t="s">
        <v>8904</v>
      </c>
      <c r="G866" s="3" t="s">
        <v>64</v>
      </c>
      <c r="I866" s="3" t="s">
        <v>64</v>
      </c>
      <c r="J866" s="3" t="s">
        <v>64</v>
      </c>
      <c r="K866" s="3" t="s">
        <v>65</v>
      </c>
      <c r="L866" s="2" t="s">
        <v>8905</v>
      </c>
      <c r="M866" s="2" t="s">
        <v>8906</v>
      </c>
      <c r="N866" s="3" t="s">
        <v>189</v>
      </c>
      <c r="P866" s="3" t="s">
        <v>69</v>
      </c>
      <c r="Q866" s="2" t="s">
        <v>6822</v>
      </c>
      <c r="R866" s="3" t="s">
        <v>70</v>
      </c>
      <c r="S866" s="4">
        <v>19</v>
      </c>
      <c r="T866" s="4">
        <v>19</v>
      </c>
      <c r="U866" s="5" t="s">
        <v>8907</v>
      </c>
      <c r="V866" s="5" t="s">
        <v>8907</v>
      </c>
      <c r="W866" s="5" t="s">
        <v>72</v>
      </c>
      <c r="X866" s="5" t="s">
        <v>72</v>
      </c>
      <c r="Y866" s="4">
        <v>418</v>
      </c>
      <c r="Z866" s="4">
        <v>10</v>
      </c>
      <c r="AA866" s="4">
        <v>34</v>
      </c>
      <c r="AB866" s="4">
        <v>1</v>
      </c>
      <c r="AC866" s="4">
        <v>3</v>
      </c>
      <c r="AD866" s="4">
        <v>62</v>
      </c>
      <c r="AE866" s="4">
        <v>109</v>
      </c>
      <c r="AF866" s="4">
        <v>0</v>
      </c>
      <c r="AG866" s="4">
        <v>1</v>
      </c>
      <c r="AH866" s="4">
        <v>56</v>
      </c>
      <c r="AI866" s="4">
        <v>93</v>
      </c>
      <c r="AJ866" s="4">
        <v>3</v>
      </c>
      <c r="AK866" s="4">
        <v>13</v>
      </c>
      <c r="AL866" s="4">
        <v>34</v>
      </c>
      <c r="AM866" s="4">
        <v>52</v>
      </c>
      <c r="AN866" s="4">
        <v>0</v>
      </c>
      <c r="AO866" s="4">
        <v>0</v>
      </c>
      <c r="AP866" s="4">
        <v>7</v>
      </c>
      <c r="AQ866" s="4">
        <v>18</v>
      </c>
      <c r="AR866" s="3" t="s">
        <v>64</v>
      </c>
      <c r="AS866" s="3" t="s">
        <v>64</v>
      </c>
      <c r="AT866" s="3" t="s">
        <v>64</v>
      </c>
      <c r="AV866" s="6" t="str">
        <f>HYPERLINK("http://mcgill.on.worldcat.org/oclc/569220","Catalog Record")</f>
        <v>Catalog Record</v>
      </c>
      <c r="AW866" s="6" t="str">
        <f>HYPERLINK("http://www.worldcat.org/oclc/569220","WorldCat Record")</f>
        <v>WorldCat Record</v>
      </c>
      <c r="AX866" s="3" t="s">
        <v>8908</v>
      </c>
      <c r="AY866" s="3" t="s">
        <v>8909</v>
      </c>
      <c r="AZ866" s="3" t="s">
        <v>8910</v>
      </c>
      <c r="BA866" s="3" t="s">
        <v>8910</v>
      </c>
      <c r="BB866" s="3" t="s">
        <v>8911</v>
      </c>
      <c r="BC866" s="3" t="s">
        <v>78</v>
      </c>
      <c r="BD866" s="3" t="s">
        <v>414</v>
      </c>
      <c r="BF866" s="3" t="s">
        <v>8911</v>
      </c>
      <c r="BG866" s="3" t="s">
        <v>8912</v>
      </c>
    </row>
    <row r="867" spans="1:59" ht="58" x14ac:dyDescent="0.35">
      <c r="A867" s="2" t="s">
        <v>59</v>
      </c>
      <c r="B867" s="2" t="s">
        <v>94</v>
      </c>
      <c r="C867" s="2" t="s">
        <v>8913</v>
      </c>
      <c r="D867" s="2" t="s">
        <v>8914</v>
      </c>
      <c r="E867" s="2" t="s">
        <v>8915</v>
      </c>
      <c r="G867" s="3" t="s">
        <v>64</v>
      </c>
      <c r="I867" s="3" t="s">
        <v>73</v>
      </c>
      <c r="J867" s="3" t="s">
        <v>64</v>
      </c>
      <c r="K867" s="3" t="s">
        <v>65</v>
      </c>
      <c r="L867" s="2" t="s">
        <v>8916</v>
      </c>
      <c r="M867" s="2" t="s">
        <v>8917</v>
      </c>
      <c r="N867" s="3" t="s">
        <v>2362</v>
      </c>
      <c r="P867" s="3" t="s">
        <v>69</v>
      </c>
      <c r="Q867" s="2" t="s">
        <v>8918</v>
      </c>
      <c r="R867" s="3" t="s">
        <v>70</v>
      </c>
      <c r="S867" s="4">
        <v>10</v>
      </c>
      <c r="T867" s="4">
        <v>34</v>
      </c>
      <c r="U867" s="5" t="s">
        <v>2629</v>
      </c>
      <c r="V867" s="5" t="s">
        <v>6520</v>
      </c>
      <c r="W867" s="5" t="s">
        <v>72</v>
      </c>
      <c r="X867" s="5" t="s">
        <v>72</v>
      </c>
      <c r="Y867" s="4">
        <v>224</v>
      </c>
      <c r="Z867" s="4">
        <v>34</v>
      </c>
      <c r="AA867" s="4">
        <v>62</v>
      </c>
      <c r="AB867" s="4">
        <v>1</v>
      </c>
      <c r="AC867" s="4">
        <v>5</v>
      </c>
      <c r="AD867" s="4">
        <v>52</v>
      </c>
      <c r="AE867" s="4">
        <v>140</v>
      </c>
      <c r="AF867" s="4">
        <v>0</v>
      </c>
      <c r="AG867" s="4">
        <v>4</v>
      </c>
      <c r="AH867" s="4">
        <v>40</v>
      </c>
      <c r="AI867" s="4">
        <v>109</v>
      </c>
      <c r="AJ867" s="4">
        <v>13</v>
      </c>
      <c r="AK867" s="4">
        <v>26</v>
      </c>
      <c r="AL867" s="4">
        <v>23</v>
      </c>
      <c r="AM867" s="4">
        <v>60</v>
      </c>
      <c r="AN867" s="4">
        <v>0</v>
      </c>
      <c r="AO867" s="4">
        <v>0</v>
      </c>
      <c r="AP867" s="4">
        <v>19</v>
      </c>
      <c r="AQ867" s="4">
        <v>38</v>
      </c>
      <c r="AR867" s="3" t="s">
        <v>64</v>
      </c>
      <c r="AS867" s="3" t="s">
        <v>64</v>
      </c>
      <c r="AT867" s="3" t="s">
        <v>73</v>
      </c>
      <c r="AU867" s="6" t="str">
        <f>HYPERLINK("http://catalog.hathitrust.org/Record/003092316","HathiTrust Record")</f>
        <v>HathiTrust Record</v>
      </c>
      <c r="AV867" s="6" t="str">
        <f>HYPERLINK("http://mcgill.on.worldcat.org/oclc/246322","Catalog Record")</f>
        <v>Catalog Record</v>
      </c>
      <c r="AW867" s="6" t="str">
        <f>HYPERLINK("http://www.worldcat.org/oclc/246322","WorldCat Record")</f>
        <v>WorldCat Record</v>
      </c>
      <c r="AX867" s="3" t="s">
        <v>8919</v>
      </c>
      <c r="AY867" s="3" t="s">
        <v>8920</v>
      </c>
      <c r="AZ867" s="3" t="s">
        <v>8921</v>
      </c>
      <c r="BA867" s="3" t="s">
        <v>8921</v>
      </c>
      <c r="BB867" s="3" t="s">
        <v>8922</v>
      </c>
      <c r="BC867" s="3" t="s">
        <v>78</v>
      </c>
      <c r="BD867" s="3" t="s">
        <v>79</v>
      </c>
      <c r="BF867" s="3" t="s">
        <v>8922</v>
      </c>
      <c r="BG867" s="3" t="s">
        <v>8923</v>
      </c>
    </row>
    <row r="868" spans="1:59" ht="58" x14ac:dyDescent="0.35">
      <c r="A868" s="2" t="s">
        <v>59</v>
      </c>
      <c r="B868" s="2" t="s">
        <v>94</v>
      </c>
      <c r="C868" s="2" t="s">
        <v>8913</v>
      </c>
      <c r="D868" s="2" t="s">
        <v>8914</v>
      </c>
      <c r="E868" s="2" t="s">
        <v>8915</v>
      </c>
      <c r="G868" s="3" t="s">
        <v>64</v>
      </c>
      <c r="I868" s="3" t="s">
        <v>73</v>
      </c>
      <c r="J868" s="3" t="s">
        <v>64</v>
      </c>
      <c r="K868" s="3" t="s">
        <v>65</v>
      </c>
      <c r="L868" s="2" t="s">
        <v>8916</v>
      </c>
      <c r="M868" s="2" t="s">
        <v>8917</v>
      </c>
      <c r="N868" s="3" t="s">
        <v>2362</v>
      </c>
      <c r="P868" s="3" t="s">
        <v>69</v>
      </c>
      <c r="Q868" s="2" t="s">
        <v>8918</v>
      </c>
      <c r="R868" s="3" t="s">
        <v>70</v>
      </c>
      <c r="S868" s="4">
        <v>13</v>
      </c>
      <c r="T868" s="4">
        <v>34</v>
      </c>
      <c r="U868" s="5" t="s">
        <v>8924</v>
      </c>
      <c r="V868" s="5" t="s">
        <v>6520</v>
      </c>
      <c r="W868" s="5" t="s">
        <v>72</v>
      </c>
      <c r="X868" s="5" t="s">
        <v>72</v>
      </c>
      <c r="Y868" s="4">
        <v>224</v>
      </c>
      <c r="Z868" s="4">
        <v>34</v>
      </c>
      <c r="AA868" s="4">
        <v>62</v>
      </c>
      <c r="AB868" s="4">
        <v>1</v>
      </c>
      <c r="AC868" s="4">
        <v>5</v>
      </c>
      <c r="AD868" s="4">
        <v>52</v>
      </c>
      <c r="AE868" s="4">
        <v>140</v>
      </c>
      <c r="AF868" s="4">
        <v>0</v>
      </c>
      <c r="AG868" s="4">
        <v>4</v>
      </c>
      <c r="AH868" s="4">
        <v>40</v>
      </c>
      <c r="AI868" s="4">
        <v>109</v>
      </c>
      <c r="AJ868" s="4">
        <v>13</v>
      </c>
      <c r="AK868" s="4">
        <v>26</v>
      </c>
      <c r="AL868" s="4">
        <v>23</v>
      </c>
      <c r="AM868" s="4">
        <v>60</v>
      </c>
      <c r="AN868" s="4">
        <v>0</v>
      </c>
      <c r="AO868" s="4">
        <v>0</v>
      </c>
      <c r="AP868" s="4">
        <v>19</v>
      </c>
      <c r="AQ868" s="4">
        <v>38</v>
      </c>
      <c r="AR868" s="3" t="s">
        <v>64</v>
      </c>
      <c r="AS868" s="3" t="s">
        <v>64</v>
      </c>
      <c r="AT868" s="3" t="s">
        <v>73</v>
      </c>
      <c r="AU868" s="6" t="str">
        <f>HYPERLINK("http://catalog.hathitrust.org/Record/003092316","HathiTrust Record")</f>
        <v>HathiTrust Record</v>
      </c>
      <c r="AV868" s="6" t="str">
        <f>HYPERLINK("http://mcgill.on.worldcat.org/oclc/246322","Catalog Record")</f>
        <v>Catalog Record</v>
      </c>
      <c r="AW868" s="6" t="str">
        <f>HYPERLINK("http://www.worldcat.org/oclc/246322","WorldCat Record")</f>
        <v>WorldCat Record</v>
      </c>
      <c r="AX868" s="3" t="s">
        <v>8919</v>
      </c>
      <c r="AY868" s="3" t="s">
        <v>8920</v>
      </c>
      <c r="AZ868" s="3" t="s">
        <v>8921</v>
      </c>
      <c r="BA868" s="3" t="s">
        <v>8921</v>
      </c>
      <c r="BB868" s="3" t="s">
        <v>8925</v>
      </c>
      <c r="BC868" s="3" t="s">
        <v>78</v>
      </c>
      <c r="BD868" s="3" t="s">
        <v>79</v>
      </c>
      <c r="BF868" s="3" t="s">
        <v>8925</v>
      </c>
      <c r="BG868" s="3" t="s">
        <v>8926</v>
      </c>
    </row>
    <row r="869" spans="1:59" ht="58" x14ac:dyDescent="0.35">
      <c r="A869" s="2" t="s">
        <v>59</v>
      </c>
      <c r="B869" s="2" t="s">
        <v>94</v>
      </c>
      <c r="C869" s="2" t="s">
        <v>8913</v>
      </c>
      <c r="D869" s="2" t="s">
        <v>8914</v>
      </c>
      <c r="E869" s="2" t="s">
        <v>8915</v>
      </c>
      <c r="G869" s="3" t="s">
        <v>64</v>
      </c>
      <c r="I869" s="3" t="s">
        <v>73</v>
      </c>
      <c r="J869" s="3" t="s">
        <v>64</v>
      </c>
      <c r="K869" s="3" t="s">
        <v>65</v>
      </c>
      <c r="L869" s="2" t="s">
        <v>8916</v>
      </c>
      <c r="M869" s="2" t="s">
        <v>8917</v>
      </c>
      <c r="N869" s="3" t="s">
        <v>2362</v>
      </c>
      <c r="P869" s="3" t="s">
        <v>69</v>
      </c>
      <c r="Q869" s="2" t="s">
        <v>8918</v>
      </c>
      <c r="R869" s="3" t="s">
        <v>70</v>
      </c>
      <c r="S869" s="4">
        <v>11</v>
      </c>
      <c r="T869" s="4">
        <v>34</v>
      </c>
      <c r="U869" s="5" t="s">
        <v>6520</v>
      </c>
      <c r="V869" s="5" t="s">
        <v>6520</v>
      </c>
      <c r="W869" s="5" t="s">
        <v>72</v>
      </c>
      <c r="X869" s="5" t="s">
        <v>72</v>
      </c>
      <c r="Y869" s="4">
        <v>224</v>
      </c>
      <c r="Z869" s="4">
        <v>34</v>
      </c>
      <c r="AA869" s="4">
        <v>62</v>
      </c>
      <c r="AB869" s="4">
        <v>1</v>
      </c>
      <c r="AC869" s="4">
        <v>5</v>
      </c>
      <c r="AD869" s="4">
        <v>52</v>
      </c>
      <c r="AE869" s="4">
        <v>140</v>
      </c>
      <c r="AF869" s="4">
        <v>0</v>
      </c>
      <c r="AG869" s="4">
        <v>4</v>
      </c>
      <c r="AH869" s="4">
        <v>40</v>
      </c>
      <c r="AI869" s="4">
        <v>109</v>
      </c>
      <c r="AJ869" s="4">
        <v>13</v>
      </c>
      <c r="AK869" s="4">
        <v>26</v>
      </c>
      <c r="AL869" s="4">
        <v>23</v>
      </c>
      <c r="AM869" s="4">
        <v>60</v>
      </c>
      <c r="AN869" s="4">
        <v>0</v>
      </c>
      <c r="AO869" s="4">
        <v>0</v>
      </c>
      <c r="AP869" s="4">
        <v>19</v>
      </c>
      <c r="AQ869" s="4">
        <v>38</v>
      </c>
      <c r="AR869" s="3" t="s">
        <v>64</v>
      </c>
      <c r="AS869" s="3" t="s">
        <v>64</v>
      </c>
      <c r="AT869" s="3" t="s">
        <v>73</v>
      </c>
      <c r="AU869" s="6" t="str">
        <f>HYPERLINK("http://catalog.hathitrust.org/Record/003092316","HathiTrust Record")</f>
        <v>HathiTrust Record</v>
      </c>
      <c r="AV869" s="6" t="str">
        <f>HYPERLINK("http://mcgill.on.worldcat.org/oclc/246322","Catalog Record")</f>
        <v>Catalog Record</v>
      </c>
      <c r="AW869" s="6" t="str">
        <f>HYPERLINK("http://www.worldcat.org/oclc/246322","WorldCat Record")</f>
        <v>WorldCat Record</v>
      </c>
      <c r="AX869" s="3" t="s">
        <v>8919</v>
      </c>
      <c r="AY869" s="3" t="s">
        <v>8920</v>
      </c>
      <c r="AZ869" s="3" t="s">
        <v>8921</v>
      </c>
      <c r="BA869" s="3" t="s">
        <v>8921</v>
      </c>
      <c r="BB869" s="3" t="s">
        <v>8927</v>
      </c>
      <c r="BC869" s="3" t="s">
        <v>78</v>
      </c>
      <c r="BD869" s="3" t="s">
        <v>79</v>
      </c>
      <c r="BF869" s="3" t="s">
        <v>8927</v>
      </c>
      <c r="BG869" s="3" t="s">
        <v>8928</v>
      </c>
    </row>
    <row r="870" spans="1:59" ht="58" x14ac:dyDescent="0.35">
      <c r="A870" s="2" t="s">
        <v>59</v>
      </c>
      <c r="B870" s="2" t="s">
        <v>94</v>
      </c>
      <c r="C870" s="2" t="s">
        <v>8929</v>
      </c>
      <c r="D870" s="2" t="s">
        <v>8930</v>
      </c>
      <c r="E870" s="2" t="s">
        <v>8931</v>
      </c>
      <c r="G870" s="3" t="s">
        <v>64</v>
      </c>
      <c r="I870" s="3" t="s">
        <v>64</v>
      </c>
      <c r="J870" s="3" t="s">
        <v>64</v>
      </c>
      <c r="K870" s="3" t="s">
        <v>65</v>
      </c>
      <c r="L870" s="2" t="s">
        <v>8916</v>
      </c>
      <c r="M870" s="2" t="s">
        <v>8932</v>
      </c>
      <c r="N870" s="3" t="s">
        <v>148</v>
      </c>
      <c r="P870" s="3" t="s">
        <v>69</v>
      </c>
      <c r="R870" s="3" t="s">
        <v>70</v>
      </c>
      <c r="S870" s="4">
        <v>19</v>
      </c>
      <c r="T870" s="4">
        <v>19</v>
      </c>
      <c r="U870" s="5" t="s">
        <v>8933</v>
      </c>
      <c r="V870" s="5" t="s">
        <v>8933</v>
      </c>
      <c r="W870" s="5" t="s">
        <v>72</v>
      </c>
      <c r="X870" s="5" t="s">
        <v>72</v>
      </c>
      <c r="Y870" s="4">
        <v>432</v>
      </c>
      <c r="Z870" s="4">
        <v>32</v>
      </c>
      <c r="AA870" s="4">
        <v>38</v>
      </c>
      <c r="AB870" s="4">
        <v>3</v>
      </c>
      <c r="AC870" s="4">
        <v>6</v>
      </c>
      <c r="AD870" s="4">
        <v>109</v>
      </c>
      <c r="AE870" s="4">
        <v>116</v>
      </c>
      <c r="AF870" s="4">
        <v>2</v>
      </c>
      <c r="AG870" s="4">
        <v>4</v>
      </c>
      <c r="AH870" s="4">
        <v>90</v>
      </c>
      <c r="AI870" s="4">
        <v>94</v>
      </c>
      <c r="AJ870" s="4">
        <v>19</v>
      </c>
      <c r="AK870" s="4">
        <v>22</v>
      </c>
      <c r="AL870" s="4">
        <v>54</v>
      </c>
      <c r="AM870" s="4">
        <v>54</v>
      </c>
      <c r="AN870" s="4">
        <v>0</v>
      </c>
      <c r="AO870" s="4">
        <v>0</v>
      </c>
      <c r="AP870" s="4">
        <v>23</v>
      </c>
      <c r="AQ870" s="4">
        <v>27</v>
      </c>
      <c r="AR870" s="3" t="s">
        <v>64</v>
      </c>
      <c r="AS870" s="3" t="s">
        <v>64</v>
      </c>
      <c r="AT870" s="3" t="s">
        <v>64</v>
      </c>
      <c r="AV870" s="6" t="str">
        <f>HYPERLINK("http://mcgill.on.worldcat.org/oclc/569904","Catalog Record")</f>
        <v>Catalog Record</v>
      </c>
      <c r="AW870" s="6" t="str">
        <f>HYPERLINK("http://www.worldcat.org/oclc/569904","WorldCat Record")</f>
        <v>WorldCat Record</v>
      </c>
      <c r="AX870" s="3" t="s">
        <v>8934</v>
      </c>
      <c r="AY870" s="3" t="s">
        <v>8935</v>
      </c>
      <c r="AZ870" s="3" t="s">
        <v>8936</v>
      </c>
      <c r="BA870" s="3" t="s">
        <v>8936</v>
      </c>
      <c r="BB870" s="3" t="s">
        <v>8937</v>
      </c>
      <c r="BC870" s="3" t="s">
        <v>78</v>
      </c>
      <c r="BD870" s="3" t="s">
        <v>79</v>
      </c>
      <c r="BF870" s="3" t="s">
        <v>8937</v>
      </c>
      <c r="BG870" s="3" t="s">
        <v>8938</v>
      </c>
    </row>
    <row r="871" spans="1:59" ht="58" x14ac:dyDescent="0.35">
      <c r="A871" s="2" t="s">
        <v>59</v>
      </c>
      <c r="B871" s="2" t="s">
        <v>94</v>
      </c>
      <c r="C871" s="2" t="s">
        <v>8939</v>
      </c>
      <c r="D871" s="2" t="s">
        <v>8940</v>
      </c>
      <c r="E871" s="2" t="s">
        <v>8941</v>
      </c>
      <c r="G871" s="3" t="s">
        <v>64</v>
      </c>
      <c r="I871" s="3" t="s">
        <v>64</v>
      </c>
      <c r="J871" s="3" t="s">
        <v>64</v>
      </c>
      <c r="K871" s="3" t="s">
        <v>65</v>
      </c>
      <c r="L871" s="2" t="s">
        <v>8942</v>
      </c>
      <c r="M871" s="2" t="s">
        <v>8943</v>
      </c>
      <c r="N871" s="3" t="s">
        <v>8944</v>
      </c>
      <c r="P871" s="3" t="s">
        <v>69</v>
      </c>
      <c r="Q871" s="2" t="s">
        <v>8945</v>
      </c>
      <c r="R871" s="3" t="s">
        <v>70</v>
      </c>
      <c r="S871" s="4">
        <v>18</v>
      </c>
      <c r="T871" s="4">
        <v>18</v>
      </c>
      <c r="U871" s="5" t="s">
        <v>8885</v>
      </c>
      <c r="V871" s="5" t="s">
        <v>8885</v>
      </c>
      <c r="W871" s="5" t="s">
        <v>72</v>
      </c>
      <c r="X871" s="5" t="s">
        <v>72</v>
      </c>
      <c r="Y871" s="4">
        <v>79</v>
      </c>
      <c r="Z871" s="4">
        <v>7</v>
      </c>
      <c r="AA871" s="4">
        <v>12</v>
      </c>
      <c r="AB871" s="4">
        <v>1</v>
      </c>
      <c r="AC871" s="4">
        <v>2</v>
      </c>
      <c r="AD871" s="4">
        <v>19</v>
      </c>
      <c r="AE871" s="4">
        <v>39</v>
      </c>
      <c r="AF871" s="4">
        <v>0</v>
      </c>
      <c r="AG871" s="4">
        <v>0</v>
      </c>
      <c r="AH871" s="4">
        <v>17</v>
      </c>
      <c r="AI871" s="4">
        <v>36</v>
      </c>
      <c r="AJ871" s="4">
        <v>2</v>
      </c>
      <c r="AK871" s="4">
        <v>4</v>
      </c>
      <c r="AL871" s="4">
        <v>13</v>
      </c>
      <c r="AM871" s="4">
        <v>25</v>
      </c>
      <c r="AN871" s="4">
        <v>0</v>
      </c>
      <c r="AO871" s="4">
        <v>0</v>
      </c>
      <c r="AP871" s="4">
        <v>2</v>
      </c>
      <c r="AQ871" s="4">
        <v>4</v>
      </c>
      <c r="AR871" s="3" t="s">
        <v>64</v>
      </c>
      <c r="AS871" s="3" t="s">
        <v>64</v>
      </c>
      <c r="AT871" s="3" t="s">
        <v>64</v>
      </c>
      <c r="AU871" s="6" t="str">
        <f>HYPERLINK("http://catalog.hathitrust.org/Record/100169825","HathiTrust Record")</f>
        <v>HathiTrust Record</v>
      </c>
      <c r="AV871" s="6" t="str">
        <f>HYPERLINK("http://mcgill.on.worldcat.org/oclc/1392016","Catalog Record")</f>
        <v>Catalog Record</v>
      </c>
      <c r="AW871" s="6" t="str">
        <f>HYPERLINK("http://www.worldcat.org/oclc/1392016","WorldCat Record")</f>
        <v>WorldCat Record</v>
      </c>
      <c r="AX871" s="3" t="s">
        <v>8946</v>
      </c>
      <c r="AY871" s="3" t="s">
        <v>8947</v>
      </c>
      <c r="AZ871" s="3" t="s">
        <v>8948</v>
      </c>
      <c r="BA871" s="3" t="s">
        <v>8948</v>
      </c>
      <c r="BB871" s="3" t="s">
        <v>8949</v>
      </c>
      <c r="BC871" s="3" t="s">
        <v>78</v>
      </c>
      <c r="BD871" s="3" t="s">
        <v>79</v>
      </c>
      <c r="BF871" s="3" t="s">
        <v>8949</v>
      </c>
      <c r="BG871" s="3" t="s">
        <v>8950</v>
      </c>
    </row>
    <row r="872" spans="1:59" ht="58" x14ac:dyDescent="0.35">
      <c r="A872" s="2" t="s">
        <v>59</v>
      </c>
      <c r="B872" s="2" t="s">
        <v>94</v>
      </c>
      <c r="C872" s="2" t="s">
        <v>8951</v>
      </c>
      <c r="D872" s="2" t="s">
        <v>8952</v>
      </c>
      <c r="E872" s="2" t="s">
        <v>8953</v>
      </c>
      <c r="G872" s="3" t="s">
        <v>64</v>
      </c>
      <c r="I872" s="3" t="s">
        <v>64</v>
      </c>
      <c r="J872" s="3" t="s">
        <v>64</v>
      </c>
      <c r="K872" s="3" t="s">
        <v>65</v>
      </c>
      <c r="M872" s="2" t="s">
        <v>8954</v>
      </c>
      <c r="N872" s="3" t="s">
        <v>1530</v>
      </c>
      <c r="P872" s="3" t="s">
        <v>69</v>
      </c>
      <c r="R872" s="3" t="s">
        <v>70</v>
      </c>
      <c r="S872" s="4">
        <v>14</v>
      </c>
      <c r="T872" s="4">
        <v>14</v>
      </c>
      <c r="U872" s="5" t="s">
        <v>8885</v>
      </c>
      <c r="V872" s="5" t="s">
        <v>8885</v>
      </c>
      <c r="W872" s="5" t="s">
        <v>72</v>
      </c>
      <c r="X872" s="5" t="s">
        <v>72</v>
      </c>
      <c r="Y872" s="4">
        <v>200</v>
      </c>
      <c r="Z872" s="4">
        <v>8</v>
      </c>
      <c r="AA872" s="4">
        <v>9</v>
      </c>
      <c r="AB872" s="4">
        <v>1</v>
      </c>
      <c r="AC872" s="4">
        <v>2</v>
      </c>
      <c r="AD872" s="4">
        <v>49</v>
      </c>
      <c r="AE872" s="4">
        <v>49</v>
      </c>
      <c r="AF872" s="4">
        <v>0</v>
      </c>
      <c r="AG872" s="4">
        <v>0</v>
      </c>
      <c r="AH872" s="4">
        <v>46</v>
      </c>
      <c r="AI872" s="4">
        <v>46</v>
      </c>
      <c r="AJ872" s="4">
        <v>5</v>
      </c>
      <c r="AK872" s="4">
        <v>5</v>
      </c>
      <c r="AL872" s="4">
        <v>31</v>
      </c>
      <c r="AM872" s="4">
        <v>31</v>
      </c>
      <c r="AN872" s="4">
        <v>0</v>
      </c>
      <c r="AO872" s="4">
        <v>0</v>
      </c>
      <c r="AP872" s="4">
        <v>5</v>
      </c>
      <c r="AQ872" s="4">
        <v>5</v>
      </c>
      <c r="AR872" s="3" t="s">
        <v>64</v>
      </c>
      <c r="AS872" s="3" t="s">
        <v>64</v>
      </c>
      <c r="AT872" s="3" t="s">
        <v>64</v>
      </c>
      <c r="AV872" s="6" t="str">
        <f>HYPERLINK("http://mcgill.on.worldcat.org/oclc/49285526","Catalog Record")</f>
        <v>Catalog Record</v>
      </c>
      <c r="AW872" s="6" t="str">
        <f>HYPERLINK("http://www.worldcat.org/oclc/49285526","WorldCat Record")</f>
        <v>WorldCat Record</v>
      </c>
      <c r="AX872" s="3" t="s">
        <v>8955</v>
      </c>
      <c r="AY872" s="3" t="s">
        <v>8956</v>
      </c>
      <c r="AZ872" s="3" t="s">
        <v>8957</v>
      </c>
      <c r="BA872" s="3" t="s">
        <v>8957</v>
      </c>
      <c r="BB872" s="3" t="s">
        <v>8958</v>
      </c>
      <c r="BC872" s="3" t="s">
        <v>78</v>
      </c>
      <c r="BD872" s="3" t="s">
        <v>79</v>
      </c>
      <c r="BE872" s="3" t="s">
        <v>8959</v>
      </c>
      <c r="BF872" s="3" t="s">
        <v>8958</v>
      </c>
      <c r="BG872" s="3" t="s">
        <v>8960</v>
      </c>
    </row>
    <row r="873" spans="1:59" ht="58" x14ac:dyDescent="0.35">
      <c r="A873" s="2" t="s">
        <v>59</v>
      </c>
      <c r="B873" s="2" t="s">
        <v>94</v>
      </c>
      <c r="C873" s="2" t="s">
        <v>8961</v>
      </c>
      <c r="D873" s="2" t="s">
        <v>8962</v>
      </c>
      <c r="E873" s="2" t="s">
        <v>8963</v>
      </c>
      <c r="G873" s="3" t="s">
        <v>64</v>
      </c>
      <c r="I873" s="3" t="s">
        <v>64</v>
      </c>
      <c r="J873" s="3" t="s">
        <v>64</v>
      </c>
      <c r="K873" s="3" t="s">
        <v>65</v>
      </c>
      <c r="L873" s="2" t="s">
        <v>8964</v>
      </c>
      <c r="M873" s="2" t="s">
        <v>8965</v>
      </c>
      <c r="N873" s="3" t="s">
        <v>377</v>
      </c>
      <c r="O873" s="2" t="s">
        <v>638</v>
      </c>
      <c r="P873" s="3" t="s">
        <v>69</v>
      </c>
      <c r="R873" s="3" t="s">
        <v>70</v>
      </c>
      <c r="S873" s="4">
        <v>11</v>
      </c>
      <c r="T873" s="4">
        <v>11</v>
      </c>
      <c r="U873" s="5" t="s">
        <v>8885</v>
      </c>
      <c r="V873" s="5" t="s">
        <v>8885</v>
      </c>
      <c r="W873" s="5" t="s">
        <v>72</v>
      </c>
      <c r="X873" s="5" t="s">
        <v>72</v>
      </c>
      <c r="Y873" s="4">
        <v>282</v>
      </c>
      <c r="Z873" s="4">
        <v>34</v>
      </c>
      <c r="AA873" s="4">
        <v>93</v>
      </c>
      <c r="AB873" s="4">
        <v>2</v>
      </c>
      <c r="AC873" s="4">
        <v>12</v>
      </c>
      <c r="AD873" s="4">
        <v>65</v>
      </c>
      <c r="AE873" s="4">
        <v>121</v>
      </c>
      <c r="AF873" s="4">
        <v>0</v>
      </c>
      <c r="AG873" s="4">
        <v>5</v>
      </c>
      <c r="AH873" s="4">
        <v>45</v>
      </c>
      <c r="AI873" s="4">
        <v>80</v>
      </c>
      <c r="AJ873" s="4">
        <v>18</v>
      </c>
      <c r="AK873" s="4">
        <v>26</v>
      </c>
      <c r="AL873" s="4">
        <v>27</v>
      </c>
      <c r="AM873" s="4">
        <v>47</v>
      </c>
      <c r="AN873" s="4">
        <v>0</v>
      </c>
      <c r="AO873" s="4">
        <v>0</v>
      </c>
      <c r="AP873" s="4">
        <v>24</v>
      </c>
      <c r="AQ873" s="4">
        <v>48</v>
      </c>
      <c r="AR873" s="3" t="s">
        <v>73</v>
      </c>
      <c r="AS873" s="3" t="s">
        <v>64</v>
      </c>
      <c r="AT873" s="3" t="s">
        <v>64</v>
      </c>
      <c r="AV873" s="6" t="str">
        <f>HYPERLINK("http://mcgill.on.worldcat.org/oclc/782101074","Catalog Record")</f>
        <v>Catalog Record</v>
      </c>
      <c r="AW873" s="6" t="str">
        <f>HYPERLINK("http://www.worldcat.org/oclc/782101074","WorldCat Record")</f>
        <v>WorldCat Record</v>
      </c>
      <c r="AX873" s="3" t="s">
        <v>8966</v>
      </c>
      <c r="AY873" s="3" t="s">
        <v>8967</v>
      </c>
      <c r="AZ873" s="3" t="s">
        <v>8968</v>
      </c>
      <c r="BA873" s="3" t="s">
        <v>8968</v>
      </c>
      <c r="BB873" s="3" t="s">
        <v>8969</v>
      </c>
      <c r="BC873" s="3" t="s">
        <v>78</v>
      </c>
      <c r="BD873" s="3" t="s">
        <v>79</v>
      </c>
      <c r="BE873" s="3" t="s">
        <v>8970</v>
      </c>
      <c r="BF873" s="3" t="s">
        <v>8969</v>
      </c>
      <c r="BG873" s="3" t="s">
        <v>8971</v>
      </c>
    </row>
    <row r="874" spans="1:59" ht="58" x14ac:dyDescent="0.35">
      <c r="A874" s="2" t="s">
        <v>59</v>
      </c>
      <c r="B874" s="2" t="s">
        <v>94</v>
      </c>
      <c r="C874" s="2" t="s">
        <v>8972</v>
      </c>
      <c r="D874" s="2" t="s">
        <v>8973</v>
      </c>
      <c r="E874" s="2" t="s">
        <v>8974</v>
      </c>
      <c r="G874" s="3" t="s">
        <v>64</v>
      </c>
      <c r="I874" s="3" t="s">
        <v>64</v>
      </c>
      <c r="J874" s="3" t="s">
        <v>64</v>
      </c>
      <c r="K874" s="3" t="s">
        <v>65</v>
      </c>
      <c r="L874" s="2" t="s">
        <v>8975</v>
      </c>
      <c r="M874" s="2" t="s">
        <v>8976</v>
      </c>
      <c r="N874" s="3" t="s">
        <v>1530</v>
      </c>
      <c r="P874" s="3" t="s">
        <v>69</v>
      </c>
      <c r="Q874" s="2" t="s">
        <v>8977</v>
      </c>
      <c r="R874" s="3" t="s">
        <v>70</v>
      </c>
      <c r="S874" s="4">
        <v>5</v>
      </c>
      <c r="T874" s="4">
        <v>5</v>
      </c>
      <c r="U874" s="5" t="s">
        <v>8978</v>
      </c>
      <c r="V874" s="5" t="s">
        <v>8978</v>
      </c>
      <c r="W874" s="5" t="s">
        <v>72</v>
      </c>
      <c r="X874" s="5" t="s">
        <v>72</v>
      </c>
      <c r="Y874" s="4">
        <v>207</v>
      </c>
      <c r="Z874" s="4">
        <v>10</v>
      </c>
      <c r="AA874" s="4">
        <v>11</v>
      </c>
      <c r="AB874" s="4">
        <v>1</v>
      </c>
      <c r="AC874" s="4">
        <v>2</v>
      </c>
      <c r="AD874" s="4">
        <v>60</v>
      </c>
      <c r="AE874" s="4">
        <v>61</v>
      </c>
      <c r="AF874" s="4">
        <v>0</v>
      </c>
      <c r="AG874" s="4">
        <v>1</v>
      </c>
      <c r="AH874" s="4">
        <v>54</v>
      </c>
      <c r="AI874" s="4">
        <v>55</v>
      </c>
      <c r="AJ874" s="4">
        <v>6</v>
      </c>
      <c r="AK874" s="4">
        <v>7</v>
      </c>
      <c r="AL874" s="4">
        <v>35</v>
      </c>
      <c r="AM874" s="4">
        <v>35</v>
      </c>
      <c r="AN874" s="4">
        <v>0</v>
      </c>
      <c r="AO874" s="4">
        <v>0</v>
      </c>
      <c r="AP874" s="4">
        <v>7</v>
      </c>
      <c r="AQ874" s="4">
        <v>8</v>
      </c>
      <c r="AR874" s="3" t="s">
        <v>64</v>
      </c>
      <c r="AS874" s="3" t="s">
        <v>64</v>
      </c>
      <c r="AT874" s="3" t="s">
        <v>73</v>
      </c>
      <c r="AU874" s="6" t="str">
        <f>HYPERLINK("http://catalog.hathitrust.org/Record/004336095","HathiTrust Record")</f>
        <v>HathiTrust Record</v>
      </c>
      <c r="AV874" s="6" t="str">
        <f>HYPERLINK("http://mcgill.on.worldcat.org/oclc/50096848","Catalog Record")</f>
        <v>Catalog Record</v>
      </c>
      <c r="AW874" s="6" t="str">
        <f>HYPERLINK("http://www.worldcat.org/oclc/50096848","WorldCat Record")</f>
        <v>WorldCat Record</v>
      </c>
      <c r="AX874" s="3" t="s">
        <v>8979</v>
      </c>
      <c r="AY874" s="3" t="s">
        <v>8980</v>
      </c>
      <c r="AZ874" s="3" t="s">
        <v>8981</v>
      </c>
      <c r="BA874" s="3" t="s">
        <v>8981</v>
      </c>
      <c r="BB874" s="3" t="s">
        <v>8982</v>
      </c>
      <c r="BC874" s="3" t="s">
        <v>78</v>
      </c>
      <c r="BD874" s="3" t="s">
        <v>79</v>
      </c>
      <c r="BE874" s="3" t="s">
        <v>8983</v>
      </c>
      <c r="BF874" s="3" t="s">
        <v>8982</v>
      </c>
      <c r="BG874" s="3" t="s">
        <v>8984</v>
      </c>
    </row>
    <row r="875" spans="1:59" ht="58" x14ac:dyDescent="0.35">
      <c r="A875" s="2" t="s">
        <v>59</v>
      </c>
      <c r="B875" s="2" t="s">
        <v>94</v>
      </c>
      <c r="C875" s="2" t="s">
        <v>8985</v>
      </c>
      <c r="D875" s="2" t="s">
        <v>8986</v>
      </c>
      <c r="E875" s="2" t="s">
        <v>8987</v>
      </c>
      <c r="G875" s="3" t="s">
        <v>64</v>
      </c>
      <c r="I875" s="3" t="s">
        <v>64</v>
      </c>
      <c r="J875" s="3" t="s">
        <v>64</v>
      </c>
      <c r="K875" s="3" t="s">
        <v>65</v>
      </c>
      <c r="L875" s="2" t="s">
        <v>8905</v>
      </c>
      <c r="M875" s="2" t="s">
        <v>8988</v>
      </c>
      <c r="N875" s="3" t="s">
        <v>136</v>
      </c>
      <c r="P875" s="3" t="s">
        <v>69</v>
      </c>
      <c r="R875" s="3" t="s">
        <v>70</v>
      </c>
      <c r="S875" s="4">
        <v>14</v>
      </c>
      <c r="T875" s="4">
        <v>14</v>
      </c>
      <c r="U875" s="5" t="s">
        <v>8885</v>
      </c>
      <c r="V875" s="5" t="s">
        <v>8885</v>
      </c>
      <c r="W875" s="5" t="s">
        <v>72</v>
      </c>
      <c r="X875" s="5" t="s">
        <v>72</v>
      </c>
      <c r="Y875" s="4">
        <v>98</v>
      </c>
      <c r="Z875" s="4">
        <v>6</v>
      </c>
      <c r="AA875" s="4">
        <v>20</v>
      </c>
      <c r="AB875" s="4">
        <v>2</v>
      </c>
      <c r="AC875" s="4">
        <v>2</v>
      </c>
      <c r="AD875" s="4">
        <v>26</v>
      </c>
      <c r="AE875" s="4">
        <v>56</v>
      </c>
      <c r="AF875" s="4">
        <v>0</v>
      </c>
      <c r="AG875" s="4">
        <v>0</v>
      </c>
      <c r="AH875" s="4">
        <v>26</v>
      </c>
      <c r="AI875" s="4">
        <v>52</v>
      </c>
      <c r="AJ875" s="4">
        <v>1</v>
      </c>
      <c r="AK875" s="4">
        <v>10</v>
      </c>
      <c r="AL875" s="4">
        <v>16</v>
      </c>
      <c r="AM875" s="4">
        <v>29</v>
      </c>
      <c r="AN875" s="4">
        <v>0</v>
      </c>
      <c r="AO875" s="4">
        <v>0</v>
      </c>
      <c r="AP875" s="4">
        <v>1</v>
      </c>
      <c r="AQ875" s="4">
        <v>11</v>
      </c>
      <c r="AR875" s="3" t="s">
        <v>64</v>
      </c>
      <c r="AS875" s="3" t="s">
        <v>64</v>
      </c>
      <c r="AT875" s="3" t="s">
        <v>64</v>
      </c>
      <c r="AV875" s="6" t="str">
        <f>HYPERLINK("http://mcgill.on.worldcat.org/oclc/44468825","Catalog Record")</f>
        <v>Catalog Record</v>
      </c>
      <c r="AW875" s="6" t="str">
        <f>HYPERLINK("http://www.worldcat.org/oclc/44468825","WorldCat Record")</f>
        <v>WorldCat Record</v>
      </c>
      <c r="AX875" s="3" t="s">
        <v>8989</v>
      </c>
      <c r="AY875" s="3" t="s">
        <v>8990</v>
      </c>
      <c r="AZ875" s="3" t="s">
        <v>8991</v>
      </c>
      <c r="BA875" s="3" t="s">
        <v>8991</v>
      </c>
      <c r="BB875" s="3" t="s">
        <v>8992</v>
      </c>
      <c r="BC875" s="3" t="s">
        <v>78</v>
      </c>
      <c r="BD875" s="3" t="s">
        <v>79</v>
      </c>
      <c r="BE875" s="3" t="s">
        <v>8993</v>
      </c>
      <c r="BF875" s="3" t="s">
        <v>8992</v>
      </c>
      <c r="BG875" s="3" t="s">
        <v>8994</v>
      </c>
    </row>
    <row r="876" spans="1:59" ht="58" x14ac:dyDescent="0.35">
      <c r="A876" s="2" t="s">
        <v>59</v>
      </c>
      <c r="B876" s="2" t="s">
        <v>94</v>
      </c>
      <c r="C876" s="2" t="s">
        <v>8995</v>
      </c>
      <c r="D876" s="2" t="s">
        <v>8996</v>
      </c>
      <c r="E876" s="2" t="s">
        <v>8997</v>
      </c>
      <c r="G876" s="3" t="s">
        <v>64</v>
      </c>
      <c r="I876" s="3" t="s">
        <v>64</v>
      </c>
      <c r="J876" s="3" t="s">
        <v>64</v>
      </c>
      <c r="K876" s="3" t="s">
        <v>65</v>
      </c>
      <c r="L876" s="2" t="s">
        <v>8998</v>
      </c>
      <c r="M876" s="2" t="s">
        <v>8999</v>
      </c>
      <c r="N876" s="3" t="s">
        <v>861</v>
      </c>
      <c r="P876" s="3" t="s">
        <v>69</v>
      </c>
      <c r="R876" s="3" t="s">
        <v>70</v>
      </c>
      <c r="S876" s="4">
        <v>22</v>
      </c>
      <c r="T876" s="4">
        <v>22</v>
      </c>
      <c r="U876" s="5" t="s">
        <v>6520</v>
      </c>
      <c r="V876" s="5" t="s">
        <v>6520</v>
      </c>
      <c r="W876" s="5" t="s">
        <v>72</v>
      </c>
      <c r="X876" s="5" t="s">
        <v>72</v>
      </c>
      <c r="Y876" s="4">
        <v>203</v>
      </c>
      <c r="Z876" s="4">
        <v>15</v>
      </c>
      <c r="AA876" s="4">
        <v>17</v>
      </c>
      <c r="AB876" s="4">
        <v>1</v>
      </c>
      <c r="AC876" s="4">
        <v>3</v>
      </c>
      <c r="AD876" s="4">
        <v>62</v>
      </c>
      <c r="AE876" s="4">
        <v>62</v>
      </c>
      <c r="AF876" s="4">
        <v>0</v>
      </c>
      <c r="AG876" s="4">
        <v>0</v>
      </c>
      <c r="AH876" s="4">
        <v>59</v>
      </c>
      <c r="AI876" s="4">
        <v>59</v>
      </c>
      <c r="AJ876" s="4">
        <v>9</v>
      </c>
      <c r="AK876" s="4">
        <v>9</v>
      </c>
      <c r="AL876" s="4">
        <v>35</v>
      </c>
      <c r="AM876" s="4">
        <v>35</v>
      </c>
      <c r="AN876" s="4">
        <v>0</v>
      </c>
      <c r="AO876" s="4">
        <v>0</v>
      </c>
      <c r="AP876" s="4">
        <v>10</v>
      </c>
      <c r="AQ876" s="4">
        <v>10</v>
      </c>
      <c r="AR876" s="3" t="s">
        <v>64</v>
      </c>
      <c r="AS876" s="3" t="s">
        <v>64</v>
      </c>
      <c r="AT876" s="3" t="s">
        <v>64</v>
      </c>
      <c r="AV876" s="6" t="str">
        <f>HYPERLINK("http://mcgill.on.worldcat.org/oclc/56644966","Catalog Record")</f>
        <v>Catalog Record</v>
      </c>
      <c r="AW876" s="6" t="str">
        <f>HYPERLINK("http://www.worldcat.org/oclc/56644966","WorldCat Record")</f>
        <v>WorldCat Record</v>
      </c>
      <c r="AX876" s="3" t="s">
        <v>9000</v>
      </c>
      <c r="AY876" s="3" t="s">
        <v>9001</v>
      </c>
      <c r="AZ876" s="3" t="s">
        <v>9002</v>
      </c>
      <c r="BA876" s="3" t="s">
        <v>9002</v>
      </c>
      <c r="BB876" s="3" t="s">
        <v>9003</v>
      </c>
      <c r="BC876" s="3" t="s">
        <v>78</v>
      </c>
      <c r="BD876" s="3" t="s">
        <v>79</v>
      </c>
      <c r="BE876" s="3" t="s">
        <v>9004</v>
      </c>
      <c r="BF876" s="3" t="s">
        <v>9003</v>
      </c>
      <c r="BG876" s="3" t="s">
        <v>9005</v>
      </c>
    </row>
    <row r="877" spans="1:59" ht="58" x14ac:dyDescent="0.35">
      <c r="A877" s="2" t="s">
        <v>59</v>
      </c>
      <c r="B877" s="2" t="s">
        <v>94</v>
      </c>
      <c r="C877" s="2" t="s">
        <v>9006</v>
      </c>
      <c r="D877" s="2" t="s">
        <v>9007</v>
      </c>
      <c r="E877" s="2" t="s">
        <v>9008</v>
      </c>
      <c r="G877" s="3" t="s">
        <v>64</v>
      </c>
      <c r="I877" s="3" t="s">
        <v>64</v>
      </c>
      <c r="J877" s="3" t="s">
        <v>64</v>
      </c>
      <c r="K877" s="3" t="s">
        <v>65</v>
      </c>
      <c r="L877" s="2" t="s">
        <v>9009</v>
      </c>
      <c r="M877" s="2" t="s">
        <v>9010</v>
      </c>
      <c r="N877" s="3" t="s">
        <v>538</v>
      </c>
      <c r="P877" s="3" t="s">
        <v>69</v>
      </c>
      <c r="R877" s="3" t="s">
        <v>70</v>
      </c>
      <c r="S877" s="4">
        <v>10</v>
      </c>
      <c r="T877" s="4">
        <v>10</v>
      </c>
      <c r="U877" s="5" t="s">
        <v>9011</v>
      </c>
      <c r="V877" s="5" t="s">
        <v>9011</v>
      </c>
      <c r="W877" s="5" t="s">
        <v>72</v>
      </c>
      <c r="X877" s="5" t="s">
        <v>72</v>
      </c>
      <c r="Y877" s="4">
        <v>174</v>
      </c>
      <c r="Z877" s="4">
        <v>15</v>
      </c>
      <c r="AA877" s="4">
        <v>36</v>
      </c>
      <c r="AB877" s="4">
        <v>1</v>
      </c>
      <c r="AC877" s="4">
        <v>4</v>
      </c>
      <c r="AD877" s="4">
        <v>76</v>
      </c>
      <c r="AE877" s="4">
        <v>106</v>
      </c>
      <c r="AF877" s="4">
        <v>0</v>
      </c>
      <c r="AG877" s="4">
        <v>0</v>
      </c>
      <c r="AH877" s="4">
        <v>68</v>
      </c>
      <c r="AI877" s="4">
        <v>88</v>
      </c>
      <c r="AJ877" s="4">
        <v>11</v>
      </c>
      <c r="AK877" s="4">
        <v>13</v>
      </c>
      <c r="AL877" s="4">
        <v>41</v>
      </c>
      <c r="AM877" s="4">
        <v>48</v>
      </c>
      <c r="AN877" s="4">
        <v>0</v>
      </c>
      <c r="AO877" s="4">
        <v>0</v>
      </c>
      <c r="AP877" s="4">
        <v>14</v>
      </c>
      <c r="AQ877" s="4">
        <v>25</v>
      </c>
      <c r="AR877" s="3" t="s">
        <v>64</v>
      </c>
      <c r="AS877" s="3" t="s">
        <v>64</v>
      </c>
      <c r="AT877" s="3" t="s">
        <v>64</v>
      </c>
      <c r="AV877" s="6" t="str">
        <f>HYPERLINK("http://mcgill.on.worldcat.org/oclc/148904619","Catalog Record")</f>
        <v>Catalog Record</v>
      </c>
      <c r="AW877" s="6" t="str">
        <f>HYPERLINK("http://www.worldcat.org/oclc/148904619","WorldCat Record")</f>
        <v>WorldCat Record</v>
      </c>
      <c r="AX877" s="3" t="s">
        <v>9012</v>
      </c>
      <c r="AY877" s="3" t="s">
        <v>9013</v>
      </c>
      <c r="AZ877" s="3" t="s">
        <v>9014</v>
      </c>
      <c r="BA877" s="3" t="s">
        <v>9014</v>
      </c>
      <c r="BB877" s="3" t="s">
        <v>9015</v>
      </c>
      <c r="BC877" s="3" t="s">
        <v>78</v>
      </c>
      <c r="BD877" s="3" t="s">
        <v>79</v>
      </c>
      <c r="BE877" s="3" t="s">
        <v>9016</v>
      </c>
      <c r="BF877" s="3" t="s">
        <v>9015</v>
      </c>
      <c r="BG877" s="3" t="s">
        <v>9017</v>
      </c>
    </row>
    <row r="878" spans="1:59" ht="58" x14ac:dyDescent="0.35">
      <c r="A878" s="2" t="s">
        <v>59</v>
      </c>
      <c r="B878" s="2" t="s">
        <v>94</v>
      </c>
      <c r="C878" s="2" t="s">
        <v>9018</v>
      </c>
      <c r="D878" s="2" t="s">
        <v>9019</v>
      </c>
      <c r="E878" s="2" t="s">
        <v>9020</v>
      </c>
      <c r="G878" s="3" t="s">
        <v>64</v>
      </c>
      <c r="I878" s="3" t="s">
        <v>64</v>
      </c>
      <c r="J878" s="3" t="s">
        <v>64</v>
      </c>
      <c r="K878" s="3" t="s">
        <v>65</v>
      </c>
      <c r="L878" s="2" t="s">
        <v>9021</v>
      </c>
      <c r="M878" s="2" t="s">
        <v>9022</v>
      </c>
      <c r="N878" s="3" t="s">
        <v>274</v>
      </c>
      <c r="P878" s="3" t="s">
        <v>69</v>
      </c>
      <c r="Q878" s="2" t="s">
        <v>9023</v>
      </c>
      <c r="R878" s="3" t="s">
        <v>70</v>
      </c>
      <c r="S878" s="4">
        <v>15</v>
      </c>
      <c r="T878" s="4">
        <v>15</v>
      </c>
      <c r="U878" s="5" t="s">
        <v>2559</v>
      </c>
      <c r="V878" s="5" t="s">
        <v>2559</v>
      </c>
      <c r="W878" s="5" t="s">
        <v>72</v>
      </c>
      <c r="X878" s="5" t="s">
        <v>72</v>
      </c>
      <c r="Y878" s="4">
        <v>103</v>
      </c>
      <c r="Z878" s="4">
        <v>12</v>
      </c>
      <c r="AA878" s="4">
        <v>12</v>
      </c>
      <c r="AB878" s="4">
        <v>1</v>
      </c>
      <c r="AC878" s="4">
        <v>1</v>
      </c>
      <c r="AD878" s="4">
        <v>62</v>
      </c>
      <c r="AE878" s="4">
        <v>63</v>
      </c>
      <c r="AF878" s="4">
        <v>0</v>
      </c>
      <c r="AG878" s="4">
        <v>0</v>
      </c>
      <c r="AH878" s="4">
        <v>58</v>
      </c>
      <c r="AI878" s="4">
        <v>59</v>
      </c>
      <c r="AJ878" s="4">
        <v>6</v>
      </c>
      <c r="AK878" s="4">
        <v>6</v>
      </c>
      <c r="AL878" s="4">
        <v>40</v>
      </c>
      <c r="AM878" s="4">
        <v>40</v>
      </c>
      <c r="AN878" s="4">
        <v>0</v>
      </c>
      <c r="AO878" s="4">
        <v>0</v>
      </c>
      <c r="AP878" s="4">
        <v>9</v>
      </c>
      <c r="AQ878" s="4">
        <v>9</v>
      </c>
      <c r="AR878" s="3" t="s">
        <v>64</v>
      </c>
      <c r="AS878" s="3" t="s">
        <v>64</v>
      </c>
      <c r="AT878" s="3" t="s">
        <v>64</v>
      </c>
      <c r="AV878" s="6" t="str">
        <f>HYPERLINK("http://mcgill.on.worldcat.org/oclc/17784137","Catalog Record")</f>
        <v>Catalog Record</v>
      </c>
      <c r="AW878" s="6" t="str">
        <f>HYPERLINK("http://www.worldcat.org/oclc/17784137","WorldCat Record")</f>
        <v>WorldCat Record</v>
      </c>
      <c r="AX878" s="3" t="s">
        <v>9024</v>
      </c>
      <c r="AY878" s="3" t="s">
        <v>9025</v>
      </c>
      <c r="AZ878" s="3" t="s">
        <v>9026</v>
      </c>
      <c r="BA878" s="3" t="s">
        <v>9026</v>
      </c>
      <c r="BB878" s="3" t="s">
        <v>9027</v>
      </c>
      <c r="BC878" s="3" t="s">
        <v>78</v>
      </c>
      <c r="BD878" s="3" t="s">
        <v>79</v>
      </c>
      <c r="BE878" s="3" t="s">
        <v>9028</v>
      </c>
      <c r="BF878" s="3" t="s">
        <v>9027</v>
      </c>
      <c r="BG878" s="3" t="s">
        <v>9029</v>
      </c>
    </row>
    <row r="879" spans="1:59" ht="58" x14ac:dyDescent="0.35">
      <c r="A879" s="2" t="s">
        <v>59</v>
      </c>
      <c r="B879" s="2" t="s">
        <v>94</v>
      </c>
      <c r="C879" s="2" t="s">
        <v>9030</v>
      </c>
      <c r="D879" s="2" t="s">
        <v>9031</v>
      </c>
      <c r="E879" s="2" t="s">
        <v>9032</v>
      </c>
      <c r="G879" s="3" t="s">
        <v>64</v>
      </c>
      <c r="I879" s="3" t="s">
        <v>64</v>
      </c>
      <c r="J879" s="3" t="s">
        <v>64</v>
      </c>
      <c r="K879" s="3" t="s">
        <v>65</v>
      </c>
      <c r="M879" s="2" t="s">
        <v>9033</v>
      </c>
      <c r="N879" s="3" t="s">
        <v>287</v>
      </c>
      <c r="P879" s="3" t="s">
        <v>69</v>
      </c>
      <c r="R879" s="3" t="s">
        <v>70</v>
      </c>
      <c r="S879" s="4">
        <v>6</v>
      </c>
      <c r="T879" s="4">
        <v>6</v>
      </c>
      <c r="U879" s="5" t="s">
        <v>3214</v>
      </c>
      <c r="V879" s="5" t="s">
        <v>3214</v>
      </c>
      <c r="W879" s="5" t="s">
        <v>72</v>
      </c>
      <c r="X879" s="5" t="s">
        <v>72</v>
      </c>
      <c r="Y879" s="4">
        <v>144</v>
      </c>
      <c r="Z879" s="4">
        <v>14</v>
      </c>
      <c r="AA879" s="4">
        <v>14</v>
      </c>
      <c r="AB879" s="4">
        <v>2</v>
      </c>
      <c r="AC879" s="4">
        <v>2</v>
      </c>
      <c r="AD879" s="4">
        <v>55</v>
      </c>
      <c r="AE879" s="4">
        <v>55</v>
      </c>
      <c r="AF879" s="4">
        <v>0</v>
      </c>
      <c r="AG879" s="4">
        <v>0</v>
      </c>
      <c r="AH879" s="4">
        <v>50</v>
      </c>
      <c r="AI879" s="4">
        <v>50</v>
      </c>
      <c r="AJ879" s="4">
        <v>8</v>
      </c>
      <c r="AK879" s="4">
        <v>8</v>
      </c>
      <c r="AL879" s="4">
        <v>29</v>
      </c>
      <c r="AM879" s="4">
        <v>29</v>
      </c>
      <c r="AN879" s="4">
        <v>0</v>
      </c>
      <c r="AO879" s="4">
        <v>0</v>
      </c>
      <c r="AP879" s="4">
        <v>10</v>
      </c>
      <c r="AQ879" s="4">
        <v>10</v>
      </c>
      <c r="AR879" s="3" t="s">
        <v>64</v>
      </c>
      <c r="AS879" s="3" t="s">
        <v>64</v>
      </c>
      <c r="AT879" s="3" t="s">
        <v>73</v>
      </c>
      <c r="AU879" s="6" t="str">
        <f>HYPERLINK("http://catalog.hathitrust.org/Record/000225326","HathiTrust Record")</f>
        <v>HathiTrust Record</v>
      </c>
      <c r="AV879" s="6" t="str">
        <f>HYPERLINK("http://mcgill.on.worldcat.org/oclc/8065554","Catalog Record")</f>
        <v>Catalog Record</v>
      </c>
      <c r="AW879" s="6" t="str">
        <f>HYPERLINK("http://www.worldcat.org/oclc/8065554","WorldCat Record")</f>
        <v>WorldCat Record</v>
      </c>
      <c r="AX879" s="3" t="s">
        <v>9034</v>
      </c>
      <c r="AY879" s="3" t="s">
        <v>9035</v>
      </c>
      <c r="AZ879" s="3" t="s">
        <v>9036</v>
      </c>
      <c r="BA879" s="3" t="s">
        <v>9036</v>
      </c>
      <c r="BB879" s="3" t="s">
        <v>9037</v>
      </c>
      <c r="BC879" s="3" t="s">
        <v>78</v>
      </c>
      <c r="BD879" s="3" t="s">
        <v>79</v>
      </c>
      <c r="BE879" s="3" t="s">
        <v>9038</v>
      </c>
      <c r="BF879" s="3" t="s">
        <v>9037</v>
      </c>
      <c r="BG879" s="3" t="s">
        <v>9039</v>
      </c>
    </row>
    <row r="880" spans="1:59" ht="116" x14ac:dyDescent="0.35">
      <c r="A880" s="2" t="s">
        <v>59</v>
      </c>
      <c r="B880" s="2" t="s">
        <v>3778</v>
      </c>
      <c r="C880" s="2" t="s">
        <v>9040</v>
      </c>
      <c r="D880" s="2" t="s">
        <v>9041</v>
      </c>
      <c r="E880" s="2" t="s">
        <v>9042</v>
      </c>
      <c r="G880" s="3" t="s">
        <v>64</v>
      </c>
      <c r="I880" s="3" t="s">
        <v>64</v>
      </c>
      <c r="J880" s="3" t="s">
        <v>64</v>
      </c>
      <c r="K880" s="3" t="s">
        <v>65</v>
      </c>
      <c r="L880" s="2" t="s">
        <v>9043</v>
      </c>
      <c r="M880" s="2" t="s">
        <v>9044</v>
      </c>
      <c r="N880" s="3" t="s">
        <v>3181</v>
      </c>
      <c r="P880" s="3" t="s">
        <v>9045</v>
      </c>
      <c r="R880" s="3" t="s">
        <v>70</v>
      </c>
      <c r="S880" s="4">
        <v>9</v>
      </c>
      <c r="T880" s="4">
        <v>9</v>
      </c>
      <c r="U880" s="5" t="s">
        <v>5312</v>
      </c>
      <c r="V880" s="5" t="s">
        <v>5312</v>
      </c>
      <c r="W880" s="5" t="s">
        <v>72</v>
      </c>
      <c r="X880" s="5" t="s">
        <v>72</v>
      </c>
      <c r="Y880" s="4">
        <v>14</v>
      </c>
      <c r="Z880" s="4">
        <v>1</v>
      </c>
      <c r="AA880" s="4">
        <v>4</v>
      </c>
      <c r="AB880" s="4">
        <v>1</v>
      </c>
      <c r="AC880" s="4">
        <v>1</v>
      </c>
      <c r="AD880" s="4">
        <v>6</v>
      </c>
      <c r="AE880" s="4">
        <v>16</v>
      </c>
      <c r="AF880" s="4">
        <v>0</v>
      </c>
      <c r="AG880" s="4">
        <v>0</v>
      </c>
      <c r="AH880" s="4">
        <v>5</v>
      </c>
      <c r="AI880" s="4">
        <v>15</v>
      </c>
      <c r="AJ880" s="4">
        <v>0</v>
      </c>
      <c r="AK880" s="4">
        <v>1</v>
      </c>
      <c r="AL880" s="4">
        <v>6</v>
      </c>
      <c r="AM880" s="4">
        <v>14</v>
      </c>
      <c r="AN880" s="4">
        <v>0</v>
      </c>
      <c r="AO880" s="4">
        <v>0</v>
      </c>
      <c r="AP880" s="4">
        <v>0</v>
      </c>
      <c r="AQ880" s="4">
        <v>1</v>
      </c>
      <c r="AR880" s="3" t="s">
        <v>64</v>
      </c>
      <c r="AS880" s="3" t="s">
        <v>64</v>
      </c>
      <c r="AT880" s="3" t="s">
        <v>64</v>
      </c>
      <c r="AV880" s="6" t="str">
        <f>HYPERLINK("http://mcgill.on.worldcat.org/oclc/25255729","Catalog Record")</f>
        <v>Catalog Record</v>
      </c>
      <c r="AW880" s="6" t="str">
        <f>HYPERLINK("http://www.worldcat.org/oclc/25255729","WorldCat Record")</f>
        <v>WorldCat Record</v>
      </c>
      <c r="AX880" s="3" t="s">
        <v>9046</v>
      </c>
      <c r="AY880" s="3" t="s">
        <v>9047</v>
      </c>
      <c r="AZ880" s="3" t="s">
        <v>9048</v>
      </c>
      <c r="BA880" s="3" t="s">
        <v>9048</v>
      </c>
      <c r="BB880" s="3" t="s">
        <v>9049</v>
      </c>
      <c r="BC880" s="3" t="s">
        <v>78</v>
      </c>
      <c r="BD880" s="3" t="s">
        <v>414</v>
      </c>
      <c r="BF880" s="3" t="s">
        <v>9049</v>
      </c>
      <c r="BG880" s="3" t="s">
        <v>9050</v>
      </c>
    </row>
    <row r="881" spans="1:59" ht="58" x14ac:dyDescent="0.35">
      <c r="A881" s="2" t="s">
        <v>59</v>
      </c>
      <c r="B881" s="2" t="s">
        <v>94</v>
      </c>
      <c r="C881" s="2" t="s">
        <v>9051</v>
      </c>
      <c r="D881" s="2" t="s">
        <v>9052</v>
      </c>
      <c r="E881" s="2" t="s">
        <v>9053</v>
      </c>
      <c r="G881" s="3" t="s">
        <v>64</v>
      </c>
      <c r="I881" s="3" t="s">
        <v>64</v>
      </c>
      <c r="J881" s="3" t="s">
        <v>64</v>
      </c>
      <c r="K881" s="3" t="s">
        <v>65</v>
      </c>
      <c r="M881" s="2" t="s">
        <v>9054</v>
      </c>
      <c r="N881" s="3" t="s">
        <v>3563</v>
      </c>
      <c r="P881" s="3" t="s">
        <v>69</v>
      </c>
      <c r="R881" s="3" t="s">
        <v>70</v>
      </c>
      <c r="S881" s="4">
        <v>18</v>
      </c>
      <c r="T881" s="4">
        <v>18</v>
      </c>
      <c r="U881" s="5" t="s">
        <v>9055</v>
      </c>
      <c r="V881" s="5" t="s">
        <v>9055</v>
      </c>
      <c r="W881" s="5" t="s">
        <v>72</v>
      </c>
      <c r="X881" s="5" t="s">
        <v>72</v>
      </c>
      <c r="Y881" s="4">
        <v>58</v>
      </c>
      <c r="Z881" s="4">
        <v>3</v>
      </c>
      <c r="AA881" s="4">
        <v>4</v>
      </c>
      <c r="AB881" s="4">
        <v>1</v>
      </c>
      <c r="AC881" s="4">
        <v>2</v>
      </c>
      <c r="AD881" s="4">
        <v>20</v>
      </c>
      <c r="AE881" s="4">
        <v>21</v>
      </c>
      <c r="AF881" s="4">
        <v>0</v>
      </c>
      <c r="AG881" s="4">
        <v>1</v>
      </c>
      <c r="AH881" s="4">
        <v>19</v>
      </c>
      <c r="AI881" s="4">
        <v>19</v>
      </c>
      <c r="AJ881" s="4">
        <v>2</v>
      </c>
      <c r="AK881" s="4">
        <v>3</v>
      </c>
      <c r="AL881" s="4">
        <v>10</v>
      </c>
      <c r="AM881" s="4">
        <v>10</v>
      </c>
      <c r="AN881" s="4">
        <v>0</v>
      </c>
      <c r="AO881" s="4">
        <v>0</v>
      </c>
      <c r="AP881" s="4">
        <v>2</v>
      </c>
      <c r="AQ881" s="4">
        <v>2</v>
      </c>
      <c r="AR881" s="3" t="s">
        <v>64</v>
      </c>
      <c r="AS881" s="3" t="s">
        <v>64</v>
      </c>
      <c r="AT881" s="3" t="s">
        <v>73</v>
      </c>
      <c r="AU881" s="6" t="str">
        <f>HYPERLINK("http://catalog.hathitrust.org/Record/002965953","HathiTrust Record")</f>
        <v>HathiTrust Record</v>
      </c>
      <c r="AV881" s="6" t="str">
        <f>HYPERLINK("http://mcgill.on.worldcat.org/oclc/27940402","Catalog Record")</f>
        <v>Catalog Record</v>
      </c>
      <c r="AW881" s="6" t="str">
        <f>HYPERLINK("http://www.worldcat.org/oclc/27940402","WorldCat Record")</f>
        <v>WorldCat Record</v>
      </c>
      <c r="AX881" s="3" t="s">
        <v>9056</v>
      </c>
      <c r="AY881" s="3" t="s">
        <v>9057</v>
      </c>
      <c r="AZ881" s="3" t="s">
        <v>9058</v>
      </c>
      <c r="BA881" s="3" t="s">
        <v>9058</v>
      </c>
      <c r="BB881" s="3" t="s">
        <v>9059</v>
      </c>
      <c r="BC881" s="3" t="s">
        <v>78</v>
      </c>
      <c r="BD881" s="3" t="s">
        <v>414</v>
      </c>
      <c r="BE881" s="3" t="s">
        <v>9060</v>
      </c>
      <c r="BF881" s="3" t="s">
        <v>9059</v>
      </c>
      <c r="BG881" s="3" t="s">
        <v>9061</v>
      </c>
    </row>
    <row r="882" spans="1:59" ht="116" x14ac:dyDescent="0.35">
      <c r="A882" s="2" t="s">
        <v>59</v>
      </c>
      <c r="B882" s="2" t="s">
        <v>3778</v>
      </c>
      <c r="C882" s="2" t="s">
        <v>9062</v>
      </c>
      <c r="D882" s="2" t="s">
        <v>9063</v>
      </c>
      <c r="E882" s="2" t="s">
        <v>9064</v>
      </c>
      <c r="G882" s="3" t="s">
        <v>64</v>
      </c>
      <c r="I882" s="3" t="s">
        <v>64</v>
      </c>
      <c r="J882" s="3" t="s">
        <v>64</v>
      </c>
      <c r="K882" s="3" t="s">
        <v>65</v>
      </c>
      <c r="L882" s="2" t="s">
        <v>9065</v>
      </c>
      <c r="M882" s="2" t="s">
        <v>9066</v>
      </c>
      <c r="N882" s="3" t="s">
        <v>524</v>
      </c>
      <c r="O882" s="2" t="s">
        <v>3783</v>
      </c>
      <c r="P882" s="3" t="s">
        <v>3784</v>
      </c>
      <c r="Q882" s="2" t="s">
        <v>9067</v>
      </c>
      <c r="R882" s="3" t="s">
        <v>70</v>
      </c>
      <c r="S882" s="4">
        <v>0</v>
      </c>
      <c r="T882" s="4">
        <v>0</v>
      </c>
      <c r="W882" s="5" t="s">
        <v>72</v>
      </c>
      <c r="X882" s="5" t="s">
        <v>72</v>
      </c>
      <c r="Y882" s="4">
        <v>15</v>
      </c>
      <c r="Z882" s="4">
        <v>1</v>
      </c>
      <c r="AA882" s="4">
        <v>1</v>
      </c>
      <c r="AB882" s="4">
        <v>1</v>
      </c>
      <c r="AC882" s="4">
        <v>1</v>
      </c>
      <c r="AD882" s="4">
        <v>5</v>
      </c>
      <c r="AE882" s="4">
        <v>5</v>
      </c>
      <c r="AF882" s="4">
        <v>0</v>
      </c>
      <c r="AG882" s="4">
        <v>0</v>
      </c>
      <c r="AH882" s="4">
        <v>5</v>
      </c>
      <c r="AI882" s="4">
        <v>5</v>
      </c>
      <c r="AJ882" s="4">
        <v>0</v>
      </c>
      <c r="AK882" s="4">
        <v>0</v>
      </c>
      <c r="AL882" s="4">
        <v>4</v>
      </c>
      <c r="AM882" s="4">
        <v>4</v>
      </c>
      <c r="AN882" s="4">
        <v>0</v>
      </c>
      <c r="AO882" s="4">
        <v>0</v>
      </c>
      <c r="AP882" s="4">
        <v>0</v>
      </c>
      <c r="AQ882" s="4">
        <v>0</v>
      </c>
      <c r="AR882" s="3" t="s">
        <v>64</v>
      </c>
      <c r="AS882" s="3" t="s">
        <v>64</v>
      </c>
      <c r="AT882" s="3" t="s">
        <v>64</v>
      </c>
      <c r="AV882" s="6" t="str">
        <f>HYPERLINK("http://mcgill.on.worldcat.org/oclc/829675257","Catalog Record")</f>
        <v>Catalog Record</v>
      </c>
      <c r="AW882" s="6" t="str">
        <f>HYPERLINK("http://www.worldcat.org/oclc/829675257","WorldCat Record")</f>
        <v>WorldCat Record</v>
      </c>
      <c r="AX882" s="3" t="s">
        <v>9068</v>
      </c>
      <c r="AY882" s="3" t="s">
        <v>9069</v>
      </c>
      <c r="AZ882" s="3" t="s">
        <v>9070</v>
      </c>
      <c r="BA882" s="3" t="s">
        <v>9070</v>
      </c>
      <c r="BB882" s="3" t="s">
        <v>9071</v>
      </c>
      <c r="BC882" s="3" t="s">
        <v>78</v>
      </c>
      <c r="BD882" s="3" t="s">
        <v>79</v>
      </c>
      <c r="BE882" s="3" t="s">
        <v>9072</v>
      </c>
      <c r="BF882" s="3" t="s">
        <v>9071</v>
      </c>
      <c r="BG882" s="3" t="s">
        <v>9073</v>
      </c>
    </row>
    <row r="883" spans="1:59" ht="72.5" x14ac:dyDescent="0.35">
      <c r="A883" s="2" t="s">
        <v>59</v>
      </c>
      <c r="B883" s="2" t="s">
        <v>94</v>
      </c>
      <c r="C883" s="2" t="s">
        <v>9074</v>
      </c>
      <c r="D883" s="2" t="s">
        <v>9075</v>
      </c>
      <c r="E883" s="2" t="s">
        <v>9076</v>
      </c>
      <c r="G883" s="3" t="s">
        <v>64</v>
      </c>
      <c r="I883" s="3" t="s">
        <v>64</v>
      </c>
      <c r="J883" s="3" t="s">
        <v>64</v>
      </c>
      <c r="K883" s="3" t="s">
        <v>65</v>
      </c>
      <c r="M883" s="2" t="s">
        <v>6841</v>
      </c>
      <c r="N883" s="3" t="s">
        <v>377</v>
      </c>
      <c r="P883" s="3" t="s">
        <v>69</v>
      </c>
      <c r="Q883" s="2" t="s">
        <v>9077</v>
      </c>
      <c r="R883" s="3" t="s">
        <v>70</v>
      </c>
      <c r="S883" s="4">
        <v>2</v>
      </c>
      <c r="T883" s="4">
        <v>2</v>
      </c>
      <c r="U883" s="5" t="s">
        <v>9078</v>
      </c>
      <c r="V883" s="5" t="s">
        <v>9078</v>
      </c>
      <c r="W883" s="5" t="s">
        <v>72</v>
      </c>
      <c r="X883" s="5" t="s">
        <v>72</v>
      </c>
      <c r="Y883" s="4">
        <v>79</v>
      </c>
      <c r="Z883" s="4">
        <v>5</v>
      </c>
      <c r="AA883" s="4">
        <v>6</v>
      </c>
      <c r="AB883" s="4">
        <v>1</v>
      </c>
      <c r="AC883" s="4">
        <v>1</v>
      </c>
      <c r="AD883" s="4">
        <v>44</v>
      </c>
      <c r="AE883" s="4">
        <v>46</v>
      </c>
      <c r="AF883" s="4">
        <v>0</v>
      </c>
      <c r="AG883" s="4">
        <v>0</v>
      </c>
      <c r="AH883" s="4">
        <v>43</v>
      </c>
      <c r="AI883" s="4">
        <v>44</v>
      </c>
      <c r="AJ883" s="4">
        <v>3</v>
      </c>
      <c r="AK883" s="4">
        <v>4</v>
      </c>
      <c r="AL883" s="4">
        <v>25</v>
      </c>
      <c r="AM883" s="4">
        <v>25</v>
      </c>
      <c r="AN883" s="4">
        <v>0</v>
      </c>
      <c r="AO883" s="4">
        <v>0</v>
      </c>
      <c r="AP883" s="4">
        <v>3</v>
      </c>
      <c r="AQ883" s="4">
        <v>4</v>
      </c>
      <c r="AR883" s="3" t="s">
        <v>64</v>
      </c>
      <c r="AS883" s="3" t="s">
        <v>64</v>
      </c>
      <c r="AT883" s="3" t="s">
        <v>64</v>
      </c>
      <c r="AV883" s="6" t="str">
        <f>HYPERLINK("http://mcgill.on.worldcat.org/oclc/774213761","Catalog Record")</f>
        <v>Catalog Record</v>
      </c>
      <c r="AW883" s="6" t="str">
        <f>HYPERLINK("http://www.worldcat.org/oclc/774213761","WorldCat Record")</f>
        <v>WorldCat Record</v>
      </c>
      <c r="AX883" s="3" t="s">
        <v>9079</v>
      </c>
      <c r="AY883" s="3" t="s">
        <v>9080</v>
      </c>
      <c r="AZ883" s="3" t="s">
        <v>9081</v>
      </c>
      <c r="BA883" s="3" t="s">
        <v>9081</v>
      </c>
      <c r="BB883" s="3" t="s">
        <v>9082</v>
      </c>
      <c r="BC883" s="3" t="s">
        <v>78</v>
      </c>
      <c r="BD883" s="3" t="s">
        <v>79</v>
      </c>
      <c r="BE883" s="3" t="s">
        <v>9083</v>
      </c>
      <c r="BF883" s="3" t="s">
        <v>9082</v>
      </c>
      <c r="BG883" s="3" t="s">
        <v>9084</v>
      </c>
    </row>
    <row r="884" spans="1:59" ht="58" x14ac:dyDescent="0.35">
      <c r="A884" s="2" t="s">
        <v>59</v>
      </c>
      <c r="B884" s="2" t="s">
        <v>94</v>
      </c>
      <c r="C884" s="2" t="s">
        <v>9085</v>
      </c>
      <c r="D884" s="2" t="s">
        <v>9086</v>
      </c>
      <c r="E884" s="2" t="s">
        <v>9087</v>
      </c>
      <c r="G884" s="3" t="s">
        <v>64</v>
      </c>
      <c r="I884" s="3" t="s">
        <v>64</v>
      </c>
      <c r="J884" s="3" t="s">
        <v>64</v>
      </c>
      <c r="K884" s="3" t="s">
        <v>65</v>
      </c>
      <c r="L884" s="2" t="s">
        <v>9088</v>
      </c>
      <c r="M884" s="2" t="s">
        <v>9089</v>
      </c>
      <c r="N884" s="3" t="s">
        <v>377</v>
      </c>
      <c r="P884" s="3" t="s">
        <v>69</v>
      </c>
      <c r="Q884" s="2" t="s">
        <v>9090</v>
      </c>
      <c r="R884" s="3" t="s">
        <v>70</v>
      </c>
      <c r="S884" s="4">
        <v>0</v>
      </c>
      <c r="T884" s="4">
        <v>0</v>
      </c>
      <c r="W884" s="5" t="s">
        <v>72</v>
      </c>
      <c r="X884" s="5" t="s">
        <v>72</v>
      </c>
      <c r="Y884" s="4">
        <v>46</v>
      </c>
      <c r="Z884" s="4">
        <v>5</v>
      </c>
      <c r="AA884" s="4">
        <v>74</v>
      </c>
      <c r="AB884" s="4">
        <v>1</v>
      </c>
      <c r="AC884" s="4">
        <v>15</v>
      </c>
      <c r="AD884" s="4">
        <v>17</v>
      </c>
      <c r="AE884" s="4">
        <v>96</v>
      </c>
      <c r="AF884" s="4">
        <v>0</v>
      </c>
      <c r="AG884" s="4">
        <v>8</v>
      </c>
      <c r="AH884" s="4">
        <v>16</v>
      </c>
      <c r="AI884" s="4">
        <v>66</v>
      </c>
      <c r="AJ884" s="4">
        <v>3</v>
      </c>
      <c r="AK884" s="4">
        <v>19</v>
      </c>
      <c r="AL884" s="4">
        <v>12</v>
      </c>
      <c r="AM884" s="4">
        <v>34</v>
      </c>
      <c r="AN884" s="4">
        <v>0</v>
      </c>
      <c r="AO884" s="4">
        <v>0</v>
      </c>
      <c r="AP884" s="4">
        <v>3</v>
      </c>
      <c r="AQ884" s="4">
        <v>36</v>
      </c>
      <c r="AR884" s="3" t="s">
        <v>64</v>
      </c>
      <c r="AS884" s="3" t="s">
        <v>64</v>
      </c>
      <c r="AT884" s="3" t="s">
        <v>64</v>
      </c>
      <c r="AV884" s="6" t="str">
        <f>HYPERLINK("http://mcgill.on.worldcat.org/oclc/779740287","Catalog Record")</f>
        <v>Catalog Record</v>
      </c>
      <c r="AW884" s="6" t="str">
        <f>HYPERLINK("http://www.worldcat.org/oclc/779740287","WorldCat Record")</f>
        <v>WorldCat Record</v>
      </c>
      <c r="AX884" s="3" t="s">
        <v>9091</v>
      </c>
      <c r="AY884" s="3" t="s">
        <v>9092</v>
      </c>
      <c r="AZ884" s="3" t="s">
        <v>9093</v>
      </c>
      <c r="BA884" s="3" t="s">
        <v>9093</v>
      </c>
      <c r="BB884" s="3" t="s">
        <v>9094</v>
      </c>
      <c r="BC884" s="3" t="s">
        <v>78</v>
      </c>
      <c r="BD884" s="3" t="s">
        <v>79</v>
      </c>
      <c r="BE884" s="3" t="s">
        <v>9095</v>
      </c>
      <c r="BF884" s="3" t="s">
        <v>9094</v>
      </c>
      <c r="BG884" s="3" t="s">
        <v>9096</v>
      </c>
    </row>
    <row r="885" spans="1:59" ht="58" x14ac:dyDescent="0.35">
      <c r="A885" s="2" t="s">
        <v>59</v>
      </c>
      <c r="B885" s="2" t="s">
        <v>94</v>
      </c>
      <c r="C885" s="2" t="s">
        <v>9097</v>
      </c>
      <c r="D885" s="2" t="s">
        <v>9098</v>
      </c>
      <c r="E885" s="2" t="s">
        <v>9099</v>
      </c>
      <c r="G885" s="3" t="s">
        <v>64</v>
      </c>
      <c r="I885" s="3" t="s">
        <v>64</v>
      </c>
      <c r="J885" s="3" t="s">
        <v>64</v>
      </c>
      <c r="K885" s="3" t="s">
        <v>65</v>
      </c>
      <c r="L885" s="2" t="s">
        <v>9100</v>
      </c>
      <c r="M885" s="2" t="s">
        <v>9101</v>
      </c>
      <c r="N885" s="3" t="s">
        <v>1029</v>
      </c>
      <c r="P885" s="3" t="s">
        <v>69</v>
      </c>
      <c r="R885" s="3" t="s">
        <v>70</v>
      </c>
      <c r="S885" s="4">
        <v>3</v>
      </c>
      <c r="T885" s="4">
        <v>3</v>
      </c>
      <c r="U885" s="5" t="s">
        <v>5367</v>
      </c>
      <c r="V885" s="5" t="s">
        <v>5367</v>
      </c>
      <c r="W885" s="5" t="s">
        <v>72</v>
      </c>
      <c r="X885" s="5" t="s">
        <v>72</v>
      </c>
      <c r="Y885" s="4">
        <v>48</v>
      </c>
      <c r="Z885" s="4">
        <v>4</v>
      </c>
      <c r="AA885" s="4">
        <v>10</v>
      </c>
      <c r="AB885" s="4">
        <v>1</v>
      </c>
      <c r="AC885" s="4">
        <v>4</v>
      </c>
      <c r="AD885" s="4">
        <v>18</v>
      </c>
      <c r="AE885" s="4">
        <v>30</v>
      </c>
      <c r="AF885" s="4">
        <v>0</v>
      </c>
      <c r="AG885" s="4">
        <v>2</v>
      </c>
      <c r="AH885" s="4">
        <v>16</v>
      </c>
      <c r="AI885" s="4">
        <v>23</v>
      </c>
      <c r="AJ885" s="4">
        <v>3</v>
      </c>
      <c r="AK885" s="4">
        <v>7</v>
      </c>
      <c r="AL885" s="4">
        <v>12</v>
      </c>
      <c r="AM885" s="4">
        <v>16</v>
      </c>
      <c r="AN885" s="4">
        <v>0</v>
      </c>
      <c r="AO885" s="4">
        <v>0</v>
      </c>
      <c r="AP885" s="4">
        <v>3</v>
      </c>
      <c r="AQ885" s="4">
        <v>8</v>
      </c>
      <c r="AR885" s="3" t="s">
        <v>64</v>
      </c>
      <c r="AS885" s="3" t="s">
        <v>64</v>
      </c>
      <c r="AT885" s="3" t="s">
        <v>64</v>
      </c>
      <c r="AV885" s="6" t="str">
        <f>HYPERLINK("http://mcgill.on.worldcat.org/oclc/424454811","Catalog Record")</f>
        <v>Catalog Record</v>
      </c>
      <c r="AW885" s="6" t="str">
        <f>HYPERLINK("http://www.worldcat.org/oclc/424454811","WorldCat Record")</f>
        <v>WorldCat Record</v>
      </c>
      <c r="AX885" s="3" t="s">
        <v>9102</v>
      </c>
      <c r="AY885" s="3" t="s">
        <v>9103</v>
      </c>
      <c r="AZ885" s="3" t="s">
        <v>9104</v>
      </c>
      <c r="BA885" s="3" t="s">
        <v>9104</v>
      </c>
      <c r="BB885" s="3" t="s">
        <v>9105</v>
      </c>
      <c r="BC885" s="3" t="s">
        <v>78</v>
      </c>
      <c r="BD885" s="3" t="s">
        <v>79</v>
      </c>
      <c r="BE885" s="3" t="s">
        <v>9106</v>
      </c>
      <c r="BF885" s="3" t="s">
        <v>9105</v>
      </c>
      <c r="BG885" s="3" t="s">
        <v>9107</v>
      </c>
    </row>
    <row r="886" spans="1:59" ht="58" x14ac:dyDescent="0.35">
      <c r="A886" s="2" t="s">
        <v>59</v>
      </c>
      <c r="B886" s="2" t="s">
        <v>94</v>
      </c>
      <c r="C886" s="2" t="s">
        <v>9108</v>
      </c>
      <c r="D886" s="2" t="s">
        <v>9109</v>
      </c>
      <c r="E886" s="2" t="s">
        <v>9110</v>
      </c>
      <c r="G886" s="3" t="s">
        <v>64</v>
      </c>
      <c r="I886" s="3" t="s">
        <v>64</v>
      </c>
      <c r="J886" s="3" t="s">
        <v>64</v>
      </c>
      <c r="K886" s="3" t="s">
        <v>65</v>
      </c>
      <c r="L886" s="2" t="s">
        <v>9111</v>
      </c>
      <c r="M886" s="2" t="s">
        <v>9112</v>
      </c>
      <c r="N886" s="3" t="s">
        <v>3460</v>
      </c>
      <c r="P886" s="3" t="s">
        <v>69</v>
      </c>
      <c r="R886" s="3" t="s">
        <v>70</v>
      </c>
      <c r="S886" s="4">
        <v>26</v>
      </c>
      <c r="T886" s="4">
        <v>26</v>
      </c>
      <c r="U886" s="5" t="s">
        <v>5645</v>
      </c>
      <c r="V886" s="5" t="s">
        <v>5645</v>
      </c>
      <c r="W886" s="5" t="s">
        <v>72</v>
      </c>
      <c r="X886" s="5" t="s">
        <v>72</v>
      </c>
      <c r="Y886" s="4">
        <v>16</v>
      </c>
      <c r="Z886" s="4">
        <v>2</v>
      </c>
      <c r="AA886" s="4">
        <v>12</v>
      </c>
      <c r="AB886" s="4">
        <v>1</v>
      </c>
      <c r="AC886" s="4">
        <v>1</v>
      </c>
      <c r="AD886" s="4">
        <v>6</v>
      </c>
      <c r="AE886" s="4">
        <v>58</v>
      </c>
      <c r="AF886" s="4">
        <v>0</v>
      </c>
      <c r="AG886" s="4">
        <v>0</v>
      </c>
      <c r="AH886" s="4">
        <v>6</v>
      </c>
      <c r="AI886" s="4">
        <v>52</v>
      </c>
      <c r="AJ886" s="4">
        <v>1</v>
      </c>
      <c r="AK886" s="4">
        <v>6</v>
      </c>
      <c r="AL886" s="4">
        <v>3</v>
      </c>
      <c r="AM886" s="4">
        <v>26</v>
      </c>
      <c r="AN886" s="4">
        <v>0</v>
      </c>
      <c r="AO886" s="4">
        <v>0</v>
      </c>
      <c r="AP886" s="4">
        <v>1</v>
      </c>
      <c r="AQ886" s="4">
        <v>9</v>
      </c>
      <c r="AR886" s="3" t="s">
        <v>64</v>
      </c>
      <c r="AS886" s="3" t="s">
        <v>64</v>
      </c>
      <c r="AT886" s="3" t="s">
        <v>73</v>
      </c>
      <c r="AU886" s="6" t="str">
        <f>HYPERLINK("http://catalog.hathitrust.org/Record/001527524","HathiTrust Record")</f>
        <v>HathiTrust Record</v>
      </c>
      <c r="AV886" s="6" t="str">
        <f>HYPERLINK("http://mcgill.on.worldcat.org/oclc/10254853","Catalog Record")</f>
        <v>Catalog Record</v>
      </c>
      <c r="AW886" s="6" t="str">
        <f>HYPERLINK("http://www.worldcat.org/oclc/10254853","WorldCat Record")</f>
        <v>WorldCat Record</v>
      </c>
      <c r="AX886" s="3" t="s">
        <v>9113</v>
      </c>
      <c r="AY886" s="3" t="s">
        <v>9114</v>
      </c>
      <c r="AZ886" s="3" t="s">
        <v>9115</v>
      </c>
      <c r="BA886" s="3" t="s">
        <v>9115</v>
      </c>
      <c r="BB886" s="3" t="s">
        <v>9116</v>
      </c>
      <c r="BC886" s="3" t="s">
        <v>78</v>
      </c>
      <c r="BD886" s="3" t="s">
        <v>79</v>
      </c>
      <c r="BF886" s="3" t="s">
        <v>9116</v>
      </c>
      <c r="BG886" s="3" t="s">
        <v>9117</v>
      </c>
    </row>
    <row r="887" spans="1:59" ht="87" x14ac:dyDescent="0.35">
      <c r="A887" s="2" t="s">
        <v>59</v>
      </c>
      <c r="B887" s="2" t="s">
        <v>94</v>
      </c>
      <c r="C887" s="2" t="s">
        <v>9118</v>
      </c>
      <c r="D887" s="2" t="s">
        <v>9119</v>
      </c>
      <c r="E887" s="2" t="s">
        <v>9120</v>
      </c>
      <c r="G887" s="3" t="s">
        <v>64</v>
      </c>
      <c r="I887" s="3" t="s">
        <v>64</v>
      </c>
      <c r="J887" s="3" t="s">
        <v>64</v>
      </c>
      <c r="K887" s="3" t="s">
        <v>65</v>
      </c>
      <c r="L887" s="2" t="s">
        <v>9121</v>
      </c>
      <c r="M887" s="2" t="s">
        <v>9122</v>
      </c>
      <c r="N887" s="3" t="s">
        <v>9123</v>
      </c>
      <c r="P887" s="3" t="s">
        <v>69</v>
      </c>
      <c r="R887" s="3" t="s">
        <v>70</v>
      </c>
      <c r="S887" s="4">
        <v>13</v>
      </c>
      <c r="T887" s="4">
        <v>13</v>
      </c>
      <c r="U887" s="5" t="s">
        <v>5367</v>
      </c>
      <c r="V887" s="5" t="s">
        <v>5367</v>
      </c>
      <c r="W887" s="5" t="s">
        <v>72</v>
      </c>
      <c r="X887" s="5" t="s">
        <v>72</v>
      </c>
      <c r="Y887" s="4">
        <v>10</v>
      </c>
      <c r="Z887" s="4">
        <v>1</v>
      </c>
      <c r="AA887" s="4">
        <v>22</v>
      </c>
      <c r="AB887" s="4">
        <v>1</v>
      </c>
      <c r="AC887" s="4">
        <v>3</v>
      </c>
      <c r="AD887" s="4">
        <v>6</v>
      </c>
      <c r="AE887" s="4">
        <v>49</v>
      </c>
      <c r="AF887" s="4">
        <v>0</v>
      </c>
      <c r="AG887" s="4">
        <v>1</v>
      </c>
      <c r="AH887" s="4">
        <v>6</v>
      </c>
      <c r="AI887" s="4">
        <v>41</v>
      </c>
      <c r="AJ887" s="4">
        <v>0</v>
      </c>
      <c r="AK887" s="4">
        <v>11</v>
      </c>
      <c r="AL887" s="4">
        <v>4</v>
      </c>
      <c r="AM887" s="4">
        <v>24</v>
      </c>
      <c r="AN887" s="4">
        <v>0</v>
      </c>
      <c r="AO887" s="4">
        <v>0</v>
      </c>
      <c r="AP887" s="4">
        <v>0</v>
      </c>
      <c r="AQ887" s="4">
        <v>12</v>
      </c>
      <c r="AR887" s="3" t="s">
        <v>64</v>
      </c>
      <c r="AS887" s="3" t="s">
        <v>64</v>
      </c>
      <c r="AT887" s="3" t="s">
        <v>64</v>
      </c>
      <c r="AU887" s="6" t="str">
        <f>HYPERLINK("http://catalog.hathitrust.org/Record/009779160","HathiTrust Record")</f>
        <v>HathiTrust Record</v>
      </c>
      <c r="AV887" s="6" t="str">
        <f>HYPERLINK("http://mcgill.on.worldcat.org/oclc/3193905","Catalog Record")</f>
        <v>Catalog Record</v>
      </c>
      <c r="AW887" s="6" t="str">
        <f>HYPERLINK("http://www.worldcat.org/oclc/3193905","WorldCat Record")</f>
        <v>WorldCat Record</v>
      </c>
      <c r="AX887" s="3" t="s">
        <v>9124</v>
      </c>
      <c r="AY887" s="3" t="s">
        <v>9125</v>
      </c>
      <c r="AZ887" s="3" t="s">
        <v>9126</v>
      </c>
      <c r="BA887" s="3" t="s">
        <v>9126</v>
      </c>
      <c r="BB887" s="3" t="s">
        <v>9127</v>
      </c>
      <c r="BC887" s="3" t="s">
        <v>78</v>
      </c>
      <c r="BD887" s="3" t="s">
        <v>79</v>
      </c>
      <c r="BF887" s="3" t="s">
        <v>9127</v>
      </c>
      <c r="BG887" s="3" t="s">
        <v>9128</v>
      </c>
    </row>
    <row r="888" spans="1:59" ht="58" x14ac:dyDescent="0.35">
      <c r="A888" s="2" t="s">
        <v>59</v>
      </c>
      <c r="B888" s="2" t="s">
        <v>94</v>
      </c>
      <c r="C888" s="2" t="s">
        <v>9129</v>
      </c>
      <c r="D888" s="2" t="s">
        <v>9130</v>
      </c>
      <c r="E888" s="2" t="s">
        <v>9131</v>
      </c>
      <c r="G888" s="3" t="s">
        <v>64</v>
      </c>
      <c r="I888" s="3" t="s">
        <v>64</v>
      </c>
      <c r="J888" s="3" t="s">
        <v>64</v>
      </c>
      <c r="K888" s="3" t="s">
        <v>65</v>
      </c>
      <c r="L888" s="2" t="s">
        <v>9132</v>
      </c>
      <c r="M888" s="2" t="s">
        <v>9133</v>
      </c>
      <c r="N888" s="3" t="s">
        <v>1227</v>
      </c>
      <c r="P888" s="3" t="s">
        <v>69</v>
      </c>
      <c r="R888" s="3" t="s">
        <v>70</v>
      </c>
      <c r="S888" s="4">
        <v>4</v>
      </c>
      <c r="T888" s="4">
        <v>4</v>
      </c>
      <c r="U888" s="5" t="s">
        <v>9134</v>
      </c>
      <c r="V888" s="5" t="s">
        <v>9134</v>
      </c>
      <c r="W888" s="5" t="s">
        <v>72</v>
      </c>
      <c r="X888" s="5" t="s">
        <v>72</v>
      </c>
      <c r="Y888" s="4">
        <v>178</v>
      </c>
      <c r="Z888" s="4">
        <v>10</v>
      </c>
      <c r="AA888" s="4">
        <v>11</v>
      </c>
      <c r="AB888" s="4">
        <v>1</v>
      </c>
      <c r="AC888" s="4">
        <v>1</v>
      </c>
      <c r="AD888" s="4">
        <v>65</v>
      </c>
      <c r="AE888" s="4">
        <v>66</v>
      </c>
      <c r="AF888" s="4">
        <v>0</v>
      </c>
      <c r="AG888" s="4">
        <v>0</v>
      </c>
      <c r="AH888" s="4">
        <v>60</v>
      </c>
      <c r="AI888" s="4">
        <v>60</v>
      </c>
      <c r="AJ888" s="4">
        <v>7</v>
      </c>
      <c r="AK888" s="4">
        <v>7</v>
      </c>
      <c r="AL888" s="4">
        <v>38</v>
      </c>
      <c r="AM888" s="4">
        <v>38</v>
      </c>
      <c r="AN888" s="4">
        <v>0</v>
      </c>
      <c r="AO888" s="4">
        <v>0</v>
      </c>
      <c r="AP888" s="4">
        <v>8</v>
      </c>
      <c r="AQ888" s="4">
        <v>9</v>
      </c>
      <c r="AR888" s="3" t="s">
        <v>64</v>
      </c>
      <c r="AS888" s="3" t="s">
        <v>64</v>
      </c>
      <c r="AT888" s="3" t="s">
        <v>73</v>
      </c>
      <c r="AU888" s="6" t="str">
        <f>HYPERLINK("http://catalog.hathitrust.org/Record/001036710","HathiTrust Record")</f>
        <v>HathiTrust Record</v>
      </c>
      <c r="AV888" s="6" t="str">
        <f>HYPERLINK("http://mcgill.on.worldcat.org/oclc/379349","Catalog Record")</f>
        <v>Catalog Record</v>
      </c>
      <c r="AW888" s="6" t="str">
        <f>HYPERLINK("http://www.worldcat.org/oclc/379349","WorldCat Record")</f>
        <v>WorldCat Record</v>
      </c>
      <c r="AX888" s="3" t="s">
        <v>9135</v>
      </c>
      <c r="AY888" s="3" t="s">
        <v>9136</v>
      </c>
      <c r="AZ888" s="3" t="s">
        <v>9137</v>
      </c>
      <c r="BA888" s="3" t="s">
        <v>9137</v>
      </c>
      <c r="BB888" s="3" t="s">
        <v>9138</v>
      </c>
      <c r="BC888" s="3" t="s">
        <v>78</v>
      </c>
      <c r="BD888" s="3" t="s">
        <v>79</v>
      </c>
      <c r="BE888" s="3" t="s">
        <v>9139</v>
      </c>
      <c r="BF888" s="3" t="s">
        <v>9138</v>
      </c>
      <c r="BG888" s="3" t="s">
        <v>9140</v>
      </c>
    </row>
    <row r="889" spans="1:59" ht="72.5" x14ac:dyDescent="0.35">
      <c r="A889" s="2" t="s">
        <v>59</v>
      </c>
      <c r="B889" s="2" t="s">
        <v>94</v>
      </c>
      <c r="C889" s="2" t="s">
        <v>9141</v>
      </c>
      <c r="D889" s="2" t="s">
        <v>9142</v>
      </c>
      <c r="E889" s="2" t="s">
        <v>9143</v>
      </c>
      <c r="G889" s="3" t="s">
        <v>64</v>
      </c>
      <c r="I889" s="3" t="s">
        <v>64</v>
      </c>
      <c r="J889" s="3" t="s">
        <v>64</v>
      </c>
      <c r="K889" s="3" t="s">
        <v>65</v>
      </c>
      <c r="M889" s="2" t="s">
        <v>9144</v>
      </c>
      <c r="N889" s="3" t="s">
        <v>1813</v>
      </c>
      <c r="P889" s="3" t="s">
        <v>69</v>
      </c>
      <c r="Q889" s="2" t="s">
        <v>9145</v>
      </c>
      <c r="R889" s="3" t="s">
        <v>70</v>
      </c>
      <c r="S889" s="4">
        <v>7</v>
      </c>
      <c r="T889" s="4">
        <v>7</v>
      </c>
      <c r="U889" s="5" t="s">
        <v>5367</v>
      </c>
      <c r="V889" s="5" t="s">
        <v>5367</v>
      </c>
      <c r="W889" s="5" t="s">
        <v>72</v>
      </c>
      <c r="X889" s="5" t="s">
        <v>72</v>
      </c>
      <c r="Y889" s="4">
        <v>55</v>
      </c>
      <c r="Z889" s="4">
        <v>4</v>
      </c>
      <c r="AA889" s="4">
        <v>73</v>
      </c>
      <c r="AB889" s="4">
        <v>1</v>
      </c>
      <c r="AC889" s="4">
        <v>14</v>
      </c>
      <c r="AD889" s="4">
        <v>20</v>
      </c>
      <c r="AE889" s="4">
        <v>87</v>
      </c>
      <c r="AF889" s="4">
        <v>0</v>
      </c>
      <c r="AG889" s="4">
        <v>8</v>
      </c>
      <c r="AH889" s="4">
        <v>18</v>
      </c>
      <c r="AI889" s="4">
        <v>58</v>
      </c>
      <c r="AJ889" s="4">
        <v>2</v>
      </c>
      <c r="AK889" s="4">
        <v>16</v>
      </c>
      <c r="AL889" s="4">
        <v>17</v>
      </c>
      <c r="AM889" s="4">
        <v>33</v>
      </c>
      <c r="AN889" s="4">
        <v>0</v>
      </c>
      <c r="AO889" s="4">
        <v>0</v>
      </c>
      <c r="AP889" s="4">
        <v>2</v>
      </c>
      <c r="AQ889" s="4">
        <v>35</v>
      </c>
      <c r="AR889" s="3" t="s">
        <v>64</v>
      </c>
      <c r="AS889" s="3" t="s">
        <v>64</v>
      </c>
      <c r="AT889" s="3" t="s">
        <v>64</v>
      </c>
      <c r="AV889" s="6" t="str">
        <f>HYPERLINK("http://mcgill.on.worldcat.org/oclc/950202607","Catalog Record")</f>
        <v>Catalog Record</v>
      </c>
      <c r="AW889" s="6" t="str">
        <f>HYPERLINK("http://www.worldcat.org/oclc/950202607","WorldCat Record")</f>
        <v>WorldCat Record</v>
      </c>
      <c r="AX889" s="3" t="s">
        <v>9146</v>
      </c>
      <c r="AY889" s="3" t="s">
        <v>9147</v>
      </c>
      <c r="AZ889" s="3" t="s">
        <v>9148</v>
      </c>
      <c r="BA889" s="3" t="s">
        <v>9148</v>
      </c>
      <c r="BB889" s="3" t="s">
        <v>9149</v>
      </c>
      <c r="BC889" s="3" t="s">
        <v>78</v>
      </c>
      <c r="BD889" s="3" t="s">
        <v>79</v>
      </c>
      <c r="BE889" s="3" t="s">
        <v>9150</v>
      </c>
      <c r="BF889" s="3" t="s">
        <v>9149</v>
      </c>
      <c r="BG889" s="3" t="s">
        <v>9151</v>
      </c>
    </row>
    <row r="890" spans="1:59" ht="58" x14ac:dyDescent="0.35">
      <c r="A890" s="2" t="s">
        <v>59</v>
      </c>
      <c r="B890" s="2" t="s">
        <v>94</v>
      </c>
      <c r="C890" s="2" t="s">
        <v>9152</v>
      </c>
      <c r="D890" s="2" t="s">
        <v>9153</v>
      </c>
      <c r="E890" s="2" t="s">
        <v>9154</v>
      </c>
      <c r="G890" s="3" t="s">
        <v>64</v>
      </c>
      <c r="I890" s="3" t="s">
        <v>64</v>
      </c>
      <c r="J890" s="3" t="s">
        <v>64</v>
      </c>
      <c r="K890" s="3" t="s">
        <v>65</v>
      </c>
      <c r="L890" s="2" t="s">
        <v>9155</v>
      </c>
      <c r="M890" s="2" t="s">
        <v>9156</v>
      </c>
      <c r="N890" s="3" t="s">
        <v>1813</v>
      </c>
      <c r="O890" s="2" t="s">
        <v>9157</v>
      </c>
      <c r="P890" s="3" t="s">
        <v>69</v>
      </c>
      <c r="R890" s="3" t="s">
        <v>70</v>
      </c>
      <c r="S890" s="4">
        <v>0</v>
      </c>
      <c r="T890" s="4">
        <v>0</v>
      </c>
      <c r="W890" s="5" t="s">
        <v>72</v>
      </c>
      <c r="X890" s="5" t="s">
        <v>72</v>
      </c>
      <c r="Y890" s="4">
        <v>12</v>
      </c>
      <c r="Z890" s="4">
        <v>1</v>
      </c>
      <c r="AA890" s="4">
        <v>100</v>
      </c>
      <c r="AB890" s="4">
        <v>1</v>
      </c>
      <c r="AC890" s="4">
        <v>17</v>
      </c>
      <c r="AD890" s="4">
        <v>2</v>
      </c>
      <c r="AE890" s="4">
        <v>135</v>
      </c>
      <c r="AF890" s="4">
        <v>0</v>
      </c>
      <c r="AG890" s="4">
        <v>8</v>
      </c>
      <c r="AH890" s="4">
        <v>2</v>
      </c>
      <c r="AI890" s="4">
        <v>97</v>
      </c>
      <c r="AJ890" s="4">
        <v>0</v>
      </c>
      <c r="AK890" s="4">
        <v>22</v>
      </c>
      <c r="AL890" s="4">
        <v>0</v>
      </c>
      <c r="AM890" s="4">
        <v>52</v>
      </c>
      <c r="AN890" s="4">
        <v>0</v>
      </c>
      <c r="AO890" s="4">
        <v>0</v>
      </c>
      <c r="AP890" s="4">
        <v>0</v>
      </c>
      <c r="AQ890" s="4">
        <v>44</v>
      </c>
      <c r="AR890" s="3" t="s">
        <v>64</v>
      </c>
      <c r="AS890" s="3" t="s">
        <v>64</v>
      </c>
      <c r="AT890" s="3" t="s">
        <v>64</v>
      </c>
      <c r="AV890" s="6" t="str">
        <f>HYPERLINK("http://mcgill.on.worldcat.org/oclc/923549448","Catalog Record")</f>
        <v>Catalog Record</v>
      </c>
      <c r="AW890" s="6" t="str">
        <f>HYPERLINK("http://www.worldcat.org/oclc/923549448","WorldCat Record")</f>
        <v>WorldCat Record</v>
      </c>
      <c r="AX890" s="3" t="s">
        <v>9158</v>
      </c>
      <c r="AY890" s="3" t="s">
        <v>9159</v>
      </c>
      <c r="AZ890" s="3" t="s">
        <v>9160</v>
      </c>
      <c r="BA890" s="3" t="s">
        <v>9160</v>
      </c>
      <c r="BB890" s="3" t="s">
        <v>9161</v>
      </c>
      <c r="BC890" s="3" t="s">
        <v>78</v>
      </c>
      <c r="BD890" s="3" t="s">
        <v>79</v>
      </c>
      <c r="BE890" s="3" t="s">
        <v>9162</v>
      </c>
      <c r="BF890" s="3" t="s">
        <v>9161</v>
      </c>
      <c r="BG890" s="3" t="s">
        <v>9163</v>
      </c>
    </row>
    <row r="891" spans="1:59" ht="58" x14ac:dyDescent="0.35">
      <c r="A891" s="2" t="s">
        <v>59</v>
      </c>
      <c r="B891" s="2" t="s">
        <v>94</v>
      </c>
      <c r="C891" s="2" t="s">
        <v>9164</v>
      </c>
      <c r="D891" s="2" t="s">
        <v>9165</v>
      </c>
      <c r="E891" s="2" t="s">
        <v>9166</v>
      </c>
      <c r="G891" s="3" t="s">
        <v>64</v>
      </c>
      <c r="I891" s="3" t="s">
        <v>64</v>
      </c>
      <c r="J891" s="3" t="s">
        <v>64</v>
      </c>
      <c r="K891" s="3" t="s">
        <v>65</v>
      </c>
      <c r="L891" s="2" t="s">
        <v>9167</v>
      </c>
      <c r="M891" s="2" t="s">
        <v>9168</v>
      </c>
      <c r="N891" s="3" t="s">
        <v>214</v>
      </c>
      <c r="P891" s="3" t="s">
        <v>69</v>
      </c>
      <c r="Q891" s="2" t="s">
        <v>9169</v>
      </c>
      <c r="R891" s="3" t="s">
        <v>70</v>
      </c>
      <c r="S891" s="4">
        <v>0</v>
      </c>
      <c r="T891" s="4">
        <v>0</v>
      </c>
      <c r="W891" s="5" t="s">
        <v>72</v>
      </c>
      <c r="X891" s="5" t="s">
        <v>72</v>
      </c>
      <c r="Y891" s="4">
        <v>118</v>
      </c>
      <c r="Z891" s="4">
        <v>13</v>
      </c>
      <c r="AA891" s="4">
        <v>14</v>
      </c>
      <c r="AB891" s="4">
        <v>1</v>
      </c>
      <c r="AC891" s="4">
        <v>2</v>
      </c>
      <c r="AD891" s="4">
        <v>57</v>
      </c>
      <c r="AE891" s="4">
        <v>58</v>
      </c>
      <c r="AF891" s="4">
        <v>0</v>
      </c>
      <c r="AG891" s="4">
        <v>0</v>
      </c>
      <c r="AH891" s="4">
        <v>53</v>
      </c>
      <c r="AI891" s="4">
        <v>54</v>
      </c>
      <c r="AJ891" s="4">
        <v>9</v>
      </c>
      <c r="AK891" s="4">
        <v>9</v>
      </c>
      <c r="AL891" s="4">
        <v>37</v>
      </c>
      <c r="AM891" s="4">
        <v>38</v>
      </c>
      <c r="AN891" s="4">
        <v>0</v>
      </c>
      <c r="AO891" s="4">
        <v>0</v>
      </c>
      <c r="AP891" s="4">
        <v>11</v>
      </c>
      <c r="AQ891" s="4">
        <v>11</v>
      </c>
      <c r="AR891" s="3" t="s">
        <v>64</v>
      </c>
      <c r="AS891" s="3" t="s">
        <v>64</v>
      </c>
      <c r="AT891" s="3" t="s">
        <v>64</v>
      </c>
      <c r="AV891" s="6" t="str">
        <f>HYPERLINK("http://mcgill.on.worldcat.org/oclc/659775681","Catalog Record")</f>
        <v>Catalog Record</v>
      </c>
      <c r="AW891" s="6" t="str">
        <f>HYPERLINK("http://www.worldcat.org/oclc/659775681","WorldCat Record")</f>
        <v>WorldCat Record</v>
      </c>
      <c r="AX891" s="3" t="s">
        <v>9170</v>
      </c>
      <c r="AY891" s="3" t="s">
        <v>9171</v>
      </c>
      <c r="AZ891" s="3" t="s">
        <v>9172</v>
      </c>
      <c r="BA891" s="3" t="s">
        <v>9172</v>
      </c>
      <c r="BB891" s="3" t="s">
        <v>9173</v>
      </c>
      <c r="BC891" s="3" t="s">
        <v>78</v>
      </c>
      <c r="BD891" s="3" t="s">
        <v>79</v>
      </c>
      <c r="BE891" s="3" t="s">
        <v>9174</v>
      </c>
      <c r="BF891" s="3" t="s">
        <v>9173</v>
      </c>
      <c r="BG891" s="3" t="s">
        <v>9175</v>
      </c>
    </row>
    <row r="892" spans="1:59" ht="58" x14ac:dyDescent="0.35">
      <c r="A892" s="2" t="s">
        <v>59</v>
      </c>
      <c r="B892" s="2" t="s">
        <v>94</v>
      </c>
      <c r="C892" s="2" t="s">
        <v>9176</v>
      </c>
      <c r="D892" s="2" t="s">
        <v>9177</v>
      </c>
      <c r="E892" s="2" t="s">
        <v>9178</v>
      </c>
      <c r="G892" s="3" t="s">
        <v>64</v>
      </c>
      <c r="I892" s="3" t="s">
        <v>73</v>
      </c>
      <c r="J892" s="3" t="s">
        <v>64</v>
      </c>
      <c r="K892" s="3" t="s">
        <v>65</v>
      </c>
      <c r="L892" s="2" t="s">
        <v>9179</v>
      </c>
      <c r="M892" s="2" t="s">
        <v>9180</v>
      </c>
      <c r="N892" s="3" t="s">
        <v>2265</v>
      </c>
      <c r="P892" s="3" t="s">
        <v>69</v>
      </c>
      <c r="R892" s="3" t="s">
        <v>70</v>
      </c>
      <c r="S892" s="4">
        <v>16</v>
      </c>
      <c r="T892" s="4">
        <v>31</v>
      </c>
      <c r="U892" s="5" t="s">
        <v>9181</v>
      </c>
      <c r="V892" s="5" t="s">
        <v>9182</v>
      </c>
      <c r="W892" s="5" t="s">
        <v>72</v>
      </c>
      <c r="X892" s="5" t="s">
        <v>72</v>
      </c>
      <c r="Y892" s="4">
        <v>457</v>
      </c>
      <c r="Z892" s="4">
        <v>35</v>
      </c>
      <c r="AA892" s="4">
        <v>44</v>
      </c>
      <c r="AB892" s="4">
        <v>2</v>
      </c>
      <c r="AC892" s="4">
        <v>5</v>
      </c>
      <c r="AD892" s="4">
        <v>108</v>
      </c>
      <c r="AE892" s="4">
        <v>117</v>
      </c>
      <c r="AF892" s="4">
        <v>1</v>
      </c>
      <c r="AG892" s="4">
        <v>3</v>
      </c>
      <c r="AH892" s="4">
        <v>91</v>
      </c>
      <c r="AI892" s="4">
        <v>97</v>
      </c>
      <c r="AJ892" s="4">
        <v>17</v>
      </c>
      <c r="AK892" s="4">
        <v>21</v>
      </c>
      <c r="AL892" s="4">
        <v>52</v>
      </c>
      <c r="AM892" s="4">
        <v>55</v>
      </c>
      <c r="AN892" s="4">
        <v>0</v>
      </c>
      <c r="AO892" s="4">
        <v>0</v>
      </c>
      <c r="AP892" s="4">
        <v>24</v>
      </c>
      <c r="AQ892" s="4">
        <v>28</v>
      </c>
      <c r="AR892" s="3" t="s">
        <v>64</v>
      </c>
      <c r="AS892" s="3" t="s">
        <v>64</v>
      </c>
      <c r="AT892" s="3" t="s">
        <v>73</v>
      </c>
      <c r="AU892" s="6" t="str">
        <f>HYPERLINK("http://catalog.hathitrust.org/Record/001047552","HathiTrust Record")</f>
        <v>HathiTrust Record</v>
      </c>
      <c r="AV892" s="6" t="str">
        <f>HYPERLINK("http://mcgill.on.worldcat.org/oclc/54494","Catalog Record")</f>
        <v>Catalog Record</v>
      </c>
      <c r="AW892" s="6" t="str">
        <f>HYPERLINK("http://www.worldcat.org/oclc/54494","WorldCat Record")</f>
        <v>WorldCat Record</v>
      </c>
      <c r="AX892" s="3" t="s">
        <v>9183</v>
      </c>
      <c r="AY892" s="3" t="s">
        <v>9184</v>
      </c>
      <c r="AZ892" s="3" t="s">
        <v>9185</v>
      </c>
      <c r="BA892" s="3" t="s">
        <v>9185</v>
      </c>
      <c r="BB892" s="3" t="s">
        <v>9186</v>
      </c>
      <c r="BC892" s="3" t="s">
        <v>78</v>
      </c>
      <c r="BD892" s="3" t="s">
        <v>79</v>
      </c>
      <c r="BE892" s="3" t="s">
        <v>9187</v>
      </c>
      <c r="BF892" s="3" t="s">
        <v>9186</v>
      </c>
      <c r="BG892" s="3" t="s">
        <v>9188</v>
      </c>
    </row>
    <row r="893" spans="1:59" ht="58" x14ac:dyDescent="0.35">
      <c r="A893" s="2" t="s">
        <v>59</v>
      </c>
      <c r="B893" s="2" t="s">
        <v>94</v>
      </c>
      <c r="C893" s="2" t="s">
        <v>9176</v>
      </c>
      <c r="D893" s="2" t="s">
        <v>9177</v>
      </c>
      <c r="E893" s="2" t="s">
        <v>9178</v>
      </c>
      <c r="G893" s="3" t="s">
        <v>64</v>
      </c>
      <c r="I893" s="3" t="s">
        <v>73</v>
      </c>
      <c r="J893" s="3" t="s">
        <v>64</v>
      </c>
      <c r="K893" s="3" t="s">
        <v>65</v>
      </c>
      <c r="L893" s="2" t="s">
        <v>9179</v>
      </c>
      <c r="M893" s="2" t="s">
        <v>9180</v>
      </c>
      <c r="N893" s="3" t="s">
        <v>2265</v>
      </c>
      <c r="P893" s="3" t="s">
        <v>69</v>
      </c>
      <c r="R893" s="3" t="s">
        <v>70</v>
      </c>
      <c r="S893" s="4">
        <v>15</v>
      </c>
      <c r="T893" s="4">
        <v>31</v>
      </c>
      <c r="U893" s="5" t="s">
        <v>9182</v>
      </c>
      <c r="V893" s="5" t="s">
        <v>9182</v>
      </c>
      <c r="W893" s="5" t="s">
        <v>72</v>
      </c>
      <c r="X893" s="5" t="s">
        <v>72</v>
      </c>
      <c r="Y893" s="4">
        <v>457</v>
      </c>
      <c r="Z893" s="4">
        <v>35</v>
      </c>
      <c r="AA893" s="4">
        <v>44</v>
      </c>
      <c r="AB893" s="4">
        <v>2</v>
      </c>
      <c r="AC893" s="4">
        <v>5</v>
      </c>
      <c r="AD893" s="4">
        <v>108</v>
      </c>
      <c r="AE893" s="4">
        <v>117</v>
      </c>
      <c r="AF893" s="4">
        <v>1</v>
      </c>
      <c r="AG893" s="4">
        <v>3</v>
      </c>
      <c r="AH893" s="4">
        <v>91</v>
      </c>
      <c r="AI893" s="4">
        <v>97</v>
      </c>
      <c r="AJ893" s="4">
        <v>17</v>
      </c>
      <c r="AK893" s="4">
        <v>21</v>
      </c>
      <c r="AL893" s="4">
        <v>52</v>
      </c>
      <c r="AM893" s="4">
        <v>55</v>
      </c>
      <c r="AN893" s="4">
        <v>0</v>
      </c>
      <c r="AO893" s="4">
        <v>0</v>
      </c>
      <c r="AP893" s="4">
        <v>24</v>
      </c>
      <c r="AQ893" s="4">
        <v>28</v>
      </c>
      <c r="AR893" s="3" t="s">
        <v>64</v>
      </c>
      <c r="AS893" s="3" t="s">
        <v>64</v>
      </c>
      <c r="AT893" s="3" t="s">
        <v>73</v>
      </c>
      <c r="AU893" s="6" t="str">
        <f>HYPERLINK("http://catalog.hathitrust.org/Record/001047552","HathiTrust Record")</f>
        <v>HathiTrust Record</v>
      </c>
      <c r="AV893" s="6" t="str">
        <f>HYPERLINK("http://mcgill.on.worldcat.org/oclc/54494","Catalog Record")</f>
        <v>Catalog Record</v>
      </c>
      <c r="AW893" s="6" t="str">
        <f>HYPERLINK("http://www.worldcat.org/oclc/54494","WorldCat Record")</f>
        <v>WorldCat Record</v>
      </c>
      <c r="AX893" s="3" t="s">
        <v>9183</v>
      </c>
      <c r="AY893" s="3" t="s">
        <v>9184</v>
      </c>
      <c r="AZ893" s="3" t="s">
        <v>9185</v>
      </c>
      <c r="BA893" s="3" t="s">
        <v>9185</v>
      </c>
      <c r="BB893" s="3" t="s">
        <v>9189</v>
      </c>
      <c r="BC893" s="3" t="s">
        <v>78</v>
      </c>
      <c r="BD893" s="3" t="s">
        <v>79</v>
      </c>
      <c r="BE893" s="3" t="s">
        <v>9187</v>
      </c>
      <c r="BF893" s="3" t="s">
        <v>9189</v>
      </c>
      <c r="BG893" s="3" t="s">
        <v>9190</v>
      </c>
    </row>
    <row r="894" spans="1:59" ht="58" x14ac:dyDescent="0.35">
      <c r="A894" s="2" t="s">
        <v>59</v>
      </c>
      <c r="B894" s="2" t="s">
        <v>94</v>
      </c>
      <c r="C894" s="2" t="s">
        <v>9191</v>
      </c>
      <c r="D894" s="2" t="s">
        <v>9192</v>
      </c>
      <c r="E894" s="2" t="s">
        <v>9193</v>
      </c>
      <c r="G894" s="3" t="s">
        <v>64</v>
      </c>
      <c r="I894" s="3" t="s">
        <v>64</v>
      </c>
      <c r="J894" s="3" t="s">
        <v>64</v>
      </c>
      <c r="K894" s="3" t="s">
        <v>65</v>
      </c>
      <c r="L894" s="2" t="s">
        <v>9179</v>
      </c>
      <c r="M894" s="2" t="s">
        <v>9194</v>
      </c>
      <c r="N894" s="3" t="s">
        <v>3181</v>
      </c>
      <c r="P894" s="3" t="s">
        <v>69</v>
      </c>
      <c r="R894" s="3" t="s">
        <v>70</v>
      </c>
      <c r="S894" s="4">
        <v>27</v>
      </c>
      <c r="T894" s="4">
        <v>27</v>
      </c>
      <c r="U894" s="5" t="s">
        <v>288</v>
      </c>
      <c r="V894" s="5" t="s">
        <v>288</v>
      </c>
      <c r="W894" s="5" t="s">
        <v>72</v>
      </c>
      <c r="X894" s="5" t="s">
        <v>72</v>
      </c>
      <c r="Y894" s="4">
        <v>295</v>
      </c>
      <c r="Z894" s="4">
        <v>25</v>
      </c>
      <c r="AA894" s="4">
        <v>28</v>
      </c>
      <c r="AB894" s="4">
        <v>2</v>
      </c>
      <c r="AC894" s="4">
        <v>4</v>
      </c>
      <c r="AD894" s="4">
        <v>83</v>
      </c>
      <c r="AE894" s="4">
        <v>88</v>
      </c>
      <c r="AF894" s="4">
        <v>0</v>
      </c>
      <c r="AG894" s="4">
        <v>2</v>
      </c>
      <c r="AH894" s="4">
        <v>70</v>
      </c>
      <c r="AI894" s="4">
        <v>74</v>
      </c>
      <c r="AJ894" s="4">
        <v>12</v>
      </c>
      <c r="AK894" s="4">
        <v>15</v>
      </c>
      <c r="AL894" s="4">
        <v>42</v>
      </c>
      <c r="AM894" s="4">
        <v>43</v>
      </c>
      <c r="AN894" s="4">
        <v>0</v>
      </c>
      <c r="AO894" s="4">
        <v>0</v>
      </c>
      <c r="AP894" s="4">
        <v>17</v>
      </c>
      <c r="AQ894" s="4">
        <v>20</v>
      </c>
      <c r="AR894" s="3" t="s">
        <v>64</v>
      </c>
      <c r="AS894" s="3" t="s">
        <v>64</v>
      </c>
      <c r="AT894" s="3" t="s">
        <v>64</v>
      </c>
      <c r="AV894" s="6" t="str">
        <f>HYPERLINK("http://mcgill.on.worldcat.org/oclc/164768","Catalog Record")</f>
        <v>Catalog Record</v>
      </c>
      <c r="AW894" s="6" t="str">
        <f>HYPERLINK("http://www.worldcat.org/oclc/164768","WorldCat Record")</f>
        <v>WorldCat Record</v>
      </c>
      <c r="AX894" s="3" t="s">
        <v>9195</v>
      </c>
      <c r="AY894" s="3" t="s">
        <v>9196</v>
      </c>
      <c r="AZ894" s="3" t="s">
        <v>9197</v>
      </c>
      <c r="BA894" s="3" t="s">
        <v>9197</v>
      </c>
      <c r="BB894" s="3" t="s">
        <v>9198</v>
      </c>
      <c r="BC894" s="3" t="s">
        <v>78</v>
      </c>
      <c r="BD894" s="3" t="s">
        <v>79</v>
      </c>
      <c r="BE894" s="3" t="s">
        <v>9199</v>
      </c>
      <c r="BF894" s="3" t="s">
        <v>9198</v>
      </c>
      <c r="BG894" s="3" t="s">
        <v>9200</v>
      </c>
    </row>
    <row r="895" spans="1:59" ht="58" x14ac:dyDescent="0.35">
      <c r="A895" s="2" t="s">
        <v>59</v>
      </c>
      <c r="B895" s="2" t="s">
        <v>94</v>
      </c>
      <c r="C895" s="2" t="s">
        <v>9201</v>
      </c>
      <c r="D895" s="2" t="s">
        <v>9202</v>
      </c>
      <c r="E895" s="2" t="s">
        <v>9203</v>
      </c>
      <c r="G895" s="3" t="s">
        <v>64</v>
      </c>
      <c r="I895" s="3" t="s">
        <v>64</v>
      </c>
      <c r="J895" s="3" t="s">
        <v>64</v>
      </c>
      <c r="K895" s="3" t="s">
        <v>65</v>
      </c>
      <c r="L895" s="2" t="s">
        <v>9204</v>
      </c>
      <c r="M895" s="2" t="s">
        <v>9205</v>
      </c>
      <c r="N895" s="3" t="s">
        <v>365</v>
      </c>
      <c r="P895" s="3" t="s">
        <v>69</v>
      </c>
      <c r="R895" s="3" t="s">
        <v>70</v>
      </c>
      <c r="S895" s="4">
        <v>5</v>
      </c>
      <c r="T895" s="4">
        <v>5</v>
      </c>
      <c r="U895" s="5" t="s">
        <v>3214</v>
      </c>
      <c r="V895" s="5" t="s">
        <v>3214</v>
      </c>
      <c r="W895" s="5" t="s">
        <v>72</v>
      </c>
      <c r="X895" s="5" t="s">
        <v>72</v>
      </c>
      <c r="Y895" s="4">
        <v>231</v>
      </c>
      <c r="Z895" s="4">
        <v>13</v>
      </c>
      <c r="AA895" s="4">
        <v>28</v>
      </c>
      <c r="AB895" s="4">
        <v>1</v>
      </c>
      <c r="AC895" s="4">
        <v>1</v>
      </c>
      <c r="AD895" s="4">
        <v>42</v>
      </c>
      <c r="AE895" s="4">
        <v>105</v>
      </c>
      <c r="AF895" s="4">
        <v>0</v>
      </c>
      <c r="AG895" s="4">
        <v>0</v>
      </c>
      <c r="AH895" s="4">
        <v>38</v>
      </c>
      <c r="AI895" s="4">
        <v>94</v>
      </c>
      <c r="AJ895" s="4">
        <v>10</v>
      </c>
      <c r="AK895" s="4">
        <v>15</v>
      </c>
      <c r="AL895" s="4">
        <v>17</v>
      </c>
      <c r="AM895" s="4">
        <v>53</v>
      </c>
      <c r="AN895" s="4">
        <v>0</v>
      </c>
      <c r="AO895" s="4">
        <v>0</v>
      </c>
      <c r="AP895" s="4">
        <v>10</v>
      </c>
      <c r="AQ895" s="4">
        <v>19</v>
      </c>
      <c r="AR895" s="3" t="s">
        <v>64</v>
      </c>
      <c r="AS895" s="3" t="s">
        <v>64</v>
      </c>
      <c r="AT895" s="3" t="s">
        <v>64</v>
      </c>
      <c r="AV895" s="6" t="str">
        <f>HYPERLINK("http://mcgill.on.worldcat.org/oclc/12525367","Catalog Record")</f>
        <v>Catalog Record</v>
      </c>
      <c r="AW895" s="6" t="str">
        <f>HYPERLINK("http://www.worldcat.org/oclc/12525367","WorldCat Record")</f>
        <v>WorldCat Record</v>
      </c>
      <c r="AX895" s="3" t="s">
        <v>9206</v>
      </c>
      <c r="AY895" s="3" t="s">
        <v>9207</v>
      </c>
      <c r="AZ895" s="3" t="s">
        <v>9208</v>
      </c>
      <c r="BA895" s="3" t="s">
        <v>9208</v>
      </c>
      <c r="BB895" s="3" t="s">
        <v>9209</v>
      </c>
      <c r="BC895" s="3" t="s">
        <v>78</v>
      </c>
      <c r="BD895" s="3" t="s">
        <v>79</v>
      </c>
      <c r="BE895" s="3" t="s">
        <v>9210</v>
      </c>
      <c r="BF895" s="3" t="s">
        <v>9209</v>
      </c>
      <c r="BG895" s="3" t="s">
        <v>9211</v>
      </c>
    </row>
    <row r="896" spans="1:59" ht="72.5" x14ac:dyDescent="0.35">
      <c r="A896" s="2" t="s">
        <v>59</v>
      </c>
      <c r="B896" s="2" t="s">
        <v>60</v>
      </c>
      <c r="C896" s="2" t="s">
        <v>9212</v>
      </c>
      <c r="D896" s="2" t="s">
        <v>9213</v>
      </c>
      <c r="E896" s="2" t="s">
        <v>9214</v>
      </c>
      <c r="G896" s="3" t="s">
        <v>64</v>
      </c>
      <c r="I896" s="3" t="s">
        <v>64</v>
      </c>
      <c r="J896" s="3" t="s">
        <v>64</v>
      </c>
      <c r="K896" s="3" t="s">
        <v>65</v>
      </c>
      <c r="L896" s="2" t="s">
        <v>9215</v>
      </c>
      <c r="M896" s="2" t="s">
        <v>9216</v>
      </c>
      <c r="N896" s="3" t="s">
        <v>189</v>
      </c>
      <c r="P896" s="3" t="s">
        <v>69</v>
      </c>
      <c r="R896" s="3" t="s">
        <v>70</v>
      </c>
      <c r="S896" s="4">
        <v>5</v>
      </c>
      <c r="T896" s="4">
        <v>5</v>
      </c>
      <c r="U896" s="5" t="s">
        <v>9217</v>
      </c>
      <c r="V896" s="5" t="s">
        <v>9217</v>
      </c>
      <c r="W896" s="5" t="s">
        <v>72</v>
      </c>
      <c r="X896" s="5" t="s">
        <v>72</v>
      </c>
      <c r="Y896" s="4">
        <v>212</v>
      </c>
      <c r="Z896" s="4">
        <v>13</v>
      </c>
      <c r="AA896" s="4">
        <v>20</v>
      </c>
      <c r="AB896" s="4">
        <v>2</v>
      </c>
      <c r="AC896" s="4">
        <v>3</v>
      </c>
      <c r="AD896" s="4">
        <v>69</v>
      </c>
      <c r="AE896" s="4">
        <v>87</v>
      </c>
      <c r="AF896" s="4">
        <v>0</v>
      </c>
      <c r="AG896" s="4">
        <v>0</v>
      </c>
      <c r="AH896" s="4">
        <v>61</v>
      </c>
      <c r="AI896" s="4">
        <v>76</v>
      </c>
      <c r="AJ896" s="4">
        <v>9</v>
      </c>
      <c r="AK896" s="4">
        <v>12</v>
      </c>
      <c r="AL896" s="4">
        <v>43</v>
      </c>
      <c r="AM896" s="4">
        <v>49</v>
      </c>
      <c r="AN896" s="4">
        <v>0</v>
      </c>
      <c r="AO896" s="4">
        <v>0</v>
      </c>
      <c r="AP896" s="4">
        <v>9</v>
      </c>
      <c r="AQ896" s="4">
        <v>12</v>
      </c>
      <c r="AR896" s="3" t="s">
        <v>64</v>
      </c>
      <c r="AS896" s="3" t="s">
        <v>64</v>
      </c>
      <c r="AT896" s="3" t="s">
        <v>73</v>
      </c>
      <c r="AU896" s="6" t="str">
        <f>HYPERLINK("http://catalog.hathitrust.org/Record/001047557","HathiTrust Record")</f>
        <v>HathiTrust Record</v>
      </c>
      <c r="AV896" s="6" t="str">
        <f>HYPERLINK("http://mcgill.on.worldcat.org/oclc/569794","Catalog Record")</f>
        <v>Catalog Record</v>
      </c>
      <c r="AW896" s="6" t="str">
        <f>HYPERLINK("http://www.worldcat.org/oclc/569794","WorldCat Record")</f>
        <v>WorldCat Record</v>
      </c>
      <c r="AX896" s="3" t="s">
        <v>9218</v>
      </c>
      <c r="AY896" s="3" t="s">
        <v>9219</v>
      </c>
      <c r="AZ896" s="3" t="s">
        <v>9220</v>
      </c>
      <c r="BA896" s="3" t="s">
        <v>9220</v>
      </c>
      <c r="BB896" s="3" t="s">
        <v>9221</v>
      </c>
      <c r="BC896" s="3" t="s">
        <v>78</v>
      </c>
      <c r="BD896" s="3" t="s">
        <v>79</v>
      </c>
      <c r="BF896" s="3" t="s">
        <v>9221</v>
      </c>
      <c r="BG896" s="3" t="s">
        <v>9222</v>
      </c>
    </row>
    <row r="897" spans="1:59" ht="58" x14ac:dyDescent="0.35">
      <c r="A897" s="2" t="s">
        <v>59</v>
      </c>
      <c r="B897" s="2" t="s">
        <v>94</v>
      </c>
      <c r="C897" s="2" t="s">
        <v>9223</v>
      </c>
      <c r="D897" s="2" t="s">
        <v>9224</v>
      </c>
      <c r="E897" s="2" t="s">
        <v>9225</v>
      </c>
      <c r="G897" s="3" t="s">
        <v>64</v>
      </c>
      <c r="I897" s="3" t="s">
        <v>64</v>
      </c>
      <c r="J897" s="3" t="s">
        <v>64</v>
      </c>
      <c r="K897" s="3" t="s">
        <v>65</v>
      </c>
      <c r="M897" s="2" t="s">
        <v>9226</v>
      </c>
      <c r="N897" s="3" t="s">
        <v>473</v>
      </c>
      <c r="P897" s="3" t="s">
        <v>69</v>
      </c>
      <c r="Q897" s="2" t="s">
        <v>9227</v>
      </c>
      <c r="R897" s="3" t="s">
        <v>9228</v>
      </c>
      <c r="S897" s="4">
        <v>15</v>
      </c>
      <c r="T897" s="4">
        <v>15</v>
      </c>
      <c r="U897" s="5" t="s">
        <v>9229</v>
      </c>
      <c r="V897" s="5" t="s">
        <v>9229</v>
      </c>
      <c r="W897" s="5" t="s">
        <v>72</v>
      </c>
      <c r="X897" s="5" t="s">
        <v>72</v>
      </c>
      <c r="Y897" s="4">
        <v>174</v>
      </c>
      <c r="Z897" s="4">
        <v>17</v>
      </c>
      <c r="AA897" s="4">
        <v>20</v>
      </c>
      <c r="AB897" s="4">
        <v>1</v>
      </c>
      <c r="AC897" s="4">
        <v>2</v>
      </c>
      <c r="AD897" s="4">
        <v>75</v>
      </c>
      <c r="AE897" s="4">
        <v>88</v>
      </c>
      <c r="AF897" s="4">
        <v>0</v>
      </c>
      <c r="AG897" s="4">
        <v>1</v>
      </c>
      <c r="AH897" s="4">
        <v>66</v>
      </c>
      <c r="AI897" s="4">
        <v>76</v>
      </c>
      <c r="AJ897" s="4">
        <v>13</v>
      </c>
      <c r="AK897" s="4">
        <v>14</v>
      </c>
      <c r="AL897" s="4">
        <v>42</v>
      </c>
      <c r="AM897" s="4">
        <v>47</v>
      </c>
      <c r="AN897" s="4">
        <v>0</v>
      </c>
      <c r="AO897" s="4">
        <v>0</v>
      </c>
      <c r="AP897" s="4">
        <v>14</v>
      </c>
      <c r="AQ897" s="4">
        <v>16</v>
      </c>
      <c r="AR897" s="3" t="s">
        <v>64</v>
      </c>
      <c r="AS897" s="3" t="s">
        <v>64</v>
      </c>
      <c r="AT897" s="3" t="s">
        <v>73</v>
      </c>
      <c r="AU897" s="6" t="str">
        <f>HYPERLINK("http://catalog.hathitrust.org/Record/001840268","HathiTrust Record")</f>
        <v>HathiTrust Record</v>
      </c>
      <c r="AV897" s="6" t="str">
        <f>HYPERLINK("http://mcgill.on.worldcat.org/oclc/21376538","Catalog Record")</f>
        <v>Catalog Record</v>
      </c>
      <c r="AW897" s="6" t="str">
        <f>HYPERLINK("http://www.worldcat.org/oclc/21376538","WorldCat Record")</f>
        <v>WorldCat Record</v>
      </c>
      <c r="AX897" s="3" t="s">
        <v>9230</v>
      </c>
      <c r="AY897" s="3" t="s">
        <v>9231</v>
      </c>
      <c r="AZ897" s="3" t="s">
        <v>9232</v>
      </c>
      <c r="BA897" s="3" t="s">
        <v>9232</v>
      </c>
      <c r="BB897" s="3" t="s">
        <v>9233</v>
      </c>
      <c r="BC897" s="3" t="s">
        <v>78</v>
      </c>
      <c r="BD897" s="3" t="s">
        <v>414</v>
      </c>
      <c r="BE897" s="3" t="s">
        <v>9234</v>
      </c>
      <c r="BF897" s="3" t="s">
        <v>9233</v>
      </c>
      <c r="BG897" s="3" t="s">
        <v>9235</v>
      </c>
    </row>
    <row r="898" spans="1:59" ht="58" x14ac:dyDescent="0.35">
      <c r="A898" s="2" t="s">
        <v>59</v>
      </c>
      <c r="B898" s="2" t="s">
        <v>94</v>
      </c>
      <c r="C898" s="2" t="s">
        <v>9236</v>
      </c>
      <c r="D898" s="2" t="s">
        <v>9237</v>
      </c>
      <c r="E898" s="2" t="s">
        <v>9238</v>
      </c>
      <c r="G898" s="3" t="s">
        <v>64</v>
      </c>
      <c r="I898" s="3" t="s">
        <v>64</v>
      </c>
      <c r="J898" s="3" t="s">
        <v>64</v>
      </c>
      <c r="K898" s="3" t="s">
        <v>65</v>
      </c>
      <c r="L898" s="2" t="s">
        <v>9239</v>
      </c>
      <c r="M898" s="2" t="s">
        <v>9240</v>
      </c>
      <c r="N898" s="3" t="s">
        <v>524</v>
      </c>
      <c r="P898" s="3" t="s">
        <v>69</v>
      </c>
      <c r="Q898" s="2" t="s">
        <v>9241</v>
      </c>
      <c r="R898" s="3" t="s">
        <v>9228</v>
      </c>
      <c r="S898" s="4">
        <v>0</v>
      </c>
      <c r="T898" s="4">
        <v>0</v>
      </c>
      <c r="W898" s="5" t="s">
        <v>72</v>
      </c>
      <c r="X898" s="5" t="s">
        <v>72</v>
      </c>
      <c r="Y898" s="4">
        <v>55</v>
      </c>
      <c r="Z898" s="4">
        <v>3</v>
      </c>
      <c r="AA898" s="4">
        <v>69</v>
      </c>
      <c r="AB898" s="4">
        <v>1</v>
      </c>
      <c r="AC898" s="4">
        <v>14</v>
      </c>
      <c r="AD898" s="4">
        <v>21</v>
      </c>
      <c r="AE898" s="4">
        <v>100</v>
      </c>
      <c r="AF898" s="4">
        <v>0</v>
      </c>
      <c r="AG898" s="4">
        <v>8</v>
      </c>
      <c r="AH898" s="4">
        <v>20</v>
      </c>
      <c r="AI898" s="4">
        <v>70</v>
      </c>
      <c r="AJ898" s="4">
        <v>1</v>
      </c>
      <c r="AK898" s="4">
        <v>19</v>
      </c>
      <c r="AL898" s="4">
        <v>17</v>
      </c>
      <c r="AM898" s="4">
        <v>38</v>
      </c>
      <c r="AN898" s="4">
        <v>0</v>
      </c>
      <c r="AO898" s="4">
        <v>0</v>
      </c>
      <c r="AP898" s="4">
        <v>1</v>
      </c>
      <c r="AQ898" s="4">
        <v>36</v>
      </c>
      <c r="AR898" s="3" t="s">
        <v>64</v>
      </c>
      <c r="AS898" s="3" t="s">
        <v>64</v>
      </c>
      <c r="AT898" s="3" t="s">
        <v>64</v>
      </c>
      <c r="AV898" s="6" t="str">
        <f>HYPERLINK("http://mcgill.on.worldcat.org/oclc/826017744","Catalog Record")</f>
        <v>Catalog Record</v>
      </c>
      <c r="AW898" s="6" t="str">
        <f>HYPERLINK("http://www.worldcat.org/oclc/826017744","WorldCat Record")</f>
        <v>WorldCat Record</v>
      </c>
      <c r="AX898" s="3" t="s">
        <v>9242</v>
      </c>
      <c r="AY898" s="3" t="s">
        <v>9243</v>
      </c>
      <c r="AZ898" s="3" t="s">
        <v>9244</v>
      </c>
      <c r="BA898" s="3" t="s">
        <v>9244</v>
      </c>
      <c r="BB898" s="3" t="s">
        <v>9245</v>
      </c>
      <c r="BC898" s="3" t="s">
        <v>78</v>
      </c>
      <c r="BD898" s="3" t="s">
        <v>79</v>
      </c>
      <c r="BE898" s="3" t="s">
        <v>9246</v>
      </c>
      <c r="BF898" s="3" t="s">
        <v>9245</v>
      </c>
      <c r="BG898" s="3" t="s">
        <v>9247</v>
      </c>
    </row>
    <row r="899" spans="1:59" ht="58" x14ac:dyDescent="0.35">
      <c r="A899" s="2" t="s">
        <v>59</v>
      </c>
      <c r="B899" s="2" t="s">
        <v>94</v>
      </c>
      <c r="C899" s="2" t="s">
        <v>9248</v>
      </c>
      <c r="D899" s="2" t="s">
        <v>9249</v>
      </c>
      <c r="E899" s="2" t="s">
        <v>9250</v>
      </c>
      <c r="G899" s="3" t="s">
        <v>64</v>
      </c>
      <c r="I899" s="3" t="s">
        <v>64</v>
      </c>
      <c r="J899" s="3" t="s">
        <v>64</v>
      </c>
      <c r="K899" s="3" t="s">
        <v>65</v>
      </c>
      <c r="L899" s="2" t="s">
        <v>9251</v>
      </c>
      <c r="M899" s="2" t="s">
        <v>9252</v>
      </c>
      <c r="N899" s="3" t="s">
        <v>872</v>
      </c>
      <c r="P899" s="3" t="s">
        <v>69</v>
      </c>
      <c r="Q899" s="2" t="s">
        <v>9253</v>
      </c>
      <c r="R899" s="3" t="s">
        <v>9228</v>
      </c>
      <c r="S899" s="4">
        <v>15</v>
      </c>
      <c r="T899" s="4">
        <v>15</v>
      </c>
      <c r="U899" s="5" t="s">
        <v>9254</v>
      </c>
      <c r="V899" s="5" t="s">
        <v>9254</v>
      </c>
      <c r="W899" s="5" t="s">
        <v>72</v>
      </c>
      <c r="X899" s="5" t="s">
        <v>72</v>
      </c>
      <c r="Y899" s="4">
        <v>172</v>
      </c>
      <c r="Z899" s="4">
        <v>12</v>
      </c>
      <c r="AA899" s="4">
        <v>12</v>
      </c>
      <c r="AB899" s="4">
        <v>1</v>
      </c>
      <c r="AC899" s="4">
        <v>1</v>
      </c>
      <c r="AD899" s="4">
        <v>79</v>
      </c>
      <c r="AE899" s="4">
        <v>79</v>
      </c>
      <c r="AF899" s="4">
        <v>0</v>
      </c>
      <c r="AG899" s="4">
        <v>0</v>
      </c>
      <c r="AH899" s="4">
        <v>73</v>
      </c>
      <c r="AI899" s="4">
        <v>73</v>
      </c>
      <c r="AJ899" s="4">
        <v>9</v>
      </c>
      <c r="AK899" s="4">
        <v>9</v>
      </c>
      <c r="AL899" s="4">
        <v>45</v>
      </c>
      <c r="AM899" s="4">
        <v>45</v>
      </c>
      <c r="AN899" s="4">
        <v>0</v>
      </c>
      <c r="AO899" s="4">
        <v>0</v>
      </c>
      <c r="AP899" s="4">
        <v>10</v>
      </c>
      <c r="AQ899" s="4">
        <v>10</v>
      </c>
      <c r="AR899" s="3" t="s">
        <v>64</v>
      </c>
      <c r="AS899" s="3" t="s">
        <v>64</v>
      </c>
      <c r="AT899" s="3" t="s">
        <v>73</v>
      </c>
      <c r="AU899" s="6" t="str">
        <f>HYPERLINK("http://catalog.hathitrust.org/Record/002422280","HathiTrust Record")</f>
        <v>HathiTrust Record</v>
      </c>
      <c r="AV899" s="6" t="str">
        <f>HYPERLINK("http://mcgill.on.worldcat.org/oclc/18815965","Catalog Record")</f>
        <v>Catalog Record</v>
      </c>
      <c r="AW899" s="6" t="str">
        <f>HYPERLINK("http://www.worldcat.org/oclc/18815965","WorldCat Record")</f>
        <v>WorldCat Record</v>
      </c>
      <c r="AX899" s="3" t="s">
        <v>9255</v>
      </c>
      <c r="AY899" s="3" t="s">
        <v>9256</v>
      </c>
      <c r="AZ899" s="3" t="s">
        <v>9257</v>
      </c>
      <c r="BA899" s="3" t="s">
        <v>9257</v>
      </c>
      <c r="BB899" s="3" t="s">
        <v>9258</v>
      </c>
      <c r="BC899" s="3" t="s">
        <v>78</v>
      </c>
      <c r="BD899" s="3" t="s">
        <v>414</v>
      </c>
      <c r="BE899" s="3" t="s">
        <v>9259</v>
      </c>
      <c r="BF899" s="3" t="s">
        <v>9258</v>
      </c>
      <c r="BG899" s="3" t="s">
        <v>9260</v>
      </c>
    </row>
    <row r="900" spans="1:59" ht="58" x14ac:dyDescent="0.35">
      <c r="A900" s="2" t="s">
        <v>59</v>
      </c>
      <c r="B900" s="2" t="s">
        <v>94</v>
      </c>
      <c r="C900" s="2" t="s">
        <v>9261</v>
      </c>
      <c r="D900" s="2" t="s">
        <v>9262</v>
      </c>
      <c r="E900" s="2" t="s">
        <v>9263</v>
      </c>
      <c r="G900" s="3" t="s">
        <v>64</v>
      </c>
      <c r="I900" s="3" t="s">
        <v>64</v>
      </c>
      <c r="J900" s="3" t="s">
        <v>64</v>
      </c>
      <c r="K900" s="3" t="s">
        <v>65</v>
      </c>
      <c r="L900" s="2" t="s">
        <v>9264</v>
      </c>
      <c r="M900" s="2" t="s">
        <v>6789</v>
      </c>
      <c r="N900" s="3" t="s">
        <v>524</v>
      </c>
      <c r="P900" s="3" t="s">
        <v>69</v>
      </c>
      <c r="R900" s="3" t="s">
        <v>9228</v>
      </c>
      <c r="S900" s="4">
        <v>0</v>
      </c>
      <c r="T900" s="4">
        <v>0</v>
      </c>
      <c r="W900" s="5" t="s">
        <v>72</v>
      </c>
      <c r="X900" s="5" t="s">
        <v>72</v>
      </c>
      <c r="Y900" s="4">
        <v>95</v>
      </c>
      <c r="Z900" s="4">
        <v>5</v>
      </c>
      <c r="AA900" s="4">
        <v>10</v>
      </c>
      <c r="AB900" s="4">
        <v>1</v>
      </c>
      <c r="AC900" s="4">
        <v>3</v>
      </c>
      <c r="AD900" s="4">
        <v>40</v>
      </c>
      <c r="AE900" s="4">
        <v>46</v>
      </c>
      <c r="AF900" s="4">
        <v>0</v>
      </c>
      <c r="AG900" s="4">
        <v>1</v>
      </c>
      <c r="AH900" s="4">
        <v>38</v>
      </c>
      <c r="AI900" s="4">
        <v>42</v>
      </c>
      <c r="AJ900" s="4">
        <v>2</v>
      </c>
      <c r="AK900" s="4">
        <v>6</v>
      </c>
      <c r="AL900" s="4">
        <v>30</v>
      </c>
      <c r="AM900" s="4">
        <v>32</v>
      </c>
      <c r="AN900" s="4">
        <v>0</v>
      </c>
      <c r="AO900" s="4">
        <v>0</v>
      </c>
      <c r="AP900" s="4">
        <v>2</v>
      </c>
      <c r="AQ900" s="4">
        <v>5</v>
      </c>
      <c r="AR900" s="3" t="s">
        <v>64</v>
      </c>
      <c r="AS900" s="3" t="s">
        <v>64</v>
      </c>
      <c r="AT900" s="3" t="s">
        <v>64</v>
      </c>
      <c r="AV900" s="6" t="str">
        <f>HYPERLINK("http://mcgill.on.worldcat.org/oclc/837924224","Catalog Record")</f>
        <v>Catalog Record</v>
      </c>
      <c r="AW900" s="6" t="str">
        <f>HYPERLINK("http://www.worldcat.org/oclc/837924224","WorldCat Record")</f>
        <v>WorldCat Record</v>
      </c>
      <c r="AX900" s="3" t="s">
        <v>9265</v>
      </c>
      <c r="AY900" s="3" t="s">
        <v>9266</v>
      </c>
      <c r="AZ900" s="3" t="s">
        <v>9267</v>
      </c>
      <c r="BA900" s="3" t="s">
        <v>9267</v>
      </c>
      <c r="BB900" s="3" t="s">
        <v>9268</v>
      </c>
      <c r="BC900" s="3" t="s">
        <v>78</v>
      </c>
      <c r="BD900" s="3" t="s">
        <v>79</v>
      </c>
      <c r="BE900" s="3" t="s">
        <v>9269</v>
      </c>
      <c r="BF900" s="3" t="s">
        <v>9268</v>
      </c>
      <c r="BG900" s="3" t="s">
        <v>9270</v>
      </c>
    </row>
    <row r="901" spans="1:59" ht="58" x14ac:dyDescent="0.35">
      <c r="A901" s="2" t="s">
        <v>59</v>
      </c>
      <c r="B901" s="2" t="s">
        <v>94</v>
      </c>
      <c r="C901" s="2" t="s">
        <v>9271</v>
      </c>
      <c r="D901" s="2" t="s">
        <v>9272</v>
      </c>
      <c r="E901" s="2" t="s">
        <v>9273</v>
      </c>
      <c r="G901" s="3" t="s">
        <v>64</v>
      </c>
      <c r="I901" s="3" t="s">
        <v>64</v>
      </c>
      <c r="J901" s="3" t="s">
        <v>64</v>
      </c>
      <c r="K901" s="3" t="s">
        <v>65</v>
      </c>
      <c r="L901" s="2" t="s">
        <v>9274</v>
      </c>
      <c r="M901" s="2" t="s">
        <v>9275</v>
      </c>
      <c r="N901" s="3" t="s">
        <v>328</v>
      </c>
      <c r="P901" s="3" t="s">
        <v>69</v>
      </c>
      <c r="R901" s="3" t="s">
        <v>9228</v>
      </c>
      <c r="S901" s="4">
        <v>0</v>
      </c>
      <c r="T901" s="4">
        <v>0</v>
      </c>
      <c r="W901" s="5" t="s">
        <v>72</v>
      </c>
      <c r="X901" s="5" t="s">
        <v>72</v>
      </c>
      <c r="Y901" s="4">
        <v>107</v>
      </c>
      <c r="Z901" s="4">
        <v>8</v>
      </c>
      <c r="AA901" s="4">
        <v>87</v>
      </c>
      <c r="AB901" s="4">
        <v>1</v>
      </c>
      <c r="AC901" s="4">
        <v>14</v>
      </c>
      <c r="AD901" s="4">
        <v>40</v>
      </c>
      <c r="AE901" s="4">
        <v>117</v>
      </c>
      <c r="AF901" s="4">
        <v>0</v>
      </c>
      <c r="AG901" s="4">
        <v>8</v>
      </c>
      <c r="AH901" s="4">
        <v>36</v>
      </c>
      <c r="AI901" s="4">
        <v>82</v>
      </c>
      <c r="AJ901" s="4">
        <v>3</v>
      </c>
      <c r="AK901" s="4">
        <v>20</v>
      </c>
      <c r="AL901" s="4">
        <v>28</v>
      </c>
      <c r="AM901" s="4">
        <v>44</v>
      </c>
      <c r="AN901" s="4">
        <v>0</v>
      </c>
      <c r="AO901" s="4">
        <v>0</v>
      </c>
      <c r="AP901" s="4">
        <v>4</v>
      </c>
      <c r="AQ901" s="4">
        <v>41</v>
      </c>
      <c r="AR901" s="3" t="s">
        <v>64</v>
      </c>
      <c r="AS901" s="3" t="s">
        <v>64</v>
      </c>
      <c r="AT901" s="3" t="s">
        <v>64</v>
      </c>
      <c r="AV901" s="6" t="str">
        <f>HYPERLINK("http://mcgill.on.worldcat.org/oclc/672300122","Catalog Record")</f>
        <v>Catalog Record</v>
      </c>
      <c r="AW901" s="6" t="str">
        <f>HYPERLINK("http://www.worldcat.org/oclc/672300122","WorldCat Record")</f>
        <v>WorldCat Record</v>
      </c>
      <c r="AX901" s="3" t="s">
        <v>9276</v>
      </c>
      <c r="AY901" s="3" t="s">
        <v>9277</v>
      </c>
      <c r="AZ901" s="3" t="s">
        <v>9278</v>
      </c>
      <c r="BA901" s="3" t="s">
        <v>9278</v>
      </c>
      <c r="BB901" s="3" t="s">
        <v>9279</v>
      </c>
      <c r="BC901" s="3" t="s">
        <v>78</v>
      </c>
      <c r="BD901" s="3" t="s">
        <v>79</v>
      </c>
      <c r="BE901" s="3" t="s">
        <v>9280</v>
      </c>
      <c r="BF901" s="3" t="s">
        <v>9279</v>
      </c>
      <c r="BG901" s="3" t="s">
        <v>9281</v>
      </c>
    </row>
    <row r="902" spans="1:59" ht="58" x14ac:dyDescent="0.35">
      <c r="A902" s="2" t="s">
        <v>59</v>
      </c>
      <c r="B902" s="2" t="s">
        <v>94</v>
      </c>
      <c r="C902" s="2" t="s">
        <v>9282</v>
      </c>
      <c r="D902" s="2" t="s">
        <v>9283</v>
      </c>
      <c r="E902" s="2" t="s">
        <v>9284</v>
      </c>
      <c r="G902" s="3" t="s">
        <v>64</v>
      </c>
      <c r="I902" s="3" t="s">
        <v>64</v>
      </c>
      <c r="J902" s="3" t="s">
        <v>64</v>
      </c>
      <c r="K902" s="3" t="s">
        <v>65</v>
      </c>
      <c r="M902" s="2" t="s">
        <v>9285</v>
      </c>
      <c r="N902" s="3" t="s">
        <v>872</v>
      </c>
      <c r="P902" s="3" t="s">
        <v>69</v>
      </c>
      <c r="R902" s="3" t="s">
        <v>9228</v>
      </c>
      <c r="S902" s="4">
        <v>6</v>
      </c>
      <c r="T902" s="4">
        <v>6</v>
      </c>
      <c r="U902" s="5" t="s">
        <v>3340</v>
      </c>
      <c r="V902" s="5" t="s">
        <v>3340</v>
      </c>
      <c r="W902" s="5" t="s">
        <v>72</v>
      </c>
      <c r="X902" s="5" t="s">
        <v>72</v>
      </c>
      <c r="Y902" s="4">
        <v>385</v>
      </c>
      <c r="Z902" s="4">
        <v>23</v>
      </c>
      <c r="AA902" s="4">
        <v>23</v>
      </c>
      <c r="AB902" s="4">
        <v>2</v>
      </c>
      <c r="AC902" s="4">
        <v>2</v>
      </c>
      <c r="AD902" s="4">
        <v>113</v>
      </c>
      <c r="AE902" s="4">
        <v>113</v>
      </c>
      <c r="AF902" s="4">
        <v>1</v>
      </c>
      <c r="AG902" s="4">
        <v>1</v>
      </c>
      <c r="AH902" s="4">
        <v>101</v>
      </c>
      <c r="AI902" s="4">
        <v>101</v>
      </c>
      <c r="AJ902" s="4">
        <v>14</v>
      </c>
      <c r="AK902" s="4">
        <v>14</v>
      </c>
      <c r="AL902" s="4">
        <v>57</v>
      </c>
      <c r="AM902" s="4">
        <v>57</v>
      </c>
      <c r="AN902" s="4">
        <v>0</v>
      </c>
      <c r="AO902" s="4">
        <v>0</v>
      </c>
      <c r="AP902" s="4">
        <v>19</v>
      </c>
      <c r="AQ902" s="4">
        <v>19</v>
      </c>
      <c r="AR902" s="3" t="s">
        <v>64</v>
      </c>
      <c r="AS902" s="3" t="s">
        <v>64</v>
      </c>
      <c r="AT902" s="3" t="s">
        <v>64</v>
      </c>
      <c r="AV902" s="6" t="str">
        <f>HYPERLINK("http://mcgill.on.worldcat.org/oclc/18961022","Catalog Record")</f>
        <v>Catalog Record</v>
      </c>
      <c r="AW902" s="6" t="str">
        <f>HYPERLINK("http://www.worldcat.org/oclc/18961022","WorldCat Record")</f>
        <v>WorldCat Record</v>
      </c>
      <c r="AX902" s="3" t="s">
        <v>9286</v>
      </c>
      <c r="AY902" s="3" t="s">
        <v>9287</v>
      </c>
      <c r="AZ902" s="3" t="s">
        <v>9288</v>
      </c>
      <c r="BA902" s="3" t="s">
        <v>9288</v>
      </c>
      <c r="BB902" s="3" t="s">
        <v>9289</v>
      </c>
      <c r="BC902" s="3" t="s">
        <v>78</v>
      </c>
      <c r="BD902" s="3" t="s">
        <v>79</v>
      </c>
      <c r="BE902" s="3" t="s">
        <v>9290</v>
      </c>
      <c r="BF902" s="3" t="s">
        <v>9289</v>
      </c>
      <c r="BG902" s="3" t="s">
        <v>9291</v>
      </c>
    </row>
    <row r="903" spans="1:59" ht="58" x14ac:dyDescent="0.35">
      <c r="A903" s="2" t="s">
        <v>59</v>
      </c>
      <c r="B903" s="2" t="s">
        <v>94</v>
      </c>
      <c r="C903" s="2" t="s">
        <v>9293</v>
      </c>
      <c r="D903" s="2" t="s">
        <v>9294</v>
      </c>
      <c r="E903" s="2" t="s">
        <v>9295</v>
      </c>
      <c r="G903" s="3" t="s">
        <v>64</v>
      </c>
      <c r="I903" s="3" t="s">
        <v>73</v>
      </c>
      <c r="J903" s="3" t="s">
        <v>64</v>
      </c>
      <c r="K903" s="3" t="s">
        <v>65</v>
      </c>
      <c r="L903" s="2" t="s">
        <v>9296</v>
      </c>
      <c r="M903" s="2" t="s">
        <v>9297</v>
      </c>
      <c r="N903" s="3" t="s">
        <v>100</v>
      </c>
      <c r="O903" s="2" t="s">
        <v>2442</v>
      </c>
      <c r="P903" s="3" t="s">
        <v>69</v>
      </c>
      <c r="Q903" s="2" t="s">
        <v>9298</v>
      </c>
      <c r="R903" s="3" t="s">
        <v>9228</v>
      </c>
      <c r="S903" s="4">
        <v>30</v>
      </c>
      <c r="T903" s="4">
        <v>65</v>
      </c>
      <c r="U903" s="5" t="s">
        <v>9299</v>
      </c>
      <c r="V903" s="5" t="s">
        <v>9300</v>
      </c>
      <c r="W903" s="5" t="s">
        <v>72</v>
      </c>
      <c r="X903" s="5" t="s">
        <v>72</v>
      </c>
      <c r="Y903" s="4">
        <v>607</v>
      </c>
      <c r="Z903" s="4">
        <v>33</v>
      </c>
      <c r="AA903" s="4">
        <v>59</v>
      </c>
      <c r="AB903" s="4">
        <v>1</v>
      </c>
      <c r="AC903" s="4">
        <v>10</v>
      </c>
      <c r="AD903" s="4">
        <v>104</v>
      </c>
      <c r="AE903" s="4">
        <v>136</v>
      </c>
      <c r="AF903" s="4">
        <v>0</v>
      </c>
      <c r="AG903" s="4">
        <v>4</v>
      </c>
      <c r="AH903" s="4">
        <v>86</v>
      </c>
      <c r="AI903" s="4">
        <v>102</v>
      </c>
      <c r="AJ903" s="4">
        <v>15</v>
      </c>
      <c r="AK903" s="4">
        <v>23</v>
      </c>
      <c r="AL903" s="4">
        <v>47</v>
      </c>
      <c r="AM903" s="4">
        <v>55</v>
      </c>
      <c r="AN903" s="4">
        <v>0</v>
      </c>
      <c r="AO903" s="4">
        <v>8</v>
      </c>
      <c r="AP903" s="4">
        <v>24</v>
      </c>
      <c r="AQ903" s="4">
        <v>41</v>
      </c>
      <c r="AR903" s="3" t="s">
        <v>64</v>
      </c>
      <c r="AS903" s="3" t="s">
        <v>64</v>
      </c>
      <c r="AT903" s="3" t="s">
        <v>73</v>
      </c>
      <c r="AU903" s="6" t="str">
        <f>HYPERLINK("http://catalog.hathitrust.org/Record/001114809","HathiTrust Record")</f>
        <v>HathiTrust Record</v>
      </c>
      <c r="AV903" s="6" t="str">
        <f>HYPERLINK("http://mcgill.on.worldcat.org/oclc/575497","Catalog Record")</f>
        <v>Catalog Record</v>
      </c>
      <c r="AW903" s="6" t="str">
        <f>HYPERLINK("http://www.worldcat.org/oclc/575497","WorldCat Record")</f>
        <v>WorldCat Record</v>
      </c>
      <c r="AX903" s="3" t="s">
        <v>9301</v>
      </c>
      <c r="AY903" s="3" t="s">
        <v>9302</v>
      </c>
      <c r="AZ903" s="3" t="s">
        <v>9303</v>
      </c>
      <c r="BA903" s="3" t="s">
        <v>9303</v>
      </c>
      <c r="BB903" s="3" t="s">
        <v>9304</v>
      </c>
      <c r="BC903" s="3" t="s">
        <v>78</v>
      </c>
      <c r="BD903" s="3" t="s">
        <v>79</v>
      </c>
      <c r="BF903" s="3" t="s">
        <v>9304</v>
      </c>
      <c r="BG903" s="3" t="s">
        <v>9305</v>
      </c>
    </row>
    <row r="904" spans="1:59" ht="58" x14ac:dyDescent="0.35">
      <c r="A904" s="2" t="s">
        <v>59</v>
      </c>
      <c r="B904" s="2" t="s">
        <v>94</v>
      </c>
      <c r="C904" s="2" t="s">
        <v>9293</v>
      </c>
      <c r="D904" s="2" t="s">
        <v>9294</v>
      </c>
      <c r="E904" s="2" t="s">
        <v>9295</v>
      </c>
      <c r="G904" s="3" t="s">
        <v>64</v>
      </c>
      <c r="I904" s="3" t="s">
        <v>73</v>
      </c>
      <c r="J904" s="3" t="s">
        <v>64</v>
      </c>
      <c r="K904" s="3" t="s">
        <v>65</v>
      </c>
      <c r="L904" s="2" t="s">
        <v>9296</v>
      </c>
      <c r="M904" s="2" t="s">
        <v>9297</v>
      </c>
      <c r="N904" s="3" t="s">
        <v>100</v>
      </c>
      <c r="O904" s="2" t="s">
        <v>2442</v>
      </c>
      <c r="P904" s="3" t="s">
        <v>69</v>
      </c>
      <c r="Q904" s="2" t="s">
        <v>9298</v>
      </c>
      <c r="R904" s="3" t="s">
        <v>9228</v>
      </c>
      <c r="S904" s="4">
        <v>14</v>
      </c>
      <c r="T904" s="4">
        <v>65</v>
      </c>
      <c r="U904" s="5" t="s">
        <v>9306</v>
      </c>
      <c r="V904" s="5" t="s">
        <v>9300</v>
      </c>
      <c r="W904" s="5" t="s">
        <v>72</v>
      </c>
      <c r="X904" s="5" t="s">
        <v>72</v>
      </c>
      <c r="Y904" s="4">
        <v>607</v>
      </c>
      <c r="Z904" s="4">
        <v>33</v>
      </c>
      <c r="AA904" s="4">
        <v>59</v>
      </c>
      <c r="AB904" s="4">
        <v>1</v>
      </c>
      <c r="AC904" s="4">
        <v>10</v>
      </c>
      <c r="AD904" s="4">
        <v>104</v>
      </c>
      <c r="AE904" s="4">
        <v>136</v>
      </c>
      <c r="AF904" s="4">
        <v>0</v>
      </c>
      <c r="AG904" s="4">
        <v>4</v>
      </c>
      <c r="AH904" s="4">
        <v>86</v>
      </c>
      <c r="AI904" s="4">
        <v>102</v>
      </c>
      <c r="AJ904" s="4">
        <v>15</v>
      </c>
      <c r="AK904" s="4">
        <v>23</v>
      </c>
      <c r="AL904" s="4">
        <v>47</v>
      </c>
      <c r="AM904" s="4">
        <v>55</v>
      </c>
      <c r="AN904" s="4">
        <v>0</v>
      </c>
      <c r="AO904" s="4">
        <v>8</v>
      </c>
      <c r="AP904" s="4">
        <v>24</v>
      </c>
      <c r="AQ904" s="4">
        <v>41</v>
      </c>
      <c r="AR904" s="3" t="s">
        <v>64</v>
      </c>
      <c r="AS904" s="3" t="s">
        <v>64</v>
      </c>
      <c r="AT904" s="3" t="s">
        <v>73</v>
      </c>
      <c r="AU904" s="6" t="str">
        <f>HYPERLINK("http://catalog.hathitrust.org/Record/001114809","HathiTrust Record")</f>
        <v>HathiTrust Record</v>
      </c>
      <c r="AV904" s="6" t="str">
        <f>HYPERLINK("http://mcgill.on.worldcat.org/oclc/575497","Catalog Record")</f>
        <v>Catalog Record</v>
      </c>
      <c r="AW904" s="6" t="str">
        <f>HYPERLINK("http://www.worldcat.org/oclc/575497","WorldCat Record")</f>
        <v>WorldCat Record</v>
      </c>
      <c r="AX904" s="3" t="s">
        <v>9301</v>
      </c>
      <c r="AY904" s="3" t="s">
        <v>9302</v>
      </c>
      <c r="AZ904" s="3" t="s">
        <v>9303</v>
      </c>
      <c r="BA904" s="3" t="s">
        <v>9303</v>
      </c>
      <c r="BB904" s="3" t="s">
        <v>9307</v>
      </c>
      <c r="BC904" s="3" t="s">
        <v>78</v>
      </c>
      <c r="BD904" s="3" t="s">
        <v>79</v>
      </c>
      <c r="BF904" s="3" t="s">
        <v>9307</v>
      </c>
      <c r="BG904" s="3" t="s">
        <v>9308</v>
      </c>
    </row>
    <row r="905" spans="1:59" ht="58" x14ac:dyDescent="0.35">
      <c r="A905" s="2" t="s">
        <v>59</v>
      </c>
      <c r="B905" s="2" t="s">
        <v>94</v>
      </c>
      <c r="C905" s="2" t="s">
        <v>9293</v>
      </c>
      <c r="D905" s="2" t="s">
        <v>9294</v>
      </c>
      <c r="E905" s="2" t="s">
        <v>9295</v>
      </c>
      <c r="G905" s="3" t="s">
        <v>64</v>
      </c>
      <c r="I905" s="3" t="s">
        <v>73</v>
      </c>
      <c r="J905" s="3" t="s">
        <v>64</v>
      </c>
      <c r="K905" s="3" t="s">
        <v>65</v>
      </c>
      <c r="L905" s="2" t="s">
        <v>9296</v>
      </c>
      <c r="M905" s="2" t="s">
        <v>9297</v>
      </c>
      <c r="N905" s="3" t="s">
        <v>100</v>
      </c>
      <c r="O905" s="2" t="s">
        <v>2442</v>
      </c>
      <c r="P905" s="3" t="s">
        <v>69</v>
      </c>
      <c r="Q905" s="2" t="s">
        <v>9298</v>
      </c>
      <c r="R905" s="3" t="s">
        <v>9228</v>
      </c>
      <c r="S905" s="4">
        <v>21</v>
      </c>
      <c r="T905" s="4">
        <v>65</v>
      </c>
      <c r="U905" s="5" t="s">
        <v>9300</v>
      </c>
      <c r="V905" s="5" t="s">
        <v>9300</v>
      </c>
      <c r="W905" s="5" t="s">
        <v>72</v>
      </c>
      <c r="X905" s="5" t="s">
        <v>72</v>
      </c>
      <c r="Y905" s="4">
        <v>607</v>
      </c>
      <c r="Z905" s="4">
        <v>33</v>
      </c>
      <c r="AA905" s="4">
        <v>59</v>
      </c>
      <c r="AB905" s="4">
        <v>1</v>
      </c>
      <c r="AC905" s="4">
        <v>10</v>
      </c>
      <c r="AD905" s="4">
        <v>104</v>
      </c>
      <c r="AE905" s="4">
        <v>136</v>
      </c>
      <c r="AF905" s="4">
        <v>0</v>
      </c>
      <c r="AG905" s="4">
        <v>4</v>
      </c>
      <c r="AH905" s="4">
        <v>86</v>
      </c>
      <c r="AI905" s="4">
        <v>102</v>
      </c>
      <c r="AJ905" s="4">
        <v>15</v>
      </c>
      <c r="AK905" s="4">
        <v>23</v>
      </c>
      <c r="AL905" s="4">
        <v>47</v>
      </c>
      <c r="AM905" s="4">
        <v>55</v>
      </c>
      <c r="AN905" s="4">
        <v>0</v>
      </c>
      <c r="AO905" s="4">
        <v>8</v>
      </c>
      <c r="AP905" s="4">
        <v>24</v>
      </c>
      <c r="AQ905" s="4">
        <v>41</v>
      </c>
      <c r="AR905" s="3" t="s">
        <v>64</v>
      </c>
      <c r="AS905" s="3" t="s">
        <v>64</v>
      </c>
      <c r="AT905" s="3" t="s">
        <v>73</v>
      </c>
      <c r="AU905" s="6" t="str">
        <f>HYPERLINK("http://catalog.hathitrust.org/Record/001114809","HathiTrust Record")</f>
        <v>HathiTrust Record</v>
      </c>
      <c r="AV905" s="6" t="str">
        <f>HYPERLINK("http://mcgill.on.worldcat.org/oclc/575497","Catalog Record")</f>
        <v>Catalog Record</v>
      </c>
      <c r="AW905" s="6" t="str">
        <f>HYPERLINK("http://www.worldcat.org/oclc/575497","WorldCat Record")</f>
        <v>WorldCat Record</v>
      </c>
      <c r="AX905" s="3" t="s">
        <v>9301</v>
      </c>
      <c r="AY905" s="3" t="s">
        <v>9302</v>
      </c>
      <c r="AZ905" s="3" t="s">
        <v>9303</v>
      </c>
      <c r="BA905" s="3" t="s">
        <v>9303</v>
      </c>
      <c r="BB905" s="3" t="s">
        <v>9309</v>
      </c>
      <c r="BC905" s="3" t="s">
        <v>78</v>
      </c>
      <c r="BD905" s="3" t="s">
        <v>79</v>
      </c>
      <c r="BF905" s="3" t="s">
        <v>9309</v>
      </c>
      <c r="BG905" s="3" t="s">
        <v>9310</v>
      </c>
    </row>
    <row r="906" spans="1:59" ht="58" x14ac:dyDescent="0.35">
      <c r="A906" s="2" t="s">
        <v>59</v>
      </c>
      <c r="B906" s="2" t="s">
        <v>94</v>
      </c>
      <c r="C906" s="2" t="s">
        <v>9311</v>
      </c>
      <c r="D906" s="2" t="s">
        <v>9312</v>
      </c>
      <c r="E906" s="2" t="s">
        <v>9313</v>
      </c>
      <c r="G906" s="3" t="s">
        <v>64</v>
      </c>
      <c r="I906" s="3" t="s">
        <v>64</v>
      </c>
      <c r="J906" s="3" t="s">
        <v>64</v>
      </c>
      <c r="K906" s="3" t="s">
        <v>65</v>
      </c>
      <c r="L906" s="2" t="s">
        <v>9314</v>
      </c>
      <c r="M906" s="2" t="s">
        <v>9315</v>
      </c>
      <c r="N906" s="3" t="s">
        <v>274</v>
      </c>
      <c r="P906" s="3" t="s">
        <v>69</v>
      </c>
      <c r="R906" s="3" t="s">
        <v>9228</v>
      </c>
      <c r="S906" s="4">
        <v>26</v>
      </c>
      <c r="T906" s="4">
        <v>26</v>
      </c>
      <c r="U906" s="5" t="s">
        <v>1313</v>
      </c>
      <c r="V906" s="5" t="s">
        <v>1313</v>
      </c>
      <c r="W906" s="5" t="s">
        <v>72</v>
      </c>
      <c r="X906" s="5" t="s">
        <v>72</v>
      </c>
      <c r="Y906" s="4">
        <v>333</v>
      </c>
      <c r="Z906" s="4">
        <v>19</v>
      </c>
      <c r="AA906" s="4">
        <v>21</v>
      </c>
      <c r="AB906" s="4">
        <v>2</v>
      </c>
      <c r="AC906" s="4">
        <v>3</v>
      </c>
      <c r="AD906" s="4">
        <v>100</v>
      </c>
      <c r="AE906" s="4">
        <v>102</v>
      </c>
      <c r="AF906" s="4">
        <v>1</v>
      </c>
      <c r="AG906" s="4">
        <v>2</v>
      </c>
      <c r="AH906" s="4">
        <v>90</v>
      </c>
      <c r="AI906" s="4">
        <v>91</v>
      </c>
      <c r="AJ906" s="4">
        <v>10</v>
      </c>
      <c r="AK906" s="4">
        <v>11</v>
      </c>
      <c r="AL906" s="4">
        <v>54</v>
      </c>
      <c r="AM906" s="4">
        <v>55</v>
      </c>
      <c r="AN906" s="4">
        <v>0</v>
      </c>
      <c r="AO906" s="4">
        <v>0</v>
      </c>
      <c r="AP906" s="4">
        <v>15</v>
      </c>
      <c r="AQ906" s="4">
        <v>16</v>
      </c>
      <c r="AR906" s="3" t="s">
        <v>64</v>
      </c>
      <c r="AS906" s="3" t="s">
        <v>64</v>
      </c>
      <c r="AT906" s="3" t="s">
        <v>64</v>
      </c>
      <c r="AV906" s="6" t="str">
        <f>HYPERLINK("http://mcgill.on.worldcat.org/oclc/17546369","Catalog Record")</f>
        <v>Catalog Record</v>
      </c>
      <c r="AW906" s="6" t="str">
        <f>HYPERLINK("http://www.worldcat.org/oclc/17546369","WorldCat Record")</f>
        <v>WorldCat Record</v>
      </c>
      <c r="AX906" s="3" t="s">
        <v>9316</v>
      </c>
      <c r="AY906" s="3" t="s">
        <v>9317</v>
      </c>
      <c r="AZ906" s="3" t="s">
        <v>9318</v>
      </c>
      <c r="BA906" s="3" t="s">
        <v>9318</v>
      </c>
      <c r="BB906" s="3" t="s">
        <v>9319</v>
      </c>
      <c r="BC906" s="3" t="s">
        <v>78</v>
      </c>
      <c r="BD906" s="3" t="s">
        <v>79</v>
      </c>
      <c r="BE906" s="3" t="s">
        <v>9320</v>
      </c>
      <c r="BF906" s="3" t="s">
        <v>9319</v>
      </c>
      <c r="BG906" s="3" t="s">
        <v>9321</v>
      </c>
    </row>
    <row r="907" spans="1:59" ht="58" x14ac:dyDescent="0.35">
      <c r="A907" s="2" t="s">
        <v>59</v>
      </c>
      <c r="B907" s="2" t="s">
        <v>94</v>
      </c>
      <c r="C907" s="2" t="s">
        <v>9322</v>
      </c>
      <c r="D907" s="2" t="s">
        <v>9323</v>
      </c>
      <c r="E907" s="2" t="s">
        <v>9324</v>
      </c>
      <c r="G907" s="3" t="s">
        <v>64</v>
      </c>
      <c r="I907" s="3" t="s">
        <v>64</v>
      </c>
      <c r="J907" s="3" t="s">
        <v>64</v>
      </c>
      <c r="K907" s="3" t="s">
        <v>65</v>
      </c>
      <c r="L907" s="2" t="s">
        <v>9325</v>
      </c>
      <c r="M907" s="2" t="s">
        <v>9326</v>
      </c>
      <c r="N907" s="3" t="s">
        <v>733</v>
      </c>
      <c r="P907" s="3" t="s">
        <v>69</v>
      </c>
      <c r="R907" s="3" t="s">
        <v>9228</v>
      </c>
      <c r="S907" s="4">
        <v>94</v>
      </c>
      <c r="T907" s="4">
        <v>94</v>
      </c>
      <c r="U907" s="5" t="s">
        <v>9327</v>
      </c>
      <c r="V907" s="5" t="s">
        <v>9327</v>
      </c>
      <c r="W907" s="5" t="s">
        <v>72</v>
      </c>
      <c r="X907" s="5" t="s">
        <v>72</v>
      </c>
      <c r="Y907" s="4">
        <v>306</v>
      </c>
      <c r="Z907" s="4">
        <v>17</v>
      </c>
      <c r="AA907" s="4">
        <v>35</v>
      </c>
      <c r="AB907" s="4">
        <v>1</v>
      </c>
      <c r="AC907" s="4">
        <v>3</v>
      </c>
      <c r="AD907" s="4">
        <v>80</v>
      </c>
      <c r="AE907" s="4">
        <v>119</v>
      </c>
      <c r="AF907" s="4">
        <v>0</v>
      </c>
      <c r="AG907" s="4">
        <v>2</v>
      </c>
      <c r="AH907" s="4">
        <v>70</v>
      </c>
      <c r="AI907" s="4">
        <v>98</v>
      </c>
      <c r="AJ907" s="4">
        <v>7</v>
      </c>
      <c r="AK907" s="4">
        <v>19</v>
      </c>
      <c r="AL907" s="4">
        <v>37</v>
      </c>
      <c r="AM907" s="4">
        <v>54</v>
      </c>
      <c r="AN907" s="4">
        <v>0</v>
      </c>
      <c r="AO907" s="4">
        <v>0</v>
      </c>
      <c r="AP907" s="4">
        <v>13</v>
      </c>
      <c r="AQ907" s="4">
        <v>27</v>
      </c>
      <c r="AR907" s="3" t="s">
        <v>64</v>
      </c>
      <c r="AS907" s="3" t="s">
        <v>64</v>
      </c>
      <c r="AT907" s="3" t="s">
        <v>73</v>
      </c>
      <c r="AU907" s="6" t="str">
        <f>HYPERLINK("http://catalog.hathitrust.org/Record/000159275","HathiTrust Record")</f>
        <v>HathiTrust Record</v>
      </c>
      <c r="AV907" s="6" t="str">
        <f>HYPERLINK("http://mcgill.on.worldcat.org/oclc/9370977","Catalog Record")</f>
        <v>Catalog Record</v>
      </c>
      <c r="AW907" s="6" t="str">
        <f>HYPERLINK("http://www.worldcat.org/oclc/9370977","WorldCat Record")</f>
        <v>WorldCat Record</v>
      </c>
      <c r="AX907" s="3" t="s">
        <v>9328</v>
      </c>
      <c r="AY907" s="3" t="s">
        <v>9329</v>
      </c>
      <c r="AZ907" s="3" t="s">
        <v>9330</v>
      </c>
      <c r="BA907" s="3" t="s">
        <v>9330</v>
      </c>
      <c r="BB907" s="3" t="s">
        <v>9331</v>
      </c>
      <c r="BC907" s="3" t="s">
        <v>78</v>
      </c>
      <c r="BD907" s="3" t="s">
        <v>79</v>
      </c>
      <c r="BE907" s="3" t="s">
        <v>9332</v>
      </c>
      <c r="BF907" s="3" t="s">
        <v>9331</v>
      </c>
      <c r="BG907" s="3" t="s">
        <v>9333</v>
      </c>
    </row>
    <row r="908" spans="1:59" ht="87" x14ac:dyDescent="0.35">
      <c r="A908" s="2" t="s">
        <v>59</v>
      </c>
      <c r="B908" s="2" t="s">
        <v>94</v>
      </c>
      <c r="C908" s="2" t="s">
        <v>9334</v>
      </c>
      <c r="D908" s="2" t="s">
        <v>9335</v>
      </c>
      <c r="E908" s="2" t="s">
        <v>9336</v>
      </c>
      <c r="G908" s="3" t="s">
        <v>64</v>
      </c>
      <c r="I908" s="3" t="s">
        <v>64</v>
      </c>
      <c r="J908" s="3" t="s">
        <v>64</v>
      </c>
      <c r="K908" s="3" t="s">
        <v>65</v>
      </c>
      <c r="L908" s="2" t="s">
        <v>9325</v>
      </c>
      <c r="M908" s="2" t="s">
        <v>9337</v>
      </c>
      <c r="N908" s="3" t="s">
        <v>538</v>
      </c>
      <c r="O908" s="2" t="s">
        <v>9338</v>
      </c>
      <c r="P908" s="3" t="s">
        <v>69</v>
      </c>
      <c r="Q908" s="2" t="s">
        <v>9339</v>
      </c>
      <c r="R908" s="3" t="s">
        <v>9228</v>
      </c>
      <c r="S908" s="4">
        <v>12</v>
      </c>
      <c r="T908" s="4">
        <v>12</v>
      </c>
      <c r="U908" s="5" t="s">
        <v>8907</v>
      </c>
      <c r="V908" s="5" t="s">
        <v>8907</v>
      </c>
      <c r="W908" s="5" t="s">
        <v>72</v>
      </c>
      <c r="X908" s="5" t="s">
        <v>72</v>
      </c>
      <c r="Y908" s="4">
        <v>77</v>
      </c>
      <c r="Z908" s="4">
        <v>3</v>
      </c>
      <c r="AA908" s="4">
        <v>44</v>
      </c>
      <c r="AB908" s="4">
        <v>1</v>
      </c>
      <c r="AC908" s="4">
        <v>5</v>
      </c>
      <c r="AD908" s="4">
        <v>8</v>
      </c>
      <c r="AE908" s="4">
        <v>103</v>
      </c>
      <c r="AF908" s="4">
        <v>0</v>
      </c>
      <c r="AG908" s="4">
        <v>2</v>
      </c>
      <c r="AH908" s="4">
        <v>6</v>
      </c>
      <c r="AI908" s="4">
        <v>80</v>
      </c>
      <c r="AJ908" s="4">
        <v>0</v>
      </c>
      <c r="AK908" s="4">
        <v>20</v>
      </c>
      <c r="AL908" s="4">
        <v>6</v>
      </c>
      <c r="AM908" s="4">
        <v>48</v>
      </c>
      <c r="AN908" s="4">
        <v>0</v>
      </c>
      <c r="AO908" s="4">
        <v>5</v>
      </c>
      <c r="AP908" s="4">
        <v>1</v>
      </c>
      <c r="AQ908" s="4">
        <v>29</v>
      </c>
      <c r="AR908" s="3" t="s">
        <v>64</v>
      </c>
      <c r="AS908" s="3" t="s">
        <v>64</v>
      </c>
      <c r="AT908" s="3" t="s">
        <v>64</v>
      </c>
      <c r="AV908" s="6" t="str">
        <f>HYPERLINK("http://mcgill.on.worldcat.org/oclc/183267294","Catalog Record")</f>
        <v>Catalog Record</v>
      </c>
      <c r="AW908" s="6" t="str">
        <f>HYPERLINK("http://www.worldcat.org/oclc/183267294","WorldCat Record")</f>
        <v>WorldCat Record</v>
      </c>
      <c r="AX908" s="3" t="s">
        <v>9340</v>
      </c>
      <c r="AY908" s="3" t="s">
        <v>9341</v>
      </c>
      <c r="AZ908" s="3" t="s">
        <v>9342</v>
      </c>
      <c r="BA908" s="3" t="s">
        <v>9342</v>
      </c>
      <c r="BB908" s="3" t="s">
        <v>9343</v>
      </c>
      <c r="BC908" s="3" t="s">
        <v>78</v>
      </c>
      <c r="BD908" s="3" t="s">
        <v>79</v>
      </c>
      <c r="BE908" s="3" t="s">
        <v>9344</v>
      </c>
      <c r="BF908" s="3" t="s">
        <v>9343</v>
      </c>
      <c r="BG908" s="3" t="s">
        <v>9345</v>
      </c>
    </row>
    <row r="909" spans="1:59" ht="72.5" x14ac:dyDescent="0.35">
      <c r="A909" s="2" t="s">
        <v>59</v>
      </c>
      <c r="B909" s="2" t="s">
        <v>94</v>
      </c>
      <c r="C909" s="2" t="s">
        <v>9346</v>
      </c>
      <c r="D909" s="2" t="s">
        <v>9347</v>
      </c>
      <c r="E909" s="2" t="s">
        <v>9348</v>
      </c>
      <c r="G909" s="3" t="s">
        <v>64</v>
      </c>
      <c r="I909" s="3" t="s">
        <v>64</v>
      </c>
      <c r="J909" s="3" t="s">
        <v>64</v>
      </c>
      <c r="K909" s="3" t="s">
        <v>65</v>
      </c>
      <c r="M909" s="2" t="s">
        <v>9349</v>
      </c>
      <c r="N909" s="3" t="s">
        <v>705</v>
      </c>
      <c r="P909" s="3" t="s">
        <v>69</v>
      </c>
      <c r="Q909" s="2" t="s">
        <v>9350</v>
      </c>
      <c r="R909" s="3" t="s">
        <v>9228</v>
      </c>
      <c r="S909" s="4">
        <v>132</v>
      </c>
      <c r="T909" s="4">
        <v>132</v>
      </c>
      <c r="U909" s="5" t="s">
        <v>9351</v>
      </c>
      <c r="V909" s="5" t="s">
        <v>9351</v>
      </c>
      <c r="W909" s="5" t="s">
        <v>72</v>
      </c>
      <c r="X909" s="5" t="s">
        <v>72</v>
      </c>
      <c r="Y909" s="4">
        <v>658</v>
      </c>
      <c r="Z909" s="4">
        <v>40</v>
      </c>
      <c r="AA909" s="4">
        <v>43</v>
      </c>
      <c r="AB909" s="4">
        <v>2</v>
      </c>
      <c r="AC909" s="4">
        <v>5</v>
      </c>
      <c r="AD909" s="4">
        <v>127</v>
      </c>
      <c r="AE909" s="4">
        <v>130</v>
      </c>
      <c r="AF909" s="4">
        <v>1</v>
      </c>
      <c r="AG909" s="4">
        <v>4</v>
      </c>
      <c r="AH909" s="4">
        <v>107</v>
      </c>
      <c r="AI909" s="4">
        <v>108</v>
      </c>
      <c r="AJ909" s="4">
        <v>19</v>
      </c>
      <c r="AK909" s="4">
        <v>22</v>
      </c>
      <c r="AL909" s="4">
        <v>57</v>
      </c>
      <c r="AM909" s="4">
        <v>57</v>
      </c>
      <c r="AN909" s="4">
        <v>0</v>
      </c>
      <c r="AO909" s="4">
        <v>0</v>
      </c>
      <c r="AP909" s="4">
        <v>29</v>
      </c>
      <c r="AQ909" s="4">
        <v>31</v>
      </c>
      <c r="AR909" s="3" t="s">
        <v>64</v>
      </c>
      <c r="AS909" s="3" t="s">
        <v>64</v>
      </c>
      <c r="AT909" s="3" t="s">
        <v>64</v>
      </c>
      <c r="AV909" s="6" t="str">
        <f>HYPERLINK("http://mcgill.on.worldcat.org/oclc/34640712","Catalog Record")</f>
        <v>Catalog Record</v>
      </c>
      <c r="AW909" s="6" t="str">
        <f>HYPERLINK("http://www.worldcat.org/oclc/34640712","WorldCat Record")</f>
        <v>WorldCat Record</v>
      </c>
      <c r="AX909" s="3" t="s">
        <v>9352</v>
      </c>
      <c r="AY909" s="3" t="s">
        <v>9353</v>
      </c>
      <c r="AZ909" s="3" t="s">
        <v>9354</v>
      </c>
      <c r="BA909" s="3" t="s">
        <v>9354</v>
      </c>
      <c r="BB909" s="3" t="s">
        <v>9355</v>
      </c>
      <c r="BC909" s="3" t="s">
        <v>78</v>
      </c>
      <c r="BD909" s="3" t="s">
        <v>79</v>
      </c>
      <c r="BE909" s="3" t="s">
        <v>9356</v>
      </c>
      <c r="BF909" s="3" t="s">
        <v>9355</v>
      </c>
      <c r="BG909" s="3" t="s">
        <v>9357</v>
      </c>
    </row>
    <row r="910" spans="1:59" ht="58" x14ac:dyDescent="0.35">
      <c r="A910" s="2" t="s">
        <v>59</v>
      </c>
      <c r="B910" s="2" t="s">
        <v>94</v>
      </c>
      <c r="C910" s="2" t="s">
        <v>9358</v>
      </c>
      <c r="D910" s="2" t="s">
        <v>9359</v>
      </c>
      <c r="E910" s="2" t="s">
        <v>9360</v>
      </c>
      <c r="G910" s="3" t="s">
        <v>64</v>
      </c>
      <c r="I910" s="3" t="s">
        <v>73</v>
      </c>
      <c r="J910" s="3" t="s">
        <v>64</v>
      </c>
      <c r="K910" s="3" t="s">
        <v>65</v>
      </c>
      <c r="M910" s="2" t="s">
        <v>9361</v>
      </c>
      <c r="N910" s="3" t="s">
        <v>3563</v>
      </c>
      <c r="P910" s="3" t="s">
        <v>69</v>
      </c>
      <c r="R910" s="3" t="s">
        <v>9228</v>
      </c>
      <c r="S910" s="4">
        <v>101</v>
      </c>
      <c r="T910" s="4">
        <v>201</v>
      </c>
      <c r="U910" s="5" t="s">
        <v>9362</v>
      </c>
      <c r="V910" s="5" t="s">
        <v>9363</v>
      </c>
      <c r="W910" s="5" t="s">
        <v>72</v>
      </c>
      <c r="X910" s="5" t="s">
        <v>72</v>
      </c>
      <c r="Y910" s="4">
        <v>294</v>
      </c>
      <c r="Z910" s="4">
        <v>29</v>
      </c>
      <c r="AA910" s="4">
        <v>30</v>
      </c>
      <c r="AB910" s="4">
        <v>2</v>
      </c>
      <c r="AC910" s="4">
        <v>3</v>
      </c>
      <c r="AD910" s="4">
        <v>111</v>
      </c>
      <c r="AE910" s="4">
        <v>112</v>
      </c>
      <c r="AF910" s="4">
        <v>1</v>
      </c>
      <c r="AG910" s="4">
        <v>2</v>
      </c>
      <c r="AH910" s="4">
        <v>94</v>
      </c>
      <c r="AI910" s="4">
        <v>94</v>
      </c>
      <c r="AJ910" s="4">
        <v>19</v>
      </c>
      <c r="AK910" s="4">
        <v>20</v>
      </c>
      <c r="AL910" s="4">
        <v>52</v>
      </c>
      <c r="AM910" s="4">
        <v>52</v>
      </c>
      <c r="AN910" s="4">
        <v>0</v>
      </c>
      <c r="AO910" s="4">
        <v>0</v>
      </c>
      <c r="AP910" s="4">
        <v>23</v>
      </c>
      <c r="AQ910" s="4">
        <v>23</v>
      </c>
      <c r="AR910" s="3" t="s">
        <v>64</v>
      </c>
      <c r="AS910" s="3" t="s">
        <v>64</v>
      </c>
      <c r="AT910" s="3" t="s">
        <v>64</v>
      </c>
      <c r="AV910" s="6" t="str">
        <f>HYPERLINK("http://mcgill.on.worldcat.org/oclc/24590056","Catalog Record")</f>
        <v>Catalog Record</v>
      </c>
      <c r="AW910" s="6" t="str">
        <f>HYPERLINK("http://www.worldcat.org/oclc/24590056","WorldCat Record")</f>
        <v>WorldCat Record</v>
      </c>
      <c r="AX910" s="3" t="s">
        <v>9364</v>
      </c>
      <c r="AY910" s="3" t="s">
        <v>9365</v>
      </c>
      <c r="AZ910" s="3" t="s">
        <v>9366</v>
      </c>
      <c r="BA910" s="3" t="s">
        <v>9366</v>
      </c>
      <c r="BB910" s="3" t="s">
        <v>9367</v>
      </c>
      <c r="BC910" s="3" t="s">
        <v>78</v>
      </c>
      <c r="BD910" s="3" t="s">
        <v>79</v>
      </c>
      <c r="BE910" s="3" t="s">
        <v>9368</v>
      </c>
      <c r="BF910" s="3" t="s">
        <v>9367</v>
      </c>
      <c r="BG910" s="3" t="s">
        <v>9369</v>
      </c>
    </row>
    <row r="911" spans="1:59" ht="58" x14ac:dyDescent="0.35">
      <c r="A911" s="2" t="s">
        <v>59</v>
      </c>
      <c r="B911" s="2" t="s">
        <v>94</v>
      </c>
      <c r="C911" s="2" t="s">
        <v>9358</v>
      </c>
      <c r="D911" s="2" t="s">
        <v>9359</v>
      </c>
      <c r="E911" s="2" t="s">
        <v>9360</v>
      </c>
      <c r="G911" s="3" t="s">
        <v>64</v>
      </c>
      <c r="I911" s="3" t="s">
        <v>73</v>
      </c>
      <c r="J911" s="3" t="s">
        <v>64</v>
      </c>
      <c r="K911" s="3" t="s">
        <v>65</v>
      </c>
      <c r="M911" s="2" t="s">
        <v>9361</v>
      </c>
      <c r="N911" s="3" t="s">
        <v>3563</v>
      </c>
      <c r="P911" s="3" t="s">
        <v>69</v>
      </c>
      <c r="R911" s="3" t="s">
        <v>9228</v>
      </c>
      <c r="S911" s="4">
        <v>100</v>
      </c>
      <c r="T911" s="4">
        <v>201</v>
      </c>
      <c r="U911" s="5" t="s">
        <v>9363</v>
      </c>
      <c r="V911" s="5" t="s">
        <v>9363</v>
      </c>
      <c r="W911" s="5" t="s">
        <v>72</v>
      </c>
      <c r="X911" s="5" t="s">
        <v>72</v>
      </c>
      <c r="Y911" s="4">
        <v>294</v>
      </c>
      <c r="Z911" s="4">
        <v>29</v>
      </c>
      <c r="AA911" s="4">
        <v>30</v>
      </c>
      <c r="AB911" s="4">
        <v>2</v>
      </c>
      <c r="AC911" s="4">
        <v>3</v>
      </c>
      <c r="AD911" s="4">
        <v>111</v>
      </c>
      <c r="AE911" s="4">
        <v>112</v>
      </c>
      <c r="AF911" s="4">
        <v>1</v>
      </c>
      <c r="AG911" s="4">
        <v>2</v>
      </c>
      <c r="AH911" s="4">
        <v>94</v>
      </c>
      <c r="AI911" s="4">
        <v>94</v>
      </c>
      <c r="AJ911" s="4">
        <v>19</v>
      </c>
      <c r="AK911" s="4">
        <v>20</v>
      </c>
      <c r="AL911" s="4">
        <v>52</v>
      </c>
      <c r="AM911" s="4">
        <v>52</v>
      </c>
      <c r="AN911" s="4">
        <v>0</v>
      </c>
      <c r="AO911" s="4">
        <v>0</v>
      </c>
      <c r="AP911" s="4">
        <v>23</v>
      </c>
      <c r="AQ911" s="4">
        <v>23</v>
      </c>
      <c r="AR911" s="3" t="s">
        <v>64</v>
      </c>
      <c r="AS911" s="3" t="s">
        <v>64</v>
      </c>
      <c r="AT911" s="3" t="s">
        <v>64</v>
      </c>
      <c r="AV911" s="6" t="str">
        <f>HYPERLINK("http://mcgill.on.worldcat.org/oclc/24590056","Catalog Record")</f>
        <v>Catalog Record</v>
      </c>
      <c r="AW911" s="6" t="str">
        <f>HYPERLINK("http://www.worldcat.org/oclc/24590056","WorldCat Record")</f>
        <v>WorldCat Record</v>
      </c>
      <c r="AX911" s="3" t="s">
        <v>9364</v>
      </c>
      <c r="AY911" s="3" t="s">
        <v>9365</v>
      </c>
      <c r="AZ911" s="3" t="s">
        <v>9366</v>
      </c>
      <c r="BA911" s="3" t="s">
        <v>9366</v>
      </c>
      <c r="BB911" s="3" t="s">
        <v>9370</v>
      </c>
      <c r="BC911" s="3" t="s">
        <v>78</v>
      </c>
      <c r="BD911" s="3" t="s">
        <v>79</v>
      </c>
      <c r="BE911" s="3" t="s">
        <v>9368</v>
      </c>
      <c r="BF911" s="3" t="s">
        <v>9370</v>
      </c>
      <c r="BG911" s="3" t="s">
        <v>9371</v>
      </c>
    </row>
    <row r="912" spans="1:59" ht="58" x14ac:dyDescent="0.35">
      <c r="A912" s="2" t="s">
        <v>59</v>
      </c>
      <c r="B912" s="2" t="s">
        <v>94</v>
      </c>
      <c r="C912" s="2" t="s">
        <v>9372</v>
      </c>
      <c r="D912" s="2" t="s">
        <v>9373</v>
      </c>
      <c r="E912" s="2" t="s">
        <v>9374</v>
      </c>
      <c r="G912" s="3" t="s">
        <v>64</v>
      </c>
      <c r="I912" s="3" t="s">
        <v>64</v>
      </c>
      <c r="J912" s="3" t="s">
        <v>64</v>
      </c>
      <c r="K912" s="3" t="s">
        <v>65</v>
      </c>
      <c r="L912" s="2" t="s">
        <v>9375</v>
      </c>
      <c r="M912" s="2" t="s">
        <v>5726</v>
      </c>
      <c r="N912" s="3" t="s">
        <v>214</v>
      </c>
      <c r="P912" s="3" t="s">
        <v>69</v>
      </c>
      <c r="R912" s="3" t="s">
        <v>9228</v>
      </c>
      <c r="S912" s="4">
        <v>4</v>
      </c>
      <c r="T912" s="4">
        <v>4</v>
      </c>
      <c r="U912" s="5" t="s">
        <v>9376</v>
      </c>
      <c r="V912" s="5" t="s">
        <v>9376</v>
      </c>
      <c r="W912" s="5" t="s">
        <v>72</v>
      </c>
      <c r="X912" s="5" t="s">
        <v>72</v>
      </c>
      <c r="Y912" s="4">
        <v>240</v>
      </c>
      <c r="Z912" s="4">
        <v>20</v>
      </c>
      <c r="AA912" s="4">
        <v>82</v>
      </c>
      <c r="AB912" s="4">
        <v>2</v>
      </c>
      <c r="AC912" s="4">
        <v>14</v>
      </c>
      <c r="AD912" s="4">
        <v>77</v>
      </c>
      <c r="AE912" s="4">
        <v>128</v>
      </c>
      <c r="AF912" s="4">
        <v>1</v>
      </c>
      <c r="AG912" s="4">
        <v>8</v>
      </c>
      <c r="AH912" s="4">
        <v>68</v>
      </c>
      <c r="AI912" s="4">
        <v>92</v>
      </c>
      <c r="AJ912" s="4">
        <v>13</v>
      </c>
      <c r="AK912" s="4">
        <v>24</v>
      </c>
      <c r="AL912" s="4">
        <v>38</v>
      </c>
      <c r="AM912" s="4">
        <v>48</v>
      </c>
      <c r="AN912" s="4">
        <v>0</v>
      </c>
      <c r="AO912" s="4">
        <v>0</v>
      </c>
      <c r="AP912" s="4">
        <v>15</v>
      </c>
      <c r="AQ912" s="4">
        <v>45</v>
      </c>
      <c r="AR912" s="3" t="s">
        <v>64</v>
      </c>
      <c r="AS912" s="3" t="s">
        <v>64</v>
      </c>
      <c r="AT912" s="3" t="s">
        <v>64</v>
      </c>
      <c r="AV912" s="6" t="str">
        <f>HYPERLINK("http://mcgill.on.worldcat.org/oclc/449825490","Catalog Record")</f>
        <v>Catalog Record</v>
      </c>
      <c r="AW912" s="6" t="str">
        <f>HYPERLINK("http://www.worldcat.org/oclc/449825490","WorldCat Record")</f>
        <v>WorldCat Record</v>
      </c>
      <c r="AX912" s="3" t="s">
        <v>9377</v>
      </c>
      <c r="AY912" s="3" t="s">
        <v>9378</v>
      </c>
      <c r="AZ912" s="3" t="s">
        <v>9379</v>
      </c>
      <c r="BA912" s="3" t="s">
        <v>9379</v>
      </c>
      <c r="BB912" s="3" t="s">
        <v>9380</v>
      </c>
      <c r="BC912" s="3" t="s">
        <v>78</v>
      </c>
      <c r="BD912" s="3" t="s">
        <v>79</v>
      </c>
      <c r="BE912" s="3" t="s">
        <v>9381</v>
      </c>
      <c r="BF912" s="3" t="s">
        <v>9380</v>
      </c>
      <c r="BG912" s="3" t="s">
        <v>9382</v>
      </c>
    </row>
    <row r="913" spans="1:59" ht="58" x14ac:dyDescent="0.35">
      <c r="A913" s="2" t="s">
        <v>59</v>
      </c>
      <c r="B913" s="2" t="s">
        <v>94</v>
      </c>
      <c r="C913" s="2" t="s">
        <v>9383</v>
      </c>
      <c r="D913" s="2" t="s">
        <v>9384</v>
      </c>
      <c r="E913" s="2" t="s">
        <v>9385</v>
      </c>
      <c r="G913" s="3" t="s">
        <v>64</v>
      </c>
      <c r="I913" s="3" t="s">
        <v>64</v>
      </c>
      <c r="J913" s="3" t="s">
        <v>64</v>
      </c>
      <c r="K913" s="3" t="s">
        <v>65</v>
      </c>
      <c r="L913" s="2" t="s">
        <v>9386</v>
      </c>
      <c r="M913" s="2" t="s">
        <v>9387</v>
      </c>
      <c r="N913" s="3" t="s">
        <v>1154</v>
      </c>
      <c r="P913" s="3" t="s">
        <v>69</v>
      </c>
      <c r="Q913" s="2" t="s">
        <v>450</v>
      </c>
      <c r="R913" s="3" t="s">
        <v>9228</v>
      </c>
      <c r="S913" s="4">
        <v>19</v>
      </c>
      <c r="T913" s="4">
        <v>19</v>
      </c>
      <c r="U913" s="5" t="s">
        <v>101</v>
      </c>
      <c r="V913" s="5" t="s">
        <v>101</v>
      </c>
      <c r="W913" s="5" t="s">
        <v>72</v>
      </c>
      <c r="X913" s="5" t="s">
        <v>72</v>
      </c>
      <c r="Y913" s="4">
        <v>437</v>
      </c>
      <c r="Z913" s="4">
        <v>27</v>
      </c>
      <c r="AA913" s="4">
        <v>27</v>
      </c>
      <c r="AB913" s="4">
        <v>2</v>
      </c>
      <c r="AC913" s="4">
        <v>2</v>
      </c>
      <c r="AD913" s="4">
        <v>106</v>
      </c>
      <c r="AE913" s="4">
        <v>108</v>
      </c>
      <c r="AF913" s="4">
        <v>1</v>
      </c>
      <c r="AG913" s="4">
        <v>1</v>
      </c>
      <c r="AH913" s="4">
        <v>94</v>
      </c>
      <c r="AI913" s="4">
        <v>96</v>
      </c>
      <c r="AJ913" s="4">
        <v>14</v>
      </c>
      <c r="AK913" s="4">
        <v>14</v>
      </c>
      <c r="AL913" s="4">
        <v>52</v>
      </c>
      <c r="AM913" s="4">
        <v>53</v>
      </c>
      <c r="AN913" s="4">
        <v>0</v>
      </c>
      <c r="AO913" s="4">
        <v>0</v>
      </c>
      <c r="AP913" s="4">
        <v>18</v>
      </c>
      <c r="AQ913" s="4">
        <v>18</v>
      </c>
      <c r="AR913" s="3" t="s">
        <v>64</v>
      </c>
      <c r="AS913" s="3" t="s">
        <v>64</v>
      </c>
      <c r="AT913" s="3" t="s">
        <v>73</v>
      </c>
      <c r="AU913" s="6" t="str">
        <f>HYPERLINK("http://catalog.hathitrust.org/Record/002866752","HathiTrust Record")</f>
        <v>HathiTrust Record</v>
      </c>
      <c r="AV913" s="6" t="str">
        <f>HYPERLINK("http://mcgill.on.worldcat.org/oclc/28503531","Catalog Record")</f>
        <v>Catalog Record</v>
      </c>
      <c r="AW913" s="6" t="str">
        <f>HYPERLINK("http://www.worldcat.org/oclc/28503531","WorldCat Record")</f>
        <v>WorldCat Record</v>
      </c>
      <c r="AX913" s="3" t="s">
        <v>9388</v>
      </c>
      <c r="AY913" s="3" t="s">
        <v>9389</v>
      </c>
      <c r="AZ913" s="3" t="s">
        <v>9390</v>
      </c>
      <c r="BA913" s="3" t="s">
        <v>9390</v>
      </c>
      <c r="BB913" s="3" t="s">
        <v>9391</v>
      </c>
      <c r="BC913" s="3" t="s">
        <v>78</v>
      </c>
      <c r="BD913" s="3" t="s">
        <v>79</v>
      </c>
      <c r="BE913" s="3" t="s">
        <v>9392</v>
      </c>
      <c r="BF913" s="3" t="s">
        <v>9391</v>
      </c>
      <c r="BG913" s="3" t="s">
        <v>9393</v>
      </c>
    </row>
    <row r="914" spans="1:59" ht="58" x14ac:dyDescent="0.35">
      <c r="A914" s="2" t="s">
        <v>59</v>
      </c>
      <c r="B914" s="2" t="s">
        <v>94</v>
      </c>
      <c r="C914" s="2" t="s">
        <v>9394</v>
      </c>
      <c r="D914" s="2" t="s">
        <v>9395</v>
      </c>
      <c r="E914" s="2" t="s">
        <v>9396</v>
      </c>
      <c r="G914" s="3" t="s">
        <v>64</v>
      </c>
      <c r="I914" s="3" t="s">
        <v>64</v>
      </c>
      <c r="J914" s="3" t="s">
        <v>64</v>
      </c>
      <c r="K914" s="3" t="s">
        <v>65</v>
      </c>
      <c r="L914" s="2" t="s">
        <v>830</v>
      </c>
      <c r="M914" s="2" t="s">
        <v>9397</v>
      </c>
      <c r="N914" s="3" t="s">
        <v>651</v>
      </c>
      <c r="P914" s="3" t="s">
        <v>69</v>
      </c>
      <c r="R914" s="3" t="s">
        <v>9228</v>
      </c>
      <c r="S914" s="4">
        <v>13</v>
      </c>
      <c r="T914" s="4">
        <v>13</v>
      </c>
      <c r="U914" s="5" t="s">
        <v>2922</v>
      </c>
      <c r="V914" s="5" t="s">
        <v>2922</v>
      </c>
      <c r="W914" s="5" t="s">
        <v>72</v>
      </c>
      <c r="X914" s="5" t="s">
        <v>72</v>
      </c>
      <c r="Y914" s="4">
        <v>470</v>
      </c>
      <c r="Z914" s="4">
        <v>24</v>
      </c>
      <c r="AA914" s="4">
        <v>104</v>
      </c>
      <c r="AB914" s="4">
        <v>2</v>
      </c>
      <c r="AC914" s="4">
        <v>17</v>
      </c>
      <c r="AD914" s="4">
        <v>94</v>
      </c>
      <c r="AE914" s="4">
        <v>145</v>
      </c>
      <c r="AF914" s="4">
        <v>1</v>
      </c>
      <c r="AG914" s="4">
        <v>8</v>
      </c>
      <c r="AH914" s="4">
        <v>83</v>
      </c>
      <c r="AI914" s="4">
        <v>106</v>
      </c>
      <c r="AJ914" s="4">
        <v>15</v>
      </c>
      <c r="AK914" s="4">
        <v>26</v>
      </c>
      <c r="AL914" s="4">
        <v>46</v>
      </c>
      <c r="AM914" s="4">
        <v>54</v>
      </c>
      <c r="AN914" s="4">
        <v>0</v>
      </c>
      <c r="AO914" s="4">
        <v>0</v>
      </c>
      <c r="AP914" s="4">
        <v>19</v>
      </c>
      <c r="AQ914" s="4">
        <v>48</v>
      </c>
      <c r="AR914" s="3" t="s">
        <v>64</v>
      </c>
      <c r="AS914" s="3" t="s">
        <v>64</v>
      </c>
      <c r="AT914" s="3" t="s">
        <v>64</v>
      </c>
      <c r="AV914" s="6" t="str">
        <f>HYPERLINK("http://mcgill.on.worldcat.org/oclc/51294062","Catalog Record")</f>
        <v>Catalog Record</v>
      </c>
      <c r="AW914" s="6" t="str">
        <f>HYPERLINK("http://www.worldcat.org/oclc/51294062","WorldCat Record")</f>
        <v>WorldCat Record</v>
      </c>
      <c r="AX914" s="3" t="s">
        <v>9398</v>
      </c>
      <c r="AY914" s="3" t="s">
        <v>9399</v>
      </c>
      <c r="AZ914" s="3" t="s">
        <v>9400</v>
      </c>
      <c r="BA914" s="3" t="s">
        <v>9400</v>
      </c>
      <c r="BB914" s="3" t="s">
        <v>9401</v>
      </c>
      <c r="BC914" s="3" t="s">
        <v>78</v>
      </c>
      <c r="BD914" s="3" t="s">
        <v>79</v>
      </c>
      <c r="BE914" s="3" t="s">
        <v>9402</v>
      </c>
      <c r="BF914" s="3" t="s">
        <v>9401</v>
      </c>
      <c r="BG914" s="3" t="s">
        <v>9403</v>
      </c>
    </row>
    <row r="915" spans="1:59" ht="58" x14ac:dyDescent="0.35">
      <c r="A915" s="2" t="s">
        <v>59</v>
      </c>
      <c r="B915" s="2" t="s">
        <v>94</v>
      </c>
      <c r="C915" s="2" t="s">
        <v>9404</v>
      </c>
      <c r="D915" s="2" t="s">
        <v>9405</v>
      </c>
      <c r="E915" s="2" t="s">
        <v>9406</v>
      </c>
      <c r="G915" s="3" t="s">
        <v>64</v>
      </c>
      <c r="I915" s="3" t="s">
        <v>64</v>
      </c>
      <c r="J915" s="3" t="s">
        <v>64</v>
      </c>
      <c r="K915" s="3" t="s">
        <v>65</v>
      </c>
      <c r="L915" s="2" t="s">
        <v>9407</v>
      </c>
      <c r="M915" s="2" t="s">
        <v>9408</v>
      </c>
      <c r="N915" s="3" t="s">
        <v>1530</v>
      </c>
      <c r="P915" s="3" t="s">
        <v>69</v>
      </c>
      <c r="R915" s="3" t="s">
        <v>9228</v>
      </c>
      <c r="S915" s="4">
        <v>26</v>
      </c>
      <c r="T915" s="4">
        <v>26</v>
      </c>
      <c r="U915" s="5" t="s">
        <v>1313</v>
      </c>
      <c r="V915" s="5" t="s">
        <v>1313</v>
      </c>
      <c r="W915" s="5" t="s">
        <v>72</v>
      </c>
      <c r="X915" s="5" t="s">
        <v>72</v>
      </c>
      <c r="Y915" s="4">
        <v>275</v>
      </c>
      <c r="Z915" s="4">
        <v>16</v>
      </c>
      <c r="AA915" s="4">
        <v>77</v>
      </c>
      <c r="AB915" s="4">
        <v>2</v>
      </c>
      <c r="AC915" s="4">
        <v>14</v>
      </c>
      <c r="AD915" s="4">
        <v>88</v>
      </c>
      <c r="AE915" s="4">
        <v>125</v>
      </c>
      <c r="AF915" s="4">
        <v>1</v>
      </c>
      <c r="AG915" s="4">
        <v>8</v>
      </c>
      <c r="AH915" s="4">
        <v>81</v>
      </c>
      <c r="AI915" s="4">
        <v>93</v>
      </c>
      <c r="AJ915" s="4">
        <v>8</v>
      </c>
      <c r="AK915" s="4">
        <v>19</v>
      </c>
      <c r="AL915" s="4">
        <v>47</v>
      </c>
      <c r="AM915" s="4">
        <v>50</v>
      </c>
      <c r="AN915" s="4">
        <v>0</v>
      </c>
      <c r="AO915" s="4">
        <v>0</v>
      </c>
      <c r="AP915" s="4">
        <v>11</v>
      </c>
      <c r="AQ915" s="4">
        <v>39</v>
      </c>
      <c r="AR915" s="3" t="s">
        <v>64</v>
      </c>
      <c r="AS915" s="3" t="s">
        <v>64</v>
      </c>
      <c r="AT915" s="3" t="s">
        <v>64</v>
      </c>
      <c r="AV915" s="6" t="str">
        <f>HYPERLINK("http://mcgill.on.worldcat.org/oclc/48871172","Catalog Record")</f>
        <v>Catalog Record</v>
      </c>
      <c r="AW915" s="6" t="str">
        <f>HYPERLINK("http://www.worldcat.org/oclc/48871172","WorldCat Record")</f>
        <v>WorldCat Record</v>
      </c>
      <c r="AX915" s="3" t="s">
        <v>9409</v>
      </c>
      <c r="AY915" s="3" t="s">
        <v>9410</v>
      </c>
      <c r="AZ915" s="3" t="s">
        <v>9411</v>
      </c>
      <c r="BA915" s="3" t="s">
        <v>9411</v>
      </c>
      <c r="BB915" s="3" t="s">
        <v>9412</v>
      </c>
      <c r="BC915" s="3" t="s">
        <v>78</v>
      </c>
      <c r="BD915" s="3" t="s">
        <v>79</v>
      </c>
      <c r="BE915" s="3" t="s">
        <v>9413</v>
      </c>
      <c r="BF915" s="3" t="s">
        <v>9412</v>
      </c>
      <c r="BG915" s="3" t="s">
        <v>9414</v>
      </c>
    </row>
    <row r="916" spans="1:59" ht="58" x14ac:dyDescent="0.35">
      <c r="A916" s="2" t="s">
        <v>59</v>
      </c>
      <c r="B916" s="2" t="s">
        <v>94</v>
      </c>
      <c r="C916" s="2" t="s">
        <v>9415</v>
      </c>
      <c r="D916" s="2" t="s">
        <v>9416</v>
      </c>
      <c r="E916" s="2" t="s">
        <v>9417</v>
      </c>
      <c r="G916" s="3" t="s">
        <v>64</v>
      </c>
      <c r="I916" s="3" t="s">
        <v>64</v>
      </c>
      <c r="J916" s="3" t="s">
        <v>64</v>
      </c>
      <c r="K916" s="3" t="s">
        <v>65</v>
      </c>
      <c r="M916" s="2" t="s">
        <v>9418</v>
      </c>
      <c r="N916" s="3" t="s">
        <v>226</v>
      </c>
      <c r="P916" s="3" t="s">
        <v>69</v>
      </c>
      <c r="Q916" s="2" t="s">
        <v>9419</v>
      </c>
      <c r="R916" s="3" t="s">
        <v>9228</v>
      </c>
      <c r="S916" s="4">
        <v>9</v>
      </c>
      <c r="T916" s="4">
        <v>9</v>
      </c>
      <c r="U916" s="5" t="s">
        <v>3013</v>
      </c>
      <c r="V916" s="5" t="s">
        <v>3013</v>
      </c>
      <c r="W916" s="5" t="s">
        <v>72</v>
      </c>
      <c r="X916" s="5" t="s">
        <v>72</v>
      </c>
      <c r="Y916" s="4">
        <v>195</v>
      </c>
      <c r="Z916" s="4">
        <v>13</v>
      </c>
      <c r="AA916" s="4">
        <v>17</v>
      </c>
      <c r="AB916" s="4">
        <v>1</v>
      </c>
      <c r="AC916" s="4">
        <v>4</v>
      </c>
      <c r="AD916" s="4">
        <v>73</v>
      </c>
      <c r="AE916" s="4">
        <v>75</v>
      </c>
      <c r="AF916" s="4">
        <v>0</v>
      </c>
      <c r="AG916" s="4">
        <v>0</v>
      </c>
      <c r="AH916" s="4">
        <v>68</v>
      </c>
      <c r="AI916" s="4">
        <v>69</v>
      </c>
      <c r="AJ916" s="4">
        <v>8</v>
      </c>
      <c r="AK916" s="4">
        <v>9</v>
      </c>
      <c r="AL916" s="4">
        <v>41</v>
      </c>
      <c r="AM916" s="4">
        <v>41</v>
      </c>
      <c r="AN916" s="4">
        <v>0</v>
      </c>
      <c r="AO916" s="4">
        <v>0</v>
      </c>
      <c r="AP916" s="4">
        <v>10</v>
      </c>
      <c r="AQ916" s="4">
        <v>11</v>
      </c>
      <c r="AR916" s="3" t="s">
        <v>64</v>
      </c>
      <c r="AS916" s="3" t="s">
        <v>64</v>
      </c>
      <c r="AT916" s="3" t="s">
        <v>64</v>
      </c>
      <c r="AV916" s="6" t="str">
        <f>HYPERLINK("http://mcgill.on.worldcat.org/oclc/36225416","Catalog Record")</f>
        <v>Catalog Record</v>
      </c>
      <c r="AW916" s="6" t="str">
        <f>HYPERLINK("http://www.worldcat.org/oclc/36225416","WorldCat Record")</f>
        <v>WorldCat Record</v>
      </c>
      <c r="AX916" s="3" t="s">
        <v>9420</v>
      </c>
      <c r="AY916" s="3" t="s">
        <v>9421</v>
      </c>
      <c r="AZ916" s="3" t="s">
        <v>9422</v>
      </c>
      <c r="BA916" s="3" t="s">
        <v>9422</v>
      </c>
      <c r="BB916" s="3" t="s">
        <v>9423</v>
      </c>
      <c r="BC916" s="3" t="s">
        <v>78</v>
      </c>
      <c r="BD916" s="3" t="s">
        <v>79</v>
      </c>
      <c r="BE916" s="3" t="s">
        <v>9424</v>
      </c>
      <c r="BF916" s="3" t="s">
        <v>9423</v>
      </c>
      <c r="BG916" s="3" t="s">
        <v>9425</v>
      </c>
    </row>
    <row r="917" spans="1:59" ht="58" x14ac:dyDescent="0.35">
      <c r="A917" s="2" t="s">
        <v>59</v>
      </c>
      <c r="B917" s="2" t="s">
        <v>94</v>
      </c>
      <c r="C917" s="2" t="s">
        <v>9426</v>
      </c>
      <c r="D917" s="2" t="s">
        <v>9427</v>
      </c>
      <c r="E917" s="2" t="s">
        <v>9428</v>
      </c>
      <c r="G917" s="3" t="s">
        <v>64</v>
      </c>
      <c r="I917" s="3" t="s">
        <v>64</v>
      </c>
      <c r="J917" s="3" t="s">
        <v>64</v>
      </c>
      <c r="K917" s="3" t="s">
        <v>65</v>
      </c>
      <c r="M917" s="2" t="s">
        <v>9429</v>
      </c>
      <c r="N917" s="3" t="s">
        <v>689</v>
      </c>
      <c r="P917" s="3" t="s">
        <v>69</v>
      </c>
      <c r="R917" s="3" t="s">
        <v>9228</v>
      </c>
      <c r="S917" s="4">
        <v>31</v>
      </c>
      <c r="T917" s="4">
        <v>31</v>
      </c>
      <c r="U917" s="5" t="s">
        <v>9430</v>
      </c>
      <c r="V917" s="5" t="s">
        <v>9430</v>
      </c>
      <c r="W917" s="5" t="s">
        <v>72</v>
      </c>
      <c r="X917" s="5" t="s">
        <v>72</v>
      </c>
      <c r="Y917" s="4">
        <v>211</v>
      </c>
      <c r="Z917" s="4">
        <v>17</v>
      </c>
      <c r="AA917" s="4">
        <v>18</v>
      </c>
      <c r="AB917" s="4">
        <v>2</v>
      </c>
      <c r="AC917" s="4">
        <v>2</v>
      </c>
      <c r="AD917" s="4">
        <v>70</v>
      </c>
      <c r="AE917" s="4">
        <v>71</v>
      </c>
      <c r="AF917" s="4">
        <v>1</v>
      </c>
      <c r="AG917" s="4">
        <v>1</v>
      </c>
      <c r="AH917" s="4">
        <v>63</v>
      </c>
      <c r="AI917" s="4">
        <v>64</v>
      </c>
      <c r="AJ917" s="4">
        <v>12</v>
      </c>
      <c r="AK917" s="4">
        <v>12</v>
      </c>
      <c r="AL917" s="4">
        <v>33</v>
      </c>
      <c r="AM917" s="4">
        <v>34</v>
      </c>
      <c r="AN917" s="4">
        <v>0</v>
      </c>
      <c r="AO917" s="4">
        <v>0</v>
      </c>
      <c r="AP917" s="4">
        <v>14</v>
      </c>
      <c r="AQ917" s="4">
        <v>14</v>
      </c>
      <c r="AR917" s="3" t="s">
        <v>64</v>
      </c>
      <c r="AS917" s="3" t="s">
        <v>64</v>
      </c>
      <c r="AT917" s="3" t="s">
        <v>73</v>
      </c>
      <c r="AU917" s="6" t="str">
        <f>HYPERLINK("http://catalog.hathitrust.org/Record/002475797","HathiTrust Record")</f>
        <v>HathiTrust Record</v>
      </c>
      <c r="AV917" s="6" t="str">
        <f>HYPERLINK("http://mcgill.on.worldcat.org/oclc/22239640","Catalog Record")</f>
        <v>Catalog Record</v>
      </c>
      <c r="AW917" s="6" t="str">
        <f>HYPERLINK("http://www.worldcat.org/oclc/22239640","WorldCat Record")</f>
        <v>WorldCat Record</v>
      </c>
      <c r="AX917" s="3" t="s">
        <v>9431</v>
      </c>
      <c r="AY917" s="3" t="s">
        <v>9432</v>
      </c>
      <c r="AZ917" s="3" t="s">
        <v>9433</v>
      </c>
      <c r="BA917" s="3" t="s">
        <v>9433</v>
      </c>
      <c r="BB917" s="3" t="s">
        <v>9434</v>
      </c>
      <c r="BC917" s="3" t="s">
        <v>78</v>
      </c>
      <c r="BD917" s="3" t="s">
        <v>79</v>
      </c>
      <c r="BE917" s="3" t="s">
        <v>9435</v>
      </c>
      <c r="BF917" s="3" t="s">
        <v>9434</v>
      </c>
      <c r="BG917" s="3" t="s">
        <v>9436</v>
      </c>
    </row>
    <row r="918" spans="1:59" ht="58" x14ac:dyDescent="0.35">
      <c r="A918" s="2" t="s">
        <v>59</v>
      </c>
      <c r="B918" s="2" t="s">
        <v>94</v>
      </c>
      <c r="C918" s="2" t="s">
        <v>9437</v>
      </c>
      <c r="D918" s="2" t="s">
        <v>9438</v>
      </c>
      <c r="E918" s="2" t="s">
        <v>9439</v>
      </c>
      <c r="G918" s="3" t="s">
        <v>64</v>
      </c>
      <c r="I918" s="3" t="s">
        <v>64</v>
      </c>
      <c r="J918" s="3" t="s">
        <v>64</v>
      </c>
      <c r="K918" s="3" t="s">
        <v>65</v>
      </c>
      <c r="M918" s="2" t="s">
        <v>9440</v>
      </c>
      <c r="N918" s="3" t="s">
        <v>214</v>
      </c>
      <c r="P918" s="3" t="s">
        <v>69</v>
      </c>
      <c r="R918" s="3" t="s">
        <v>9228</v>
      </c>
      <c r="S918" s="4">
        <v>1</v>
      </c>
      <c r="T918" s="4">
        <v>1</v>
      </c>
      <c r="U918" s="5" t="s">
        <v>9441</v>
      </c>
      <c r="V918" s="5" t="s">
        <v>9441</v>
      </c>
      <c r="W918" s="5" t="s">
        <v>72</v>
      </c>
      <c r="X918" s="5" t="s">
        <v>72</v>
      </c>
      <c r="Y918" s="4">
        <v>143</v>
      </c>
      <c r="Z918" s="4">
        <v>9</v>
      </c>
      <c r="AA918" s="4">
        <v>87</v>
      </c>
      <c r="AB918" s="4">
        <v>1</v>
      </c>
      <c r="AC918" s="4">
        <v>14</v>
      </c>
      <c r="AD918" s="4">
        <v>61</v>
      </c>
      <c r="AE918" s="4">
        <v>128</v>
      </c>
      <c r="AF918" s="4">
        <v>0</v>
      </c>
      <c r="AG918" s="4">
        <v>8</v>
      </c>
      <c r="AH918" s="4">
        <v>55</v>
      </c>
      <c r="AI918" s="4">
        <v>91</v>
      </c>
      <c r="AJ918" s="4">
        <v>7</v>
      </c>
      <c r="AK918" s="4">
        <v>24</v>
      </c>
      <c r="AL918" s="4">
        <v>35</v>
      </c>
      <c r="AM918" s="4">
        <v>51</v>
      </c>
      <c r="AN918" s="4">
        <v>0</v>
      </c>
      <c r="AO918" s="4">
        <v>0</v>
      </c>
      <c r="AP918" s="4">
        <v>7</v>
      </c>
      <c r="AQ918" s="4">
        <v>44</v>
      </c>
      <c r="AR918" s="3" t="s">
        <v>64</v>
      </c>
      <c r="AS918" s="3" t="s">
        <v>64</v>
      </c>
      <c r="AT918" s="3" t="s">
        <v>64</v>
      </c>
      <c r="AV918" s="6" t="str">
        <f>HYPERLINK("http://mcgill.on.worldcat.org/oclc/458889992","Catalog Record")</f>
        <v>Catalog Record</v>
      </c>
      <c r="AW918" s="6" t="str">
        <f>HYPERLINK("http://www.worldcat.org/oclc/458889992","WorldCat Record")</f>
        <v>WorldCat Record</v>
      </c>
      <c r="AX918" s="3" t="s">
        <v>9442</v>
      </c>
      <c r="AY918" s="3" t="s">
        <v>9443</v>
      </c>
      <c r="AZ918" s="3" t="s">
        <v>9444</v>
      </c>
      <c r="BA918" s="3" t="s">
        <v>9444</v>
      </c>
      <c r="BB918" s="3" t="s">
        <v>9445</v>
      </c>
      <c r="BC918" s="3" t="s">
        <v>78</v>
      </c>
      <c r="BD918" s="3" t="s">
        <v>79</v>
      </c>
      <c r="BE918" s="3" t="s">
        <v>9446</v>
      </c>
      <c r="BF918" s="3" t="s">
        <v>9445</v>
      </c>
      <c r="BG918" s="3" t="s">
        <v>9447</v>
      </c>
    </row>
    <row r="919" spans="1:59" ht="58" x14ac:dyDescent="0.35">
      <c r="A919" s="2" t="s">
        <v>59</v>
      </c>
      <c r="B919" s="2" t="s">
        <v>94</v>
      </c>
      <c r="C919" s="2" t="s">
        <v>9448</v>
      </c>
      <c r="D919" s="2" t="s">
        <v>9449</v>
      </c>
      <c r="E919" s="2" t="s">
        <v>9450</v>
      </c>
      <c r="G919" s="3" t="s">
        <v>64</v>
      </c>
      <c r="I919" s="3" t="s">
        <v>64</v>
      </c>
      <c r="J919" s="3" t="s">
        <v>64</v>
      </c>
      <c r="K919" s="3" t="s">
        <v>65</v>
      </c>
      <c r="L919" s="2" t="s">
        <v>9451</v>
      </c>
      <c r="M919" s="2" t="s">
        <v>6841</v>
      </c>
      <c r="N919" s="3" t="s">
        <v>377</v>
      </c>
      <c r="P919" s="3" t="s">
        <v>69</v>
      </c>
      <c r="Q919" s="2" t="s">
        <v>9452</v>
      </c>
      <c r="R919" s="3" t="s">
        <v>9228</v>
      </c>
      <c r="S919" s="4">
        <v>1</v>
      </c>
      <c r="T919" s="4">
        <v>1</v>
      </c>
      <c r="U919" s="5" t="s">
        <v>3002</v>
      </c>
      <c r="V919" s="5" t="s">
        <v>3002</v>
      </c>
      <c r="W919" s="5" t="s">
        <v>72</v>
      </c>
      <c r="X919" s="5" t="s">
        <v>72</v>
      </c>
      <c r="Y919" s="4">
        <v>68</v>
      </c>
      <c r="Z919" s="4">
        <v>3</v>
      </c>
      <c r="AA919" s="4">
        <v>3</v>
      </c>
      <c r="AB919" s="4">
        <v>1</v>
      </c>
      <c r="AC919" s="4">
        <v>1</v>
      </c>
      <c r="AD919" s="4">
        <v>42</v>
      </c>
      <c r="AE919" s="4">
        <v>43</v>
      </c>
      <c r="AF919" s="4">
        <v>0</v>
      </c>
      <c r="AG919" s="4">
        <v>0</v>
      </c>
      <c r="AH919" s="4">
        <v>41</v>
      </c>
      <c r="AI919" s="4">
        <v>42</v>
      </c>
      <c r="AJ919" s="4">
        <v>2</v>
      </c>
      <c r="AK919" s="4">
        <v>2</v>
      </c>
      <c r="AL919" s="4">
        <v>23</v>
      </c>
      <c r="AM919" s="4">
        <v>23</v>
      </c>
      <c r="AN919" s="4">
        <v>0</v>
      </c>
      <c r="AO919" s="4">
        <v>0</v>
      </c>
      <c r="AP919" s="4">
        <v>2</v>
      </c>
      <c r="AQ919" s="4">
        <v>2</v>
      </c>
      <c r="AR919" s="3" t="s">
        <v>64</v>
      </c>
      <c r="AS919" s="3" t="s">
        <v>64</v>
      </c>
      <c r="AT919" s="3" t="s">
        <v>64</v>
      </c>
      <c r="AV919" s="6" t="str">
        <f>HYPERLINK("http://mcgill.on.worldcat.org/oclc/781861986","Catalog Record")</f>
        <v>Catalog Record</v>
      </c>
      <c r="AW919" s="6" t="str">
        <f>HYPERLINK("http://www.worldcat.org/oclc/781861986","WorldCat Record")</f>
        <v>WorldCat Record</v>
      </c>
      <c r="AX919" s="3" t="s">
        <v>9453</v>
      </c>
      <c r="AY919" s="3" t="s">
        <v>9454</v>
      </c>
      <c r="AZ919" s="3" t="s">
        <v>9455</v>
      </c>
      <c r="BA919" s="3" t="s">
        <v>9455</v>
      </c>
      <c r="BB919" s="3" t="s">
        <v>9456</v>
      </c>
      <c r="BC919" s="3" t="s">
        <v>78</v>
      </c>
      <c r="BD919" s="3" t="s">
        <v>79</v>
      </c>
      <c r="BF919" s="3" t="s">
        <v>9456</v>
      </c>
      <c r="BG919" s="3" t="s">
        <v>9457</v>
      </c>
    </row>
    <row r="920" spans="1:59" ht="58" x14ac:dyDescent="0.35">
      <c r="A920" s="2" t="s">
        <v>59</v>
      </c>
      <c r="B920" s="2" t="s">
        <v>94</v>
      </c>
      <c r="C920" s="2" t="s">
        <v>9458</v>
      </c>
      <c r="D920" s="2" t="s">
        <v>9459</v>
      </c>
      <c r="E920" s="2" t="s">
        <v>9460</v>
      </c>
      <c r="G920" s="3" t="s">
        <v>64</v>
      </c>
      <c r="I920" s="3" t="s">
        <v>64</v>
      </c>
      <c r="J920" s="3" t="s">
        <v>64</v>
      </c>
      <c r="K920" s="3" t="s">
        <v>65</v>
      </c>
      <c r="M920" s="2" t="s">
        <v>9461</v>
      </c>
      <c r="N920" s="3" t="s">
        <v>473</v>
      </c>
      <c r="P920" s="3" t="s">
        <v>69</v>
      </c>
      <c r="R920" s="3" t="s">
        <v>9228</v>
      </c>
      <c r="S920" s="4">
        <v>7</v>
      </c>
      <c r="T920" s="4">
        <v>7</v>
      </c>
      <c r="U920" s="5" t="s">
        <v>9462</v>
      </c>
      <c r="V920" s="5" t="s">
        <v>9462</v>
      </c>
      <c r="W920" s="5" t="s">
        <v>72</v>
      </c>
      <c r="X920" s="5" t="s">
        <v>72</v>
      </c>
      <c r="Y920" s="4">
        <v>162</v>
      </c>
      <c r="Z920" s="4">
        <v>17</v>
      </c>
      <c r="AA920" s="4">
        <v>17</v>
      </c>
      <c r="AB920" s="4">
        <v>1</v>
      </c>
      <c r="AC920" s="4">
        <v>1</v>
      </c>
      <c r="AD920" s="4">
        <v>77</v>
      </c>
      <c r="AE920" s="4">
        <v>77</v>
      </c>
      <c r="AF920" s="4">
        <v>0</v>
      </c>
      <c r="AG920" s="4">
        <v>0</v>
      </c>
      <c r="AH920" s="4">
        <v>69</v>
      </c>
      <c r="AI920" s="4">
        <v>69</v>
      </c>
      <c r="AJ920" s="4">
        <v>12</v>
      </c>
      <c r="AK920" s="4">
        <v>12</v>
      </c>
      <c r="AL920" s="4">
        <v>38</v>
      </c>
      <c r="AM920" s="4">
        <v>38</v>
      </c>
      <c r="AN920" s="4">
        <v>0</v>
      </c>
      <c r="AO920" s="4">
        <v>0</v>
      </c>
      <c r="AP920" s="4">
        <v>12</v>
      </c>
      <c r="AQ920" s="4">
        <v>12</v>
      </c>
      <c r="AR920" s="3" t="s">
        <v>64</v>
      </c>
      <c r="AS920" s="3" t="s">
        <v>64</v>
      </c>
      <c r="AT920" s="3" t="s">
        <v>73</v>
      </c>
      <c r="AU920" s="6" t="str">
        <f>HYPERLINK("http://catalog.hathitrust.org/Record/002238094","HathiTrust Record")</f>
        <v>HathiTrust Record</v>
      </c>
      <c r="AV920" s="6" t="str">
        <f>HYPERLINK("http://mcgill.on.worldcat.org/oclc/21079985","Catalog Record")</f>
        <v>Catalog Record</v>
      </c>
      <c r="AW920" s="6" t="str">
        <f>HYPERLINK("http://www.worldcat.org/oclc/21079985","WorldCat Record")</f>
        <v>WorldCat Record</v>
      </c>
      <c r="AX920" s="3" t="s">
        <v>9463</v>
      </c>
      <c r="AY920" s="3" t="s">
        <v>9464</v>
      </c>
      <c r="AZ920" s="3" t="s">
        <v>9465</v>
      </c>
      <c r="BA920" s="3" t="s">
        <v>9465</v>
      </c>
      <c r="BB920" s="3" t="s">
        <v>9466</v>
      </c>
      <c r="BC920" s="3" t="s">
        <v>78</v>
      </c>
      <c r="BD920" s="3" t="s">
        <v>414</v>
      </c>
      <c r="BE920" s="3" t="s">
        <v>9467</v>
      </c>
      <c r="BF920" s="3" t="s">
        <v>9466</v>
      </c>
      <c r="BG920" s="3" t="s">
        <v>9468</v>
      </c>
    </row>
    <row r="921" spans="1:59" ht="58" x14ac:dyDescent="0.35">
      <c r="A921" s="2" t="s">
        <v>59</v>
      </c>
      <c r="B921" s="2" t="s">
        <v>94</v>
      </c>
      <c r="C921" s="2" t="s">
        <v>9469</v>
      </c>
      <c r="D921" s="2" t="s">
        <v>9470</v>
      </c>
      <c r="E921" s="2" t="s">
        <v>9471</v>
      </c>
      <c r="G921" s="3" t="s">
        <v>64</v>
      </c>
      <c r="I921" s="3" t="s">
        <v>64</v>
      </c>
      <c r="J921" s="3" t="s">
        <v>64</v>
      </c>
      <c r="K921" s="3" t="s">
        <v>65</v>
      </c>
      <c r="L921" s="2" t="s">
        <v>9472</v>
      </c>
      <c r="M921" s="2" t="s">
        <v>9473</v>
      </c>
      <c r="N921" s="3" t="s">
        <v>3437</v>
      </c>
      <c r="P921" s="3" t="s">
        <v>69</v>
      </c>
      <c r="R921" s="3" t="s">
        <v>9228</v>
      </c>
      <c r="S921" s="4">
        <v>7</v>
      </c>
      <c r="T921" s="4">
        <v>7</v>
      </c>
      <c r="U921" s="5" t="s">
        <v>9474</v>
      </c>
      <c r="V921" s="5" t="s">
        <v>9474</v>
      </c>
      <c r="W921" s="5" t="s">
        <v>72</v>
      </c>
      <c r="X921" s="5" t="s">
        <v>72</v>
      </c>
      <c r="Y921" s="4">
        <v>320</v>
      </c>
      <c r="Z921" s="4">
        <v>16</v>
      </c>
      <c r="AA921" s="4">
        <v>17</v>
      </c>
      <c r="AB921" s="4">
        <v>1</v>
      </c>
      <c r="AC921" s="4">
        <v>1</v>
      </c>
      <c r="AD921" s="4">
        <v>83</v>
      </c>
      <c r="AE921" s="4">
        <v>84</v>
      </c>
      <c r="AF921" s="4">
        <v>0</v>
      </c>
      <c r="AG921" s="4">
        <v>0</v>
      </c>
      <c r="AH921" s="4">
        <v>75</v>
      </c>
      <c r="AI921" s="4">
        <v>76</v>
      </c>
      <c r="AJ921" s="4">
        <v>11</v>
      </c>
      <c r="AK921" s="4">
        <v>12</v>
      </c>
      <c r="AL921" s="4">
        <v>48</v>
      </c>
      <c r="AM921" s="4">
        <v>48</v>
      </c>
      <c r="AN921" s="4">
        <v>1</v>
      </c>
      <c r="AO921" s="4">
        <v>1</v>
      </c>
      <c r="AP921" s="4">
        <v>13</v>
      </c>
      <c r="AQ921" s="4">
        <v>14</v>
      </c>
      <c r="AR921" s="3" t="s">
        <v>64</v>
      </c>
      <c r="AS921" s="3" t="s">
        <v>64</v>
      </c>
      <c r="AT921" s="3" t="s">
        <v>64</v>
      </c>
      <c r="AU921" s="6" t="str">
        <f>HYPERLINK("http://catalog.hathitrust.org/Record/001047589","HathiTrust Record")</f>
        <v>HathiTrust Record</v>
      </c>
      <c r="AV921" s="6" t="str">
        <f>HYPERLINK("http://mcgill.on.worldcat.org/oclc/1333042","Catalog Record")</f>
        <v>Catalog Record</v>
      </c>
      <c r="AW921" s="6" t="str">
        <f>HYPERLINK("http://www.worldcat.org/oclc/1333042","WorldCat Record")</f>
        <v>WorldCat Record</v>
      </c>
      <c r="AX921" s="3" t="s">
        <v>9475</v>
      </c>
      <c r="AY921" s="3" t="s">
        <v>9476</v>
      </c>
      <c r="AZ921" s="3" t="s">
        <v>9477</v>
      </c>
      <c r="BA921" s="3" t="s">
        <v>9477</v>
      </c>
      <c r="BB921" s="3" t="s">
        <v>9478</v>
      </c>
      <c r="BC921" s="3" t="s">
        <v>78</v>
      </c>
      <c r="BD921" s="3" t="s">
        <v>79</v>
      </c>
      <c r="BF921" s="3" t="s">
        <v>9478</v>
      </c>
      <c r="BG921" s="3" t="s">
        <v>9479</v>
      </c>
    </row>
    <row r="922" spans="1:59" ht="58" x14ac:dyDescent="0.35">
      <c r="A922" s="2" t="s">
        <v>59</v>
      </c>
      <c r="B922" s="2" t="s">
        <v>94</v>
      </c>
      <c r="C922" s="2" t="s">
        <v>9480</v>
      </c>
      <c r="D922" s="2" t="s">
        <v>9481</v>
      </c>
      <c r="E922" s="2" t="s">
        <v>9482</v>
      </c>
      <c r="G922" s="3" t="s">
        <v>64</v>
      </c>
      <c r="I922" s="3" t="s">
        <v>64</v>
      </c>
      <c r="J922" s="3" t="s">
        <v>64</v>
      </c>
      <c r="K922" s="3" t="s">
        <v>65</v>
      </c>
      <c r="L922" s="2" t="s">
        <v>9483</v>
      </c>
      <c r="M922" s="2" t="s">
        <v>9484</v>
      </c>
      <c r="N922" s="3" t="s">
        <v>328</v>
      </c>
      <c r="P922" s="3" t="s">
        <v>69</v>
      </c>
      <c r="R922" s="3" t="s">
        <v>9228</v>
      </c>
      <c r="S922" s="4">
        <v>0</v>
      </c>
      <c r="T922" s="4">
        <v>0</v>
      </c>
      <c r="W922" s="5" t="s">
        <v>72</v>
      </c>
      <c r="X922" s="5" t="s">
        <v>72</v>
      </c>
      <c r="Y922" s="4">
        <v>137</v>
      </c>
      <c r="Z922" s="4">
        <v>12</v>
      </c>
      <c r="AA922" s="4">
        <v>104</v>
      </c>
      <c r="AB922" s="4">
        <v>2</v>
      </c>
      <c r="AC922" s="4">
        <v>18</v>
      </c>
      <c r="AD922" s="4">
        <v>65</v>
      </c>
      <c r="AE922" s="4">
        <v>130</v>
      </c>
      <c r="AF922" s="4">
        <v>1</v>
      </c>
      <c r="AG922" s="4">
        <v>8</v>
      </c>
      <c r="AH922" s="4">
        <v>60</v>
      </c>
      <c r="AI922" s="4">
        <v>93</v>
      </c>
      <c r="AJ922" s="4">
        <v>7</v>
      </c>
      <c r="AK922" s="4">
        <v>21</v>
      </c>
      <c r="AL922" s="4">
        <v>37</v>
      </c>
      <c r="AM922" s="4">
        <v>50</v>
      </c>
      <c r="AN922" s="4">
        <v>0</v>
      </c>
      <c r="AO922" s="4">
        <v>0</v>
      </c>
      <c r="AP922" s="4">
        <v>8</v>
      </c>
      <c r="AQ922" s="4">
        <v>44</v>
      </c>
      <c r="AR922" s="3" t="s">
        <v>64</v>
      </c>
      <c r="AS922" s="3" t="s">
        <v>64</v>
      </c>
      <c r="AT922" s="3" t="s">
        <v>64</v>
      </c>
      <c r="AV922" s="6" t="str">
        <f>HYPERLINK("http://mcgill.on.worldcat.org/oclc/586134332","Catalog Record")</f>
        <v>Catalog Record</v>
      </c>
      <c r="AW922" s="6" t="str">
        <f>HYPERLINK("http://www.worldcat.org/oclc/586134332","WorldCat Record")</f>
        <v>WorldCat Record</v>
      </c>
      <c r="AX922" s="3" t="s">
        <v>9485</v>
      </c>
      <c r="AY922" s="3" t="s">
        <v>9486</v>
      </c>
      <c r="AZ922" s="3" t="s">
        <v>9487</v>
      </c>
      <c r="BA922" s="3" t="s">
        <v>9487</v>
      </c>
      <c r="BB922" s="3" t="s">
        <v>9488</v>
      </c>
      <c r="BC922" s="3" t="s">
        <v>78</v>
      </c>
      <c r="BD922" s="3" t="s">
        <v>79</v>
      </c>
      <c r="BE922" s="3" t="s">
        <v>9489</v>
      </c>
      <c r="BF922" s="3" t="s">
        <v>9488</v>
      </c>
      <c r="BG922" s="3" t="s">
        <v>9490</v>
      </c>
    </row>
    <row r="923" spans="1:59" ht="58" x14ac:dyDescent="0.35">
      <c r="A923" s="2" t="s">
        <v>59</v>
      </c>
      <c r="B923" s="2" t="s">
        <v>94</v>
      </c>
      <c r="C923" s="2" t="s">
        <v>9491</v>
      </c>
      <c r="D923" s="2" t="s">
        <v>9492</v>
      </c>
      <c r="E923" s="2" t="s">
        <v>9493</v>
      </c>
      <c r="G923" s="3" t="s">
        <v>64</v>
      </c>
      <c r="I923" s="3" t="s">
        <v>64</v>
      </c>
      <c r="J923" s="3" t="s">
        <v>64</v>
      </c>
      <c r="K923" s="3" t="s">
        <v>65</v>
      </c>
      <c r="L923" s="2" t="s">
        <v>9494</v>
      </c>
      <c r="M923" s="2" t="s">
        <v>9495</v>
      </c>
      <c r="N923" s="3" t="s">
        <v>328</v>
      </c>
      <c r="O923" s="2" t="s">
        <v>9496</v>
      </c>
      <c r="P923" s="3" t="s">
        <v>69</v>
      </c>
      <c r="R923" s="3" t="s">
        <v>9228</v>
      </c>
      <c r="S923" s="4">
        <v>1</v>
      </c>
      <c r="T923" s="4">
        <v>1</v>
      </c>
      <c r="U923" s="5" t="s">
        <v>9497</v>
      </c>
      <c r="V923" s="5" t="s">
        <v>9497</v>
      </c>
      <c r="W923" s="5" t="s">
        <v>72</v>
      </c>
      <c r="X923" s="5" t="s">
        <v>72</v>
      </c>
      <c r="Y923" s="4">
        <v>138</v>
      </c>
      <c r="Z923" s="4">
        <v>9</v>
      </c>
      <c r="AA923" s="4">
        <v>82</v>
      </c>
      <c r="AB923" s="4">
        <v>2</v>
      </c>
      <c r="AC923" s="4">
        <v>14</v>
      </c>
      <c r="AD923" s="4">
        <v>37</v>
      </c>
      <c r="AE923" s="4">
        <v>112</v>
      </c>
      <c r="AF923" s="4">
        <v>1</v>
      </c>
      <c r="AG923" s="4">
        <v>8</v>
      </c>
      <c r="AH923" s="4">
        <v>34</v>
      </c>
      <c r="AI923" s="4">
        <v>78</v>
      </c>
      <c r="AJ923" s="4">
        <v>6</v>
      </c>
      <c r="AK923" s="4">
        <v>22</v>
      </c>
      <c r="AL923" s="4">
        <v>20</v>
      </c>
      <c r="AM923" s="4">
        <v>40</v>
      </c>
      <c r="AN923" s="4">
        <v>0</v>
      </c>
      <c r="AO923" s="4">
        <v>0</v>
      </c>
      <c r="AP923" s="4">
        <v>6</v>
      </c>
      <c r="AQ923" s="4">
        <v>41</v>
      </c>
      <c r="AR923" s="3" t="s">
        <v>64</v>
      </c>
      <c r="AS923" s="3" t="s">
        <v>64</v>
      </c>
      <c r="AT923" s="3" t="s">
        <v>64</v>
      </c>
      <c r="AV923" s="6" t="str">
        <f>HYPERLINK("http://mcgill.on.worldcat.org/oclc/681913119","Catalog Record")</f>
        <v>Catalog Record</v>
      </c>
      <c r="AW923" s="6" t="str">
        <f>HYPERLINK("http://www.worldcat.org/oclc/681913119","WorldCat Record")</f>
        <v>WorldCat Record</v>
      </c>
      <c r="AX923" s="3" t="s">
        <v>9498</v>
      </c>
      <c r="AY923" s="3" t="s">
        <v>9499</v>
      </c>
      <c r="AZ923" s="3" t="s">
        <v>9500</v>
      </c>
      <c r="BA923" s="3" t="s">
        <v>9500</v>
      </c>
      <c r="BB923" s="3" t="s">
        <v>9501</v>
      </c>
      <c r="BC923" s="3" t="s">
        <v>78</v>
      </c>
      <c r="BD923" s="3" t="s">
        <v>79</v>
      </c>
      <c r="BE923" s="3" t="s">
        <v>9502</v>
      </c>
      <c r="BF923" s="3" t="s">
        <v>9501</v>
      </c>
      <c r="BG923" s="3" t="s">
        <v>9503</v>
      </c>
    </row>
    <row r="924" spans="1:59" ht="58" x14ac:dyDescent="0.35">
      <c r="A924" s="2" t="s">
        <v>59</v>
      </c>
      <c r="B924" s="2" t="s">
        <v>94</v>
      </c>
      <c r="C924" s="2" t="s">
        <v>9504</v>
      </c>
      <c r="D924" s="2" t="s">
        <v>9505</v>
      </c>
      <c r="E924" s="2" t="s">
        <v>9506</v>
      </c>
      <c r="G924" s="3" t="s">
        <v>64</v>
      </c>
      <c r="I924" s="3" t="s">
        <v>64</v>
      </c>
      <c r="J924" s="3" t="s">
        <v>64</v>
      </c>
      <c r="K924" s="3" t="s">
        <v>65</v>
      </c>
      <c r="M924" s="2" t="s">
        <v>9507</v>
      </c>
      <c r="N924" s="3" t="s">
        <v>524</v>
      </c>
      <c r="P924" s="3" t="s">
        <v>69</v>
      </c>
      <c r="R924" s="3" t="s">
        <v>9228</v>
      </c>
      <c r="S924" s="4">
        <v>0</v>
      </c>
      <c r="T924" s="4">
        <v>0</v>
      </c>
      <c r="W924" s="5" t="s">
        <v>72</v>
      </c>
      <c r="X924" s="5" t="s">
        <v>72</v>
      </c>
      <c r="Y924" s="4">
        <v>85</v>
      </c>
      <c r="Z924" s="4">
        <v>7</v>
      </c>
      <c r="AA924" s="4">
        <v>26</v>
      </c>
      <c r="AB924" s="4">
        <v>2</v>
      </c>
      <c r="AC924" s="4">
        <v>7</v>
      </c>
      <c r="AD924" s="4">
        <v>38</v>
      </c>
      <c r="AE924" s="4">
        <v>75</v>
      </c>
      <c r="AF924" s="4">
        <v>1</v>
      </c>
      <c r="AG924" s="4">
        <v>4</v>
      </c>
      <c r="AH924" s="4">
        <v>34</v>
      </c>
      <c r="AI924" s="4">
        <v>63</v>
      </c>
      <c r="AJ924" s="4">
        <v>5</v>
      </c>
      <c r="AK924" s="4">
        <v>12</v>
      </c>
      <c r="AL924" s="4">
        <v>25</v>
      </c>
      <c r="AM924" s="4">
        <v>37</v>
      </c>
      <c r="AN924" s="4">
        <v>0</v>
      </c>
      <c r="AO924" s="4">
        <v>0</v>
      </c>
      <c r="AP924" s="4">
        <v>5</v>
      </c>
      <c r="AQ924" s="4">
        <v>17</v>
      </c>
      <c r="AR924" s="3" t="s">
        <v>64</v>
      </c>
      <c r="AS924" s="3" t="s">
        <v>64</v>
      </c>
      <c r="AT924" s="3" t="s">
        <v>64</v>
      </c>
      <c r="AV924" s="6" t="str">
        <f>HYPERLINK("http://mcgill.on.worldcat.org/oclc/838792172","Catalog Record")</f>
        <v>Catalog Record</v>
      </c>
      <c r="AW924" s="6" t="str">
        <f>HYPERLINK("http://www.worldcat.org/oclc/838792172","WorldCat Record")</f>
        <v>WorldCat Record</v>
      </c>
      <c r="AX924" s="3" t="s">
        <v>9508</v>
      </c>
      <c r="AY924" s="3" t="s">
        <v>9509</v>
      </c>
      <c r="AZ924" s="3" t="s">
        <v>9510</v>
      </c>
      <c r="BA924" s="3" t="s">
        <v>9510</v>
      </c>
      <c r="BB924" s="3" t="s">
        <v>9511</v>
      </c>
      <c r="BC924" s="3" t="s">
        <v>78</v>
      </c>
      <c r="BD924" s="3" t="s">
        <v>79</v>
      </c>
      <c r="BE924" s="3" t="s">
        <v>9512</v>
      </c>
      <c r="BF924" s="3" t="s">
        <v>9511</v>
      </c>
      <c r="BG924" s="3" t="s">
        <v>9513</v>
      </c>
    </row>
    <row r="925" spans="1:59" ht="58" x14ac:dyDescent="0.35">
      <c r="A925" s="2" t="s">
        <v>59</v>
      </c>
      <c r="B925" s="2" t="s">
        <v>94</v>
      </c>
      <c r="C925" s="2" t="s">
        <v>9514</v>
      </c>
      <c r="D925" s="2" t="s">
        <v>9515</v>
      </c>
      <c r="E925" s="2" t="s">
        <v>9516</v>
      </c>
      <c r="G925" s="3" t="s">
        <v>64</v>
      </c>
      <c r="I925" s="3" t="s">
        <v>73</v>
      </c>
      <c r="J925" s="3" t="s">
        <v>64</v>
      </c>
      <c r="K925" s="3" t="s">
        <v>65</v>
      </c>
      <c r="L925" s="2" t="s">
        <v>9517</v>
      </c>
      <c r="M925" s="2" t="s">
        <v>9518</v>
      </c>
      <c r="N925" s="3" t="s">
        <v>3437</v>
      </c>
      <c r="P925" s="3" t="s">
        <v>69</v>
      </c>
      <c r="R925" s="3" t="s">
        <v>9228</v>
      </c>
      <c r="S925" s="4">
        <v>18</v>
      </c>
      <c r="T925" s="4">
        <v>30</v>
      </c>
      <c r="U925" s="5" t="s">
        <v>6060</v>
      </c>
      <c r="V925" s="5" t="s">
        <v>6060</v>
      </c>
      <c r="W925" s="5" t="s">
        <v>72</v>
      </c>
      <c r="X925" s="5" t="s">
        <v>72</v>
      </c>
      <c r="Y925" s="4">
        <v>467</v>
      </c>
      <c r="Z925" s="4">
        <v>17</v>
      </c>
      <c r="AA925" s="4">
        <v>84</v>
      </c>
      <c r="AB925" s="4">
        <v>1</v>
      </c>
      <c r="AC925" s="4">
        <v>15</v>
      </c>
      <c r="AD925" s="4">
        <v>101</v>
      </c>
      <c r="AE925" s="4">
        <v>147</v>
      </c>
      <c r="AF925" s="4">
        <v>0</v>
      </c>
      <c r="AG925" s="4">
        <v>8</v>
      </c>
      <c r="AH925" s="4">
        <v>90</v>
      </c>
      <c r="AI925" s="4">
        <v>110</v>
      </c>
      <c r="AJ925" s="4">
        <v>12</v>
      </c>
      <c r="AK925" s="4">
        <v>25</v>
      </c>
      <c r="AL925" s="4">
        <v>50</v>
      </c>
      <c r="AM925" s="4">
        <v>58</v>
      </c>
      <c r="AN925" s="4">
        <v>0</v>
      </c>
      <c r="AO925" s="4">
        <v>5</v>
      </c>
      <c r="AP925" s="4">
        <v>15</v>
      </c>
      <c r="AQ925" s="4">
        <v>46</v>
      </c>
      <c r="AR925" s="3" t="s">
        <v>64</v>
      </c>
      <c r="AS925" s="3" t="s">
        <v>64</v>
      </c>
      <c r="AT925" s="3" t="s">
        <v>73</v>
      </c>
      <c r="AU925" s="6" t="str">
        <f>HYPERLINK("http://catalog.hathitrust.org/Record/001116252","HathiTrust Record")</f>
        <v>HathiTrust Record</v>
      </c>
      <c r="AV925" s="6" t="str">
        <f>HYPERLINK("http://mcgill.on.worldcat.org/oclc/569796","Catalog Record")</f>
        <v>Catalog Record</v>
      </c>
      <c r="AW925" s="6" t="str">
        <f>HYPERLINK("http://www.worldcat.org/oclc/569796","WorldCat Record")</f>
        <v>WorldCat Record</v>
      </c>
      <c r="AX925" s="3" t="s">
        <v>9519</v>
      </c>
      <c r="AY925" s="3" t="s">
        <v>9520</v>
      </c>
      <c r="AZ925" s="3" t="s">
        <v>9521</v>
      </c>
      <c r="BA925" s="3" t="s">
        <v>9521</v>
      </c>
      <c r="BB925" s="3" t="s">
        <v>9522</v>
      </c>
      <c r="BC925" s="3" t="s">
        <v>78</v>
      </c>
      <c r="BD925" s="3" t="s">
        <v>79</v>
      </c>
      <c r="BF925" s="3" t="s">
        <v>9522</v>
      </c>
      <c r="BG925" s="3" t="s">
        <v>9523</v>
      </c>
    </row>
    <row r="926" spans="1:59" ht="58" x14ac:dyDescent="0.35">
      <c r="A926" s="2" t="s">
        <v>59</v>
      </c>
      <c r="B926" s="2" t="s">
        <v>94</v>
      </c>
      <c r="C926" s="2" t="s">
        <v>9514</v>
      </c>
      <c r="D926" s="2" t="s">
        <v>9515</v>
      </c>
      <c r="E926" s="2" t="s">
        <v>9516</v>
      </c>
      <c r="G926" s="3" t="s">
        <v>64</v>
      </c>
      <c r="I926" s="3" t="s">
        <v>73</v>
      </c>
      <c r="J926" s="3" t="s">
        <v>64</v>
      </c>
      <c r="K926" s="3" t="s">
        <v>65</v>
      </c>
      <c r="L926" s="2" t="s">
        <v>9517</v>
      </c>
      <c r="M926" s="2" t="s">
        <v>9518</v>
      </c>
      <c r="N926" s="3" t="s">
        <v>3437</v>
      </c>
      <c r="P926" s="3" t="s">
        <v>69</v>
      </c>
      <c r="R926" s="3" t="s">
        <v>9228</v>
      </c>
      <c r="S926" s="4">
        <v>12</v>
      </c>
      <c r="T926" s="4">
        <v>30</v>
      </c>
      <c r="U926" s="5" t="s">
        <v>9524</v>
      </c>
      <c r="V926" s="5" t="s">
        <v>6060</v>
      </c>
      <c r="W926" s="5" t="s">
        <v>72</v>
      </c>
      <c r="X926" s="5" t="s">
        <v>72</v>
      </c>
      <c r="Y926" s="4">
        <v>467</v>
      </c>
      <c r="Z926" s="4">
        <v>17</v>
      </c>
      <c r="AA926" s="4">
        <v>84</v>
      </c>
      <c r="AB926" s="4">
        <v>1</v>
      </c>
      <c r="AC926" s="4">
        <v>15</v>
      </c>
      <c r="AD926" s="4">
        <v>101</v>
      </c>
      <c r="AE926" s="4">
        <v>147</v>
      </c>
      <c r="AF926" s="4">
        <v>0</v>
      </c>
      <c r="AG926" s="4">
        <v>8</v>
      </c>
      <c r="AH926" s="4">
        <v>90</v>
      </c>
      <c r="AI926" s="4">
        <v>110</v>
      </c>
      <c r="AJ926" s="4">
        <v>12</v>
      </c>
      <c r="AK926" s="4">
        <v>25</v>
      </c>
      <c r="AL926" s="4">
        <v>50</v>
      </c>
      <c r="AM926" s="4">
        <v>58</v>
      </c>
      <c r="AN926" s="4">
        <v>0</v>
      </c>
      <c r="AO926" s="4">
        <v>5</v>
      </c>
      <c r="AP926" s="4">
        <v>15</v>
      </c>
      <c r="AQ926" s="4">
        <v>46</v>
      </c>
      <c r="AR926" s="3" t="s">
        <v>64</v>
      </c>
      <c r="AS926" s="3" t="s">
        <v>64</v>
      </c>
      <c r="AT926" s="3" t="s">
        <v>73</v>
      </c>
      <c r="AU926" s="6" t="str">
        <f>HYPERLINK("http://catalog.hathitrust.org/Record/001116252","HathiTrust Record")</f>
        <v>HathiTrust Record</v>
      </c>
      <c r="AV926" s="6" t="str">
        <f>HYPERLINK("http://mcgill.on.worldcat.org/oclc/569796","Catalog Record")</f>
        <v>Catalog Record</v>
      </c>
      <c r="AW926" s="6" t="str">
        <f>HYPERLINK("http://www.worldcat.org/oclc/569796","WorldCat Record")</f>
        <v>WorldCat Record</v>
      </c>
      <c r="AX926" s="3" t="s">
        <v>9519</v>
      </c>
      <c r="AY926" s="3" t="s">
        <v>9520</v>
      </c>
      <c r="AZ926" s="3" t="s">
        <v>9521</v>
      </c>
      <c r="BA926" s="3" t="s">
        <v>9521</v>
      </c>
      <c r="BB926" s="3" t="s">
        <v>9525</v>
      </c>
      <c r="BC926" s="3" t="s">
        <v>78</v>
      </c>
      <c r="BD926" s="3" t="s">
        <v>79</v>
      </c>
      <c r="BF926" s="3" t="s">
        <v>9525</v>
      </c>
      <c r="BG926" s="3" t="s">
        <v>9526</v>
      </c>
    </row>
    <row r="927" spans="1:59" ht="58" x14ac:dyDescent="0.35">
      <c r="A927" s="2" t="s">
        <v>59</v>
      </c>
      <c r="B927" s="2" t="s">
        <v>94</v>
      </c>
      <c r="C927" s="2" t="s">
        <v>9527</v>
      </c>
      <c r="D927" s="2" t="s">
        <v>9528</v>
      </c>
      <c r="E927" s="2" t="s">
        <v>9529</v>
      </c>
      <c r="G927" s="3" t="s">
        <v>64</v>
      </c>
      <c r="I927" s="3" t="s">
        <v>64</v>
      </c>
      <c r="J927" s="3" t="s">
        <v>64</v>
      </c>
      <c r="K927" s="3" t="s">
        <v>65</v>
      </c>
      <c r="M927" s="2" t="s">
        <v>6841</v>
      </c>
      <c r="N927" s="3" t="s">
        <v>377</v>
      </c>
      <c r="P927" s="3" t="s">
        <v>69</v>
      </c>
      <c r="Q927" s="2" t="s">
        <v>7005</v>
      </c>
      <c r="R927" s="3" t="s">
        <v>9228</v>
      </c>
      <c r="S927" s="4">
        <v>1</v>
      </c>
      <c r="T927" s="4">
        <v>1</v>
      </c>
      <c r="U927" s="5" t="s">
        <v>1724</v>
      </c>
      <c r="V927" s="5" t="s">
        <v>1724</v>
      </c>
      <c r="W927" s="5" t="s">
        <v>72</v>
      </c>
      <c r="X927" s="5" t="s">
        <v>72</v>
      </c>
      <c r="Y927" s="4">
        <v>98</v>
      </c>
      <c r="Z927" s="4">
        <v>8</v>
      </c>
      <c r="AA927" s="4">
        <v>112</v>
      </c>
      <c r="AB927" s="4">
        <v>1</v>
      </c>
      <c r="AC927" s="4">
        <v>17</v>
      </c>
      <c r="AD927" s="4">
        <v>53</v>
      </c>
      <c r="AE927" s="4">
        <v>135</v>
      </c>
      <c r="AF927" s="4">
        <v>0</v>
      </c>
      <c r="AG927" s="4">
        <v>8</v>
      </c>
      <c r="AH927" s="4">
        <v>52</v>
      </c>
      <c r="AI927" s="4">
        <v>95</v>
      </c>
      <c r="AJ927" s="4">
        <v>5</v>
      </c>
      <c r="AK927" s="4">
        <v>22</v>
      </c>
      <c r="AL927" s="4">
        <v>29</v>
      </c>
      <c r="AM927" s="4">
        <v>51</v>
      </c>
      <c r="AN927" s="4">
        <v>0</v>
      </c>
      <c r="AO927" s="4">
        <v>0</v>
      </c>
      <c r="AP927" s="4">
        <v>6</v>
      </c>
      <c r="AQ927" s="4">
        <v>45</v>
      </c>
      <c r="AR927" s="3" t="s">
        <v>64</v>
      </c>
      <c r="AS927" s="3" t="s">
        <v>64</v>
      </c>
      <c r="AT927" s="3" t="s">
        <v>64</v>
      </c>
      <c r="AV927" s="6" t="str">
        <f>HYPERLINK("http://mcgill.on.worldcat.org/oclc/811137286","Catalog Record")</f>
        <v>Catalog Record</v>
      </c>
      <c r="AW927" s="6" t="str">
        <f>HYPERLINK("http://www.worldcat.org/oclc/811137286","WorldCat Record")</f>
        <v>WorldCat Record</v>
      </c>
      <c r="AX927" s="3" t="s">
        <v>9530</v>
      </c>
      <c r="AY927" s="3" t="s">
        <v>9531</v>
      </c>
      <c r="AZ927" s="3" t="s">
        <v>9532</v>
      </c>
      <c r="BA927" s="3" t="s">
        <v>9532</v>
      </c>
      <c r="BB927" s="3" t="s">
        <v>9533</v>
      </c>
      <c r="BC927" s="3" t="s">
        <v>78</v>
      </c>
      <c r="BD927" s="3" t="s">
        <v>79</v>
      </c>
      <c r="BE927" s="3" t="s">
        <v>9534</v>
      </c>
      <c r="BF927" s="3" t="s">
        <v>9533</v>
      </c>
      <c r="BG927" s="3" t="s">
        <v>9535</v>
      </c>
    </row>
    <row r="928" spans="1:59" ht="72.5" x14ac:dyDescent="0.35">
      <c r="A928" s="2" t="s">
        <v>59</v>
      </c>
      <c r="B928" s="2" t="s">
        <v>94</v>
      </c>
      <c r="C928" s="2" t="s">
        <v>9536</v>
      </c>
      <c r="D928" s="2" t="s">
        <v>9537</v>
      </c>
      <c r="E928" s="2" t="s">
        <v>9538</v>
      </c>
      <c r="G928" s="3" t="s">
        <v>64</v>
      </c>
      <c r="I928" s="3" t="s">
        <v>64</v>
      </c>
      <c r="J928" s="3" t="s">
        <v>64</v>
      </c>
      <c r="K928" s="3" t="s">
        <v>65</v>
      </c>
      <c r="M928" s="2" t="s">
        <v>5100</v>
      </c>
      <c r="N928" s="3" t="s">
        <v>328</v>
      </c>
      <c r="P928" s="3" t="s">
        <v>69</v>
      </c>
      <c r="Q928" s="2" t="s">
        <v>9539</v>
      </c>
      <c r="R928" s="3" t="s">
        <v>9228</v>
      </c>
      <c r="S928" s="4">
        <v>0</v>
      </c>
      <c r="T928" s="4">
        <v>0</v>
      </c>
      <c r="W928" s="5" t="s">
        <v>72</v>
      </c>
      <c r="X928" s="5" t="s">
        <v>72</v>
      </c>
      <c r="Y928" s="4">
        <v>86</v>
      </c>
      <c r="Z928" s="4">
        <v>5</v>
      </c>
      <c r="AA928" s="4">
        <v>7</v>
      </c>
      <c r="AB928" s="4">
        <v>1</v>
      </c>
      <c r="AC928" s="4">
        <v>1</v>
      </c>
      <c r="AD928" s="4">
        <v>47</v>
      </c>
      <c r="AE928" s="4">
        <v>52</v>
      </c>
      <c r="AF928" s="4">
        <v>0</v>
      </c>
      <c r="AG928" s="4">
        <v>0</v>
      </c>
      <c r="AH928" s="4">
        <v>46</v>
      </c>
      <c r="AI928" s="4">
        <v>50</v>
      </c>
      <c r="AJ928" s="4">
        <v>3</v>
      </c>
      <c r="AK928" s="4">
        <v>5</v>
      </c>
      <c r="AL928" s="4">
        <v>26</v>
      </c>
      <c r="AM928" s="4">
        <v>27</v>
      </c>
      <c r="AN928" s="4">
        <v>0</v>
      </c>
      <c r="AO928" s="4">
        <v>0</v>
      </c>
      <c r="AP928" s="4">
        <v>3</v>
      </c>
      <c r="AQ928" s="4">
        <v>5</v>
      </c>
      <c r="AR928" s="3" t="s">
        <v>64</v>
      </c>
      <c r="AS928" s="3" t="s">
        <v>64</v>
      </c>
      <c r="AT928" s="3" t="s">
        <v>64</v>
      </c>
      <c r="AV928" s="6" t="str">
        <f>HYPERLINK("http://mcgill.on.worldcat.org/oclc/742234501","Catalog Record")</f>
        <v>Catalog Record</v>
      </c>
      <c r="AW928" s="6" t="str">
        <f>HYPERLINK("http://www.worldcat.org/oclc/742234501","WorldCat Record")</f>
        <v>WorldCat Record</v>
      </c>
      <c r="AX928" s="3" t="s">
        <v>9540</v>
      </c>
      <c r="AY928" s="3" t="s">
        <v>9541</v>
      </c>
      <c r="AZ928" s="3" t="s">
        <v>9542</v>
      </c>
      <c r="BA928" s="3" t="s">
        <v>9542</v>
      </c>
      <c r="BB928" s="3" t="s">
        <v>9543</v>
      </c>
      <c r="BC928" s="3" t="s">
        <v>78</v>
      </c>
      <c r="BD928" s="3" t="s">
        <v>79</v>
      </c>
      <c r="BE928" s="3" t="s">
        <v>9544</v>
      </c>
      <c r="BF928" s="3" t="s">
        <v>9543</v>
      </c>
      <c r="BG928" s="3" t="s">
        <v>9545</v>
      </c>
    </row>
    <row r="929" spans="1:59" ht="72.5" x14ac:dyDescent="0.35">
      <c r="A929" s="2" t="s">
        <v>59</v>
      </c>
      <c r="B929" s="2" t="s">
        <v>94</v>
      </c>
      <c r="C929" s="2" t="s">
        <v>9546</v>
      </c>
      <c r="D929" s="2" t="s">
        <v>9547</v>
      </c>
      <c r="E929" s="2" t="s">
        <v>9548</v>
      </c>
      <c r="G929" s="3" t="s">
        <v>64</v>
      </c>
      <c r="I929" s="3" t="s">
        <v>64</v>
      </c>
      <c r="J929" s="3" t="s">
        <v>64</v>
      </c>
      <c r="K929" s="3" t="s">
        <v>65</v>
      </c>
      <c r="L929" s="2" t="s">
        <v>7105</v>
      </c>
      <c r="M929" s="2" t="s">
        <v>7261</v>
      </c>
      <c r="N929" s="3" t="s">
        <v>524</v>
      </c>
      <c r="P929" s="3" t="s">
        <v>69</v>
      </c>
      <c r="R929" s="3" t="s">
        <v>9228</v>
      </c>
      <c r="S929" s="4">
        <v>0</v>
      </c>
      <c r="T929" s="4">
        <v>0</v>
      </c>
      <c r="W929" s="5" t="s">
        <v>72</v>
      </c>
      <c r="X929" s="5" t="s">
        <v>72</v>
      </c>
      <c r="Y929" s="4">
        <v>72</v>
      </c>
      <c r="Z929" s="4">
        <v>3</v>
      </c>
      <c r="AA929" s="4">
        <v>33</v>
      </c>
      <c r="AB929" s="4">
        <v>1</v>
      </c>
      <c r="AC929" s="4">
        <v>6</v>
      </c>
      <c r="AD929" s="4">
        <v>43</v>
      </c>
      <c r="AE929" s="4">
        <v>96</v>
      </c>
      <c r="AF929" s="4">
        <v>0</v>
      </c>
      <c r="AG929" s="4">
        <v>2</v>
      </c>
      <c r="AH929" s="4">
        <v>42</v>
      </c>
      <c r="AI929" s="4">
        <v>79</v>
      </c>
      <c r="AJ929" s="4">
        <v>1</v>
      </c>
      <c r="AK929" s="4">
        <v>13</v>
      </c>
      <c r="AL929" s="4">
        <v>24</v>
      </c>
      <c r="AM929" s="4">
        <v>43</v>
      </c>
      <c r="AN929" s="4">
        <v>0</v>
      </c>
      <c r="AO929" s="4">
        <v>0</v>
      </c>
      <c r="AP929" s="4">
        <v>1</v>
      </c>
      <c r="AQ929" s="4">
        <v>23</v>
      </c>
      <c r="AR929" s="3" t="s">
        <v>64</v>
      </c>
      <c r="AS929" s="3" t="s">
        <v>64</v>
      </c>
      <c r="AT929" s="3" t="s">
        <v>64</v>
      </c>
      <c r="AV929" s="6" t="str">
        <f>HYPERLINK("http://mcgill.on.worldcat.org/oclc/824610047","Catalog Record")</f>
        <v>Catalog Record</v>
      </c>
      <c r="AW929" s="6" t="str">
        <f>HYPERLINK("http://www.worldcat.org/oclc/824610047","WorldCat Record")</f>
        <v>WorldCat Record</v>
      </c>
      <c r="AX929" s="3" t="s">
        <v>9549</v>
      </c>
      <c r="AY929" s="3" t="s">
        <v>9550</v>
      </c>
      <c r="AZ929" s="3" t="s">
        <v>9551</v>
      </c>
      <c r="BA929" s="3" t="s">
        <v>9551</v>
      </c>
      <c r="BB929" s="3" t="s">
        <v>9552</v>
      </c>
      <c r="BC929" s="3" t="s">
        <v>78</v>
      </c>
      <c r="BD929" s="3" t="s">
        <v>79</v>
      </c>
      <c r="BE929" s="3" t="s">
        <v>9553</v>
      </c>
      <c r="BF929" s="3" t="s">
        <v>9552</v>
      </c>
      <c r="BG929" s="3" t="s">
        <v>9554</v>
      </c>
    </row>
    <row r="930" spans="1:59" ht="58" x14ac:dyDescent="0.35">
      <c r="A930" s="2" t="s">
        <v>59</v>
      </c>
      <c r="B930" s="2" t="s">
        <v>94</v>
      </c>
      <c r="C930" s="2" t="s">
        <v>9555</v>
      </c>
      <c r="D930" s="2" t="s">
        <v>9556</v>
      </c>
      <c r="E930" s="2" t="s">
        <v>9557</v>
      </c>
      <c r="G930" s="3" t="s">
        <v>64</v>
      </c>
      <c r="I930" s="3" t="s">
        <v>64</v>
      </c>
      <c r="J930" s="3" t="s">
        <v>64</v>
      </c>
      <c r="K930" s="3" t="s">
        <v>65</v>
      </c>
      <c r="M930" s="2" t="s">
        <v>7249</v>
      </c>
      <c r="N930" s="3" t="s">
        <v>214</v>
      </c>
      <c r="P930" s="3" t="s">
        <v>69</v>
      </c>
      <c r="Q930" s="2" t="s">
        <v>9558</v>
      </c>
      <c r="R930" s="3" t="s">
        <v>9228</v>
      </c>
      <c r="S930" s="4">
        <v>0</v>
      </c>
      <c r="T930" s="4">
        <v>0</v>
      </c>
      <c r="W930" s="5" t="s">
        <v>72</v>
      </c>
      <c r="X930" s="5" t="s">
        <v>72</v>
      </c>
      <c r="Y930" s="4">
        <v>102</v>
      </c>
      <c r="Z930" s="4">
        <v>8</v>
      </c>
      <c r="AA930" s="4">
        <v>11</v>
      </c>
      <c r="AB930" s="4">
        <v>1</v>
      </c>
      <c r="AC930" s="4">
        <v>1</v>
      </c>
      <c r="AD930" s="4">
        <v>54</v>
      </c>
      <c r="AE930" s="4">
        <v>60</v>
      </c>
      <c r="AF930" s="4">
        <v>0</v>
      </c>
      <c r="AG930" s="4">
        <v>0</v>
      </c>
      <c r="AH930" s="4">
        <v>51</v>
      </c>
      <c r="AI930" s="4">
        <v>56</v>
      </c>
      <c r="AJ930" s="4">
        <v>5</v>
      </c>
      <c r="AK930" s="4">
        <v>8</v>
      </c>
      <c r="AL930" s="4">
        <v>28</v>
      </c>
      <c r="AM930" s="4">
        <v>29</v>
      </c>
      <c r="AN930" s="4">
        <v>5</v>
      </c>
      <c r="AO930" s="4">
        <v>5</v>
      </c>
      <c r="AP930" s="4">
        <v>6</v>
      </c>
      <c r="AQ930" s="4">
        <v>9</v>
      </c>
      <c r="AR930" s="3" t="s">
        <v>64</v>
      </c>
      <c r="AS930" s="3" t="s">
        <v>64</v>
      </c>
      <c r="AT930" s="3" t="s">
        <v>73</v>
      </c>
      <c r="AU930" s="6" t="str">
        <f>HYPERLINK("http://catalog.hathitrust.org/Record/007918402","HathiTrust Record")</f>
        <v>HathiTrust Record</v>
      </c>
      <c r="AV930" s="6" t="str">
        <f>HYPERLINK("http://mcgill.on.worldcat.org/oclc/502158739","Catalog Record")</f>
        <v>Catalog Record</v>
      </c>
      <c r="AW930" s="6" t="str">
        <f>HYPERLINK("http://www.worldcat.org/oclc/502158739","WorldCat Record")</f>
        <v>WorldCat Record</v>
      </c>
      <c r="AX930" s="3" t="s">
        <v>9559</v>
      </c>
      <c r="AY930" s="3" t="s">
        <v>9560</v>
      </c>
      <c r="AZ930" s="3" t="s">
        <v>9561</v>
      </c>
      <c r="BA930" s="3" t="s">
        <v>9561</v>
      </c>
      <c r="BB930" s="3" t="s">
        <v>9562</v>
      </c>
      <c r="BC930" s="3" t="s">
        <v>78</v>
      </c>
      <c r="BD930" s="3" t="s">
        <v>79</v>
      </c>
      <c r="BE930" s="3" t="s">
        <v>9563</v>
      </c>
      <c r="BF930" s="3" t="s">
        <v>9562</v>
      </c>
      <c r="BG930" s="3" t="s">
        <v>9564</v>
      </c>
    </row>
    <row r="931" spans="1:59" ht="58" x14ac:dyDescent="0.35">
      <c r="A931" s="2" t="s">
        <v>59</v>
      </c>
      <c r="B931" s="2" t="s">
        <v>94</v>
      </c>
      <c r="C931" s="2" t="s">
        <v>9565</v>
      </c>
      <c r="D931" s="2" t="s">
        <v>9566</v>
      </c>
      <c r="E931" s="2" t="s">
        <v>9567</v>
      </c>
      <c r="G931" s="3" t="s">
        <v>64</v>
      </c>
      <c r="I931" s="3" t="s">
        <v>64</v>
      </c>
      <c r="J931" s="3" t="s">
        <v>64</v>
      </c>
      <c r="K931" s="3" t="s">
        <v>65</v>
      </c>
      <c r="L931" s="2" t="s">
        <v>9568</v>
      </c>
      <c r="M931" s="2" t="s">
        <v>9569</v>
      </c>
      <c r="N931" s="3" t="s">
        <v>733</v>
      </c>
      <c r="P931" s="3" t="s">
        <v>69</v>
      </c>
      <c r="R931" s="3" t="s">
        <v>9228</v>
      </c>
      <c r="S931" s="4">
        <v>5</v>
      </c>
      <c r="T931" s="4">
        <v>5</v>
      </c>
      <c r="U931" s="5" t="s">
        <v>9570</v>
      </c>
      <c r="V931" s="5" t="s">
        <v>9570</v>
      </c>
      <c r="W931" s="5" t="s">
        <v>72</v>
      </c>
      <c r="X931" s="5" t="s">
        <v>72</v>
      </c>
      <c r="Y931" s="4">
        <v>361</v>
      </c>
      <c r="Z931" s="4">
        <v>22</v>
      </c>
      <c r="AA931" s="4">
        <v>86</v>
      </c>
      <c r="AB931" s="4">
        <v>1</v>
      </c>
      <c r="AC931" s="4">
        <v>15</v>
      </c>
      <c r="AD931" s="4">
        <v>110</v>
      </c>
      <c r="AE931" s="4">
        <v>149</v>
      </c>
      <c r="AF931" s="4">
        <v>0</v>
      </c>
      <c r="AG931" s="4">
        <v>8</v>
      </c>
      <c r="AH931" s="4">
        <v>99</v>
      </c>
      <c r="AI931" s="4">
        <v>112</v>
      </c>
      <c r="AJ931" s="4">
        <v>16</v>
      </c>
      <c r="AK931" s="4">
        <v>25</v>
      </c>
      <c r="AL931" s="4">
        <v>52</v>
      </c>
      <c r="AM931" s="4">
        <v>59</v>
      </c>
      <c r="AN931" s="4">
        <v>0</v>
      </c>
      <c r="AO931" s="4">
        <v>0</v>
      </c>
      <c r="AP931" s="4">
        <v>19</v>
      </c>
      <c r="AQ931" s="4">
        <v>46</v>
      </c>
      <c r="AR931" s="3" t="s">
        <v>64</v>
      </c>
      <c r="AS931" s="3" t="s">
        <v>64</v>
      </c>
      <c r="AT931" s="3" t="s">
        <v>73</v>
      </c>
      <c r="AU931" s="6" t="str">
        <f>HYPERLINK("http://catalog.hathitrust.org/Record/000194259","HathiTrust Record")</f>
        <v>HathiTrust Record</v>
      </c>
      <c r="AV931" s="6" t="str">
        <f>HYPERLINK("http://mcgill.on.worldcat.org/oclc/8763126","Catalog Record")</f>
        <v>Catalog Record</v>
      </c>
      <c r="AW931" s="6" t="str">
        <f>HYPERLINK("http://www.worldcat.org/oclc/8763126","WorldCat Record")</f>
        <v>WorldCat Record</v>
      </c>
      <c r="AX931" s="3" t="s">
        <v>9571</v>
      </c>
      <c r="AY931" s="3" t="s">
        <v>9572</v>
      </c>
      <c r="AZ931" s="3" t="s">
        <v>9573</v>
      </c>
      <c r="BA931" s="3" t="s">
        <v>9573</v>
      </c>
      <c r="BB931" s="3" t="s">
        <v>9574</v>
      </c>
      <c r="BC931" s="3" t="s">
        <v>78</v>
      </c>
      <c r="BD931" s="3" t="s">
        <v>79</v>
      </c>
      <c r="BE931" s="3" t="s">
        <v>9575</v>
      </c>
      <c r="BF931" s="3" t="s">
        <v>9574</v>
      </c>
      <c r="BG931" s="3" t="s">
        <v>9576</v>
      </c>
    </row>
    <row r="932" spans="1:59" ht="58" x14ac:dyDescent="0.35">
      <c r="A932" s="2" t="s">
        <v>59</v>
      </c>
      <c r="B932" s="2" t="s">
        <v>94</v>
      </c>
      <c r="C932" s="2" t="s">
        <v>9577</v>
      </c>
      <c r="D932" s="2" t="s">
        <v>9578</v>
      </c>
      <c r="E932" s="2" t="s">
        <v>9579</v>
      </c>
      <c r="G932" s="3" t="s">
        <v>64</v>
      </c>
      <c r="I932" s="3" t="s">
        <v>64</v>
      </c>
      <c r="J932" s="3" t="s">
        <v>64</v>
      </c>
      <c r="K932" s="3" t="s">
        <v>65</v>
      </c>
      <c r="L932" s="2" t="s">
        <v>9580</v>
      </c>
      <c r="M932" s="2" t="s">
        <v>9581</v>
      </c>
      <c r="N932" s="3" t="s">
        <v>872</v>
      </c>
      <c r="P932" s="3" t="s">
        <v>69</v>
      </c>
      <c r="Q932" s="2" t="s">
        <v>9582</v>
      </c>
      <c r="R932" s="3" t="s">
        <v>9228</v>
      </c>
      <c r="S932" s="4">
        <v>1</v>
      </c>
      <c r="T932" s="4">
        <v>1</v>
      </c>
      <c r="U932" s="5" t="s">
        <v>9583</v>
      </c>
      <c r="V932" s="5" t="s">
        <v>9583</v>
      </c>
      <c r="W932" s="5" t="s">
        <v>72</v>
      </c>
      <c r="X932" s="5" t="s">
        <v>72</v>
      </c>
      <c r="Y932" s="4">
        <v>110</v>
      </c>
      <c r="Z932" s="4">
        <v>3</v>
      </c>
      <c r="AA932" s="4">
        <v>6</v>
      </c>
      <c r="AB932" s="4">
        <v>1</v>
      </c>
      <c r="AC932" s="4">
        <v>1</v>
      </c>
      <c r="AD932" s="4">
        <v>43</v>
      </c>
      <c r="AE932" s="4">
        <v>51</v>
      </c>
      <c r="AF932" s="4">
        <v>0</v>
      </c>
      <c r="AG932" s="4">
        <v>0</v>
      </c>
      <c r="AH932" s="4">
        <v>41</v>
      </c>
      <c r="AI932" s="4">
        <v>48</v>
      </c>
      <c r="AJ932" s="4">
        <v>2</v>
      </c>
      <c r="AK932" s="4">
        <v>5</v>
      </c>
      <c r="AL932" s="4">
        <v>20</v>
      </c>
      <c r="AM932" s="4">
        <v>22</v>
      </c>
      <c r="AN932" s="4">
        <v>0</v>
      </c>
      <c r="AO932" s="4">
        <v>0</v>
      </c>
      <c r="AP932" s="4">
        <v>2</v>
      </c>
      <c r="AQ932" s="4">
        <v>5</v>
      </c>
      <c r="AR932" s="3" t="s">
        <v>64</v>
      </c>
      <c r="AS932" s="3" t="s">
        <v>64</v>
      </c>
      <c r="AT932" s="3" t="s">
        <v>73</v>
      </c>
      <c r="AU932" s="6" t="str">
        <f>HYPERLINK("http://catalog.hathitrust.org/Record/006195363","HathiTrust Record")</f>
        <v>HathiTrust Record</v>
      </c>
      <c r="AV932" s="6" t="str">
        <f>HYPERLINK("http://mcgill.on.worldcat.org/oclc/20943470","Catalog Record")</f>
        <v>Catalog Record</v>
      </c>
      <c r="AW932" s="6" t="str">
        <f>HYPERLINK("http://www.worldcat.org/oclc/20943470","WorldCat Record")</f>
        <v>WorldCat Record</v>
      </c>
      <c r="AX932" s="3" t="s">
        <v>9584</v>
      </c>
      <c r="AY932" s="3" t="s">
        <v>9585</v>
      </c>
      <c r="AZ932" s="3" t="s">
        <v>9586</v>
      </c>
      <c r="BA932" s="3" t="s">
        <v>9586</v>
      </c>
      <c r="BB932" s="3" t="s">
        <v>9587</v>
      </c>
      <c r="BC932" s="3" t="s">
        <v>78</v>
      </c>
      <c r="BD932" s="3" t="s">
        <v>79</v>
      </c>
      <c r="BE932" s="3" t="s">
        <v>9588</v>
      </c>
      <c r="BF932" s="3" t="s">
        <v>9587</v>
      </c>
      <c r="BG932" s="3" t="s">
        <v>9589</v>
      </c>
    </row>
    <row r="933" spans="1:59" ht="58" x14ac:dyDescent="0.35">
      <c r="A933" s="2" t="s">
        <v>59</v>
      </c>
      <c r="B933" s="2" t="s">
        <v>94</v>
      </c>
      <c r="C933" s="2" t="s">
        <v>9590</v>
      </c>
      <c r="D933" s="2" t="s">
        <v>9591</v>
      </c>
      <c r="E933" s="2" t="s">
        <v>9592</v>
      </c>
      <c r="G933" s="3" t="s">
        <v>64</v>
      </c>
      <c r="I933" s="3" t="s">
        <v>64</v>
      </c>
      <c r="J933" s="3" t="s">
        <v>64</v>
      </c>
      <c r="K933" s="3" t="s">
        <v>65</v>
      </c>
      <c r="L933" s="2" t="s">
        <v>9593</v>
      </c>
      <c r="M933" s="2" t="s">
        <v>9594</v>
      </c>
      <c r="N933" s="3" t="s">
        <v>524</v>
      </c>
      <c r="P933" s="3" t="s">
        <v>69</v>
      </c>
      <c r="R933" s="3" t="s">
        <v>9228</v>
      </c>
      <c r="S933" s="4">
        <v>0</v>
      </c>
      <c r="T933" s="4">
        <v>0</v>
      </c>
      <c r="W933" s="5" t="s">
        <v>72</v>
      </c>
      <c r="X933" s="5" t="s">
        <v>72</v>
      </c>
      <c r="Y933" s="4">
        <v>47</v>
      </c>
      <c r="Z933" s="4">
        <v>5</v>
      </c>
      <c r="AA933" s="4">
        <v>32</v>
      </c>
      <c r="AB933" s="4">
        <v>1</v>
      </c>
      <c r="AC933" s="4">
        <v>5</v>
      </c>
      <c r="AD933" s="4">
        <v>13</v>
      </c>
      <c r="AE933" s="4">
        <v>59</v>
      </c>
      <c r="AF933" s="4">
        <v>0</v>
      </c>
      <c r="AG933" s="4">
        <v>2</v>
      </c>
      <c r="AH933" s="4">
        <v>13</v>
      </c>
      <c r="AI933" s="4">
        <v>48</v>
      </c>
      <c r="AJ933" s="4">
        <v>3</v>
      </c>
      <c r="AK933" s="4">
        <v>12</v>
      </c>
      <c r="AL933" s="4">
        <v>6</v>
      </c>
      <c r="AM933" s="4">
        <v>24</v>
      </c>
      <c r="AN933" s="4">
        <v>0</v>
      </c>
      <c r="AO933" s="4">
        <v>0</v>
      </c>
      <c r="AP933" s="4">
        <v>3</v>
      </c>
      <c r="AQ933" s="4">
        <v>17</v>
      </c>
      <c r="AR933" s="3" t="s">
        <v>64</v>
      </c>
      <c r="AS933" s="3" t="s">
        <v>64</v>
      </c>
      <c r="AT933" s="3" t="s">
        <v>64</v>
      </c>
      <c r="AV933" s="6" t="str">
        <f>HYPERLINK("http://mcgill.on.worldcat.org/oclc/812250386","Catalog Record")</f>
        <v>Catalog Record</v>
      </c>
      <c r="AW933" s="6" t="str">
        <f>HYPERLINK("http://www.worldcat.org/oclc/812250386","WorldCat Record")</f>
        <v>WorldCat Record</v>
      </c>
      <c r="AX933" s="3" t="s">
        <v>9595</v>
      </c>
      <c r="AY933" s="3" t="s">
        <v>9596</v>
      </c>
      <c r="AZ933" s="3" t="s">
        <v>9597</v>
      </c>
      <c r="BA933" s="3" t="s">
        <v>9597</v>
      </c>
      <c r="BB933" s="3" t="s">
        <v>9598</v>
      </c>
      <c r="BC933" s="3" t="s">
        <v>78</v>
      </c>
      <c r="BD933" s="3" t="s">
        <v>79</v>
      </c>
      <c r="BE933" s="3" t="s">
        <v>9599</v>
      </c>
      <c r="BF933" s="3" t="s">
        <v>9598</v>
      </c>
      <c r="BG933" s="3" t="s">
        <v>9600</v>
      </c>
    </row>
    <row r="934" spans="1:59" ht="58" x14ac:dyDescent="0.35">
      <c r="A934" s="2" t="s">
        <v>59</v>
      </c>
      <c r="B934" s="2" t="s">
        <v>94</v>
      </c>
      <c r="C934" s="2" t="s">
        <v>9601</v>
      </c>
      <c r="D934" s="2" t="s">
        <v>9602</v>
      </c>
      <c r="E934" s="2" t="s">
        <v>9603</v>
      </c>
      <c r="G934" s="3" t="s">
        <v>64</v>
      </c>
      <c r="I934" s="3" t="s">
        <v>64</v>
      </c>
      <c r="J934" s="3" t="s">
        <v>64</v>
      </c>
      <c r="K934" s="3" t="s">
        <v>65</v>
      </c>
      <c r="M934" s="2" t="s">
        <v>9604</v>
      </c>
      <c r="N934" s="3" t="s">
        <v>214</v>
      </c>
      <c r="P934" s="3" t="s">
        <v>69</v>
      </c>
      <c r="Q934" s="2" t="s">
        <v>9605</v>
      </c>
      <c r="R934" s="3" t="s">
        <v>9228</v>
      </c>
      <c r="S934" s="4">
        <v>0</v>
      </c>
      <c r="T934" s="4">
        <v>0</v>
      </c>
      <c r="W934" s="5" t="s">
        <v>72</v>
      </c>
      <c r="X934" s="5" t="s">
        <v>72</v>
      </c>
      <c r="Y934" s="4">
        <v>118</v>
      </c>
      <c r="Z934" s="4">
        <v>19</v>
      </c>
      <c r="AA934" s="4">
        <v>90</v>
      </c>
      <c r="AB934" s="4">
        <v>2</v>
      </c>
      <c r="AC934" s="4">
        <v>17</v>
      </c>
      <c r="AD934" s="4">
        <v>65</v>
      </c>
      <c r="AE934" s="4">
        <v>120</v>
      </c>
      <c r="AF934" s="4">
        <v>1</v>
      </c>
      <c r="AG934" s="4">
        <v>8</v>
      </c>
      <c r="AH934" s="4">
        <v>55</v>
      </c>
      <c r="AI934" s="4">
        <v>84</v>
      </c>
      <c r="AJ934" s="4">
        <v>15</v>
      </c>
      <c r="AK934" s="4">
        <v>24</v>
      </c>
      <c r="AL934" s="4">
        <v>37</v>
      </c>
      <c r="AM934" s="4">
        <v>46</v>
      </c>
      <c r="AN934" s="4">
        <v>0</v>
      </c>
      <c r="AO934" s="4">
        <v>0</v>
      </c>
      <c r="AP934" s="4">
        <v>14</v>
      </c>
      <c r="AQ934" s="4">
        <v>43</v>
      </c>
      <c r="AR934" s="3" t="s">
        <v>64</v>
      </c>
      <c r="AS934" s="3" t="s">
        <v>64</v>
      </c>
      <c r="AT934" s="3" t="s">
        <v>64</v>
      </c>
      <c r="AV934" s="6" t="str">
        <f>HYPERLINK("http://mcgill.on.worldcat.org/oclc/535170053","Catalog Record")</f>
        <v>Catalog Record</v>
      </c>
      <c r="AW934" s="6" t="str">
        <f>HYPERLINK("http://www.worldcat.org/oclc/535170053","WorldCat Record")</f>
        <v>WorldCat Record</v>
      </c>
      <c r="AX934" s="3" t="s">
        <v>9606</v>
      </c>
      <c r="AY934" s="3" t="s">
        <v>9607</v>
      </c>
      <c r="AZ934" s="3" t="s">
        <v>9608</v>
      </c>
      <c r="BA934" s="3" t="s">
        <v>9608</v>
      </c>
      <c r="BB934" s="3" t="s">
        <v>9609</v>
      </c>
      <c r="BC934" s="3" t="s">
        <v>78</v>
      </c>
      <c r="BD934" s="3" t="s">
        <v>79</v>
      </c>
      <c r="BE934" s="3" t="s">
        <v>9610</v>
      </c>
      <c r="BF934" s="3" t="s">
        <v>9609</v>
      </c>
      <c r="BG934" s="3" t="s">
        <v>9611</v>
      </c>
    </row>
    <row r="935" spans="1:59" ht="58" x14ac:dyDescent="0.35">
      <c r="A935" s="2" t="s">
        <v>59</v>
      </c>
      <c r="B935" s="2" t="s">
        <v>94</v>
      </c>
      <c r="C935" s="2" t="s">
        <v>9612</v>
      </c>
      <c r="D935" s="2" t="s">
        <v>9613</v>
      </c>
      <c r="E935" s="2" t="s">
        <v>9614</v>
      </c>
      <c r="G935" s="3" t="s">
        <v>64</v>
      </c>
      <c r="I935" s="3" t="s">
        <v>64</v>
      </c>
      <c r="J935" s="3" t="s">
        <v>64</v>
      </c>
      <c r="K935" s="3" t="s">
        <v>65</v>
      </c>
      <c r="L935" s="2" t="s">
        <v>9615</v>
      </c>
      <c r="M935" s="2" t="s">
        <v>9616</v>
      </c>
      <c r="N935" s="3" t="s">
        <v>328</v>
      </c>
      <c r="P935" s="3" t="s">
        <v>69</v>
      </c>
      <c r="R935" s="3" t="s">
        <v>9228</v>
      </c>
      <c r="S935" s="4">
        <v>5</v>
      </c>
      <c r="T935" s="4">
        <v>5</v>
      </c>
      <c r="U935" s="5" t="s">
        <v>9617</v>
      </c>
      <c r="V935" s="5" t="s">
        <v>9617</v>
      </c>
      <c r="W935" s="5" t="s">
        <v>72</v>
      </c>
      <c r="X935" s="5" t="s">
        <v>72</v>
      </c>
      <c r="Y935" s="4">
        <v>235</v>
      </c>
      <c r="Z935" s="4">
        <v>13</v>
      </c>
      <c r="AA935" s="4">
        <v>90</v>
      </c>
      <c r="AB935" s="4">
        <v>2</v>
      </c>
      <c r="AC935" s="4">
        <v>15</v>
      </c>
      <c r="AD935" s="4">
        <v>71</v>
      </c>
      <c r="AE935" s="4">
        <v>131</v>
      </c>
      <c r="AF935" s="4">
        <v>1</v>
      </c>
      <c r="AG935" s="4">
        <v>8</v>
      </c>
      <c r="AH935" s="4">
        <v>64</v>
      </c>
      <c r="AI935" s="4">
        <v>94</v>
      </c>
      <c r="AJ935" s="4">
        <v>5</v>
      </c>
      <c r="AK935" s="4">
        <v>21</v>
      </c>
      <c r="AL935" s="4">
        <v>40</v>
      </c>
      <c r="AM935" s="4">
        <v>51</v>
      </c>
      <c r="AN935" s="4">
        <v>0</v>
      </c>
      <c r="AO935" s="4">
        <v>0</v>
      </c>
      <c r="AP935" s="4">
        <v>8</v>
      </c>
      <c r="AQ935" s="4">
        <v>43</v>
      </c>
      <c r="AR935" s="3" t="s">
        <v>64</v>
      </c>
      <c r="AS935" s="3" t="s">
        <v>64</v>
      </c>
      <c r="AT935" s="3" t="s">
        <v>64</v>
      </c>
      <c r="AV935" s="6" t="str">
        <f>HYPERLINK("http://mcgill.on.worldcat.org/oclc/640132323","Catalog Record")</f>
        <v>Catalog Record</v>
      </c>
      <c r="AW935" s="6" t="str">
        <f>HYPERLINK("http://www.worldcat.org/oclc/640132323","WorldCat Record")</f>
        <v>WorldCat Record</v>
      </c>
      <c r="AX935" s="3" t="s">
        <v>9618</v>
      </c>
      <c r="AY935" s="3" t="s">
        <v>9619</v>
      </c>
      <c r="AZ935" s="3" t="s">
        <v>9620</v>
      </c>
      <c r="BA935" s="3" t="s">
        <v>9620</v>
      </c>
      <c r="BB935" s="3" t="s">
        <v>9621</v>
      </c>
      <c r="BC935" s="3" t="s">
        <v>78</v>
      </c>
      <c r="BD935" s="3" t="s">
        <v>79</v>
      </c>
      <c r="BE935" s="3" t="s">
        <v>9622</v>
      </c>
      <c r="BF935" s="3" t="s">
        <v>9621</v>
      </c>
      <c r="BG935" s="3" t="s">
        <v>9623</v>
      </c>
    </row>
    <row r="936" spans="1:59" ht="58" x14ac:dyDescent="0.35">
      <c r="A936" s="2" t="s">
        <v>59</v>
      </c>
      <c r="B936" s="2" t="s">
        <v>94</v>
      </c>
      <c r="C936" s="2" t="s">
        <v>9624</v>
      </c>
      <c r="D936" s="2" t="s">
        <v>9625</v>
      </c>
      <c r="E936" s="2" t="s">
        <v>9626</v>
      </c>
      <c r="G936" s="3" t="s">
        <v>64</v>
      </c>
      <c r="I936" s="3" t="s">
        <v>64</v>
      </c>
      <c r="J936" s="3" t="s">
        <v>64</v>
      </c>
      <c r="K936" s="3" t="s">
        <v>65</v>
      </c>
      <c r="L936" s="2" t="s">
        <v>9627</v>
      </c>
      <c r="M936" s="2" t="s">
        <v>9616</v>
      </c>
      <c r="N936" s="3" t="s">
        <v>328</v>
      </c>
      <c r="P936" s="3" t="s">
        <v>69</v>
      </c>
      <c r="R936" s="3" t="s">
        <v>9228</v>
      </c>
      <c r="S936" s="4">
        <v>3</v>
      </c>
      <c r="T936" s="4">
        <v>3</v>
      </c>
      <c r="U936" s="5" t="s">
        <v>9376</v>
      </c>
      <c r="V936" s="5" t="s">
        <v>9376</v>
      </c>
      <c r="W936" s="5" t="s">
        <v>72</v>
      </c>
      <c r="X936" s="5" t="s">
        <v>72</v>
      </c>
      <c r="Y936" s="4">
        <v>193</v>
      </c>
      <c r="Z936" s="4">
        <v>11</v>
      </c>
      <c r="AA936" s="4">
        <v>87</v>
      </c>
      <c r="AB936" s="4">
        <v>1</v>
      </c>
      <c r="AC936" s="4">
        <v>14</v>
      </c>
      <c r="AD936" s="4">
        <v>69</v>
      </c>
      <c r="AE936" s="4">
        <v>135</v>
      </c>
      <c r="AF936" s="4">
        <v>0</v>
      </c>
      <c r="AG936" s="4">
        <v>8</v>
      </c>
      <c r="AH936" s="4">
        <v>63</v>
      </c>
      <c r="AI936" s="4">
        <v>98</v>
      </c>
      <c r="AJ936" s="4">
        <v>7</v>
      </c>
      <c r="AK936" s="4">
        <v>22</v>
      </c>
      <c r="AL936" s="4">
        <v>40</v>
      </c>
      <c r="AM936" s="4">
        <v>53</v>
      </c>
      <c r="AN936" s="4">
        <v>0</v>
      </c>
      <c r="AO936" s="4">
        <v>0</v>
      </c>
      <c r="AP936" s="4">
        <v>8</v>
      </c>
      <c r="AQ936" s="4">
        <v>43</v>
      </c>
      <c r="AR936" s="3" t="s">
        <v>64</v>
      </c>
      <c r="AS936" s="3" t="s">
        <v>64</v>
      </c>
      <c r="AT936" s="3" t="s">
        <v>64</v>
      </c>
      <c r="AV936" s="6" t="str">
        <f>HYPERLINK("http://mcgill.on.worldcat.org/oclc/664258259","Catalog Record")</f>
        <v>Catalog Record</v>
      </c>
      <c r="AW936" s="6" t="str">
        <f>HYPERLINK("http://www.worldcat.org/oclc/664258259","WorldCat Record")</f>
        <v>WorldCat Record</v>
      </c>
      <c r="AX936" s="3" t="s">
        <v>9628</v>
      </c>
      <c r="AY936" s="3" t="s">
        <v>9629</v>
      </c>
      <c r="AZ936" s="3" t="s">
        <v>9630</v>
      </c>
      <c r="BA936" s="3" t="s">
        <v>9630</v>
      </c>
      <c r="BB936" s="3" t="s">
        <v>9631</v>
      </c>
      <c r="BC936" s="3" t="s">
        <v>78</v>
      </c>
      <c r="BD936" s="3" t="s">
        <v>79</v>
      </c>
      <c r="BE936" s="3" t="s">
        <v>9632</v>
      </c>
      <c r="BF936" s="3" t="s">
        <v>9631</v>
      </c>
      <c r="BG936" s="3" t="s">
        <v>9633</v>
      </c>
    </row>
    <row r="937" spans="1:59" ht="58" x14ac:dyDescent="0.35">
      <c r="A937" s="2" t="s">
        <v>59</v>
      </c>
      <c r="B937" s="2" t="s">
        <v>94</v>
      </c>
      <c r="C937" s="2" t="s">
        <v>9635</v>
      </c>
      <c r="D937" s="2" t="s">
        <v>9636</v>
      </c>
      <c r="E937" s="2" t="s">
        <v>9637</v>
      </c>
      <c r="G937" s="3" t="s">
        <v>64</v>
      </c>
      <c r="I937" s="3" t="s">
        <v>64</v>
      </c>
      <c r="J937" s="3" t="s">
        <v>64</v>
      </c>
      <c r="K937" s="3" t="s">
        <v>65</v>
      </c>
      <c r="M937" s="2" t="s">
        <v>9638</v>
      </c>
      <c r="N937" s="3" t="s">
        <v>136</v>
      </c>
      <c r="P937" s="3" t="s">
        <v>69</v>
      </c>
      <c r="R937" s="3" t="s">
        <v>9228</v>
      </c>
      <c r="S937" s="4">
        <v>15</v>
      </c>
      <c r="T937" s="4">
        <v>15</v>
      </c>
      <c r="U937" s="5" t="s">
        <v>1837</v>
      </c>
      <c r="V937" s="5" t="s">
        <v>1837</v>
      </c>
      <c r="W937" s="5" t="s">
        <v>72</v>
      </c>
      <c r="X937" s="5" t="s">
        <v>72</v>
      </c>
      <c r="Y937" s="4">
        <v>335</v>
      </c>
      <c r="Z937" s="4">
        <v>19</v>
      </c>
      <c r="AA937" s="4">
        <v>21</v>
      </c>
      <c r="AB937" s="4">
        <v>2</v>
      </c>
      <c r="AC937" s="4">
        <v>2</v>
      </c>
      <c r="AD937" s="4">
        <v>95</v>
      </c>
      <c r="AE937" s="4">
        <v>96</v>
      </c>
      <c r="AF937" s="4">
        <v>0</v>
      </c>
      <c r="AG937" s="4">
        <v>0</v>
      </c>
      <c r="AH937" s="4">
        <v>88</v>
      </c>
      <c r="AI937" s="4">
        <v>88</v>
      </c>
      <c r="AJ937" s="4">
        <v>9</v>
      </c>
      <c r="AK937" s="4">
        <v>10</v>
      </c>
      <c r="AL937" s="4">
        <v>49</v>
      </c>
      <c r="AM937" s="4">
        <v>49</v>
      </c>
      <c r="AN937" s="4">
        <v>0</v>
      </c>
      <c r="AO937" s="4">
        <v>0</v>
      </c>
      <c r="AP937" s="4">
        <v>12</v>
      </c>
      <c r="AQ937" s="4">
        <v>13</v>
      </c>
      <c r="AR937" s="3" t="s">
        <v>64</v>
      </c>
      <c r="AS937" s="3" t="s">
        <v>64</v>
      </c>
      <c r="AT937" s="3" t="s">
        <v>64</v>
      </c>
      <c r="AV937" s="6" t="str">
        <f>HYPERLINK("http://mcgill.on.worldcat.org/oclc/42437202","Catalog Record")</f>
        <v>Catalog Record</v>
      </c>
      <c r="AW937" s="6" t="str">
        <f>HYPERLINK("http://www.worldcat.org/oclc/42437202","WorldCat Record")</f>
        <v>WorldCat Record</v>
      </c>
      <c r="AX937" s="3" t="s">
        <v>9639</v>
      </c>
      <c r="AY937" s="3" t="s">
        <v>9640</v>
      </c>
      <c r="AZ937" s="3" t="s">
        <v>9641</v>
      </c>
      <c r="BA937" s="3" t="s">
        <v>9641</v>
      </c>
      <c r="BB937" s="3" t="s">
        <v>9642</v>
      </c>
      <c r="BC937" s="3" t="s">
        <v>78</v>
      </c>
      <c r="BD937" s="3" t="s">
        <v>79</v>
      </c>
      <c r="BE937" s="3" t="s">
        <v>9643</v>
      </c>
      <c r="BF937" s="3" t="s">
        <v>9642</v>
      </c>
      <c r="BG937" s="3" t="s">
        <v>9644</v>
      </c>
    </row>
    <row r="938" spans="1:59" ht="58" x14ac:dyDescent="0.35">
      <c r="A938" s="2" t="s">
        <v>59</v>
      </c>
      <c r="B938" s="2" t="s">
        <v>94</v>
      </c>
      <c r="C938" s="2" t="s">
        <v>9645</v>
      </c>
      <c r="D938" s="2" t="s">
        <v>9646</v>
      </c>
      <c r="E938" s="2" t="s">
        <v>9647</v>
      </c>
      <c r="G938" s="3" t="s">
        <v>64</v>
      </c>
      <c r="I938" s="3" t="s">
        <v>64</v>
      </c>
      <c r="J938" s="3" t="s">
        <v>64</v>
      </c>
      <c r="K938" s="3" t="s">
        <v>65</v>
      </c>
      <c r="L938" s="2" t="s">
        <v>9648</v>
      </c>
      <c r="M938" s="2" t="s">
        <v>9649</v>
      </c>
      <c r="N938" s="3" t="s">
        <v>651</v>
      </c>
      <c r="P938" s="3" t="s">
        <v>69</v>
      </c>
      <c r="R938" s="3" t="s">
        <v>9228</v>
      </c>
      <c r="S938" s="4">
        <v>1</v>
      </c>
      <c r="T938" s="4">
        <v>1</v>
      </c>
      <c r="U938" s="5" t="s">
        <v>9650</v>
      </c>
      <c r="V938" s="5" t="s">
        <v>9650</v>
      </c>
      <c r="W938" s="5" t="s">
        <v>72</v>
      </c>
      <c r="X938" s="5" t="s">
        <v>72</v>
      </c>
      <c r="Y938" s="4">
        <v>88</v>
      </c>
      <c r="Z938" s="4">
        <v>3</v>
      </c>
      <c r="AA938" s="4">
        <v>3</v>
      </c>
      <c r="AB938" s="4">
        <v>1</v>
      </c>
      <c r="AC938" s="4">
        <v>1</v>
      </c>
      <c r="AD938" s="4">
        <v>5</v>
      </c>
      <c r="AE938" s="4">
        <v>6</v>
      </c>
      <c r="AF938" s="4">
        <v>0</v>
      </c>
      <c r="AG938" s="4">
        <v>0</v>
      </c>
      <c r="AH938" s="4">
        <v>5</v>
      </c>
      <c r="AI938" s="4">
        <v>6</v>
      </c>
      <c r="AJ938" s="4">
        <v>1</v>
      </c>
      <c r="AK938" s="4">
        <v>1</v>
      </c>
      <c r="AL938" s="4">
        <v>4</v>
      </c>
      <c r="AM938" s="4">
        <v>5</v>
      </c>
      <c r="AN938" s="4">
        <v>0</v>
      </c>
      <c r="AO938" s="4">
        <v>0</v>
      </c>
      <c r="AP938" s="4">
        <v>1</v>
      </c>
      <c r="AQ938" s="4">
        <v>1</v>
      </c>
      <c r="AR938" s="3" t="s">
        <v>64</v>
      </c>
      <c r="AS938" s="3" t="s">
        <v>64</v>
      </c>
      <c r="AT938" s="3" t="s">
        <v>64</v>
      </c>
      <c r="AV938" s="6" t="str">
        <f>HYPERLINK("http://mcgill.on.worldcat.org/oclc/59287189","Catalog Record")</f>
        <v>Catalog Record</v>
      </c>
      <c r="AW938" s="6" t="str">
        <f>HYPERLINK("http://www.worldcat.org/oclc/59287189","WorldCat Record")</f>
        <v>WorldCat Record</v>
      </c>
      <c r="AX938" s="3" t="s">
        <v>9651</v>
      </c>
      <c r="AY938" s="3" t="s">
        <v>9652</v>
      </c>
      <c r="AZ938" s="3" t="s">
        <v>9653</v>
      </c>
      <c r="BA938" s="3" t="s">
        <v>9653</v>
      </c>
      <c r="BB938" s="3" t="s">
        <v>9654</v>
      </c>
      <c r="BC938" s="3" t="s">
        <v>78</v>
      </c>
      <c r="BD938" s="3" t="s">
        <v>79</v>
      </c>
      <c r="BE938" s="3" t="s">
        <v>9655</v>
      </c>
      <c r="BF938" s="3" t="s">
        <v>9654</v>
      </c>
      <c r="BG938" s="3" t="s">
        <v>9656</v>
      </c>
    </row>
    <row r="939" spans="1:59" ht="58" x14ac:dyDescent="0.35">
      <c r="A939" s="2" t="s">
        <v>59</v>
      </c>
      <c r="B939" s="2" t="s">
        <v>94</v>
      </c>
      <c r="C939" s="2" t="s">
        <v>9657</v>
      </c>
      <c r="D939" s="2" t="s">
        <v>9658</v>
      </c>
      <c r="E939" s="2" t="s">
        <v>9659</v>
      </c>
      <c r="G939" s="3" t="s">
        <v>64</v>
      </c>
      <c r="I939" s="3" t="s">
        <v>64</v>
      </c>
      <c r="J939" s="3" t="s">
        <v>64</v>
      </c>
      <c r="K939" s="3" t="s">
        <v>65</v>
      </c>
      <c r="L939" s="2" t="s">
        <v>9660</v>
      </c>
      <c r="M939" s="2" t="s">
        <v>9661</v>
      </c>
      <c r="N939" s="3" t="s">
        <v>872</v>
      </c>
      <c r="P939" s="3" t="s">
        <v>69</v>
      </c>
      <c r="R939" s="3" t="s">
        <v>9228</v>
      </c>
      <c r="S939" s="4">
        <v>13</v>
      </c>
      <c r="T939" s="4">
        <v>13</v>
      </c>
      <c r="U939" s="5" t="s">
        <v>9662</v>
      </c>
      <c r="V939" s="5" t="s">
        <v>9662</v>
      </c>
      <c r="W939" s="5" t="s">
        <v>72</v>
      </c>
      <c r="X939" s="5" t="s">
        <v>72</v>
      </c>
      <c r="Y939" s="4">
        <v>354</v>
      </c>
      <c r="Z939" s="4">
        <v>20</v>
      </c>
      <c r="AA939" s="4">
        <v>22</v>
      </c>
      <c r="AB939" s="4">
        <v>1</v>
      </c>
      <c r="AC939" s="4">
        <v>3</v>
      </c>
      <c r="AD939" s="4">
        <v>102</v>
      </c>
      <c r="AE939" s="4">
        <v>104</v>
      </c>
      <c r="AF939" s="4">
        <v>0</v>
      </c>
      <c r="AG939" s="4">
        <v>2</v>
      </c>
      <c r="AH939" s="4">
        <v>92</v>
      </c>
      <c r="AI939" s="4">
        <v>93</v>
      </c>
      <c r="AJ939" s="4">
        <v>14</v>
      </c>
      <c r="AK939" s="4">
        <v>16</v>
      </c>
      <c r="AL939" s="4">
        <v>54</v>
      </c>
      <c r="AM939" s="4">
        <v>54</v>
      </c>
      <c r="AN939" s="4">
        <v>0</v>
      </c>
      <c r="AO939" s="4">
        <v>0</v>
      </c>
      <c r="AP939" s="4">
        <v>16</v>
      </c>
      <c r="AQ939" s="4">
        <v>17</v>
      </c>
      <c r="AR939" s="3" t="s">
        <v>64</v>
      </c>
      <c r="AS939" s="3" t="s">
        <v>64</v>
      </c>
      <c r="AT939" s="3" t="s">
        <v>73</v>
      </c>
      <c r="AU939" s="6" t="str">
        <f>HYPERLINK("http://catalog.hathitrust.org/Record/001541018","HathiTrust Record")</f>
        <v>HathiTrust Record</v>
      </c>
      <c r="AV939" s="6" t="str">
        <f>HYPERLINK("http://mcgill.on.worldcat.org/oclc/19669724","Catalog Record")</f>
        <v>Catalog Record</v>
      </c>
      <c r="AW939" s="6" t="str">
        <f>HYPERLINK("http://www.worldcat.org/oclc/19669724","WorldCat Record")</f>
        <v>WorldCat Record</v>
      </c>
      <c r="AX939" s="3" t="s">
        <v>9663</v>
      </c>
      <c r="AY939" s="3" t="s">
        <v>9664</v>
      </c>
      <c r="AZ939" s="3" t="s">
        <v>9665</v>
      </c>
      <c r="BA939" s="3" t="s">
        <v>9665</v>
      </c>
      <c r="BB939" s="3" t="s">
        <v>9666</v>
      </c>
      <c r="BC939" s="3" t="s">
        <v>78</v>
      </c>
      <c r="BD939" s="3" t="s">
        <v>414</v>
      </c>
      <c r="BE939" s="3" t="s">
        <v>9667</v>
      </c>
      <c r="BF939" s="3" t="s">
        <v>9666</v>
      </c>
      <c r="BG939" s="3" t="s">
        <v>9668</v>
      </c>
    </row>
    <row r="940" spans="1:59" ht="58" x14ac:dyDescent="0.35">
      <c r="A940" s="2" t="s">
        <v>59</v>
      </c>
      <c r="B940" s="2" t="s">
        <v>94</v>
      </c>
      <c r="C940" s="2" t="s">
        <v>9669</v>
      </c>
      <c r="D940" s="2" t="s">
        <v>9670</v>
      </c>
      <c r="E940" s="2" t="s">
        <v>9671</v>
      </c>
      <c r="G940" s="3" t="s">
        <v>64</v>
      </c>
      <c r="I940" s="3" t="s">
        <v>64</v>
      </c>
      <c r="J940" s="3" t="s">
        <v>64</v>
      </c>
      <c r="K940" s="3" t="s">
        <v>65</v>
      </c>
      <c r="M940" s="2" t="s">
        <v>9672</v>
      </c>
      <c r="N940" s="3" t="s">
        <v>499</v>
      </c>
      <c r="O940" s="2" t="s">
        <v>1294</v>
      </c>
      <c r="P940" s="3" t="s">
        <v>69</v>
      </c>
      <c r="Q940" s="2" t="s">
        <v>9673</v>
      </c>
      <c r="R940" s="3" t="s">
        <v>9228</v>
      </c>
      <c r="S940" s="4">
        <v>2</v>
      </c>
      <c r="T940" s="4">
        <v>2</v>
      </c>
      <c r="U940" s="5" t="s">
        <v>9650</v>
      </c>
      <c r="V940" s="5" t="s">
        <v>9650</v>
      </c>
      <c r="W940" s="5" t="s">
        <v>72</v>
      </c>
      <c r="X940" s="5" t="s">
        <v>72</v>
      </c>
      <c r="Y940" s="4">
        <v>91</v>
      </c>
      <c r="Z940" s="4">
        <v>8</v>
      </c>
      <c r="AA940" s="4">
        <v>92</v>
      </c>
      <c r="AB940" s="4">
        <v>1</v>
      </c>
      <c r="AC940" s="4">
        <v>17</v>
      </c>
      <c r="AD940" s="4">
        <v>37</v>
      </c>
      <c r="AE940" s="4">
        <v>101</v>
      </c>
      <c r="AF940" s="4">
        <v>0</v>
      </c>
      <c r="AG940" s="4">
        <v>8</v>
      </c>
      <c r="AH940" s="4">
        <v>35</v>
      </c>
      <c r="AI940" s="4">
        <v>66</v>
      </c>
      <c r="AJ940" s="4">
        <v>6</v>
      </c>
      <c r="AK940" s="4">
        <v>21</v>
      </c>
      <c r="AL940" s="4">
        <v>21</v>
      </c>
      <c r="AM940" s="4">
        <v>31</v>
      </c>
      <c r="AN940" s="4">
        <v>0</v>
      </c>
      <c r="AO940" s="4">
        <v>0</v>
      </c>
      <c r="AP940" s="4">
        <v>6</v>
      </c>
      <c r="AQ940" s="4">
        <v>44</v>
      </c>
      <c r="AR940" s="3" t="s">
        <v>64</v>
      </c>
      <c r="AS940" s="3" t="s">
        <v>64</v>
      </c>
      <c r="AT940" s="3" t="s">
        <v>64</v>
      </c>
      <c r="AV940" s="6" t="str">
        <f>HYPERLINK("http://mcgill.on.worldcat.org/oclc/62325070","Catalog Record")</f>
        <v>Catalog Record</v>
      </c>
      <c r="AW940" s="6" t="str">
        <f>HYPERLINK("http://www.worldcat.org/oclc/62325070","WorldCat Record")</f>
        <v>WorldCat Record</v>
      </c>
      <c r="AX940" s="3" t="s">
        <v>9674</v>
      </c>
      <c r="AY940" s="3" t="s">
        <v>9675</v>
      </c>
      <c r="AZ940" s="3" t="s">
        <v>9676</v>
      </c>
      <c r="BA940" s="3" t="s">
        <v>9676</v>
      </c>
      <c r="BB940" s="3" t="s">
        <v>9677</v>
      </c>
      <c r="BC940" s="3" t="s">
        <v>78</v>
      </c>
      <c r="BD940" s="3" t="s">
        <v>79</v>
      </c>
      <c r="BE940" s="3" t="s">
        <v>9678</v>
      </c>
      <c r="BF940" s="3" t="s">
        <v>9677</v>
      </c>
      <c r="BG940" s="3" t="s">
        <v>9679</v>
      </c>
    </row>
    <row r="941" spans="1:59" ht="58" x14ac:dyDescent="0.35">
      <c r="A941" s="2" t="s">
        <v>59</v>
      </c>
      <c r="B941" s="2" t="s">
        <v>94</v>
      </c>
      <c r="C941" s="2" t="s">
        <v>9680</v>
      </c>
      <c r="D941" s="2" t="s">
        <v>9681</v>
      </c>
      <c r="E941" s="2" t="s">
        <v>9682</v>
      </c>
      <c r="G941" s="3" t="s">
        <v>64</v>
      </c>
      <c r="I941" s="3" t="s">
        <v>73</v>
      </c>
      <c r="J941" s="3" t="s">
        <v>64</v>
      </c>
      <c r="K941" s="3" t="s">
        <v>65</v>
      </c>
      <c r="L941" s="2" t="s">
        <v>9683</v>
      </c>
      <c r="M941" s="2" t="s">
        <v>9684</v>
      </c>
      <c r="N941" s="3" t="s">
        <v>9685</v>
      </c>
      <c r="P941" s="3" t="s">
        <v>69</v>
      </c>
      <c r="R941" s="3" t="s">
        <v>9228</v>
      </c>
      <c r="S941" s="4">
        <v>10</v>
      </c>
      <c r="T941" s="4">
        <v>20</v>
      </c>
      <c r="U941" s="5" t="s">
        <v>4334</v>
      </c>
      <c r="V941" s="5" t="s">
        <v>4334</v>
      </c>
      <c r="W941" s="5" t="s">
        <v>72</v>
      </c>
      <c r="X941" s="5" t="s">
        <v>72</v>
      </c>
      <c r="Y941" s="4">
        <v>86</v>
      </c>
      <c r="Z941" s="4">
        <v>55</v>
      </c>
      <c r="AA941" s="4">
        <v>61</v>
      </c>
      <c r="AB941" s="4">
        <v>2</v>
      </c>
      <c r="AC941" s="4">
        <v>6</v>
      </c>
      <c r="AD941" s="4">
        <v>46</v>
      </c>
      <c r="AE941" s="4">
        <v>51</v>
      </c>
      <c r="AF941" s="4">
        <v>0</v>
      </c>
      <c r="AG941" s="4">
        <v>3</v>
      </c>
      <c r="AH941" s="4">
        <v>23</v>
      </c>
      <c r="AI941" s="4">
        <v>25</v>
      </c>
      <c r="AJ941" s="4">
        <v>19</v>
      </c>
      <c r="AK941" s="4">
        <v>23</v>
      </c>
      <c r="AL941" s="4">
        <v>12</v>
      </c>
      <c r="AM941" s="4">
        <v>12</v>
      </c>
      <c r="AN941" s="4">
        <v>0</v>
      </c>
      <c r="AO941" s="4">
        <v>0</v>
      </c>
      <c r="AP941" s="4">
        <v>31</v>
      </c>
      <c r="AQ941" s="4">
        <v>35</v>
      </c>
      <c r="AR941" s="3" t="s">
        <v>73</v>
      </c>
      <c r="AS941" s="3" t="s">
        <v>64</v>
      </c>
      <c r="AT941" s="3" t="s">
        <v>64</v>
      </c>
      <c r="AU941" s="6" t="str">
        <f>HYPERLINK("http://catalog.hathitrust.org/Record/000596943","HathiTrust Record")</f>
        <v>HathiTrust Record</v>
      </c>
      <c r="AV941" s="6" t="str">
        <f>HYPERLINK("http://mcgill.on.worldcat.org/oclc/728438","Catalog Record")</f>
        <v>Catalog Record</v>
      </c>
      <c r="AW941" s="6" t="str">
        <f>HYPERLINK("http://www.worldcat.org/oclc/728438","WorldCat Record")</f>
        <v>WorldCat Record</v>
      </c>
      <c r="AX941" s="3" t="s">
        <v>9686</v>
      </c>
      <c r="AY941" s="3" t="s">
        <v>9687</v>
      </c>
      <c r="AZ941" s="3" t="s">
        <v>9688</v>
      </c>
      <c r="BA941" s="3" t="s">
        <v>9688</v>
      </c>
      <c r="BB941" s="3" t="s">
        <v>9689</v>
      </c>
      <c r="BC941" s="3" t="s">
        <v>78</v>
      </c>
      <c r="BD941" s="3" t="s">
        <v>79</v>
      </c>
      <c r="BF941" s="3" t="s">
        <v>9689</v>
      </c>
      <c r="BG941" s="3" t="s">
        <v>9690</v>
      </c>
    </row>
    <row r="942" spans="1:59" ht="58" x14ac:dyDescent="0.35">
      <c r="A942" s="2" t="s">
        <v>59</v>
      </c>
      <c r="B942" s="2" t="s">
        <v>94</v>
      </c>
      <c r="C942" s="2" t="s">
        <v>9680</v>
      </c>
      <c r="D942" s="2" t="s">
        <v>9681</v>
      </c>
      <c r="E942" s="2" t="s">
        <v>9682</v>
      </c>
      <c r="G942" s="3" t="s">
        <v>64</v>
      </c>
      <c r="I942" s="3" t="s">
        <v>73</v>
      </c>
      <c r="J942" s="3" t="s">
        <v>64</v>
      </c>
      <c r="K942" s="3" t="s">
        <v>65</v>
      </c>
      <c r="L942" s="2" t="s">
        <v>9683</v>
      </c>
      <c r="M942" s="2" t="s">
        <v>9684</v>
      </c>
      <c r="N942" s="3" t="s">
        <v>9685</v>
      </c>
      <c r="P942" s="3" t="s">
        <v>69</v>
      </c>
      <c r="R942" s="3" t="s">
        <v>9228</v>
      </c>
      <c r="S942" s="4">
        <v>10</v>
      </c>
      <c r="T942" s="4">
        <v>20</v>
      </c>
      <c r="U942" s="5" t="s">
        <v>9691</v>
      </c>
      <c r="V942" s="5" t="s">
        <v>4334</v>
      </c>
      <c r="W942" s="5" t="s">
        <v>72</v>
      </c>
      <c r="X942" s="5" t="s">
        <v>72</v>
      </c>
      <c r="Y942" s="4">
        <v>86</v>
      </c>
      <c r="Z942" s="4">
        <v>55</v>
      </c>
      <c r="AA942" s="4">
        <v>61</v>
      </c>
      <c r="AB942" s="4">
        <v>2</v>
      </c>
      <c r="AC942" s="4">
        <v>6</v>
      </c>
      <c r="AD942" s="4">
        <v>46</v>
      </c>
      <c r="AE942" s="4">
        <v>51</v>
      </c>
      <c r="AF942" s="4">
        <v>0</v>
      </c>
      <c r="AG942" s="4">
        <v>3</v>
      </c>
      <c r="AH942" s="4">
        <v>23</v>
      </c>
      <c r="AI942" s="4">
        <v>25</v>
      </c>
      <c r="AJ942" s="4">
        <v>19</v>
      </c>
      <c r="AK942" s="4">
        <v>23</v>
      </c>
      <c r="AL942" s="4">
        <v>12</v>
      </c>
      <c r="AM942" s="4">
        <v>12</v>
      </c>
      <c r="AN942" s="4">
        <v>0</v>
      </c>
      <c r="AO942" s="4">
        <v>0</v>
      </c>
      <c r="AP942" s="4">
        <v>31</v>
      </c>
      <c r="AQ942" s="4">
        <v>35</v>
      </c>
      <c r="AR942" s="3" t="s">
        <v>73</v>
      </c>
      <c r="AS942" s="3" t="s">
        <v>64</v>
      </c>
      <c r="AT942" s="3" t="s">
        <v>64</v>
      </c>
      <c r="AU942" s="6" t="str">
        <f>HYPERLINK("http://catalog.hathitrust.org/Record/000596943","HathiTrust Record")</f>
        <v>HathiTrust Record</v>
      </c>
      <c r="AV942" s="6" t="str">
        <f>HYPERLINK("http://mcgill.on.worldcat.org/oclc/728438","Catalog Record")</f>
        <v>Catalog Record</v>
      </c>
      <c r="AW942" s="6" t="str">
        <f>HYPERLINK("http://www.worldcat.org/oclc/728438","WorldCat Record")</f>
        <v>WorldCat Record</v>
      </c>
      <c r="AX942" s="3" t="s">
        <v>9686</v>
      </c>
      <c r="AY942" s="3" t="s">
        <v>9687</v>
      </c>
      <c r="AZ942" s="3" t="s">
        <v>9688</v>
      </c>
      <c r="BA942" s="3" t="s">
        <v>9688</v>
      </c>
      <c r="BB942" s="3" t="s">
        <v>9692</v>
      </c>
      <c r="BC942" s="3" t="s">
        <v>78</v>
      </c>
      <c r="BD942" s="3" t="s">
        <v>79</v>
      </c>
      <c r="BF942" s="3" t="s">
        <v>9692</v>
      </c>
      <c r="BG942" s="3" t="s">
        <v>9693</v>
      </c>
    </row>
    <row r="943" spans="1:59" ht="58" x14ac:dyDescent="0.35">
      <c r="A943" s="2" t="s">
        <v>59</v>
      </c>
      <c r="B943" s="2" t="s">
        <v>94</v>
      </c>
      <c r="C943" s="2" t="s">
        <v>9694</v>
      </c>
      <c r="D943" s="2" t="s">
        <v>9695</v>
      </c>
      <c r="E943" s="2" t="s">
        <v>9696</v>
      </c>
      <c r="G943" s="3" t="s">
        <v>64</v>
      </c>
      <c r="I943" s="3" t="s">
        <v>64</v>
      </c>
      <c r="J943" s="3" t="s">
        <v>64</v>
      </c>
      <c r="K943" s="3" t="s">
        <v>65</v>
      </c>
      <c r="L943" s="2" t="s">
        <v>9697</v>
      </c>
      <c r="M943" s="2" t="s">
        <v>6059</v>
      </c>
      <c r="N943" s="3" t="s">
        <v>473</v>
      </c>
      <c r="P943" s="3" t="s">
        <v>69</v>
      </c>
      <c r="Q943" s="2" t="s">
        <v>9698</v>
      </c>
      <c r="R943" s="3" t="s">
        <v>9228</v>
      </c>
      <c r="S943" s="4">
        <v>18</v>
      </c>
      <c r="T943" s="4">
        <v>18</v>
      </c>
      <c r="U943" s="5" t="s">
        <v>552</v>
      </c>
      <c r="V943" s="5" t="s">
        <v>552</v>
      </c>
      <c r="W943" s="5" t="s">
        <v>72</v>
      </c>
      <c r="X943" s="5" t="s">
        <v>72</v>
      </c>
      <c r="Y943" s="4">
        <v>207</v>
      </c>
      <c r="Z943" s="4">
        <v>16</v>
      </c>
      <c r="AA943" s="4">
        <v>18</v>
      </c>
      <c r="AB943" s="4">
        <v>2</v>
      </c>
      <c r="AC943" s="4">
        <v>2</v>
      </c>
      <c r="AD943" s="4">
        <v>90</v>
      </c>
      <c r="AE943" s="4">
        <v>94</v>
      </c>
      <c r="AF943" s="4">
        <v>1</v>
      </c>
      <c r="AG943" s="4">
        <v>1</v>
      </c>
      <c r="AH943" s="4">
        <v>83</v>
      </c>
      <c r="AI943" s="4">
        <v>86</v>
      </c>
      <c r="AJ943" s="4">
        <v>12</v>
      </c>
      <c r="AK943" s="4">
        <v>14</v>
      </c>
      <c r="AL943" s="4">
        <v>49</v>
      </c>
      <c r="AM943" s="4">
        <v>51</v>
      </c>
      <c r="AN943" s="4">
        <v>0</v>
      </c>
      <c r="AO943" s="4">
        <v>0</v>
      </c>
      <c r="AP943" s="4">
        <v>13</v>
      </c>
      <c r="AQ943" s="4">
        <v>15</v>
      </c>
      <c r="AR943" s="3" t="s">
        <v>64</v>
      </c>
      <c r="AS943" s="3" t="s">
        <v>64</v>
      </c>
      <c r="AT943" s="3" t="s">
        <v>64</v>
      </c>
      <c r="AV943" s="6" t="str">
        <f>HYPERLINK("http://mcgill.on.worldcat.org/oclc/19778652","Catalog Record")</f>
        <v>Catalog Record</v>
      </c>
      <c r="AW943" s="6" t="str">
        <f>HYPERLINK("http://www.worldcat.org/oclc/19778652","WorldCat Record")</f>
        <v>WorldCat Record</v>
      </c>
      <c r="AX943" s="3" t="s">
        <v>9699</v>
      </c>
      <c r="AY943" s="3" t="s">
        <v>9700</v>
      </c>
      <c r="AZ943" s="3" t="s">
        <v>9701</v>
      </c>
      <c r="BA943" s="3" t="s">
        <v>9701</v>
      </c>
      <c r="BB943" s="3" t="s">
        <v>9702</v>
      </c>
      <c r="BC943" s="3" t="s">
        <v>78</v>
      </c>
      <c r="BD943" s="3" t="s">
        <v>79</v>
      </c>
      <c r="BE943" s="3" t="s">
        <v>9703</v>
      </c>
      <c r="BF943" s="3" t="s">
        <v>9702</v>
      </c>
      <c r="BG943" s="3" t="s">
        <v>9704</v>
      </c>
    </row>
    <row r="944" spans="1:59" ht="58" x14ac:dyDescent="0.35">
      <c r="A944" s="2" t="s">
        <v>59</v>
      </c>
      <c r="B944" s="2" t="s">
        <v>94</v>
      </c>
      <c r="C944" s="2" t="s">
        <v>9705</v>
      </c>
      <c r="D944" s="2" t="s">
        <v>9706</v>
      </c>
      <c r="E944" s="2" t="s">
        <v>9707</v>
      </c>
      <c r="G944" s="3" t="s">
        <v>64</v>
      </c>
      <c r="I944" s="3" t="s">
        <v>64</v>
      </c>
      <c r="J944" s="3" t="s">
        <v>64</v>
      </c>
      <c r="K944" s="3" t="s">
        <v>65</v>
      </c>
      <c r="L944" s="2" t="s">
        <v>9708</v>
      </c>
      <c r="M944" s="2" t="s">
        <v>9709</v>
      </c>
      <c r="N944" s="3" t="s">
        <v>524</v>
      </c>
      <c r="P944" s="3" t="s">
        <v>69</v>
      </c>
      <c r="R944" s="3" t="s">
        <v>9228</v>
      </c>
      <c r="S944" s="4">
        <v>0</v>
      </c>
      <c r="T944" s="4">
        <v>0</v>
      </c>
      <c r="W944" s="5" t="s">
        <v>72</v>
      </c>
      <c r="X944" s="5" t="s">
        <v>72</v>
      </c>
      <c r="Y944" s="4">
        <v>39</v>
      </c>
      <c r="Z944" s="4">
        <v>2</v>
      </c>
      <c r="AA944" s="4">
        <v>82</v>
      </c>
      <c r="AB944" s="4">
        <v>1</v>
      </c>
      <c r="AC944" s="4">
        <v>17</v>
      </c>
      <c r="AD944" s="4">
        <v>30</v>
      </c>
      <c r="AE944" s="4">
        <v>122</v>
      </c>
      <c r="AF944" s="4">
        <v>0</v>
      </c>
      <c r="AG944" s="4">
        <v>8</v>
      </c>
      <c r="AH944" s="4">
        <v>29</v>
      </c>
      <c r="AI944" s="4">
        <v>86</v>
      </c>
      <c r="AJ944" s="4">
        <v>1</v>
      </c>
      <c r="AK944" s="4">
        <v>20</v>
      </c>
      <c r="AL944" s="4">
        <v>19</v>
      </c>
      <c r="AM944" s="4">
        <v>47</v>
      </c>
      <c r="AN944" s="4">
        <v>0</v>
      </c>
      <c r="AO944" s="4">
        <v>0</v>
      </c>
      <c r="AP944" s="4">
        <v>1</v>
      </c>
      <c r="AQ944" s="4">
        <v>41</v>
      </c>
      <c r="AR944" s="3" t="s">
        <v>64</v>
      </c>
      <c r="AS944" s="3" t="s">
        <v>64</v>
      </c>
      <c r="AT944" s="3" t="s">
        <v>64</v>
      </c>
      <c r="AV944" s="6" t="str">
        <f>HYPERLINK("http://mcgill.on.worldcat.org/oclc/839397674","Catalog Record")</f>
        <v>Catalog Record</v>
      </c>
      <c r="AW944" s="6" t="str">
        <f>HYPERLINK("http://www.worldcat.org/oclc/839397674","WorldCat Record")</f>
        <v>WorldCat Record</v>
      </c>
      <c r="AX944" s="3" t="s">
        <v>9710</v>
      </c>
      <c r="AY944" s="3" t="s">
        <v>9711</v>
      </c>
      <c r="AZ944" s="3" t="s">
        <v>9712</v>
      </c>
      <c r="BA944" s="3" t="s">
        <v>9712</v>
      </c>
      <c r="BB944" s="3" t="s">
        <v>9713</v>
      </c>
      <c r="BC944" s="3" t="s">
        <v>78</v>
      </c>
      <c r="BD944" s="3" t="s">
        <v>79</v>
      </c>
      <c r="BE944" s="3" t="s">
        <v>9714</v>
      </c>
      <c r="BF944" s="3" t="s">
        <v>9713</v>
      </c>
      <c r="BG944" s="3" t="s">
        <v>9715</v>
      </c>
    </row>
    <row r="945" spans="1:59" ht="58" x14ac:dyDescent="0.35">
      <c r="A945" s="2" t="s">
        <v>59</v>
      </c>
      <c r="B945" s="2" t="s">
        <v>94</v>
      </c>
      <c r="C945" s="2" t="s">
        <v>9716</v>
      </c>
      <c r="D945" s="2" t="s">
        <v>9717</v>
      </c>
      <c r="E945" s="2" t="s">
        <v>9718</v>
      </c>
      <c r="G945" s="3" t="s">
        <v>64</v>
      </c>
      <c r="I945" s="3" t="s">
        <v>64</v>
      </c>
      <c r="J945" s="3" t="s">
        <v>64</v>
      </c>
      <c r="K945" s="3" t="s">
        <v>65</v>
      </c>
      <c r="L945" s="2" t="s">
        <v>9719</v>
      </c>
      <c r="M945" s="2" t="s">
        <v>9720</v>
      </c>
      <c r="N945" s="3" t="s">
        <v>377</v>
      </c>
      <c r="P945" s="3" t="s">
        <v>69</v>
      </c>
      <c r="Q945" s="2" t="s">
        <v>9721</v>
      </c>
      <c r="R945" s="3" t="s">
        <v>9228</v>
      </c>
      <c r="S945" s="4">
        <v>0</v>
      </c>
      <c r="T945" s="4">
        <v>0</v>
      </c>
      <c r="W945" s="5" t="s">
        <v>72</v>
      </c>
      <c r="X945" s="5" t="s">
        <v>72</v>
      </c>
      <c r="Y945" s="4">
        <v>78</v>
      </c>
      <c r="Z945" s="4">
        <v>4</v>
      </c>
      <c r="AA945" s="4">
        <v>32</v>
      </c>
      <c r="AB945" s="4">
        <v>1</v>
      </c>
      <c r="AC945" s="4">
        <v>6</v>
      </c>
      <c r="AD945" s="4">
        <v>47</v>
      </c>
      <c r="AE945" s="4">
        <v>96</v>
      </c>
      <c r="AF945" s="4">
        <v>0</v>
      </c>
      <c r="AG945" s="4">
        <v>2</v>
      </c>
      <c r="AH945" s="4">
        <v>46</v>
      </c>
      <c r="AI945" s="4">
        <v>79</v>
      </c>
      <c r="AJ945" s="4">
        <v>3</v>
      </c>
      <c r="AK945" s="4">
        <v>13</v>
      </c>
      <c r="AL945" s="4">
        <v>26</v>
      </c>
      <c r="AM945" s="4">
        <v>43</v>
      </c>
      <c r="AN945" s="4">
        <v>0</v>
      </c>
      <c r="AO945" s="4">
        <v>0</v>
      </c>
      <c r="AP945" s="4">
        <v>3</v>
      </c>
      <c r="AQ945" s="4">
        <v>23</v>
      </c>
      <c r="AR945" s="3" t="s">
        <v>64</v>
      </c>
      <c r="AS945" s="3" t="s">
        <v>64</v>
      </c>
      <c r="AT945" s="3" t="s">
        <v>64</v>
      </c>
      <c r="AV945" s="6" t="str">
        <f>HYPERLINK("http://mcgill.on.worldcat.org/oclc/816499183","Catalog Record")</f>
        <v>Catalog Record</v>
      </c>
      <c r="AW945" s="6" t="str">
        <f>HYPERLINK("http://www.worldcat.org/oclc/816499183","WorldCat Record")</f>
        <v>WorldCat Record</v>
      </c>
      <c r="AX945" s="3" t="s">
        <v>9722</v>
      </c>
      <c r="AY945" s="3" t="s">
        <v>9723</v>
      </c>
      <c r="AZ945" s="3" t="s">
        <v>9724</v>
      </c>
      <c r="BA945" s="3" t="s">
        <v>9724</v>
      </c>
      <c r="BB945" s="3" t="s">
        <v>9725</v>
      </c>
      <c r="BC945" s="3" t="s">
        <v>78</v>
      </c>
      <c r="BD945" s="3" t="s">
        <v>79</v>
      </c>
      <c r="BE945" s="3" t="s">
        <v>9726</v>
      </c>
      <c r="BF945" s="3" t="s">
        <v>9725</v>
      </c>
      <c r="BG945" s="3" t="s">
        <v>9727</v>
      </c>
    </row>
    <row r="946" spans="1:59" ht="58" x14ac:dyDescent="0.35">
      <c r="A946" s="2" t="s">
        <v>59</v>
      </c>
      <c r="B946" s="2" t="s">
        <v>94</v>
      </c>
      <c r="C946" s="2" t="s">
        <v>9728</v>
      </c>
      <c r="D946" s="2" t="s">
        <v>9729</v>
      </c>
      <c r="E946" s="2" t="s">
        <v>9730</v>
      </c>
      <c r="G946" s="3" t="s">
        <v>64</v>
      </c>
      <c r="I946" s="3" t="s">
        <v>64</v>
      </c>
      <c r="J946" s="3" t="s">
        <v>64</v>
      </c>
      <c r="K946" s="3" t="s">
        <v>65</v>
      </c>
      <c r="M946" s="2" t="s">
        <v>9731</v>
      </c>
      <c r="N946" s="3" t="s">
        <v>872</v>
      </c>
      <c r="P946" s="3" t="s">
        <v>69</v>
      </c>
      <c r="Q946" s="2" t="s">
        <v>9732</v>
      </c>
      <c r="R946" s="3" t="s">
        <v>9228</v>
      </c>
      <c r="S946" s="4">
        <v>8</v>
      </c>
      <c r="T946" s="4">
        <v>8</v>
      </c>
      <c r="U946" s="5" t="s">
        <v>5181</v>
      </c>
      <c r="V946" s="5" t="s">
        <v>5181</v>
      </c>
      <c r="W946" s="5" t="s">
        <v>72</v>
      </c>
      <c r="X946" s="5" t="s">
        <v>72</v>
      </c>
      <c r="Y946" s="4">
        <v>289</v>
      </c>
      <c r="Z946" s="4">
        <v>16</v>
      </c>
      <c r="AA946" s="4">
        <v>23</v>
      </c>
      <c r="AB946" s="4">
        <v>1</v>
      </c>
      <c r="AC946" s="4">
        <v>5</v>
      </c>
      <c r="AD946" s="4">
        <v>99</v>
      </c>
      <c r="AE946" s="4">
        <v>104</v>
      </c>
      <c r="AF946" s="4">
        <v>0</v>
      </c>
      <c r="AG946" s="4">
        <v>1</v>
      </c>
      <c r="AH946" s="4">
        <v>88</v>
      </c>
      <c r="AI946" s="4">
        <v>89</v>
      </c>
      <c r="AJ946" s="4">
        <v>8</v>
      </c>
      <c r="AK946" s="4">
        <v>12</v>
      </c>
      <c r="AL946" s="4">
        <v>50</v>
      </c>
      <c r="AM946" s="4">
        <v>50</v>
      </c>
      <c r="AN946" s="4">
        <v>0</v>
      </c>
      <c r="AO946" s="4">
        <v>0</v>
      </c>
      <c r="AP946" s="4">
        <v>13</v>
      </c>
      <c r="AQ946" s="4">
        <v>17</v>
      </c>
      <c r="AR946" s="3" t="s">
        <v>64</v>
      </c>
      <c r="AS946" s="3" t="s">
        <v>64</v>
      </c>
      <c r="AT946" s="3" t="s">
        <v>73</v>
      </c>
      <c r="AU946" s="6" t="str">
        <f>HYPERLINK("http://catalog.hathitrust.org/Record/001544118","HathiTrust Record")</f>
        <v>HathiTrust Record</v>
      </c>
      <c r="AV946" s="6" t="str">
        <f>HYPERLINK("http://mcgill.on.worldcat.org/oclc/15793921","Catalog Record")</f>
        <v>Catalog Record</v>
      </c>
      <c r="AW946" s="6" t="str">
        <f>HYPERLINK("http://www.worldcat.org/oclc/15793921","WorldCat Record")</f>
        <v>WorldCat Record</v>
      </c>
      <c r="AX946" s="3" t="s">
        <v>9733</v>
      </c>
      <c r="AY946" s="3" t="s">
        <v>9734</v>
      </c>
      <c r="AZ946" s="3" t="s">
        <v>9735</v>
      </c>
      <c r="BA946" s="3" t="s">
        <v>9735</v>
      </c>
      <c r="BB946" s="3" t="s">
        <v>9736</v>
      </c>
      <c r="BC946" s="3" t="s">
        <v>78</v>
      </c>
      <c r="BD946" s="3" t="s">
        <v>79</v>
      </c>
      <c r="BE946" s="3" t="s">
        <v>9737</v>
      </c>
      <c r="BF946" s="3" t="s">
        <v>9736</v>
      </c>
      <c r="BG946" s="3" t="s">
        <v>9738</v>
      </c>
    </row>
    <row r="947" spans="1:59" ht="58" x14ac:dyDescent="0.35">
      <c r="A947" s="2" t="s">
        <v>59</v>
      </c>
      <c r="B947" s="2" t="s">
        <v>94</v>
      </c>
      <c r="C947" s="2" t="s">
        <v>9739</v>
      </c>
      <c r="D947" s="2" t="s">
        <v>9740</v>
      </c>
      <c r="E947" s="2" t="s">
        <v>9741</v>
      </c>
      <c r="G947" s="3" t="s">
        <v>64</v>
      </c>
      <c r="I947" s="3" t="s">
        <v>64</v>
      </c>
      <c r="J947" s="3" t="s">
        <v>64</v>
      </c>
      <c r="K947" s="3" t="s">
        <v>65</v>
      </c>
      <c r="L947" s="2" t="s">
        <v>9742</v>
      </c>
      <c r="M947" s="2" t="s">
        <v>9743</v>
      </c>
      <c r="N947" s="3" t="s">
        <v>4535</v>
      </c>
      <c r="P947" s="3" t="s">
        <v>69</v>
      </c>
      <c r="R947" s="3" t="s">
        <v>9228</v>
      </c>
      <c r="S947" s="4">
        <v>0</v>
      </c>
      <c r="T947" s="4">
        <v>0</v>
      </c>
      <c r="W947" s="5" t="s">
        <v>72</v>
      </c>
      <c r="X947" s="5" t="s">
        <v>72</v>
      </c>
      <c r="Y947" s="4">
        <v>27</v>
      </c>
      <c r="Z947" s="4">
        <v>3</v>
      </c>
      <c r="AA947" s="4">
        <v>8</v>
      </c>
      <c r="AB947" s="4">
        <v>1</v>
      </c>
      <c r="AC947" s="4">
        <v>3</v>
      </c>
      <c r="AD947" s="4">
        <v>12</v>
      </c>
      <c r="AE947" s="4">
        <v>23</v>
      </c>
      <c r="AF947" s="4">
        <v>0</v>
      </c>
      <c r="AG947" s="4">
        <v>0</v>
      </c>
      <c r="AH947" s="4">
        <v>12</v>
      </c>
      <c r="AI947" s="4">
        <v>21</v>
      </c>
      <c r="AJ947" s="4">
        <v>1</v>
      </c>
      <c r="AK947" s="4">
        <v>2</v>
      </c>
      <c r="AL947" s="4">
        <v>8</v>
      </c>
      <c r="AM947" s="4">
        <v>13</v>
      </c>
      <c r="AN947" s="4">
        <v>0</v>
      </c>
      <c r="AO947" s="4">
        <v>0</v>
      </c>
      <c r="AP947" s="4">
        <v>2</v>
      </c>
      <c r="AQ947" s="4">
        <v>4</v>
      </c>
      <c r="AR947" s="3" t="s">
        <v>64</v>
      </c>
      <c r="AS947" s="3" t="s">
        <v>64</v>
      </c>
      <c r="AT947" s="3" t="s">
        <v>64</v>
      </c>
      <c r="AV947" s="6" t="str">
        <f>HYPERLINK("http://mcgill.on.worldcat.org/oclc/991095840","Catalog Record")</f>
        <v>Catalog Record</v>
      </c>
      <c r="AW947" s="6" t="str">
        <f>HYPERLINK("http://www.worldcat.org/oclc/991095840","WorldCat Record")</f>
        <v>WorldCat Record</v>
      </c>
      <c r="AX947" s="3" t="s">
        <v>9744</v>
      </c>
      <c r="AY947" s="3" t="s">
        <v>9745</v>
      </c>
      <c r="AZ947" s="3" t="s">
        <v>9746</v>
      </c>
      <c r="BA947" s="3" t="s">
        <v>9746</v>
      </c>
      <c r="BB947" s="3" t="s">
        <v>9747</v>
      </c>
      <c r="BC947" s="3" t="s">
        <v>78</v>
      </c>
      <c r="BD947" s="3" t="s">
        <v>79</v>
      </c>
      <c r="BE947" s="3" t="s">
        <v>9748</v>
      </c>
      <c r="BF947" s="3" t="s">
        <v>9747</v>
      </c>
      <c r="BG947" s="3" t="s">
        <v>9749</v>
      </c>
    </row>
    <row r="948" spans="1:59" ht="58" x14ac:dyDescent="0.35">
      <c r="A948" s="2" t="s">
        <v>59</v>
      </c>
      <c r="B948" s="2" t="s">
        <v>94</v>
      </c>
      <c r="C948" s="2" t="s">
        <v>9750</v>
      </c>
      <c r="D948" s="2" t="s">
        <v>9751</v>
      </c>
      <c r="E948" s="2" t="s">
        <v>9752</v>
      </c>
      <c r="G948" s="3" t="s">
        <v>64</v>
      </c>
      <c r="I948" s="3" t="s">
        <v>64</v>
      </c>
      <c r="J948" s="3" t="s">
        <v>64</v>
      </c>
      <c r="K948" s="3" t="s">
        <v>65</v>
      </c>
      <c r="L948" s="2" t="s">
        <v>9753</v>
      </c>
      <c r="M948" s="2" t="s">
        <v>9754</v>
      </c>
      <c r="N948" s="3" t="s">
        <v>214</v>
      </c>
      <c r="O948" s="2" t="s">
        <v>638</v>
      </c>
      <c r="P948" s="3" t="s">
        <v>69</v>
      </c>
      <c r="Q948" s="2" t="s">
        <v>7641</v>
      </c>
      <c r="R948" s="3" t="s">
        <v>9228</v>
      </c>
      <c r="S948" s="4">
        <v>7</v>
      </c>
      <c r="T948" s="4">
        <v>7</v>
      </c>
      <c r="U948" s="5" t="s">
        <v>9755</v>
      </c>
      <c r="V948" s="5" t="s">
        <v>9755</v>
      </c>
      <c r="W948" s="5" t="s">
        <v>72</v>
      </c>
      <c r="X948" s="5" t="s">
        <v>72</v>
      </c>
      <c r="Y948" s="4">
        <v>108</v>
      </c>
      <c r="Z948" s="4">
        <v>42</v>
      </c>
      <c r="AA948" s="4">
        <v>53</v>
      </c>
      <c r="AB948" s="4">
        <v>1</v>
      </c>
      <c r="AC948" s="4">
        <v>6</v>
      </c>
      <c r="AD948" s="4">
        <v>49</v>
      </c>
      <c r="AE948" s="4">
        <v>58</v>
      </c>
      <c r="AF948" s="4">
        <v>0</v>
      </c>
      <c r="AG948" s="4">
        <v>4</v>
      </c>
      <c r="AH948" s="4">
        <v>35</v>
      </c>
      <c r="AI948" s="4">
        <v>37</v>
      </c>
      <c r="AJ948" s="4">
        <v>18</v>
      </c>
      <c r="AK948" s="4">
        <v>21</v>
      </c>
      <c r="AL948" s="4">
        <v>19</v>
      </c>
      <c r="AM948" s="4">
        <v>19</v>
      </c>
      <c r="AN948" s="4">
        <v>0</v>
      </c>
      <c r="AO948" s="4">
        <v>0</v>
      </c>
      <c r="AP948" s="4">
        <v>22</v>
      </c>
      <c r="AQ948" s="4">
        <v>29</v>
      </c>
      <c r="AR948" s="3" t="s">
        <v>73</v>
      </c>
      <c r="AS948" s="3" t="s">
        <v>64</v>
      </c>
      <c r="AT948" s="3" t="s">
        <v>64</v>
      </c>
      <c r="AV948" s="6" t="str">
        <f>HYPERLINK("http://mcgill.on.worldcat.org/oclc/465565901","Catalog Record")</f>
        <v>Catalog Record</v>
      </c>
      <c r="AW948" s="6" t="str">
        <f>HYPERLINK("http://www.worldcat.org/oclc/465565901","WorldCat Record")</f>
        <v>WorldCat Record</v>
      </c>
      <c r="AX948" s="3" t="s">
        <v>9756</v>
      </c>
      <c r="AY948" s="3" t="s">
        <v>9757</v>
      </c>
      <c r="AZ948" s="3" t="s">
        <v>9758</v>
      </c>
      <c r="BA948" s="3" t="s">
        <v>9758</v>
      </c>
      <c r="BB948" s="3" t="s">
        <v>9759</v>
      </c>
      <c r="BC948" s="3" t="s">
        <v>78</v>
      </c>
      <c r="BD948" s="3" t="s">
        <v>79</v>
      </c>
      <c r="BE948" s="3" t="s">
        <v>9760</v>
      </c>
      <c r="BF948" s="3" t="s">
        <v>9759</v>
      </c>
      <c r="BG948" s="3" t="s">
        <v>9761</v>
      </c>
    </row>
    <row r="949" spans="1:59" ht="58" x14ac:dyDescent="0.35">
      <c r="A949" s="2" t="s">
        <v>59</v>
      </c>
      <c r="B949" s="2" t="s">
        <v>94</v>
      </c>
      <c r="C949" s="2" t="s">
        <v>9762</v>
      </c>
      <c r="D949" s="2" t="s">
        <v>9763</v>
      </c>
      <c r="E949" s="2" t="s">
        <v>9764</v>
      </c>
      <c r="G949" s="3" t="s">
        <v>64</v>
      </c>
      <c r="I949" s="3" t="s">
        <v>64</v>
      </c>
      <c r="J949" s="3" t="s">
        <v>64</v>
      </c>
      <c r="K949" s="3" t="s">
        <v>65</v>
      </c>
      <c r="L949" s="2" t="s">
        <v>9765</v>
      </c>
      <c r="M949" s="2" t="s">
        <v>9766</v>
      </c>
      <c r="N949" s="3" t="s">
        <v>264</v>
      </c>
      <c r="O949" s="2" t="s">
        <v>9767</v>
      </c>
      <c r="P949" s="3" t="s">
        <v>69</v>
      </c>
      <c r="R949" s="3" t="s">
        <v>9228</v>
      </c>
      <c r="S949" s="4">
        <v>5</v>
      </c>
      <c r="T949" s="4">
        <v>5</v>
      </c>
      <c r="U949" s="5" t="s">
        <v>9768</v>
      </c>
      <c r="V949" s="5" t="s">
        <v>9768</v>
      </c>
      <c r="W949" s="5" t="s">
        <v>72</v>
      </c>
      <c r="X949" s="5" t="s">
        <v>72</v>
      </c>
      <c r="Y949" s="4">
        <v>407</v>
      </c>
      <c r="Z949" s="4">
        <v>21</v>
      </c>
      <c r="AA949" s="4">
        <v>24</v>
      </c>
      <c r="AB949" s="4">
        <v>1</v>
      </c>
      <c r="AC949" s="4">
        <v>3</v>
      </c>
      <c r="AD949" s="4">
        <v>95</v>
      </c>
      <c r="AE949" s="4">
        <v>96</v>
      </c>
      <c r="AF949" s="4">
        <v>0</v>
      </c>
      <c r="AG949" s="4">
        <v>1</v>
      </c>
      <c r="AH949" s="4">
        <v>82</v>
      </c>
      <c r="AI949" s="4">
        <v>83</v>
      </c>
      <c r="AJ949" s="4">
        <v>16</v>
      </c>
      <c r="AK949" s="4">
        <v>17</v>
      </c>
      <c r="AL949" s="4">
        <v>48</v>
      </c>
      <c r="AM949" s="4">
        <v>48</v>
      </c>
      <c r="AN949" s="4">
        <v>0</v>
      </c>
      <c r="AO949" s="4">
        <v>0</v>
      </c>
      <c r="AP949" s="4">
        <v>18</v>
      </c>
      <c r="AQ949" s="4">
        <v>19</v>
      </c>
      <c r="AR949" s="3" t="s">
        <v>64</v>
      </c>
      <c r="AS949" s="3" t="s">
        <v>64</v>
      </c>
      <c r="AT949" s="3" t="s">
        <v>73</v>
      </c>
      <c r="AU949" s="6" t="str">
        <f>HYPERLINK("http://catalog.hathitrust.org/Record/000173209","HathiTrust Record")</f>
        <v>HathiTrust Record</v>
      </c>
      <c r="AV949" s="6" t="str">
        <f>HYPERLINK("http://mcgill.on.worldcat.org/oclc/2797842","Catalog Record")</f>
        <v>Catalog Record</v>
      </c>
      <c r="AW949" s="6" t="str">
        <f>HYPERLINK("http://www.worldcat.org/oclc/2797842","WorldCat Record")</f>
        <v>WorldCat Record</v>
      </c>
      <c r="AX949" s="3" t="s">
        <v>9769</v>
      </c>
      <c r="AY949" s="3" t="s">
        <v>9770</v>
      </c>
      <c r="AZ949" s="3" t="s">
        <v>9771</v>
      </c>
      <c r="BA949" s="3" t="s">
        <v>9771</v>
      </c>
      <c r="BB949" s="3" t="s">
        <v>9772</v>
      </c>
      <c r="BC949" s="3" t="s">
        <v>78</v>
      </c>
      <c r="BD949" s="3" t="s">
        <v>79</v>
      </c>
      <c r="BE949" s="3" t="s">
        <v>9773</v>
      </c>
      <c r="BF949" s="3" t="s">
        <v>9772</v>
      </c>
      <c r="BG949" s="3" t="s">
        <v>9774</v>
      </c>
    </row>
    <row r="950" spans="1:59" ht="58" x14ac:dyDescent="0.35">
      <c r="A950" s="2" t="s">
        <v>59</v>
      </c>
      <c r="B950" s="2" t="s">
        <v>94</v>
      </c>
      <c r="C950" s="2" t="s">
        <v>9775</v>
      </c>
      <c r="D950" s="2" t="s">
        <v>9776</v>
      </c>
      <c r="E950" s="2" t="s">
        <v>9777</v>
      </c>
      <c r="G950" s="3" t="s">
        <v>64</v>
      </c>
      <c r="I950" s="3" t="s">
        <v>64</v>
      </c>
      <c r="J950" s="3" t="s">
        <v>64</v>
      </c>
      <c r="K950" s="3" t="s">
        <v>65</v>
      </c>
      <c r="L950" s="2" t="s">
        <v>9778</v>
      </c>
      <c r="M950" s="2" t="s">
        <v>9779</v>
      </c>
      <c r="N950" s="3" t="s">
        <v>68</v>
      </c>
      <c r="P950" s="3" t="s">
        <v>69</v>
      </c>
      <c r="R950" s="3" t="s">
        <v>9228</v>
      </c>
      <c r="S950" s="4">
        <v>4</v>
      </c>
      <c r="T950" s="4">
        <v>4</v>
      </c>
      <c r="U950" s="5" t="s">
        <v>9182</v>
      </c>
      <c r="V950" s="5" t="s">
        <v>9182</v>
      </c>
      <c r="W950" s="5" t="s">
        <v>72</v>
      </c>
      <c r="X950" s="5" t="s">
        <v>72</v>
      </c>
      <c r="Y950" s="4">
        <v>95</v>
      </c>
      <c r="Z950" s="4">
        <v>9</v>
      </c>
      <c r="AA950" s="4">
        <v>9</v>
      </c>
      <c r="AB950" s="4">
        <v>1</v>
      </c>
      <c r="AC950" s="4">
        <v>1</v>
      </c>
      <c r="AD950" s="4">
        <v>55</v>
      </c>
      <c r="AE950" s="4">
        <v>55</v>
      </c>
      <c r="AF950" s="4">
        <v>0</v>
      </c>
      <c r="AG950" s="4">
        <v>0</v>
      </c>
      <c r="AH950" s="4">
        <v>50</v>
      </c>
      <c r="AI950" s="4">
        <v>50</v>
      </c>
      <c r="AJ950" s="4">
        <v>6</v>
      </c>
      <c r="AK950" s="4">
        <v>6</v>
      </c>
      <c r="AL950" s="4">
        <v>32</v>
      </c>
      <c r="AM950" s="4">
        <v>32</v>
      </c>
      <c r="AN950" s="4">
        <v>0</v>
      </c>
      <c r="AO950" s="4">
        <v>0</v>
      </c>
      <c r="AP950" s="4">
        <v>7</v>
      </c>
      <c r="AQ950" s="4">
        <v>7</v>
      </c>
      <c r="AR950" s="3" t="s">
        <v>64</v>
      </c>
      <c r="AS950" s="3" t="s">
        <v>64</v>
      </c>
      <c r="AT950" s="3" t="s">
        <v>64</v>
      </c>
      <c r="AV950" s="6" t="str">
        <f>HYPERLINK("http://mcgill.on.worldcat.org/oclc/65521485","Catalog Record")</f>
        <v>Catalog Record</v>
      </c>
      <c r="AW950" s="6" t="str">
        <f>HYPERLINK("http://www.worldcat.org/oclc/65521485","WorldCat Record")</f>
        <v>WorldCat Record</v>
      </c>
      <c r="AX950" s="3" t="s">
        <v>9780</v>
      </c>
      <c r="AY950" s="3" t="s">
        <v>9781</v>
      </c>
      <c r="AZ950" s="3" t="s">
        <v>9782</v>
      </c>
      <c r="BA950" s="3" t="s">
        <v>9782</v>
      </c>
      <c r="BB950" s="3" t="s">
        <v>9783</v>
      </c>
      <c r="BC950" s="3" t="s">
        <v>78</v>
      </c>
      <c r="BD950" s="3" t="s">
        <v>79</v>
      </c>
      <c r="BE950" s="3" t="s">
        <v>9784</v>
      </c>
      <c r="BF950" s="3" t="s">
        <v>9783</v>
      </c>
      <c r="BG950" s="3" t="s">
        <v>9785</v>
      </c>
    </row>
    <row r="951" spans="1:59" ht="58" x14ac:dyDescent="0.35">
      <c r="A951" s="2" t="s">
        <v>59</v>
      </c>
      <c r="B951" s="2" t="s">
        <v>94</v>
      </c>
      <c r="C951" s="2" t="s">
        <v>9786</v>
      </c>
      <c r="D951" s="2" t="s">
        <v>9787</v>
      </c>
      <c r="E951" s="2" t="s">
        <v>9788</v>
      </c>
      <c r="G951" s="3" t="s">
        <v>64</v>
      </c>
      <c r="I951" s="3" t="s">
        <v>64</v>
      </c>
      <c r="J951" s="3" t="s">
        <v>64</v>
      </c>
      <c r="K951" s="3" t="s">
        <v>65</v>
      </c>
      <c r="L951" s="2" t="s">
        <v>9789</v>
      </c>
      <c r="M951" s="2" t="s">
        <v>9790</v>
      </c>
      <c r="N951" s="3" t="s">
        <v>2214</v>
      </c>
      <c r="P951" s="3" t="s">
        <v>69</v>
      </c>
      <c r="R951" s="3" t="s">
        <v>9228</v>
      </c>
      <c r="S951" s="4">
        <v>8</v>
      </c>
      <c r="T951" s="4">
        <v>8</v>
      </c>
      <c r="U951" s="5" t="s">
        <v>9791</v>
      </c>
      <c r="V951" s="5" t="s">
        <v>9791</v>
      </c>
      <c r="W951" s="5" t="s">
        <v>72</v>
      </c>
      <c r="X951" s="5" t="s">
        <v>72</v>
      </c>
      <c r="Y951" s="4">
        <v>477</v>
      </c>
      <c r="Z951" s="4">
        <v>28</v>
      </c>
      <c r="AA951" s="4">
        <v>29</v>
      </c>
      <c r="AB951" s="4">
        <v>2</v>
      </c>
      <c r="AC951" s="4">
        <v>3</v>
      </c>
      <c r="AD951" s="4">
        <v>116</v>
      </c>
      <c r="AE951" s="4">
        <v>117</v>
      </c>
      <c r="AF951" s="4">
        <v>1</v>
      </c>
      <c r="AG951" s="4">
        <v>2</v>
      </c>
      <c r="AH951" s="4">
        <v>100</v>
      </c>
      <c r="AI951" s="4">
        <v>100</v>
      </c>
      <c r="AJ951" s="4">
        <v>18</v>
      </c>
      <c r="AK951" s="4">
        <v>19</v>
      </c>
      <c r="AL951" s="4">
        <v>56</v>
      </c>
      <c r="AM951" s="4">
        <v>56</v>
      </c>
      <c r="AN951" s="4">
        <v>0</v>
      </c>
      <c r="AO951" s="4">
        <v>0</v>
      </c>
      <c r="AP951" s="4">
        <v>22</v>
      </c>
      <c r="AQ951" s="4">
        <v>23</v>
      </c>
      <c r="AR951" s="3" t="s">
        <v>64</v>
      </c>
      <c r="AS951" s="3" t="s">
        <v>64</v>
      </c>
      <c r="AT951" s="3" t="s">
        <v>73</v>
      </c>
      <c r="AU951" s="6" t="str">
        <f>HYPERLINK("http://catalog.hathitrust.org/Record/000223330","HathiTrust Record")</f>
        <v>HathiTrust Record</v>
      </c>
      <c r="AV951" s="6" t="str">
        <f>HYPERLINK("http://mcgill.on.worldcat.org/oclc/1855984","Catalog Record")</f>
        <v>Catalog Record</v>
      </c>
      <c r="AW951" s="6" t="str">
        <f>HYPERLINK("http://www.worldcat.org/oclc/1855984","WorldCat Record")</f>
        <v>WorldCat Record</v>
      </c>
      <c r="AX951" s="3" t="s">
        <v>9792</v>
      </c>
      <c r="AY951" s="3" t="s">
        <v>9793</v>
      </c>
      <c r="AZ951" s="3" t="s">
        <v>9794</v>
      </c>
      <c r="BA951" s="3" t="s">
        <v>9794</v>
      </c>
      <c r="BB951" s="3" t="s">
        <v>9795</v>
      </c>
      <c r="BC951" s="3" t="s">
        <v>78</v>
      </c>
      <c r="BD951" s="3" t="s">
        <v>3776</v>
      </c>
      <c r="BE951" s="3" t="s">
        <v>9796</v>
      </c>
      <c r="BF951" s="3" t="s">
        <v>9795</v>
      </c>
      <c r="BG951" s="3" t="s">
        <v>9797</v>
      </c>
    </row>
    <row r="952" spans="1:59" ht="58" x14ac:dyDescent="0.35">
      <c r="A952" s="2" t="s">
        <v>59</v>
      </c>
      <c r="B952" s="2" t="s">
        <v>94</v>
      </c>
      <c r="C952" s="2" t="s">
        <v>9798</v>
      </c>
      <c r="D952" s="2" t="s">
        <v>9799</v>
      </c>
      <c r="E952" s="2" t="s">
        <v>9800</v>
      </c>
      <c r="G952" s="3" t="s">
        <v>64</v>
      </c>
      <c r="I952" s="3" t="s">
        <v>64</v>
      </c>
      <c r="J952" s="3" t="s">
        <v>64</v>
      </c>
      <c r="K952" s="3" t="s">
        <v>65</v>
      </c>
      <c r="M952" s="2" t="s">
        <v>9801</v>
      </c>
      <c r="N952" s="3" t="s">
        <v>303</v>
      </c>
      <c r="P952" s="3" t="s">
        <v>69</v>
      </c>
      <c r="Q952" s="2" t="s">
        <v>9802</v>
      </c>
      <c r="R952" s="3" t="s">
        <v>9228</v>
      </c>
      <c r="S952" s="4">
        <v>20</v>
      </c>
      <c r="T952" s="4">
        <v>20</v>
      </c>
      <c r="U952" s="5" t="s">
        <v>5525</v>
      </c>
      <c r="V952" s="5" t="s">
        <v>5525</v>
      </c>
      <c r="W952" s="5" t="s">
        <v>72</v>
      </c>
      <c r="X952" s="5" t="s">
        <v>72</v>
      </c>
      <c r="Y952" s="4">
        <v>614</v>
      </c>
      <c r="Z952" s="4">
        <v>27</v>
      </c>
      <c r="AA952" s="4">
        <v>29</v>
      </c>
      <c r="AB952" s="4">
        <v>2</v>
      </c>
      <c r="AC952" s="4">
        <v>3</v>
      </c>
      <c r="AD952" s="4">
        <v>111</v>
      </c>
      <c r="AE952" s="4">
        <v>113</v>
      </c>
      <c r="AF952" s="4">
        <v>1</v>
      </c>
      <c r="AG952" s="4">
        <v>2</v>
      </c>
      <c r="AH952" s="4">
        <v>97</v>
      </c>
      <c r="AI952" s="4">
        <v>97</v>
      </c>
      <c r="AJ952" s="4">
        <v>15</v>
      </c>
      <c r="AK952" s="4">
        <v>16</v>
      </c>
      <c r="AL952" s="4">
        <v>53</v>
      </c>
      <c r="AM952" s="4">
        <v>53</v>
      </c>
      <c r="AN952" s="4">
        <v>0</v>
      </c>
      <c r="AO952" s="4">
        <v>0</v>
      </c>
      <c r="AP952" s="4">
        <v>21</v>
      </c>
      <c r="AQ952" s="4">
        <v>23</v>
      </c>
      <c r="AR952" s="3" t="s">
        <v>64</v>
      </c>
      <c r="AS952" s="3" t="s">
        <v>64</v>
      </c>
      <c r="AT952" s="3" t="s">
        <v>64</v>
      </c>
      <c r="AV952" s="6" t="str">
        <f>HYPERLINK("http://mcgill.on.worldcat.org/oclc/27227037","Catalog Record")</f>
        <v>Catalog Record</v>
      </c>
      <c r="AW952" s="6" t="str">
        <f>HYPERLINK("http://www.worldcat.org/oclc/27227037","WorldCat Record")</f>
        <v>WorldCat Record</v>
      </c>
      <c r="AX952" s="3" t="s">
        <v>9803</v>
      </c>
      <c r="AY952" s="3" t="s">
        <v>9804</v>
      </c>
      <c r="AZ952" s="3" t="s">
        <v>9805</v>
      </c>
      <c r="BA952" s="3" t="s">
        <v>9805</v>
      </c>
      <c r="BB952" s="3" t="s">
        <v>9806</v>
      </c>
      <c r="BC952" s="3" t="s">
        <v>78</v>
      </c>
      <c r="BD952" s="3" t="s">
        <v>79</v>
      </c>
      <c r="BE952" s="3" t="s">
        <v>9807</v>
      </c>
      <c r="BF952" s="3" t="s">
        <v>9806</v>
      </c>
      <c r="BG952" s="3" t="s">
        <v>9808</v>
      </c>
    </row>
    <row r="953" spans="1:59" ht="58" x14ac:dyDescent="0.35">
      <c r="A953" s="2" t="s">
        <v>59</v>
      </c>
      <c r="B953" s="2" t="s">
        <v>94</v>
      </c>
      <c r="C953" s="2" t="s">
        <v>9809</v>
      </c>
      <c r="D953" s="2" t="s">
        <v>9810</v>
      </c>
      <c r="E953" s="2" t="s">
        <v>9811</v>
      </c>
      <c r="G953" s="3" t="s">
        <v>64</v>
      </c>
      <c r="I953" s="3" t="s">
        <v>64</v>
      </c>
      <c r="J953" s="3" t="s">
        <v>64</v>
      </c>
      <c r="K953" s="3" t="s">
        <v>65</v>
      </c>
      <c r="M953" s="2" t="s">
        <v>9812</v>
      </c>
      <c r="N953" s="3" t="s">
        <v>136</v>
      </c>
      <c r="O953" s="2" t="s">
        <v>2442</v>
      </c>
      <c r="P953" s="3" t="s">
        <v>69</v>
      </c>
      <c r="Q953" s="2" t="s">
        <v>5785</v>
      </c>
      <c r="R953" s="3" t="s">
        <v>9228</v>
      </c>
      <c r="S953" s="4">
        <v>3</v>
      </c>
      <c r="T953" s="4">
        <v>3</v>
      </c>
      <c r="U953" s="5" t="s">
        <v>9768</v>
      </c>
      <c r="V953" s="5" t="s">
        <v>9768</v>
      </c>
      <c r="W953" s="5" t="s">
        <v>72</v>
      </c>
      <c r="X953" s="5" t="s">
        <v>72</v>
      </c>
      <c r="Y953" s="4">
        <v>196</v>
      </c>
      <c r="Z953" s="4">
        <v>14</v>
      </c>
      <c r="AA953" s="4">
        <v>53</v>
      </c>
      <c r="AB953" s="4">
        <v>1</v>
      </c>
      <c r="AC953" s="4">
        <v>5</v>
      </c>
      <c r="AD953" s="4">
        <v>58</v>
      </c>
      <c r="AE953" s="4">
        <v>119</v>
      </c>
      <c r="AF953" s="4">
        <v>0</v>
      </c>
      <c r="AG953" s="4">
        <v>2</v>
      </c>
      <c r="AH953" s="4">
        <v>51</v>
      </c>
      <c r="AI953" s="4">
        <v>101</v>
      </c>
      <c r="AJ953" s="4">
        <v>5</v>
      </c>
      <c r="AK953" s="4">
        <v>12</v>
      </c>
      <c r="AL953" s="4">
        <v>33</v>
      </c>
      <c r="AM953" s="4">
        <v>55</v>
      </c>
      <c r="AN953" s="4">
        <v>0</v>
      </c>
      <c r="AO953" s="4">
        <v>0</v>
      </c>
      <c r="AP953" s="4">
        <v>8</v>
      </c>
      <c r="AQ953" s="4">
        <v>21</v>
      </c>
      <c r="AR953" s="3" t="s">
        <v>64</v>
      </c>
      <c r="AS953" s="3" t="s">
        <v>64</v>
      </c>
      <c r="AT953" s="3" t="s">
        <v>64</v>
      </c>
      <c r="AV953" s="6" t="str">
        <f>HYPERLINK("http://mcgill.on.worldcat.org/oclc/42849749","Catalog Record")</f>
        <v>Catalog Record</v>
      </c>
      <c r="AW953" s="6" t="str">
        <f>HYPERLINK("http://www.worldcat.org/oclc/42849749","WorldCat Record")</f>
        <v>WorldCat Record</v>
      </c>
      <c r="AX953" s="3" t="s">
        <v>9813</v>
      </c>
      <c r="AY953" s="3" t="s">
        <v>9814</v>
      </c>
      <c r="AZ953" s="3" t="s">
        <v>9815</v>
      </c>
      <c r="BA953" s="3" t="s">
        <v>9815</v>
      </c>
      <c r="BB953" s="3" t="s">
        <v>9816</v>
      </c>
      <c r="BC953" s="3" t="s">
        <v>78</v>
      </c>
      <c r="BD953" s="3" t="s">
        <v>79</v>
      </c>
      <c r="BE953" s="3" t="s">
        <v>9817</v>
      </c>
      <c r="BF953" s="3" t="s">
        <v>9816</v>
      </c>
      <c r="BG953" s="3" t="s">
        <v>9818</v>
      </c>
    </row>
    <row r="954" spans="1:59" ht="58" x14ac:dyDescent="0.35">
      <c r="A954" s="2" t="s">
        <v>59</v>
      </c>
      <c r="B954" s="2" t="s">
        <v>94</v>
      </c>
      <c r="C954" s="2" t="s">
        <v>9819</v>
      </c>
      <c r="D954" s="2" t="s">
        <v>9820</v>
      </c>
      <c r="E954" s="2" t="s">
        <v>9821</v>
      </c>
      <c r="G954" s="3" t="s">
        <v>64</v>
      </c>
      <c r="I954" s="3" t="s">
        <v>64</v>
      </c>
      <c r="J954" s="3" t="s">
        <v>64</v>
      </c>
      <c r="K954" s="3" t="s">
        <v>65</v>
      </c>
      <c r="L954" s="2" t="s">
        <v>9822</v>
      </c>
      <c r="M954" s="2" t="s">
        <v>9823</v>
      </c>
      <c r="N954" s="3" t="s">
        <v>2265</v>
      </c>
      <c r="P954" s="3" t="s">
        <v>69</v>
      </c>
      <c r="R954" s="3" t="s">
        <v>9228</v>
      </c>
      <c r="S954" s="4">
        <v>2</v>
      </c>
      <c r="T954" s="4">
        <v>2</v>
      </c>
      <c r="U954" s="5" t="s">
        <v>149</v>
      </c>
      <c r="V954" s="5" t="s">
        <v>149</v>
      </c>
      <c r="W954" s="5" t="s">
        <v>72</v>
      </c>
      <c r="X954" s="5" t="s">
        <v>72</v>
      </c>
      <c r="Y954" s="4">
        <v>546</v>
      </c>
      <c r="Z954" s="4">
        <v>25</v>
      </c>
      <c r="AA954" s="4">
        <v>28</v>
      </c>
      <c r="AB954" s="4">
        <v>2</v>
      </c>
      <c r="AC954" s="4">
        <v>4</v>
      </c>
      <c r="AD954" s="4">
        <v>117</v>
      </c>
      <c r="AE954" s="4">
        <v>120</v>
      </c>
      <c r="AF954" s="4">
        <v>1</v>
      </c>
      <c r="AG954" s="4">
        <v>3</v>
      </c>
      <c r="AH954" s="4">
        <v>101</v>
      </c>
      <c r="AI954" s="4">
        <v>102</v>
      </c>
      <c r="AJ954" s="4">
        <v>16</v>
      </c>
      <c r="AK954" s="4">
        <v>18</v>
      </c>
      <c r="AL954" s="4">
        <v>56</v>
      </c>
      <c r="AM954" s="4">
        <v>56</v>
      </c>
      <c r="AN954" s="4">
        <v>0</v>
      </c>
      <c r="AO954" s="4">
        <v>0</v>
      </c>
      <c r="AP954" s="4">
        <v>22</v>
      </c>
      <c r="AQ954" s="4">
        <v>24</v>
      </c>
      <c r="AR954" s="3" t="s">
        <v>64</v>
      </c>
      <c r="AS954" s="3" t="s">
        <v>64</v>
      </c>
      <c r="AT954" s="3" t="s">
        <v>64</v>
      </c>
      <c r="AV954" s="6" t="str">
        <f>HYPERLINK("http://mcgill.on.worldcat.org/oclc/24620","Catalog Record")</f>
        <v>Catalog Record</v>
      </c>
      <c r="AW954" s="6" t="str">
        <f>HYPERLINK("http://www.worldcat.org/oclc/24620","WorldCat Record")</f>
        <v>WorldCat Record</v>
      </c>
      <c r="AX954" s="3" t="s">
        <v>9824</v>
      </c>
      <c r="AY954" s="3" t="s">
        <v>9825</v>
      </c>
      <c r="AZ954" s="3" t="s">
        <v>9826</v>
      </c>
      <c r="BA954" s="3" t="s">
        <v>9826</v>
      </c>
      <c r="BB954" s="3" t="s">
        <v>9827</v>
      </c>
      <c r="BC954" s="3" t="s">
        <v>78</v>
      </c>
      <c r="BD954" s="3" t="s">
        <v>79</v>
      </c>
      <c r="BE954" s="3" t="s">
        <v>9828</v>
      </c>
      <c r="BF954" s="3" t="s">
        <v>9827</v>
      </c>
      <c r="BG954" s="3" t="s">
        <v>9829</v>
      </c>
    </row>
    <row r="955" spans="1:59" ht="58" x14ac:dyDescent="0.35">
      <c r="A955" s="2" t="s">
        <v>59</v>
      </c>
      <c r="B955" s="2" t="s">
        <v>94</v>
      </c>
      <c r="C955" s="2" t="s">
        <v>9830</v>
      </c>
      <c r="D955" s="2" t="s">
        <v>9831</v>
      </c>
      <c r="E955" s="2" t="s">
        <v>9832</v>
      </c>
      <c r="G955" s="3" t="s">
        <v>64</v>
      </c>
      <c r="I955" s="3" t="s">
        <v>64</v>
      </c>
      <c r="J955" s="3" t="s">
        <v>64</v>
      </c>
      <c r="K955" s="3" t="s">
        <v>65</v>
      </c>
      <c r="L955" s="2" t="s">
        <v>9833</v>
      </c>
      <c r="M955" s="2" t="s">
        <v>9834</v>
      </c>
      <c r="N955" s="3" t="s">
        <v>214</v>
      </c>
      <c r="P955" s="3" t="s">
        <v>69</v>
      </c>
      <c r="Q955" s="2" t="s">
        <v>9835</v>
      </c>
      <c r="R955" s="3" t="s">
        <v>9228</v>
      </c>
      <c r="S955" s="4">
        <v>2</v>
      </c>
      <c r="T955" s="4">
        <v>2</v>
      </c>
      <c r="U955" s="5" t="s">
        <v>1724</v>
      </c>
      <c r="V955" s="5" t="s">
        <v>1724</v>
      </c>
      <c r="W955" s="5" t="s">
        <v>72</v>
      </c>
      <c r="X955" s="5" t="s">
        <v>72</v>
      </c>
      <c r="Y955" s="4">
        <v>180</v>
      </c>
      <c r="Z955" s="4">
        <v>8</v>
      </c>
      <c r="AA955" s="4">
        <v>38</v>
      </c>
      <c r="AB955" s="4">
        <v>1</v>
      </c>
      <c r="AC955" s="4">
        <v>6</v>
      </c>
      <c r="AD955" s="4">
        <v>65</v>
      </c>
      <c r="AE955" s="4">
        <v>76</v>
      </c>
      <c r="AF955" s="4">
        <v>0</v>
      </c>
      <c r="AG955" s="4">
        <v>0</v>
      </c>
      <c r="AH955" s="4">
        <v>61</v>
      </c>
      <c r="AI955" s="4">
        <v>70</v>
      </c>
      <c r="AJ955" s="4">
        <v>4</v>
      </c>
      <c r="AK955" s="4">
        <v>5</v>
      </c>
      <c r="AL955" s="4">
        <v>38</v>
      </c>
      <c r="AM955" s="4">
        <v>43</v>
      </c>
      <c r="AN955" s="4">
        <v>0</v>
      </c>
      <c r="AO955" s="4">
        <v>0</v>
      </c>
      <c r="AP955" s="4">
        <v>5</v>
      </c>
      <c r="AQ955" s="4">
        <v>8</v>
      </c>
      <c r="AR955" s="3" t="s">
        <v>64</v>
      </c>
      <c r="AS955" s="3" t="s">
        <v>64</v>
      </c>
      <c r="AT955" s="3" t="s">
        <v>64</v>
      </c>
      <c r="AV955" s="6" t="str">
        <f>HYPERLINK("http://mcgill.on.worldcat.org/oclc/460061388","Catalog Record")</f>
        <v>Catalog Record</v>
      </c>
      <c r="AW955" s="6" t="str">
        <f>HYPERLINK("http://www.worldcat.org/oclc/460061388","WorldCat Record")</f>
        <v>WorldCat Record</v>
      </c>
      <c r="AX955" s="3" t="s">
        <v>9836</v>
      </c>
      <c r="AY955" s="3" t="s">
        <v>9837</v>
      </c>
      <c r="AZ955" s="3" t="s">
        <v>9838</v>
      </c>
      <c r="BA955" s="3" t="s">
        <v>9838</v>
      </c>
      <c r="BB955" s="3" t="s">
        <v>9839</v>
      </c>
      <c r="BC955" s="3" t="s">
        <v>78</v>
      </c>
      <c r="BD955" s="3" t="s">
        <v>79</v>
      </c>
      <c r="BE955" s="3" t="s">
        <v>9840</v>
      </c>
      <c r="BF955" s="3" t="s">
        <v>9839</v>
      </c>
      <c r="BG955" s="3" t="s">
        <v>9841</v>
      </c>
    </row>
    <row r="956" spans="1:59" ht="58" x14ac:dyDescent="0.35">
      <c r="A956" s="2" t="s">
        <v>59</v>
      </c>
      <c r="B956" s="2" t="s">
        <v>94</v>
      </c>
      <c r="C956" s="2" t="s">
        <v>9842</v>
      </c>
      <c r="D956" s="2" t="s">
        <v>9843</v>
      </c>
      <c r="E956" s="2" t="s">
        <v>9844</v>
      </c>
      <c r="G956" s="3" t="s">
        <v>64</v>
      </c>
      <c r="I956" s="3" t="s">
        <v>64</v>
      </c>
      <c r="J956" s="3" t="s">
        <v>64</v>
      </c>
      <c r="K956" s="3" t="s">
        <v>65</v>
      </c>
      <c r="L956" s="2" t="s">
        <v>9845</v>
      </c>
      <c r="M956" s="2" t="s">
        <v>9846</v>
      </c>
      <c r="N956" s="3" t="s">
        <v>499</v>
      </c>
      <c r="P956" s="3" t="s">
        <v>69</v>
      </c>
      <c r="R956" s="3" t="s">
        <v>9228</v>
      </c>
      <c r="S956" s="4">
        <v>14</v>
      </c>
      <c r="T956" s="4">
        <v>14</v>
      </c>
      <c r="U956" s="5" t="s">
        <v>9847</v>
      </c>
      <c r="V956" s="5" t="s">
        <v>9847</v>
      </c>
      <c r="W956" s="5" t="s">
        <v>72</v>
      </c>
      <c r="X956" s="5" t="s">
        <v>72</v>
      </c>
      <c r="Y956" s="4">
        <v>1007</v>
      </c>
      <c r="Z956" s="4">
        <v>33</v>
      </c>
      <c r="AA956" s="4">
        <v>122</v>
      </c>
      <c r="AB956" s="4">
        <v>3</v>
      </c>
      <c r="AC956" s="4">
        <v>22</v>
      </c>
      <c r="AD956" s="4">
        <v>114</v>
      </c>
      <c r="AE956" s="4">
        <v>160</v>
      </c>
      <c r="AF956" s="4">
        <v>1</v>
      </c>
      <c r="AG956" s="4">
        <v>9</v>
      </c>
      <c r="AH956" s="4">
        <v>100</v>
      </c>
      <c r="AI956" s="4">
        <v>112</v>
      </c>
      <c r="AJ956" s="4">
        <v>18</v>
      </c>
      <c r="AK956" s="4">
        <v>29</v>
      </c>
      <c r="AL956" s="4">
        <v>52</v>
      </c>
      <c r="AM956" s="4">
        <v>57</v>
      </c>
      <c r="AN956" s="4">
        <v>0</v>
      </c>
      <c r="AO956" s="4">
        <v>0</v>
      </c>
      <c r="AP956" s="4">
        <v>21</v>
      </c>
      <c r="AQ956" s="4">
        <v>56</v>
      </c>
      <c r="AR956" s="3" t="s">
        <v>64</v>
      </c>
      <c r="AS956" s="3" t="s">
        <v>64</v>
      </c>
      <c r="AT956" s="3" t="s">
        <v>64</v>
      </c>
      <c r="AV956" s="6" t="str">
        <f>HYPERLINK("http://mcgill.on.worldcat.org/oclc/56657649","Catalog Record")</f>
        <v>Catalog Record</v>
      </c>
      <c r="AW956" s="6" t="str">
        <f>HYPERLINK("http://www.worldcat.org/oclc/56657649","WorldCat Record")</f>
        <v>WorldCat Record</v>
      </c>
      <c r="AX956" s="3" t="s">
        <v>9848</v>
      </c>
      <c r="AY956" s="3" t="s">
        <v>9849</v>
      </c>
      <c r="AZ956" s="3" t="s">
        <v>9850</v>
      </c>
      <c r="BA956" s="3" t="s">
        <v>9850</v>
      </c>
      <c r="BB956" s="3" t="s">
        <v>9851</v>
      </c>
      <c r="BC956" s="3" t="s">
        <v>78</v>
      </c>
      <c r="BD956" s="3" t="s">
        <v>79</v>
      </c>
      <c r="BE956" s="3" t="s">
        <v>9852</v>
      </c>
      <c r="BF956" s="3" t="s">
        <v>9851</v>
      </c>
      <c r="BG956" s="3" t="s">
        <v>9853</v>
      </c>
    </row>
    <row r="957" spans="1:59" ht="58" x14ac:dyDescent="0.35">
      <c r="A957" s="2" t="s">
        <v>59</v>
      </c>
      <c r="B957" s="2" t="s">
        <v>94</v>
      </c>
      <c r="C957" s="2" t="s">
        <v>9854</v>
      </c>
      <c r="D957" s="2" t="s">
        <v>9855</v>
      </c>
      <c r="E957" s="2" t="s">
        <v>9856</v>
      </c>
      <c r="G957" s="3" t="s">
        <v>64</v>
      </c>
      <c r="I957" s="3" t="s">
        <v>64</v>
      </c>
      <c r="J957" s="3" t="s">
        <v>64</v>
      </c>
      <c r="K957" s="3" t="s">
        <v>65</v>
      </c>
      <c r="L957" s="2" t="s">
        <v>9857</v>
      </c>
      <c r="M957" s="2" t="s">
        <v>9858</v>
      </c>
      <c r="N957" s="3" t="s">
        <v>861</v>
      </c>
      <c r="P957" s="3" t="s">
        <v>69</v>
      </c>
      <c r="R957" s="3" t="s">
        <v>9228</v>
      </c>
      <c r="S957" s="4">
        <v>6</v>
      </c>
      <c r="T957" s="4">
        <v>6</v>
      </c>
      <c r="U957" s="5" t="s">
        <v>9859</v>
      </c>
      <c r="V957" s="5" t="s">
        <v>9859</v>
      </c>
      <c r="W957" s="5" t="s">
        <v>72</v>
      </c>
      <c r="X957" s="5" t="s">
        <v>72</v>
      </c>
      <c r="Y957" s="4">
        <v>1231</v>
      </c>
      <c r="Z957" s="4">
        <v>36</v>
      </c>
      <c r="AA957" s="4">
        <v>39</v>
      </c>
      <c r="AB957" s="4">
        <v>4</v>
      </c>
      <c r="AC957" s="4">
        <v>6</v>
      </c>
      <c r="AD957" s="4">
        <v>102</v>
      </c>
      <c r="AE957" s="4">
        <v>108</v>
      </c>
      <c r="AF957" s="4">
        <v>0</v>
      </c>
      <c r="AG957" s="4">
        <v>1</v>
      </c>
      <c r="AH957" s="4">
        <v>93</v>
      </c>
      <c r="AI957" s="4">
        <v>97</v>
      </c>
      <c r="AJ957" s="4">
        <v>11</v>
      </c>
      <c r="AK957" s="4">
        <v>13</v>
      </c>
      <c r="AL957" s="4">
        <v>49</v>
      </c>
      <c r="AM957" s="4">
        <v>51</v>
      </c>
      <c r="AN957" s="4">
        <v>0</v>
      </c>
      <c r="AO957" s="4">
        <v>0</v>
      </c>
      <c r="AP957" s="4">
        <v>14</v>
      </c>
      <c r="AQ957" s="4">
        <v>15</v>
      </c>
      <c r="AR957" s="3" t="s">
        <v>64</v>
      </c>
      <c r="AS957" s="3" t="s">
        <v>64</v>
      </c>
      <c r="AT957" s="3" t="s">
        <v>73</v>
      </c>
      <c r="AU957" s="6" t="str">
        <f>HYPERLINK("http://catalog.hathitrust.org/Record/004381312","HathiTrust Record")</f>
        <v>HathiTrust Record</v>
      </c>
      <c r="AV957" s="6" t="str">
        <f>HYPERLINK("http://mcgill.on.worldcat.org/oclc/54001606","Catalog Record")</f>
        <v>Catalog Record</v>
      </c>
      <c r="AW957" s="6" t="str">
        <f>HYPERLINK("http://www.worldcat.org/oclc/54001606","WorldCat Record")</f>
        <v>WorldCat Record</v>
      </c>
      <c r="AX957" s="3" t="s">
        <v>9860</v>
      </c>
      <c r="AY957" s="3" t="s">
        <v>9861</v>
      </c>
      <c r="AZ957" s="3" t="s">
        <v>9862</v>
      </c>
      <c r="BA957" s="3" t="s">
        <v>9862</v>
      </c>
      <c r="BB957" s="3" t="s">
        <v>9863</v>
      </c>
      <c r="BC957" s="3" t="s">
        <v>78</v>
      </c>
      <c r="BD957" s="3" t="s">
        <v>79</v>
      </c>
      <c r="BE957" s="3" t="s">
        <v>9864</v>
      </c>
      <c r="BF957" s="3" t="s">
        <v>9863</v>
      </c>
      <c r="BG957" s="3" t="s">
        <v>9865</v>
      </c>
    </row>
    <row r="958" spans="1:59" ht="58" x14ac:dyDescent="0.35">
      <c r="A958" s="2" t="s">
        <v>59</v>
      </c>
      <c r="B958" s="2" t="s">
        <v>94</v>
      </c>
      <c r="C958" s="2" t="s">
        <v>9866</v>
      </c>
      <c r="D958" s="2" t="s">
        <v>9867</v>
      </c>
      <c r="E958" s="2" t="s">
        <v>9868</v>
      </c>
      <c r="G958" s="3" t="s">
        <v>64</v>
      </c>
      <c r="I958" s="3" t="s">
        <v>64</v>
      </c>
      <c r="J958" s="3" t="s">
        <v>64</v>
      </c>
      <c r="K958" s="3" t="s">
        <v>65</v>
      </c>
      <c r="L958" s="2" t="s">
        <v>9869</v>
      </c>
      <c r="M958" s="2" t="s">
        <v>2042</v>
      </c>
      <c r="N958" s="3" t="s">
        <v>473</v>
      </c>
      <c r="P958" s="3" t="s">
        <v>69</v>
      </c>
      <c r="R958" s="3" t="s">
        <v>9228</v>
      </c>
      <c r="S958" s="4">
        <v>9</v>
      </c>
      <c r="T958" s="4">
        <v>9</v>
      </c>
      <c r="U958" s="5" t="s">
        <v>9768</v>
      </c>
      <c r="V958" s="5" t="s">
        <v>9768</v>
      </c>
      <c r="W958" s="5" t="s">
        <v>72</v>
      </c>
      <c r="X958" s="5" t="s">
        <v>72</v>
      </c>
      <c r="Y958" s="4">
        <v>471</v>
      </c>
      <c r="Z958" s="4">
        <v>22</v>
      </c>
      <c r="AA958" s="4">
        <v>97</v>
      </c>
      <c r="AB958" s="4">
        <v>3</v>
      </c>
      <c r="AC958" s="4">
        <v>17</v>
      </c>
      <c r="AD958" s="4">
        <v>111</v>
      </c>
      <c r="AE958" s="4">
        <v>149</v>
      </c>
      <c r="AF958" s="4">
        <v>2</v>
      </c>
      <c r="AG958" s="4">
        <v>8</v>
      </c>
      <c r="AH958" s="4">
        <v>99</v>
      </c>
      <c r="AI958" s="4">
        <v>111</v>
      </c>
      <c r="AJ958" s="4">
        <v>15</v>
      </c>
      <c r="AK958" s="4">
        <v>24</v>
      </c>
      <c r="AL958" s="4">
        <v>54</v>
      </c>
      <c r="AM958" s="4">
        <v>58</v>
      </c>
      <c r="AN958" s="4">
        <v>0</v>
      </c>
      <c r="AO958" s="4">
        <v>0</v>
      </c>
      <c r="AP958" s="4">
        <v>17</v>
      </c>
      <c r="AQ958" s="4">
        <v>46</v>
      </c>
      <c r="AR958" s="3" t="s">
        <v>64</v>
      </c>
      <c r="AS958" s="3" t="s">
        <v>64</v>
      </c>
      <c r="AT958" s="3" t="s">
        <v>73</v>
      </c>
      <c r="AU958" s="6" t="str">
        <f>HYPERLINK("http://catalog.hathitrust.org/Record/002235019","HathiTrust Record")</f>
        <v>HathiTrust Record</v>
      </c>
      <c r="AV958" s="6" t="str">
        <f>HYPERLINK("http://mcgill.on.worldcat.org/oclc/20754232","Catalog Record")</f>
        <v>Catalog Record</v>
      </c>
      <c r="AW958" s="6" t="str">
        <f>HYPERLINK("http://www.worldcat.org/oclc/20754232","WorldCat Record")</f>
        <v>WorldCat Record</v>
      </c>
      <c r="AX958" s="3" t="s">
        <v>9870</v>
      </c>
      <c r="AY958" s="3" t="s">
        <v>9871</v>
      </c>
      <c r="AZ958" s="3" t="s">
        <v>9872</v>
      </c>
      <c r="BA958" s="3" t="s">
        <v>9872</v>
      </c>
      <c r="BB958" s="3" t="s">
        <v>9873</v>
      </c>
      <c r="BC958" s="3" t="s">
        <v>78</v>
      </c>
      <c r="BD958" s="3" t="s">
        <v>79</v>
      </c>
      <c r="BE958" s="3" t="s">
        <v>9874</v>
      </c>
      <c r="BF958" s="3" t="s">
        <v>9873</v>
      </c>
      <c r="BG958" s="3" t="s">
        <v>9875</v>
      </c>
    </row>
    <row r="959" spans="1:59" ht="58" x14ac:dyDescent="0.35">
      <c r="A959" s="2" t="s">
        <v>59</v>
      </c>
      <c r="B959" s="2" t="s">
        <v>94</v>
      </c>
      <c r="C959" s="2" t="s">
        <v>9876</v>
      </c>
      <c r="D959" s="2" t="s">
        <v>9877</v>
      </c>
      <c r="E959" s="2" t="s">
        <v>9878</v>
      </c>
      <c r="G959" s="3" t="s">
        <v>64</v>
      </c>
      <c r="I959" s="3" t="s">
        <v>64</v>
      </c>
      <c r="J959" s="3" t="s">
        <v>64</v>
      </c>
      <c r="K959" s="3" t="s">
        <v>65</v>
      </c>
      <c r="L959" s="2" t="s">
        <v>9879</v>
      </c>
      <c r="M959" s="2" t="s">
        <v>9880</v>
      </c>
      <c r="N959" s="3" t="s">
        <v>3181</v>
      </c>
      <c r="P959" s="3" t="s">
        <v>69</v>
      </c>
      <c r="R959" s="3" t="s">
        <v>9228</v>
      </c>
      <c r="S959" s="4">
        <v>9</v>
      </c>
      <c r="T959" s="4">
        <v>9</v>
      </c>
      <c r="U959" s="5" t="s">
        <v>6823</v>
      </c>
      <c r="V959" s="5" t="s">
        <v>6823</v>
      </c>
      <c r="W959" s="5" t="s">
        <v>72</v>
      </c>
      <c r="X959" s="5" t="s">
        <v>72</v>
      </c>
      <c r="Y959" s="4">
        <v>332</v>
      </c>
      <c r="Z959" s="4">
        <v>20</v>
      </c>
      <c r="AA959" s="4">
        <v>22</v>
      </c>
      <c r="AB959" s="4">
        <v>4</v>
      </c>
      <c r="AC959" s="4">
        <v>6</v>
      </c>
      <c r="AD959" s="4">
        <v>100</v>
      </c>
      <c r="AE959" s="4">
        <v>102</v>
      </c>
      <c r="AF959" s="4">
        <v>2</v>
      </c>
      <c r="AG959" s="4">
        <v>4</v>
      </c>
      <c r="AH959" s="4">
        <v>90</v>
      </c>
      <c r="AI959" s="4">
        <v>90</v>
      </c>
      <c r="AJ959" s="4">
        <v>14</v>
      </c>
      <c r="AK959" s="4">
        <v>16</v>
      </c>
      <c r="AL959" s="4">
        <v>52</v>
      </c>
      <c r="AM959" s="4">
        <v>52</v>
      </c>
      <c r="AN959" s="4">
        <v>0</v>
      </c>
      <c r="AO959" s="4">
        <v>0</v>
      </c>
      <c r="AP959" s="4">
        <v>17</v>
      </c>
      <c r="AQ959" s="4">
        <v>18</v>
      </c>
      <c r="AR959" s="3" t="s">
        <v>64</v>
      </c>
      <c r="AS959" s="3" t="s">
        <v>64</v>
      </c>
      <c r="AT959" s="3" t="s">
        <v>73</v>
      </c>
      <c r="AU959" s="6" t="str">
        <f>HYPERLINK("http://catalog.hathitrust.org/Record/001047693","HathiTrust Record")</f>
        <v>HathiTrust Record</v>
      </c>
      <c r="AV959" s="6" t="str">
        <f>HYPERLINK("http://mcgill.on.worldcat.org/oclc/138656","Catalog Record")</f>
        <v>Catalog Record</v>
      </c>
      <c r="AW959" s="6" t="str">
        <f>HYPERLINK("http://www.worldcat.org/oclc/138656","WorldCat Record")</f>
        <v>WorldCat Record</v>
      </c>
      <c r="AX959" s="3" t="s">
        <v>9881</v>
      </c>
      <c r="AY959" s="3" t="s">
        <v>9882</v>
      </c>
      <c r="AZ959" s="3" t="s">
        <v>9883</v>
      </c>
      <c r="BA959" s="3" t="s">
        <v>9883</v>
      </c>
      <c r="BB959" s="3" t="s">
        <v>9884</v>
      </c>
      <c r="BC959" s="3" t="s">
        <v>78</v>
      </c>
      <c r="BD959" s="3" t="s">
        <v>79</v>
      </c>
      <c r="BE959" s="3" t="s">
        <v>9885</v>
      </c>
      <c r="BF959" s="3" t="s">
        <v>9884</v>
      </c>
      <c r="BG959" s="3" t="s">
        <v>9886</v>
      </c>
    </row>
    <row r="960" spans="1:59" ht="58" x14ac:dyDescent="0.35">
      <c r="A960" s="2" t="s">
        <v>59</v>
      </c>
      <c r="B960" s="2" t="s">
        <v>94</v>
      </c>
      <c r="C960" s="2" t="s">
        <v>9887</v>
      </c>
      <c r="D960" s="2" t="s">
        <v>9888</v>
      </c>
      <c r="E960" s="2" t="s">
        <v>9889</v>
      </c>
      <c r="G960" s="3" t="s">
        <v>64</v>
      </c>
      <c r="I960" s="3" t="s">
        <v>64</v>
      </c>
      <c r="J960" s="3" t="s">
        <v>64</v>
      </c>
      <c r="K960" s="3" t="s">
        <v>65</v>
      </c>
      <c r="L960" s="2" t="s">
        <v>9890</v>
      </c>
      <c r="M960" s="2" t="s">
        <v>9891</v>
      </c>
      <c r="N960" s="3" t="s">
        <v>733</v>
      </c>
      <c r="P960" s="3" t="s">
        <v>69</v>
      </c>
      <c r="R960" s="3" t="s">
        <v>9228</v>
      </c>
      <c r="S960" s="4">
        <v>2</v>
      </c>
      <c r="T960" s="4">
        <v>2</v>
      </c>
      <c r="U960" s="5" t="s">
        <v>9768</v>
      </c>
      <c r="V960" s="5" t="s">
        <v>9768</v>
      </c>
      <c r="W960" s="5" t="s">
        <v>72</v>
      </c>
      <c r="X960" s="5" t="s">
        <v>72</v>
      </c>
      <c r="Y960" s="4">
        <v>943</v>
      </c>
      <c r="Z960" s="4">
        <v>31</v>
      </c>
      <c r="AA960" s="4">
        <v>33</v>
      </c>
      <c r="AB960" s="4">
        <v>2</v>
      </c>
      <c r="AC960" s="4">
        <v>4</v>
      </c>
      <c r="AD960" s="4">
        <v>125</v>
      </c>
      <c r="AE960" s="4">
        <v>127</v>
      </c>
      <c r="AF960" s="4">
        <v>1</v>
      </c>
      <c r="AG960" s="4">
        <v>3</v>
      </c>
      <c r="AH960" s="4">
        <v>107</v>
      </c>
      <c r="AI960" s="4">
        <v>108</v>
      </c>
      <c r="AJ960" s="4">
        <v>20</v>
      </c>
      <c r="AK960" s="4">
        <v>22</v>
      </c>
      <c r="AL960" s="4">
        <v>60</v>
      </c>
      <c r="AM960" s="4">
        <v>60</v>
      </c>
      <c r="AN960" s="4">
        <v>0</v>
      </c>
      <c r="AO960" s="4">
        <v>0</v>
      </c>
      <c r="AP960" s="4">
        <v>25</v>
      </c>
      <c r="AQ960" s="4">
        <v>26</v>
      </c>
      <c r="AR960" s="3" t="s">
        <v>64</v>
      </c>
      <c r="AS960" s="3" t="s">
        <v>64</v>
      </c>
      <c r="AT960" s="3" t="s">
        <v>73</v>
      </c>
      <c r="AU960" s="6" t="str">
        <f>HYPERLINK("http://catalog.hathitrust.org/Record/000195859","HathiTrust Record")</f>
        <v>HathiTrust Record</v>
      </c>
      <c r="AV960" s="6" t="str">
        <f>HYPERLINK("http://mcgill.on.worldcat.org/oclc/9110373","Catalog Record")</f>
        <v>Catalog Record</v>
      </c>
      <c r="AW960" s="6" t="str">
        <f>HYPERLINK("http://www.worldcat.org/oclc/9110373","WorldCat Record")</f>
        <v>WorldCat Record</v>
      </c>
      <c r="AX960" s="3" t="s">
        <v>9892</v>
      </c>
      <c r="AY960" s="3" t="s">
        <v>9893</v>
      </c>
      <c r="AZ960" s="3" t="s">
        <v>9894</v>
      </c>
      <c r="BA960" s="3" t="s">
        <v>9894</v>
      </c>
      <c r="BB960" s="3" t="s">
        <v>9895</v>
      </c>
      <c r="BC960" s="3" t="s">
        <v>78</v>
      </c>
      <c r="BD960" s="3" t="s">
        <v>79</v>
      </c>
      <c r="BE960" s="3" t="s">
        <v>9896</v>
      </c>
      <c r="BF960" s="3" t="s">
        <v>9895</v>
      </c>
      <c r="BG960" s="3" t="s">
        <v>9897</v>
      </c>
    </row>
    <row r="961" spans="1:59" ht="58" x14ac:dyDescent="0.35">
      <c r="A961" s="2" t="s">
        <v>59</v>
      </c>
      <c r="B961" s="2" t="s">
        <v>94</v>
      </c>
      <c r="C961" s="2" t="s">
        <v>9898</v>
      </c>
      <c r="D961" s="2" t="s">
        <v>9899</v>
      </c>
      <c r="E961" s="2" t="s">
        <v>9900</v>
      </c>
      <c r="G961" s="3" t="s">
        <v>64</v>
      </c>
      <c r="I961" s="3" t="s">
        <v>64</v>
      </c>
      <c r="J961" s="3" t="s">
        <v>64</v>
      </c>
      <c r="K961" s="3" t="s">
        <v>65</v>
      </c>
      <c r="M961" s="2" t="s">
        <v>9901</v>
      </c>
      <c r="N961" s="3" t="s">
        <v>274</v>
      </c>
      <c r="P961" s="3" t="s">
        <v>69</v>
      </c>
      <c r="R961" s="3" t="s">
        <v>9228</v>
      </c>
      <c r="S961" s="4">
        <v>17</v>
      </c>
      <c r="T961" s="4">
        <v>17</v>
      </c>
      <c r="U961" s="5" t="s">
        <v>6823</v>
      </c>
      <c r="V961" s="5" t="s">
        <v>6823</v>
      </c>
      <c r="W961" s="5" t="s">
        <v>72</v>
      </c>
      <c r="X961" s="5" t="s">
        <v>72</v>
      </c>
      <c r="Y961" s="4">
        <v>297</v>
      </c>
      <c r="Z961" s="4">
        <v>22</v>
      </c>
      <c r="AA961" s="4">
        <v>22</v>
      </c>
      <c r="AB961" s="4">
        <v>2</v>
      </c>
      <c r="AC961" s="4">
        <v>2</v>
      </c>
      <c r="AD961" s="4">
        <v>97</v>
      </c>
      <c r="AE961" s="4">
        <v>97</v>
      </c>
      <c r="AF961" s="4">
        <v>1</v>
      </c>
      <c r="AG961" s="4">
        <v>1</v>
      </c>
      <c r="AH961" s="4">
        <v>86</v>
      </c>
      <c r="AI961" s="4">
        <v>86</v>
      </c>
      <c r="AJ961" s="4">
        <v>15</v>
      </c>
      <c r="AK961" s="4">
        <v>15</v>
      </c>
      <c r="AL961" s="4">
        <v>48</v>
      </c>
      <c r="AM961" s="4">
        <v>48</v>
      </c>
      <c r="AN961" s="4">
        <v>0</v>
      </c>
      <c r="AO961" s="4">
        <v>0</v>
      </c>
      <c r="AP961" s="4">
        <v>18</v>
      </c>
      <c r="AQ961" s="4">
        <v>18</v>
      </c>
      <c r="AR961" s="3" t="s">
        <v>64</v>
      </c>
      <c r="AS961" s="3" t="s">
        <v>64</v>
      </c>
      <c r="AT961" s="3" t="s">
        <v>73</v>
      </c>
      <c r="AU961" s="6" t="str">
        <f>HYPERLINK("http://catalog.hathitrust.org/Record/001081000","HathiTrust Record")</f>
        <v>HathiTrust Record</v>
      </c>
      <c r="AV961" s="6" t="str">
        <f>HYPERLINK("http://mcgill.on.worldcat.org/oclc/16832716","Catalog Record")</f>
        <v>Catalog Record</v>
      </c>
      <c r="AW961" s="6" t="str">
        <f>HYPERLINK("http://www.worldcat.org/oclc/16832716","WorldCat Record")</f>
        <v>WorldCat Record</v>
      </c>
      <c r="AX961" s="3" t="s">
        <v>9902</v>
      </c>
      <c r="AY961" s="3" t="s">
        <v>9903</v>
      </c>
      <c r="AZ961" s="3" t="s">
        <v>9904</v>
      </c>
      <c r="BA961" s="3" t="s">
        <v>9904</v>
      </c>
      <c r="BB961" s="3" t="s">
        <v>9905</v>
      </c>
      <c r="BC961" s="3" t="s">
        <v>78</v>
      </c>
      <c r="BD961" s="3" t="s">
        <v>79</v>
      </c>
      <c r="BE961" s="3" t="s">
        <v>9906</v>
      </c>
      <c r="BF961" s="3" t="s">
        <v>9905</v>
      </c>
      <c r="BG961" s="3" t="s">
        <v>9907</v>
      </c>
    </row>
    <row r="962" spans="1:59" ht="58" x14ac:dyDescent="0.35">
      <c r="A962" s="2" t="s">
        <v>59</v>
      </c>
      <c r="B962" s="2" t="s">
        <v>94</v>
      </c>
      <c r="C962" s="2" t="s">
        <v>9908</v>
      </c>
      <c r="D962" s="2" t="s">
        <v>9909</v>
      </c>
      <c r="E962" s="2" t="s">
        <v>9910</v>
      </c>
      <c r="G962" s="3" t="s">
        <v>64</v>
      </c>
      <c r="I962" s="3" t="s">
        <v>64</v>
      </c>
      <c r="J962" s="3" t="s">
        <v>64</v>
      </c>
      <c r="K962" s="3" t="s">
        <v>65</v>
      </c>
      <c r="L962" s="2" t="s">
        <v>9911</v>
      </c>
      <c r="M962" s="2" t="s">
        <v>9912</v>
      </c>
      <c r="N962" s="3" t="s">
        <v>1530</v>
      </c>
      <c r="P962" s="3" t="s">
        <v>69</v>
      </c>
      <c r="Q962" s="2" t="s">
        <v>9913</v>
      </c>
      <c r="R962" s="3" t="s">
        <v>9228</v>
      </c>
      <c r="S962" s="4">
        <v>5</v>
      </c>
      <c r="T962" s="4">
        <v>5</v>
      </c>
      <c r="U962" s="5" t="s">
        <v>639</v>
      </c>
      <c r="V962" s="5" t="s">
        <v>639</v>
      </c>
      <c r="W962" s="5" t="s">
        <v>72</v>
      </c>
      <c r="X962" s="5" t="s">
        <v>72</v>
      </c>
      <c r="Y962" s="4">
        <v>511</v>
      </c>
      <c r="Z962" s="4">
        <v>21</v>
      </c>
      <c r="AA962" s="4">
        <v>29</v>
      </c>
      <c r="AB962" s="4">
        <v>2</v>
      </c>
      <c r="AC962" s="4">
        <v>5</v>
      </c>
      <c r="AD962" s="4">
        <v>96</v>
      </c>
      <c r="AE962" s="4">
        <v>112</v>
      </c>
      <c r="AF962" s="4">
        <v>0</v>
      </c>
      <c r="AG962" s="4">
        <v>3</v>
      </c>
      <c r="AH962" s="4">
        <v>84</v>
      </c>
      <c r="AI962" s="4">
        <v>94</v>
      </c>
      <c r="AJ962" s="4">
        <v>9</v>
      </c>
      <c r="AK962" s="4">
        <v>15</v>
      </c>
      <c r="AL962" s="4">
        <v>52</v>
      </c>
      <c r="AM962" s="4">
        <v>56</v>
      </c>
      <c r="AN962" s="4">
        <v>0</v>
      </c>
      <c r="AO962" s="4">
        <v>0</v>
      </c>
      <c r="AP962" s="4">
        <v>13</v>
      </c>
      <c r="AQ962" s="4">
        <v>20</v>
      </c>
      <c r="AR962" s="3" t="s">
        <v>64</v>
      </c>
      <c r="AS962" s="3" t="s">
        <v>64</v>
      </c>
      <c r="AT962" s="3" t="s">
        <v>64</v>
      </c>
      <c r="AV962" s="6" t="str">
        <f>HYPERLINK("http://mcgill.on.worldcat.org/oclc/48383440","Catalog Record")</f>
        <v>Catalog Record</v>
      </c>
      <c r="AW962" s="6" t="str">
        <f>HYPERLINK("http://www.worldcat.org/oclc/48383440","WorldCat Record")</f>
        <v>WorldCat Record</v>
      </c>
      <c r="AX962" s="3" t="s">
        <v>9914</v>
      </c>
      <c r="AY962" s="3" t="s">
        <v>9915</v>
      </c>
      <c r="AZ962" s="3" t="s">
        <v>9916</v>
      </c>
      <c r="BA962" s="3" t="s">
        <v>9916</v>
      </c>
      <c r="BB962" s="3" t="s">
        <v>9917</v>
      </c>
      <c r="BC962" s="3" t="s">
        <v>78</v>
      </c>
      <c r="BD962" s="3" t="s">
        <v>79</v>
      </c>
      <c r="BE962" s="3" t="s">
        <v>9918</v>
      </c>
      <c r="BF962" s="3" t="s">
        <v>9917</v>
      </c>
      <c r="BG962" s="3" t="s">
        <v>9919</v>
      </c>
    </row>
    <row r="963" spans="1:59" ht="58" x14ac:dyDescent="0.35">
      <c r="A963" s="2" t="s">
        <v>59</v>
      </c>
      <c r="B963" s="2" t="s">
        <v>94</v>
      </c>
      <c r="C963" s="2" t="s">
        <v>9920</v>
      </c>
      <c r="D963" s="2" t="s">
        <v>9921</v>
      </c>
      <c r="E963" s="2" t="s">
        <v>9922</v>
      </c>
      <c r="G963" s="3" t="s">
        <v>64</v>
      </c>
      <c r="I963" s="3" t="s">
        <v>64</v>
      </c>
      <c r="J963" s="3" t="s">
        <v>64</v>
      </c>
      <c r="K963" s="3" t="s">
        <v>65</v>
      </c>
      <c r="L963" s="2" t="s">
        <v>9923</v>
      </c>
      <c r="M963" s="2" t="s">
        <v>9924</v>
      </c>
      <c r="N963" s="3" t="s">
        <v>68</v>
      </c>
      <c r="P963" s="3" t="s">
        <v>69</v>
      </c>
      <c r="R963" s="3" t="s">
        <v>9228</v>
      </c>
      <c r="S963" s="4">
        <v>10</v>
      </c>
      <c r="T963" s="4">
        <v>10</v>
      </c>
      <c r="U963" s="5" t="s">
        <v>9925</v>
      </c>
      <c r="V963" s="5" t="s">
        <v>9925</v>
      </c>
      <c r="W963" s="5" t="s">
        <v>72</v>
      </c>
      <c r="X963" s="5" t="s">
        <v>72</v>
      </c>
      <c r="Y963" s="4">
        <v>1545</v>
      </c>
      <c r="Z963" s="4">
        <v>50</v>
      </c>
      <c r="AA963" s="4">
        <v>54</v>
      </c>
      <c r="AB963" s="4">
        <v>4</v>
      </c>
      <c r="AC963" s="4">
        <v>6</v>
      </c>
      <c r="AD963" s="4">
        <v>107</v>
      </c>
      <c r="AE963" s="4">
        <v>108</v>
      </c>
      <c r="AF963" s="4">
        <v>2</v>
      </c>
      <c r="AG963" s="4">
        <v>2</v>
      </c>
      <c r="AH963" s="4">
        <v>96</v>
      </c>
      <c r="AI963" s="4">
        <v>97</v>
      </c>
      <c r="AJ963" s="4">
        <v>12</v>
      </c>
      <c r="AK963" s="4">
        <v>12</v>
      </c>
      <c r="AL963" s="4">
        <v>50</v>
      </c>
      <c r="AM963" s="4">
        <v>51</v>
      </c>
      <c r="AN963" s="4">
        <v>0</v>
      </c>
      <c r="AO963" s="4">
        <v>0</v>
      </c>
      <c r="AP963" s="4">
        <v>16</v>
      </c>
      <c r="AQ963" s="4">
        <v>16</v>
      </c>
      <c r="AR963" s="3" t="s">
        <v>64</v>
      </c>
      <c r="AS963" s="3" t="s">
        <v>64</v>
      </c>
      <c r="AT963" s="3" t="s">
        <v>73</v>
      </c>
      <c r="AU963" s="6" t="str">
        <f>HYPERLINK("http://catalog.hathitrust.org/Record/005221518","HathiTrust Record")</f>
        <v>HathiTrust Record</v>
      </c>
      <c r="AV963" s="6" t="str">
        <f>HYPERLINK("http://mcgill.on.worldcat.org/oclc/61353007","Catalog Record")</f>
        <v>Catalog Record</v>
      </c>
      <c r="AW963" s="6" t="str">
        <f>HYPERLINK("http://www.worldcat.org/oclc/61353007","WorldCat Record")</f>
        <v>WorldCat Record</v>
      </c>
      <c r="AX963" s="3" t="s">
        <v>9926</v>
      </c>
      <c r="AY963" s="3" t="s">
        <v>9927</v>
      </c>
      <c r="AZ963" s="3" t="s">
        <v>9928</v>
      </c>
      <c r="BA963" s="3" t="s">
        <v>9928</v>
      </c>
      <c r="BB963" s="3" t="s">
        <v>9929</v>
      </c>
      <c r="BC963" s="3" t="s">
        <v>78</v>
      </c>
      <c r="BD963" s="3" t="s">
        <v>79</v>
      </c>
      <c r="BE963" s="3" t="s">
        <v>9930</v>
      </c>
      <c r="BF963" s="3" t="s">
        <v>9929</v>
      </c>
      <c r="BG963" s="3" t="s">
        <v>9931</v>
      </c>
    </row>
    <row r="964" spans="1:59" ht="72.5" x14ac:dyDescent="0.35">
      <c r="A964" s="2" t="s">
        <v>59</v>
      </c>
      <c r="B964" s="2" t="s">
        <v>94</v>
      </c>
      <c r="C964" s="2" t="s">
        <v>9932</v>
      </c>
      <c r="D964" s="2" t="s">
        <v>9933</v>
      </c>
      <c r="E964" s="2" t="s">
        <v>9934</v>
      </c>
      <c r="G964" s="3" t="s">
        <v>64</v>
      </c>
      <c r="I964" s="3" t="s">
        <v>64</v>
      </c>
      <c r="J964" s="3" t="s">
        <v>64</v>
      </c>
      <c r="K964" s="3" t="s">
        <v>65</v>
      </c>
      <c r="M964" s="2" t="s">
        <v>9935</v>
      </c>
      <c r="N964" s="3" t="s">
        <v>175</v>
      </c>
      <c r="P964" s="3" t="s">
        <v>69</v>
      </c>
      <c r="R964" s="3" t="s">
        <v>9228</v>
      </c>
      <c r="S964" s="4">
        <v>0</v>
      </c>
      <c r="T964" s="4">
        <v>0</v>
      </c>
      <c r="W964" s="5" t="s">
        <v>72</v>
      </c>
      <c r="X964" s="5" t="s">
        <v>72</v>
      </c>
      <c r="Y964" s="4">
        <v>73</v>
      </c>
      <c r="Z964" s="4">
        <v>4</v>
      </c>
      <c r="AA964" s="4">
        <v>4</v>
      </c>
      <c r="AB964" s="4">
        <v>1</v>
      </c>
      <c r="AC964" s="4">
        <v>1</v>
      </c>
      <c r="AD964" s="4">
        <v>47</v>
      </c>
      <c r="AE964" s="4">
        <v>47</v>
      </c>
      <c r="AF964" s="4">
        <v>0</v>
      </c>
      <c r="AG964" s="4">
        <v>0</v>
      </c>
      <c r="AH964" s="4">
        <v>46</v>
      </c>
      <c r="AI964" s="4">
        <v>46</v>
      </c>
      <c r="AJ964" s="4">
        <v>2</v>
      </c>
      <c r="AK964" s="4">
        <v>2</v>
      </c>
      <c r="AL964" s="4">
        <v>30</v>
      </c>
      <c r="AM964" s="4">
        <v>30</v>
      </c>
      <c r="AN964" s="4">
        <v>0</v>
      </c>
      <c r="AO964" s="4">
        <v>0</v>
      </c>
      <c r="AP964" s="4">
        <v>2</v>
      </c>
      <c r="AQ964" s="4">
        <v>2</v>
      </c>
      <c r="AR964" s="3" t="s">
        <v>64</v>
      </c>
      <c r="AS964" s="3" t="s">
        <v>64</v>
      </c>
      <c r="AT964" s="3" t="s">
        <v>64</v>
      </c>
      <c r="AV964" s="6" t="str">
        <f>HYPERLINK("http://mcgill.on.worldcat.org/oclc/879324301","Catalog Record")</f>
        <v>Catalog Record</v>
      </c>
      <c r="AW964" s="6" t="str">
        <f>HYPERLINK("http://www.worldcat.org/oclc/879324301","WorldCat Record")</f>
        <v>WorldCat Record</v>
      </c>
      <c r="AX964" s="3" t="s">
        <v>9936</v>
      </c>
      <c r="AY964" s="3" t="s">
        <v>9937</v>
      </c>
      <c r="AZ964" s="3" t="s">
        <v>9938</v>
      </c>
      <c r="BA964" s="3" t="s">
        <v>9938</v>
      </c>
      <c r="BB964" s="3" t="s">
        <v>9939</v>
      </c>
      <c r="BC964" s="3" t="s">
        <v>78</v>
      </c>
      <c r="BD964" s="3" t="s">
        <v>79</v>
      </c>
      <c r="BE964" s="3" t="s">
        <v>9940</v>
      </c>
      <c r="BF964" s="3" t="s">
        <v>9939</v>
      </c>
      <c r="BG964" s="3" t="s">
        <v>9941</v>
      </c>
    </row>
    <row r="965" spans="1:59" ht="116" x14ac:dyDescent="0.35">
      <c r="A965" s="2" t="s">
        <v>59</v>
      </c>
      <c r="B965" s="2" t="s">
        <v>3778</v>
      </c>
      <c r="C965" s="2" t="s">
        <v>9942</v>
      </c>
      <c r="D965" s="2" t="s">
        <v>9943</v>
      </c>
      <c r="E965" s="2" t="s">
        <v>9944</v>
      </c>
      <c r="G965" s="3" t="s">
        <v>64</v>
      </c>
      <c r="I965" s="3" t="s">
        <v>64</v>
      </c>
      <c r="J965" s="3" t="s">
        <v>64</v>
      </c>
      <c r="K965" s="3" t="s">
        <v>65</v>
      </c>
      <c r="L965" s="2" t="s">
        <v>9945</v>
      </c>
      <c r="M965" s="2" t="s">
        <v>9946</v>
      </c>
      <c r="N965" s="3" t="s">
        <v>1530</v>
      </c>
      <c r="O965" s="2" t="s">
        <v>3783</v>
      </c>
      <c r="P965" s="3" t="s">
        <v>3784</v>
      </c>
      <c r="R965" s="3" t="s">
        <v>9228</v>
      </c>
      <c r="S965" s="4">
        <v>3</v>
      </c>
      <c r="T965" s="4">
        <v>3</v>
      </c>
      <c r="U965" s="5" t="s">
        <v>3948</v>
      </c>
      <c r="V965" s="5" t="s">
        <v>3948</v>
      </c>
      <c r="W965" s="5" t="s">
        <v>72</v>
      </c>
      <c r="X965" s="5" t="s">
        <v>72</v>
      </c>
      <c r="Y965" s="4">
        <v>11</v>
      </c>
      <c r="Z965" s="4">
        <v>1</v>
      </c>
      <c r="AA965" s="4">
        <v>1</v>
      </c>
      <c r="AB965" s="4">
        <v>1</v>
      </c>
      <c r="AC965" s="4">
        <v>1</v>
      </c>
      <c r="AD965" s="4">
        <v>4</v>
      </c>
      <c r="AE965" s="4">
        <v>4</v>
      </c>
      <c r="AF965" s="4">
        <v>0</v>
      </c>
      <c r="AG965" s="4">
        <v>0</v>
      </c>
      <c r="AH965" s="4">
        <v>4</v>
      </c>
      <c r="AI965" s="4">
        <v>4</v>
      </c>
      <c r="AJ965" s="4">
        <v>0</v>
      </c>
      <c r="AK965" s="4">
        <v>0</v>
      </c>
      <c r="AL965" s="4">
        <v>2</v>
      </c>
      <c r="AM965" s="4">
        <v>2</v>
      </c>
      <c r="AN965" s="4">
        <v>0</v>
      </c>
      <c r="AO965" s="4">
        <v>0</v>
      </c>
      <c r="AP965" s="4">
        <v>0</v>
      </c>
      <c r="AQ965" s="4">
        <v>0</v>
      </c>
      <c r="AR965" s="3" t="s">
        <v>64</v>
      </c>
      <c r="AS965" s="3" t="s">
        <v>64</v>
      </c>
      <c r="AT965" s="3" t="s">
        <v>64</v>
      </c>
      <c r="AV965" s="6" t="str">
        <f>HYPERLINK("http://mcgill.on.worldcat.org/oclc/51920831","Catalog Record")</f>
        <v>Catalog Record</v>
      </c>
      <c r="AW965" s="6" t="str">
        <f>HYPERLINK("http://www.worldcat.org/oclc/51920831","WorldCat Record")</f>
        <v>WorldCat Record</v>
      </c>
      <c r="AX965" s="3" t="s">
        <v>9947</v>
      </c>
      <c r="AY965" s="3" t="s">
        <v>9948</v>
      </c>
      <c r="AZ965" s="3" t="s">
        <v>9949</v>
      </c>
      <c r="BA965" s="3" t="s">
        <v>9949</v>
      </c>
      <c r="BB965" s="3" t="s">
        <v>9950</v>
      </c>
      <c r="BC965" s="3" t="s">
        <v>78</v>
      </c>
      <c r="BD965" s="3" t="s">
        <v>79</v>
      </c>
      <c r="BE965" s="3" t="s">
        <v>9951</v>
      </c>
      <c r="BF965" s="3" t="s">
        <v>9950</v>
      </c>
      <c r="BG965" s="3" t="s">
        <v>9952</v>
      </c>
    </row>
    <row r="966" spans="1:59" ht="58" x14ac:dyDescent="0.35">
      <c r="A966" s="2" t="s">
        <v>59</v>
      </c>
      <c r="B966" s="2" t="s">
        <v>94</v>
      </c>
      <c r="C966" s="2" t="s">
        <v>9953</v>
      </c>
      <c r="D966" s="2" t="s">
        <v>9954</v>
      </c>
      <c r="E966" s="2" t="s">
        <v>9955</v>
      </c>
      <c r="G966" s="3" t="s">
        <v>64</v>
      </c>
      <c r="I966" s="3" t="s">
        <v>64</v>
      </c>
      <c r="J966" s="3" t="s">
        <v>64</v>
      </c>
      <c r="K966" s="3" t="s">
        <v>65</v>
      </c>
      <c r="L966" s="2" t="s">
        <v>9956</v>
      </c>
      <c r="M966" s="2" t="s">
        <v>9957</v>
      </c>
      <c r="N966" s="3" t="s">
        <v>872</v>
      </c>
      <c r="P966" s="3" t="s">
        <v>69</v>
      </c>
      <c r="R966" s="3" t="s">
        <v>9228</v>
      </c>
      <c r="S966" s="4">
        <v>7</v>
      </c>
      <c r="T966" s="4">
        <v>7</v>
      </c>
      <c r="U966" s="5" t="s">
        <v>9768</v>
      </c>
      <c r="V966" s="5" t="s">
        <v>9768</v>
      </c>
      <c r="W966" s="5" t="s">
        <v>72</v>
      </c>
      <c r="X966" s="5" t="s">
        <v>72</v>
      </c>
      <c r="Y966" s="4">
        <v>223</v>
      </c>
      <c r="Z966" s="4">
        <v>13</v>
      </c>
      <c r="AA966" s="4">
        <v>14</v>
      </c>
      <c r="AB966" s="4">
        <v>1</v>
      </c>
      <c r="AC966" s="4">
        <v>2</v>
      </c>
      <c r="AD966" s="4">
        <v>70</v>
      </c>
      <c r="AE966" s="4">
        <v>74</v>
      </c>
      <c r="AF966" s="4">
        <v>0</v>
      </c>
      <c r="AG966" s="4">
        <v>1</v>
      </c>
      <c r="AH966" s="4">
        <v>66</v>
      </c>
      <c r="AI966" s="4">
        <v>69</v>
      </c>
      <c r="AJ966" s="4">
        <v>10</v>
      </c>
      <c r="AK966" s="4">
        <v>11</v>
      </c>
      <c r="AL966" s="4">
        <v>35</v>
      </c>
      <c r="AM966" s="4">
        <v>37</v>
      </c>
      <c r="AN966" s="4">
        <v>0</v>
      </c>
      <c r="AO966" s="4">
        <v>0</v>
      </c>
      <c r="AP966" s="4">
        <v>10</v>
      </c>
      <c r="AQ966" s="4">
        <v>10</v>
      </c>
      <c r="AR966" s="3" t="s">
        <v>64</v>
      </c>
      <c r="AS966" s="3" t="s">
        <v>64</v>
      </c>
      <c r="AT966" s="3" t="s">
        <v>73</v>
      </c>
      <c r="AU966" s="6" t="str">
        <f>HYPERLINK("http://catalog.hathitrust.org/Record/002551233","HathiTrust Record")</f>
        <v>HathiTrust Record</v>
      </c>
      <c r="AV966" s="6" t="str">
        <f>HYPERLINK("http://mcgill.on.worldcat.org/oclc/19395576","Catalog Record")</f>
        <v>Catalog Record</v>
      </c>
      <c r="AW966" s="6" t="str">
        <f>HYPERLINK("http://www.worldcat.org/oclc/19395576","WorldCat Record")</f>
        <v>WorldCat Record</v>
      </c>
      <c r="AX966" s="3" t="s">
        <v>9958</v>
      </c>
      <c r="AY966" s="3" t="s">
        <v>9959</v>
      </c>
      <c r="AZ966" s="3" t="s">
        <v>9960</v>
      </c>
      <c r="BA966" s="3" t="s">
        <v>9960</v>
      </c>
      <c r="BB966" s="3" t="s">
        <v>9961</v>
      </c>
      <c r="BC966" s="3" t="s">
        <v>78</v>
      </c>
      <c r="BD966" s="3" t="s">
        <v>79</v>
      </c>
      <c r="BE966" s="3" t="s">
        <v>9962</v>
      </c>
      <c r="BF966" s="3" t="s">
        <v>9961</v>
      </c>
      <c r="BG966" s="3" t="s">
        <v>9963</v>
      </c>
    </row>
    <row r="967" spans="1:59" ht="72.5" x14ac:dyDescent="0.35">
      <c r="A967" s="2" t="s">
        <v>59</v>
      </c>
      <c r="B967" s="2" t="s">
        <v>94</v>
      </c>
      <c r="C967" s="2" t="s">
        <v>9964</v>
      </c>
      <c r="D967" s="2" t="s">
        <v>9965</v>
      </c>
      <c r="E967" s="2" t="s">
        <v>9966</v>
      </c>
      <c r="G967" s="3" t="s">
        <v>64</v>
      </c>
      <c r="I967" s="3" t="s">
        <v>64</v>
      </c>
      <c r="J967" s="3" t="s">
        <v>64</v>
      </c>
      <c r="K967" s="3" t="s">
        <v>65</v>
      </c>
      <c r="L967" s="2" t="s">
        <v>9967</v>
      </c>
      <c r="M967" s="2" t="s">
        <v>9968</v>
      </c>
      <c r="N967" s="3" t="s">
        <v>1167</v>
      </c>
      <c r="P967" s="3" t="s">
        <v>69</v>
      </c>
      <c r="R967" s="3" t="s">
        <v>9228</v>
      </c>
      <c r="S967" s="4">
        <v>2</v>
      </c>
      <c r="T967" s="4">
        <v>2</v>
      </c>
      <c r="U967" s="5" t="s">
        <v>2019</v>
      </c>
      <c r="V967" s="5" t="s">
        <v>2019</v>
      </c>
      <c r="W967" s="5" t="s">
        <v>72</v>
      </c>
      <c r="X967" s="5" t="s">
        <v>72</v>
      </c>
      <c r="Y967" s="4">
        <v>510</v>
      </c>
      <c r="Z967" s="4">
        <v>20</v>
      </c>
      <c r="AA967" s="4">
        <v>20</v>
      </c>
      <c r="AB967" s="4">
        <v>2</v>
      </c>
      <c r="AC967" s="4">
        <v>2</v>
      </c>
      <c r="AD967" s="4">
        <v>101</v>
      </c>
      <c r="AE967" s="4">
        <v>101</v>
      </c>
      <c r="AF967" s="4">
        <v>1</v>
      </c>
      <c r="AG967" s="4">
        <v>1</v>
      </c>
      <c r="AH967" s="4">
        <v>92</v>
      </c>
      <c r="AI967" s="4">
        <v>92</v>
      </c>
      <c r="AJ967" s="4">
        <v>15</v>
      </c>
      <c r="AK967" s="4">
        <v>15</v>
      </c>
      <c r="AL967" s="4">
        <v>50</v>
      </c>
      <c r="AM967" s="4">
        <v>50</v>
      </c>
      <c r="AN967" s="4">
        <v>0</v>
      </c>
      <c r="AO967" s="4">
        <v>0</v>
      </c>
      <c r="AP967" s="4">
        <v>16</v>
      </c>
      <c r="AQ967" s="4">
        <v>16</v>
      </c>
      <c r="AR967" s="3" t="s">
        <v>64</v>
      </c>
      <c r="AS967" s="3" t="s">
        <v>64</v>
      </c>
      <c r="AT967" s="3" t="s">
        <v>64</v>
      </c>
      <c r="AV967" s="6" t="str">
        <f>HYPERLINK("http://mcgill.on.worldcat.org/oclc/3958385","Catalog Record")</f>
        <v>Catalog Record</v>
      </c>
      <c r="AW967" s="6" t="str">
        <f>HYPERLINK("http://www.worldcat.org/oclc/3958385","WorldCat Record")</f>
        <v>WorldCat Record</v>
      </c>
      <c r="AX967" s="3" t="s">
        <v>9969</v>
      </c>
      <c r="AY967" s="3" t="s">
        <v>9970</v>
      </c>
      <c r="AZ967" s="3" t="s">
        <v>9971</v>
      </c>
      <c r="BA967" s="3" t="s">
        <v>9971</v>
      </c>
      <c r="BB967" s="3" t="s">
        <v>9972</v>
      </c>
      <c r="BC967" s="3" t="s">
        <v>78</v>
      </c>
      <c r="BD967" s="3" t="s">
        <v>79</v>
      </c>
      <c r="BE967" s="3" t="s">
        <v>9973</v>
      </c>
      <c r="BF967" s="3" t="s">
        <v>9972</v>
      </c>
      <c r="BG967" s="3" t="s">
        <v>9974</v>
      </c>
    </row>
    <row r="968" spans="1:59" ht="58" x14ac:dyDescent="0.35">
      <c r="A968" s="2" t="s">
        <v>59</v>
      </c>
      <c r="B968" s="2" t="s">
        <v>94</v>
      </c>
      <c r="C968" s="2" t="s">
        <v>9975</v>
      </c>
      <c r="D968" s="2" t="s">
        <v>9976</v>
      </c>
      <c r="E968" s="2" t="s">
        <v>9977</v>
      </c>
      <c r="G968" s="3" t="s">
        <v>64</v>
      </c>
      <c r="I968" s="3" t="s">
        <v>64</v>
      </c>
      <c r="J968" s="3" t="s">
        <v>73</v>
      </c>
      <c r="K968" s="3" t="s">
        <v>65</v>
      </c>
      <c r="L968" s="2" t="s">
        <v>9978</v>
      </c>
      <c r="M968" s="2" t="s">
        <v>9979</v>
      </c>
      <c r="N968" s="3" t="s">
        <v>2466</v>
      </c>
      <c r="P968" s="3" t="s">
        <v>69</v>
      </c>
      <c r="R968" s="3" t="s">
        <v>9228</v>
      </c>
      <c r="S968" s="4">
        <v>4</v>
      </c>
      <c r="T968" s="4">
        <v>4</v>
      </c>
      <c r="U968" s="5" t="s">
        <v>6823</v>
      </c>
      <c r="V968" s="5" t="s">
        <v>6823</v>
      </c>
      <c r="W968" s="5" t="s">
        <v>72</v>
      </c>
      <c r="X968" s="5" t="s">
        <v>72</v>
      </c>
      <c r="Y968" s="4">
        <v>83</v>
      </c>
      <c r="Z968" s="4">
        <v>5</v>
      </c>
      <c r="AA968" s="4">
        <v>47</v>
      </c>
      <c r="AB968" s="4">
        <v>1</v>
      </c>
      <c r="AC968" s="4">
        <v>6</v>
      </c>
      <c r="AD968" s="4">
        <v>9</v>
      </c>
      <c r="AE968" s="4">
        <v>126</v>
      </c>
      <c r="AF968" s="4">
        <v>0</v>
      </c>
      <c r="AG968" s="4">
        <v>3</v>
      </c>
      <c r="AH968" s="4">
        <v>8</v>
      </c>
      <c r="AI968" s="4">
        <v>100</v>
      </c>
      <c r="AJ968" s="4">
        <v>3</v>
      </c>
      <c r="AK968" s="4">
        <v>21</v>
      </c>
      <c r="AL968" s="4">
        <v>1</v>
      </c>
      <c r="AM968" s="4">
        <v>55</v>
      </c>
      <c r="AN968" s="4">
        <v>0</v>
      </c>
      <c r="AO968" s="4">
        <v>0</v>
      </c>
      <c r="AP968" s="4">
        <v>4</v>
      </c>
      <c r="AQ968" s="4">
        <v>31</v>
      </c>
      <c r="AR968" s="3" t="s">
        <v>64</v>
      </c>
      <c r="AS968" s="3" t="s">
        <v>64</v>
      </c>
      <c r="AT968" s="3" t="s">
        <v>64</v>
      </c>
      <c r="AV968" s="6" t="str">
        <f>HYPERLINK("http://mcgill.on.worldcat.org/oclc/10484992","Catalog Record")</f>
        <v>Catalog Record</v>
      </c>
      <c r="AW968" s="6" t="str">
        <f>HYPERLINK("http://www.worldcat.org/oclc/10484992","WorldCat Record")</f>
        <v>WorldCat Record</v>
      </c>
      <c r="AX968" s="3" t="s">
        <v>9980</v>
      </c>
      <c r="AY968" s="3" t="s">
        <v>9981</v>
      </c>
      <c r="AZ968" s="3" t="s">
        <v>9982</v>
      </c>
      <c r="BA968" s="3" t="s">
        <v>9982</v>
      </c>
      <c r="BB968" s="3" t="s">
        <v>9983</v>
      </c>
      <c r="BC968" s="3" t="s">
        <v>78</v>
      </c>
      <c r="BD968" s="3" t="s">
        <v>79</v>
      </c>
      <c r="BF968" s="3" t="s">
        <v>9983</v>
      </c>
      <c r="BG968" s="3" t="s">
        <v>9984</v>
      </c>
    </row>
    <row r="969" spans="1:59" ht="58" x14ac:dyDescent="0.35">
      <c r="A969" s="2" t="s">
        <v>59</v>
      </c>
      <c r="B969" s="2" t="s">
        <v>94</v>
      </c>
      <c r="C969" s="2" t="s">
        <v>9985</v>
      </c>
      <c r="D969" s="2" t="s">
        <v>9986</v>
      </c>
      <c r="E969" s="2" t="s">
        <v>9987</v>
      </c>
      <c r="G969" s="3" t="s">
        <v>64</v>
      </c>
      <c r="I969" s="3" t="s">
        <v>64</v>
      </c>
      <c r="J969" s="3" t="s">
        <v>64</v>
      </c>
      <c r="K969" s="3" t="s">
        <v>65</v>
      </c>
      <c r="L969" s="2" t="s">
        <v>9988</v>
      </c>
      <c r="M969" s="2" t="s">
        <v>9989</v>
      </c>
      <c r="N969" s="3" t="s">
        <v>214</v>
      </c>
      <c r="P969" s="3" t="s">
        <v>69</v>
      </c>
      <c r="R969" s="3" t="s">
        <v>9228</v>
      </c>
      <c r="S969" s="4">
        <v>1</v>
      </c>
      <c r="T969" s="4">
        <v>1</v>
      </c>
      <c r="U969" s="5" t="s">
        <v>9990</v>
      </c>
      <c r="V969" s="5" t="s">
        <v>9990</v>
      </c>
      <c r="W969" s="5" t="s">
        <v>72</v>
      </c>
      <c r="X969" s="5" t="s">
        <v>72</v>
      </c>
      <c r="Y969" s="4">
        <v>167</v>
      </c>
      <c r="Z969" s="4">
        <v>8</v>
      </c>
      <c r="AA969" s="4">
        <v>104</v>
      </c>
      <c r="AB969" s="4">
        <v>1</v>
      </c>
      <c r="AC969" s="4">
        <v>18</v>
      </c>
      <c r="AD969" s="4">
        <v>61</v>
      </c>
      <c r="AE969" s="4">
        <v>129</v>
      </c>
      <c r="AF969" s="4">
        <v>0</v>
      </c>
      <c r="AG969" s="4">
        <v>8</v>
      </c>
      <c r="AH969" s="4">
        <v>58</v>
      </c>
      <c r="AI969" s="4">
        <v>92</v>
      </c>
      <c r="AJ969" s="4">
        <v>6</v>
      </c>
      <c r="AK969" s="4">
        <v>23</v>
      </c>
      <c r="AL969" s="4">
        <v>36</v>
      </c>
      <c r="AM969" s="4">
        <v>50</v>
      </c>
      <c r="AN969" s="4">
        <v>0</v>
      </c>
      <c r="AO969" s="4">
        <v>0</v>
      </c>
      <c r="AP969" s="4">
        <v>6</v>
      </c>
      <c r="AQ969" s="4">
        <v>44</v>
      </c>
      <c r="AR969" s="3" t="s">
        <v>64</v>
      </c>
      <c r="AS969" s="3" t="s">
        <v>64</v>
      </c>
      <c r="AT969" s="3" t="s">
        <v>64</v>
      </c>
      <c r="AV969" s="6" t="str">
        <f>HYPERLINK("http://mcgill.on.worldcat.org/oclc/540644065","Catalog Record")</f>
        <v>Catalog Record</v>
      </c>
      <c r="AW969" s="6" t="str">
        <f>HYPERLINK("http://www.worldcat.org/oclc/540644065","WorldCat Record")</f>
        <v>WorldCat Record</v>
      </c>
      <c r="AX969" s="3" t="s">
        <v>9991</v>
      </c>
      <c r="AY969" s="3" t="s">
        <v>9992</v>
      </c>
      <c r="AZ969" s="3" t="s">
        <v>9993</v>
      </c>
      <c r="BA969" s="3" t="s">
        <v>9993</v>
      </c>
      <c r="BB969" s="3" t="s">
        <v>9994</v>
      </c>
      <c r="BC969" s="3" t="s">
        <v>78</v>
      </c>
      <c r="BD969" s="3" t="s">
        <v>79</v>
      </c>
      <c r="BE969" s="3" t="s">
        <v>9995</v>
      </c>
      <c r="BF969" s="3" t="s">
        <v>9994</v>
      </c>
      <c r="BG969" s="3" t="s">
        <v>9996</v>
      </c>
    </row>
    <row r="970" spans="1:59" ht="58" x14ac:dyDescent="0.35">
      <c r="A970" s="2" t="s">
        <v>59</v>
      </c>
      <c r="B970" s="2" t="s">
        <v>94</v>
      </c>
      <c r="C970" s="2" t="s">
        <v>9997</v>
      </c>
      <c r="D970" s="2" t="s">
        <v>9998</v>
      </c>
      <c r="E970" s="2" t="s">
        <v>9999</v>
      </c>
      <c r="G970" s="3" t="s">
        <v>64</v>
      </c>
      <c r="I970" s="3" t="s">
        <v>64</v>
      </c>
      <c r="J970" s="3" t="s">
        <v>64</v>
      </c>
      <c r="K970" s="3" t="s">
        <v>65</v>
      </c>
      <c r="L970" s="2" t="s">
        <v>5076</v>
      </c>
      <c r="M970" s="2" t="s">
        <v>10000</v>
      </c>
      <c r="N970" s="3" t="s">
        <v>377</v>
      </c>
      <c r="P970" s="3" t="s">
        <v>69</v>
      </c>
      <c r="Q970" s="2" t="s">
        <v>10001</v>
      </c>
      <c r="R970" s="3" t="s">
        <v>9228</v>
      </c>
      <c r="S970" s="4">
        <v>0</v>
      </c>
      <c r="T970" s="4">
        <v>0</v>
      </c>
      <c r="W970" s="5" t="s">
        <v>72</v>
      </c>
      <c r="X970" s="5" t="s">
        <v>72</v>
      </c>
      <c r="Y970" s="4">
        <v>78</v>
      </c>
      <c r="Z970" s="4">
        <v>6</v>
      </c>
      <c r="AA970" s="4">
        <v>7</v>
      </c>
      <c r="AB970" s="4">
        <v>1</v>
      </c>
      <c r="AC970" s="4">
        <v>1</v>
      </c>
      <c r="AD970" s="4">
        <v>46</v>
      </c>
      <c r="AE970" s="4">
        <v>52</v>
      </c>
      <c r="AF970" s="4">
        <v>0</v>
      </c>
      <c r="AG970" s="4">
        <v>0</v>
      </c>
      <c r="AH970" s="4">
        <v>45</v>
      </c>
      <c r="AI970" s="4">
        <v>50</v>
      </c>
      <c r="AJ970" s="4">
        <v>4</v>
      </c>
      <c r="AK970" s="4">
        <v>5</v>
      </c>
      <c r="AL970" s="4">
        <v>25</v>
      </c>
      <c r="AM970" s="4">
        <v>28</v>
      </c>
      <c r="AN970" s="4">
        <v>0</v>
      </c>
      <c r="AO970" s="4">
        <v>0</v>
      </c>
      <c r="AP970" s="4">
        <v>4</v>
      </c>
      <c r="AQ970" s="4">
        <v>5</v>
      </c>
      <c r="AR970" s="3" t="s">
        <v>64</v>
      </c>
      <c r="AS970" s="3" t="s">
        <v>64</v>
      </c>
      <c r="AT970" s="3" t="s">
        <v>64</v>
      </c>
      <c r="AV970" s="6" t="str">
        <f>HYPERLINK("http://mcgill.on.worldcat.org/oclc/800447822","Catalog Record")</f>
        <v>Catalog Record</v>
      </c>
      <c r="AW970" s="6" t="str">
        <f>HYPERLINK("http://www.worldcat.org/oclc/800447822","WorldCat Record")</f>
        <v>WorldCat Record</v>
      </c>
      <c r="AX970" s="3" t="s">
        <v>10002</v>
      </c>
      <c r="AY970" s="3" t="s">
        <v>10003</v>
      </c>
      <c r="AZ970" s="3" t="s">
        <v>10004</v>
      </c>
      <c r="BA970" s="3" t="s">
        <v>10004</v>
      </c>
      <c r="BB970" s="3" t="s">
        <v>10005</v>
      </c>
      <c r="BC970" s="3" t="s">
        <v>78</v>
      </c>
      <c r="BD970" s="3" t="s">
        <v>79</v>
      </c>
      <c r="BE970" s="3" t="s">
        <v>10006</v>
      </c>
      <c r="BF970" s="3" t="s">
        <v>10005</v>
      </c>
      <c r="BG970" s="3" t="s">
        <v>10007</v>
      </c>
    </row>
    <row r="971" spans="1:59" ht="58" x14ac:dyDescent="0.35">
      <c r="A971" s="2" t="s">
        <v>59</v>
      </c>
      <c r="B971" s="2" t="s">
        <v>94</v>
      </c>
      <c r="C971" s="2" t="s">
        <v>10008</v>
      </c>
      <c r="D971" s="2" t="s">
        <v>10009</v>
      </c>
      <c r="E971" s="2" t="s">
        <v>10010</v>
      </c>
      <c r="G971" s="3" t="s">
        <v>64</v>
      </c>
      <c r="I971" s="3" t="s">
        <v>64</v>
      </c>
      <c r="J971" s="3" t="s">
        <v>64</v>
      </c>
      <c r="K971" s="3" t="s">
        <v>65</v>
      </c>
      <c r="L971" s="2" t="s">
        <v>10011</v>
      </c>
      <c r="M971" s="2" t="s">
        <v>10012</v>
      </c>
      <c r="N971" s="3" t="s">
        <v>705</v>
      </c>
      <c r="P971" s="3" t="s">
        <v>69</v>
      </c>
      <c r="R971" s="3" t="s">
        <v>9228</v>
      </c>
      <c r="S971" s="4">
        <v>18</v>
      </c>
      <c r="T971" s="4">
        <v>18</v>
      </c>
      <c r="U971" s="5" t="s">
        <v>10013</v>
      </c>
      <c r="V971" s="5" t="s">
        <v>10013</v>
      </c>
      <c r="W971" s="5" t="s">
        <v>72</v>
      </c>
      <c r="X971" s="5" t="s">
        <v>72</v>
      </c>
      <c r="Y971" s="4">
        <v>315</v>
      </c>
      <c r="Z971" s="4">
        <v>15</v>
      </c>
      <c r="AA971" s="4">
        <v>20</v>
      </c>
      <c r="AB971" s="4">
        <v>2</v>
      </c>
      <c r="AC971" s="4">
        <v>4</v>
      </c>
      <c r="AD971" s="4">
        <v>93</v>
      </c>
      <c r="AE971" s="4">
        <v>97</v>
      </c>
      <c r="AF971" s="4">
        <v>1</v>
      </c>
      <c r="AG971" s="4">
        <v>1</v>
      </c>
      <c r="AH971" s="4">
        <v>84</v>
      </c>
      <c r="AI971" s="4">
        <v>86</v>
      </c>
      <c r="AJ971" s="4">
        <v>10</v>
      </c>
      <c r="AK971" s="4">
        <v>12</v>
      </c>
      <c r="AL971" s="4">
        <v>52</v>
      </c>
      <c r="AM971" s="4">
        <v>53</v>
      </c>
      <c r="AN971" s="4">
        <v>0</v>
      </c>
      <c r="AO971" s="4">
        <v>0</v>
      </c>
      <c r="AP971" s="4">
        <v>12</v>
      </c>
      <c r="AQ971" s="4">
        <v>15</v>
      </c>
      <c r="AR971" s="3" t="s">
        <v>64</v>
      </c>
      <c r="AS971" s="3" t="s">
        <v>64</v>
      </c>
      <c r="AT971" s="3" t="s">
        <v>64</v>
      </c>
      <c r="AV971" s="6" t="str">
        <f>HYPERLINK("http://mcgill.on.worldcat.org/oclc/34321108","Catalog Record")</f>
        <v>Catalog Record</v>
      </c>
      <c r="AW971" s="6" t="str">
        <f>HYPERLINK("http://www.worldcat.org/oclc/34321108","WorldCat Record")</f>
        <v>WorldCat Record</v>
      </c>
      <c r="AX971" s="3" t="s">
        <v>10014</v>
      </c>
      <c r="AY971" s="3" t="s">
        <v>10015</v>
      </c>
      <c r="AZ971" s="3" t="s">
        <v>10016</v>
      </c>
      <c r="BA971" s="3" t="s">
        <v>10016</v>
      </c>
      <c r="BB971" s="3" t="s">
        <v>10017</v>
      </c>
      <c r="BC971" s="3" t="s">
        <v>78</v>
      </c>
      <c r="BD971" s="3" t="s">
        <v>79</v>
      </c>
      <c r="BE971" s="3" t="s">
        <v>10018</v>
      </c>
      <c r="BF971" s="3" t="s">
        <v>10017</v>
      </c>
      <c r="BG971" s="3" t="s">
        <v>10019</v>
      </c>
    </row>
    <row r="972" spans="1:59" ht="58" x14ac:dyDescent="0.35">
      <c r="A972" s="2" t="s">
        <v>59</v>
      </c>
      <c r="B972" s="2" t="s">
        <v>94</v>
      </c>
      <c r="C972" s="2" t="s">
        <v>10020</v>
      </c>
      <c r="D972" s="2" t="s">
        <v>10021</v>
      </c>
      <c r="E972" s="2" t="s">
        <v>10022</v>
      </c>
      <c r="G972" s="3" t="s">
        <v>64</v>
      </c>
      <c r="I972" s="3" t="s">
        <v>64</v>
      </c>
      <c r="J972" s="3" t="s">
        <v>64</v>
      </c>
      <c r="K972" s="3" t="s">
        <v>65</v>
      </c>
      <c r="L972" s="2" t="s">
        <v>10023</v>
      </c>
      <c r="M972" s="2" t="s">
        <v>10024</v>
      </c>
      <c r="N972" s="3" t="s">
        <v>175</v>
      </c>
      <c r="P972" s="3" t="s">
        <v>69</v>
      </c>
      <c r="R972" s="3" t="s">
        <v>9228</v>
      </c>
      <c r="S972" s="4">
        <v>0</v>
      </c>
      <c r="T972" s="4">
        <v>0</v>
      </c>
      <c r="W972" s="5" t="s">
        <v>72</v>
      </c>
      <c r="X972" s="5" t="s">
        <v>72</v>
      </c>
      <c r="Y972" s="4">
        <v>62</v>
      </c>
      <c r="Z972" s="4">
        <v>2</v>
      </c>
      <c r="AA972" s="4">
        <v>3</v>
      </c>
      <c r="AB972" s="4">
        <v>1</v>
      </c>
      <c r="AC972" s="4">
        <v>2</v>
      </c>
      <c r="AD972" s="4">
        <v>20</v>
      </c>
      <c r="AE972" s="4">
        <v>21</v>
      </c>
      <c r="AF972" s="4">
        <v>0</v>
      </c>
      <c r="AG972" s="4">
        <v>0</v>
      </c>
      <c r="AH972" s="4">
        <v>20</v>
      </c>
      <c r="AI972" s="4">
        <v>21</v>
      </c>
      <c r="AJ972" s="4">
        <v>1</v>
      </c>
      <c r="AK972" s="4">
        <v>1</v>
      </c>
      <c r="AL972" s="4">
        <v>10</v>
      </c>
      <c r="AM972" s="4">
        <v>11</v>
      </c>
      <c r="AN972" s="4">
        <v>0</v>
      </c>
      <c r="AO972" s="4">
        <v>0</v>
      </c>
      <c r="AP972" s="4">
        <v>1</v>
      </c>
      <c r="AQ972" s="4">
        <v>1</v>
      </c>
      <c r="AR972" s="3" t="s">
        <v>64</v>
      </c>
      <c r="AS972" s="3" t="s">
        <v>64</v>
      </c>
      <c r="AT972" s="3" t="s">
        <v>64</v>
      </c>
      <c r="AV972" s="6" t="str">
        <f>HYPERLINK("http://mcgill.on.worldcat.org/oclc/857898100","Catalog Record")</f>
        <v>Catalog Record</v>
      </c>
      <c r="AW972" s="6" t="str">
        <f>HYPERLINK("http://www.worldcat.org/oclc/857898100","WorldCat Record")</f>
        <v>WorldCat Record</v>
      </c>
      <c r="AX972" s="3" t="s">
        <v>10025</v>
      </c>
      <c r="AY972" s="3" t="s">
        <v>10026</v>
      </c>
      <c r="AZ972" s="3" t="s">
        <v>10027</v>
      </c>
      <c r="BA972" s="3" t="s">
        <v>10027</v>
      </c>
      <c r="BB972" s="3" t="s">
        <v>10028</v>
      </c>
      <c r="BC972" s="3" t="s">
        <v>78</v>
      </c>
      <c r="BD972" s="3" t="s">
        <v>79</v>
      </c>
      <c r="BE972" s="3" t="s">
        <v>10029</v>
      </c>
      <c r="BF972" s="3" t="s">
        <v>10028</v>
      </c>
      <c r="BG972" s="3" t="s">
        <v>10030</v>
      </c>
    </row>
    <row r="973" spans="1:59" ht="58" x14ac:dyDescent="0.35">
      <c r="A973" s="2" t="s">
        <v>59</v>
      </c>
      <c r="B973" s="2" t="s">
        <v>94</v>
      </c>
      <c r="C973" s="2" t="s">
        <v>10031</v>
      </c>
      <c r="D973" s="2" t="s">
        <v>10032</v>
      </c>
      <c r="E973" s="2" t="s">
        <v>10033</v>
      </c>
      <c r="G973" s="3" t="s">
        <v>64</v>
      </c>
      <c r="I973" s="3" t="s">
        <v>64</v>
      </c>
      <c r="J973" s="3" t="s">
        <v>64</v>
      </c>
      <c r="K973" s="3" t="s">
        <v>65</v>
      </c>
      <c r="L973" s="2" t="s">
        <v>10034</v>
      </c>
      <c r="M973" s="2" t="s">
        <v>10035</v>
      </c>
      <c r="N973" s="3" t="s">
        <v>1645</v>
      </c>
      <c r="P973" s="3" t="s">
        <v>69</v>
      </c>
      <c r="R973" s="3" t="s">
        <v>9228</v>
      </c>
      <c r="S973" s="4">
        <v>3</v>
      </c>
      <c r="T973" s="4">
        <v>3</v>
      </c>
      <c r="U973" s="5" t="s">
        <v>10036</v>
      </c>
      <c r="V973" s="5" t="s">
        <v>10036</v>
      </c>
      <c r="W973" s="5" t="s">
        <v>72</v>
      </c>
      <c r="X973" s="5" t="s">
        <v>72</v>
      </c>
      <c r="Y973" s="4">
        <v>1531</v>
      </c>
      <c r="Z973" s="4">
        <v>18</v>
      </c>
      <c r="AA973" s="4">
        <v>26</v>
      </c>
      <c r="AB973" s="4">
        <v>2</v>
      </c>
      <c r="AC973" s="4">
        <v>5</v>
      </c>
      <c r="AD973" s="4">
        <v>72</v>
      </c>
      <c r="AE973" s="4">
        <v>78</v>
      </c>
      <c r="AF973" s="4">
        <v>0</v>
      </c>
      <c r="AG973" s="4">
        <v>0</v>
      </c>
      <c r="AH973" s="4">
        <v>68</v>
      </c>
      <c r="AI973" s="4">
        <v>72</v>
      </c>
      <c r="AJ973" s="4">
        <v>5</v>
      </c>
      <c r="AK973" s="4">
        <v>6</v>
      </c>
      <c r="AL973" s="4">
        <v>44</v>
      </c>
      <c r="AM973" s="4">
        <v>44</v>
      </c>
      <c r="AN973" s="4">
        <v>0</v>
      </c>
      <c r="AO973" s="4">
        <v>0</v>
      </c>
      <c r="AP973" s="4">
        <v>6</v>
      </c>
      <c r="AQ973" s="4">
        <v>8</v>
      </c>
      <c r="AR973" s="3" t="s">
        <v>64</v>
      </c>
      <c r="AS973" s="3" t="s">
        <v>64</v>
      </c>
      <c r="AT973" s="3" t="s">
        <v>64</v>
      </c>
      <c r="AV973" s="6" t="str">
        <f>HYPERLINK("http://mcgill.on.worldcat.org/oclc/1012402660","Catalog Record")</f>
        <v>Catalog Record</v>
      </c>
      <c r="AW973" s="6" t="str">
        <f>HYPERLINK("http://www.worldcat.org/oclc/1012402660","WorldCat Record")</f>
        <v>WorldCat Record</v>
      </c>
      <c r="AX973" s="3" t="s">
        <v>10037</v>
      </c>
      <c r="AY973" s="3" t="s">
        <v>10038</v>
      </c>
      <c r="AZ973" s="3" t="s">
        <v>10039</v>
      </c>
      <c r="BA973" s="3" t="s">
        <v>10039</v>
      </c>
      <c r="BB973" s="3" t="s">
        <v>10040</v>
      </c>
      <c r="BC973" s="3" t="s">
        <v>78</v>
      </c>
      <c r="BD973" s="3" t="s">
        <v>79</v>
      </c>
      <c r="BE973" s="3" t="s">
        <v>10041</v>
      </c>
      <c r="BF973" s="3" t="s">
        <v>10040</v>
      </c>
      <c r="BG973" s="3" t="s">
        <v>10042</v>
      </c>
    </row>
    <row r="974" spans="1:59" ht="58" x14ac:dyDescent="0.35">
      <c r="A974" s="2" t="s">
        <v>59</v>
      </c>
      <c r="B974" s="2" t="s">
        <v>94</v>
      </c>
      <c r="C974" s="2" t="s">
        <v>10043</v>
      </c>
      <c r="D974" s="2" t="s">
        <v>10044</v>
      </c>
      <c r="E974" s="2" t="s">
        <v>10045</v>
      </c>
      <c r="G974" s="3" t="s">
        <v>64</v>
      </c>
      <c r="I974" s="3" t="s">
        <v>64</v>
      </c>
      <c r="J974" s="3" t="s">
        <v>64</v>
      </c>
      <c r="K974" s="3" t="s">
        <v>65</v>
      </c>
      <c r="L974" s="2" t="s">
        <v>10046</v>
      </c>
      <c r="M974" s="2" t="s">
        <v>10047</v>
      </c>
      <c r="N974" s="3" t="s">
        <v>449</v>
      </c>
      <c r="O974" s="2" t="s">
        <v>10048</v>
      </c>
      <c r="P974" s="3" t="s">
        <v>69</v>
      </c>
      <c r="R974" s="3" t="s">
        <v>9228</v>
      </c>
      <c r="S974" s="4">
        <v>3</v>
      </c>
      <c r="T974" s="4">
        <v>3</v>
      </c>
      <c r="U974" s="5" t="s">
        <v>10049</v>
      </c>
      <c r="V974" s="5" t="s">
        <v>10049</v>
      </c>
      <c r="W974" s="5" t="s">
        <v>72</v>
      </c>
      <c r="X974" s="5" t="s">
        <v>72</v>
      </c>
      <c r="Y974" s="4">
        <v>185</v>
      </c>
      <c r="Z974" s="4">
        <v>8</v>
      </c>
      <c r="AA974" s="4">
        <v>36</v>
      </c>
      <c r="AB974" s="4">
        <v>1</v>
      </c>
      <c r="AC974" s="4">
        <v>5</v>
      </c>
      <c r="AD974" s="4">
        <v>54</v>
      </c>
      <c r="AE974" s="4">
        <v>128</v>
      </c>
      <c r="AF974" s="4">
        <v>0</v>
      </c>
      <c r="AG974" s="4">
        <v>3</v>
      </c>
      <c r="AH974" s="4">
        <v>52</v>
      </c>
      <c r="AI974" s="4">
        <v>107</v>
      </c>
      <c r="AJ974" s="4">
        <v>4</v>
      </c>
      <c r="AK974" s="4">
        <v>18</v>
      </c>
      <c r="AL974" s="4">
        <v>34</v>
      </c>
      <c r="AM974" s="4">
        <v>58</v>
      </c>
      <c r="AN974" s="4">
        <v>0</v>
      </c>
      <c r="AO974" s="4">
        <v>0</v>
      </c>
      <c r="AP974" s="4">
        <v>4</v>
      </c>
      <c r="AQ974" s="4">
        <v>26</v>
      </c>
      <c r="AR974" s="3" t="s">
        <v>64</v>
      </c>
      <c r="AS974" s="3" t="s">
        <v>64</v>
      </c>
      <c r="AT974" s="3" t="s">
        <v>64</v>
      </c>
      <c r="AV974" s="6" t="str">
        <f>HYPERLINK("http://mcgill.on.worldcat.org/oclc/189699461","Catalog Record")</f>
        <v>Catalog Record</v>
      </c>
      <c r="AW974" s="6" t="str">
        <f>HYPERLINK("http://www.worldcat.org/oclc/189699461","WorldCat Record")</f>
        <v>WorldCat Record</v>
      </c>
      <c r="AX974" s="3" t="s">
        <v>10050</v>
      </c>
      <c r="AY974" s="3" t="s">
        <v>10051</v>
      </c>
      <c r="AZ974" s="3" t="s">
        <v>10052</v>
      </c>
      <c r="BA974" s="3" t="s">
        <v>10052</v>
      </c>
      <c r="BB974" s="3" t="s">
        <v>10053</v>
      </c>
      <c r="BC974" s="3" t="s">
        <v>78</v>
      </c>
      <c r="BD974" s="3" t="s">
        <v>79</v>
      </c>
      <c r="BE974" s="3" t="s">
        <v>10054</v>
      </c>
      <c r="BF974" s="3" t="s">
        <v>10053</v>
      </c>
      <c r="BG974" s="3" t="s">
        <v>10055</v>
      </c>
    </row>
    <row r="975" spans="1:59" ht="58" x14ac:dyDescent="0.35">
      <c r="A975" s="2" t="s">
        <v>59</v>
      </c>
      <c r="B975" s="2" t="s">
        <v>94</v>
      </c>
      <c r="C975" s="2" t="s">
        <v>10056</v>
      </c>
      <c r="D975" s="2" t="s">
        <v>10057</v>
      </c>
      <c r="E975" s="2" t="s">
        <v>10058</v>
      </c>
      <c r="G975" s="3" t="s">
        <v>64</v>
      </c>
      <c r="I975" s="3" t="s">
        <v>64</v>
      </c>
      <c r="J975" s="3" t="s">
        <v>64</v>
      </c>
      <c r="K975" s="3" t="s">
        <v>65</v>
      </c>
      <c r="L975" s="2" t="s">
        <v>10059</v>
      </c>
      <c r="M975" s="2" t="s">
        <v>10060</v>
      </c>
      <c r="N975" s="3" t="s">
        <v>175</v>
      </c>
      <c r="P975" s="3" t="s">
        <v>69</v>
      </c>
      <c r="Q975" s="2" t="s">
        <v>10061</v>
      </c>
      <c r="R975" s="3" t="s">
        <v>9228</v>
      </c>
      <c r="S975" s="4">
        <v>2</v>
      </c>
      <c r="T975" s="4">
        <v>2</v>
      </c>
      <c r="U975" s="5" t="s">
        <v>5367</v>
      </c>
      <c r="V975" s="5" t="s">
        <v>5367</v>
      </c>
      <c r="W975" s="5" t="s">
        <v>72</v>
      </c>
      <c r="X975" s="5" t="s">
        <v>72</v>
      </c>
      <c r="Y975" s="4">
        <v>123</v>
      </c>
      <c r="Z975" s="4">
        <v>5</v>
      </c>
      <c r="AA975" s="4">
        <v>8</v>
      </c>
      <c r="AB975" s="4">
        <v>1</v>
      </c>
      <c r="AC975" s="4">
        <v>2</v>
      </c>
      <c r="AD975" s="4">
        <v>25</v>
      </c>
      <c r="AE975" s="4">
        <v>30</v>
      </c>
      <c r="AF975" s="4">
        <v>0</v>
      </c>
      <c r="AG975" s="4">
        <v>1</v>
      </c>
      <c r="AH975" s="4">
        <v>21</v>
      </c>
      <c r="AI975" s="4">
        <v>26</v>
      </c>
      <c r="AJ975" s="4">
        <v>2</v>
      </c>
      <c r="AK975" s="4">
        <v>4</v>
      </c>
      <c r="AL975" s="4">
        <v>16</v>
      </c>
      <c r="AM975" s="4">
        <v>19</v>
      </c>
      <c r="AN975" s="4">
        <v>0</v>
      </c>
      <c r="AO975" s="4">
        <v>0</v>
      </c>
      <c r="AP975" s="4">
        <v>2</v>
      </c>
      <c r="AQ975" s="4">
        <v>4</v>
      </c>
      <c r="AR975" s="3" t="s">
        <v>64</v>
      </c>
      <c r="AS975" s="3" t="s">
        <v>64</v>
      </c>
      <c r="AT975" s="3" t="s">
        <v>64</v>
      </c>
      <c r="AV975" s="6" t="str">
        <f>HYPERLINK("http://mcgill.on.worldcat.org/oclc/880242728","Catalog Record")</f>
        <v>Catalog Record</v>
      </c>
      <c r="AW975" s="6" t="str">
        <f>HYPERLINK("http://www.worldcat.org/oclc/880242728","WorldCat Record")</f>
        <v>WorldCat Record</v>
      </c>
      <c r="AX975" s="3" t="s">
        <v>10062</v>
      </c>
      <c r="AY975" s="3" t="s">
        <v>10063</v>
      </c>
      <c r="AZ975" s="3" t="s">
        <v>10064</v>
      </c>
      <c r="BA975" s="3" t="s">
        <v>10064</v>
      </c>
      <c r="BB975" s="3" t="s">
        <v>10065</v>
      </c>
      <c r="BC975" s="3" t="s">
        <v>78</v>
      </c>
      <c r="BD975" s="3" t="s">
        <v>79</v>
      </c>
      <c r="BE975" s="3" t="s">
        <v>10066</v>
      </c>
      <c r="BF975" s="3" t="s">
        <v>10065</v>
      </c>
      <c r="BG975" s="3" t="s">
        <v>10067</v>
      </c>
    </row>
    <row r="976" spans="1:59" ht="58" x14ac:dyDescent="0.35">
      <c r="A976" s="2" t="s">
        <v>59</v>
      </c>
      <c r="B976" s="2" t="s">
        <v>94</v>
      </c>
      <c r="C976" s="2" t="s">
        <v>10068</v>
      </c>
      <c r="D976" s="2" t="s">
        <v>10069</v>
      </c>
      <c r="E976" s="2" t="s">
        <v>10070</v>
      </c>
      <c r="G976" s="3" t="s">
        <v>64</v>
      </c>
      <c r="I976" s="3" t="s">
        <v>64</v>
      </c>
      <c r="J976" s="3" t="s">
        <v>64</v>
      </c>
      <c r="K976" s="3" t="s">
        <v>65</v>
      </c>
      <c r="L976" s="2" t="s">
        <v>10071</v>
      </c>
      <c r="M976" s="2" t="s">
        <v>10072</v>
      </c>
      <c r="N976" s="3" t="s">
        <v>365</v>
      </c>
      <c r="O976" s="2" t="s">
        <v>1294</v>
      </c>
      <c r="P976" s="3" t="s">
        <v>69</v>
      </c>
      <c r="R976" s="3" t="s">
        <v>9228</v>
      </c>
      <c r="S976" s="4">
        <v>11</v>
      </c>
      <c r="T976" s="4">
        <v>11</v>
      </c>
      <c r="U976" s="5" t="s">
        <v>10073</v>
      </c>
      <c r="V976" s="5" t="s">
        <v>10073</v>
      </c>
      <c r="W976" s="5" t="s">
        <v>72</v>
      </c>
      <c r="X976" s="5" t="s">
        <v>72</v>
      </c>
      <c r="Y976" s="4">
        <v>769</v>
      </c>
      <c r="Z976" s="4">
        <v>30</v>
      </c>
      <c r="AA976" s="4">
        <v>36</v>
      </c>
      <c r="AB976" s="4">
        <v>1</v>
      </c>
      <c r="AC976" s="4">
        <v>5</v>
      </c>
      <c r="AD976" s="4">
        <v>112</v>
      </c>
      <c r="AE976" s="4">
        <v>114</v>
      </c>
      <c r="AF976" s="4">
        <v>0</v>
      </c>
      <c r="AG976" s="4">
        <v>2</v>
      </c>
      <c r="AH976" s="4">
        <v>97</v>
      </c>
      <c r="AI976" s="4">
        <v>97</v>
      </c>
      <c r="AJ976" s="4">
        <v>18</v>
      </c>
      <c r="AK976" s="4">
        <v>20</v>
      </c>
      <c r="AL976" s="4">
        <v>53</v>
      </c>
      <c r="AM976" s="4">
        <v>53</v>
      </c>
      <c r="AN976" s="4">
        <v>0</v>
      </c>
      <c r="AO976" s="4">
        <v>0</v>
      </c>
      <c r="AP976" s="4">
        <v>22</v>
      </c>
      <c r="AQ976" s="4">
        <v>23</v>
      </c>
      <c r="AR976" s="3" t="s">
        <v>64</v>
      </c>
      <c r="AS976" s="3" t="s">
        <v>64</v>
      </c>
      <c r="AT976" s="3" t="s">
        <v>73</v>
      </c>
      <c r="AU976" s="6" t="str">
        <f>HYPERLINK("http://catalog.hathitrust.org/Record/000349176","HathiTrust Record")</f>
        <v>HathiTrust Record</v>
      </c>
      <c r="AV976" s="6" t="str">
        <f>HYPERLINK("http://mcgill.on.worldcat.org/oclc/12162052","Catalog Record")</f>
        <v>Catalog Record</v>
      </c>
      <c r="AW976" s="6" t="str">
        <f>HYPERLINK("http://www.worldcat.org/oclc/12162052","WorldCat Record")</f>
        <v>WorldCat Record</v>
      </c>
      <c r="AX976" s="3" t="s">
        <v>10074</v>
      </c>
      <c r="AY976" s="3" t="s">
        <v>10075</v>
      </c>
      <c r="AZ976" s="3" t="s">
        <v>10076</v>
      </c>
      <c r="BA976" s="3" t="s">
        <v>10076</v>
      </c>
      <c r="BB976" s="3" t="s">
        <v>10077</v>
      </c>
      <c r="BC976" s="3" t="s">
        <v>78</v>
      </c>
      <c r="BD976" s="3" t="s">
        <v>79</v>
      </c>
      <c r="BE976" s="3" t="s">
        <v>10078</v>
      </c>
      <c r="BF976" s="3" t="s">
        <v>10077</v>
      </c>
      <c r="BG976" s="3" t="s">
        <v>10079</v>
      </c>
    </row>
    <row r="977" spans="1:59" ht="58" x14ac:dyDescent="0.35">
      <c r="A977" s="2" t="s">
        <v>59</v>
      </c>
      <c r="B977" s="2" t="s">
        <v>94</v>
      </c>
      <c r="C977" s="2" t="s">
        <v>10080</v>
      </c>
      <c r="D977" s="2" t="s">
        <v>10081</v>
      </c>
      <c r="E977" s="2" t="s">
        <v>10082</v>
      </c>
      <c r="G977" s="3" t="s">
        <v>64</v>
      </c>
      <c r="I977" s="3" t="s">
        <v>64</v>
      </c>
      <c r="J977" s="3" t="s">
        <v>64</v>
      </c>
      <c r="K977" s="3" t="s">
        <v>65</v>
      </c>
      <c r="L977" s="2" t="s">
        <v>625</v>
      </c>
      <c r="M977" s="2" t="s">
        <v>10083</v>
      </c>
      <c r="N977" s="3" t="s">
        <v>274</v>
      </c>
      <c r="P977" s="3" t="s">
        <v>69</v>
      </c>
      <c r="R977" s="3" t="s">
        <v>9228</v>
      </c>
      <c r="S977" s="4">
        <v>9</v>
      </c>
      <c r="T977" s="4">
        <v>9</v>
      </c>
      <c r="U977" s="5" t="s">
        <v>2994</v>
      </c>
      <c r="V977" s="5" t="s">
        <v>2994</v>
      </c>
      <c r="W977" s="5" t="s">
        <v>72</v>
      </c>
      <c r="X977" s="5" t="s">
        <v>72</v>
      </c>
      <c r="Y977" s="4">
        <v>527</v>
      </c>
      <c r="Z977" s="4">
        <v>27</v>
      </c>
      <c r="AA977" s="4">
        <v>36</v>
      </c>
      <c r="AB977" s="4">
        <v>3</v>
      </c>
      <c r="AC977" s="4">
        <v>9</v>
      </c>
      <c r="AD977" s="4">
        <v>116</v>
      </c>
      <c r="AE977" s="4">
        <v>121</v>
      </c>
      <c r="AF977" s="4">
        <v>1</v>
      </c>
      <c r="AG977" s="4">
        <v>4</v>
      </c>
      <c r="AH977" s="4">
        <v>103</v>
      </c>
      <c r="AI977" s="4">
        <v>104</v>
      </c>
      <c r="AJ977" s="4">
        <v>16</v>
      </c>
      <c r="AK977" s="4">
        <v>19</v>
      </c>
      <c r="AL977" s="4">
        <v>56</v>
      </c>
      <c r="AM977" s="4">
        <v>56</v>
      </c>
      <c r="AN977" s="4">
        <v>0</v>
      </c>
      <c r="AO977" s="4">
        <v>0</v>
      </c>
      <c r="AP977" s="4">
        <v>19</v>
      </c>
      <c r="AQ977" s="4">
        <v>22</v>
      </c>
      <c r="AR977" s="3" t="s">
        <v>64</v>
      </c>
      <c r="AS977" s="3" t="s">
        <v>64</v>
      </c>
      <c r="AT977" s="3" t="s">
        <v>73</v>
      </c>
      <c r="AU977" s="6" t="str">
        <f>HYPERLINK("http://catalog.hathitrust.org/Record/000905535","HathiTrust Record")</f>
        <v>HathiTrust Record</v>
      </c>
      <c r="AV977" s="6" t="str">
        <f>HYPERLINK("http://mcgill.on.worldcat.org/oclc/16950456","Catalog Record")</f>
        <v>Catalog Record</v>
      </c>
      <c r="AW977" s="6" t="str">
        <f>HYPERLINK("http://www.worldcat.org/oclc/16950456","WorldCat Record")</f>
        <v>WorldCat Record</v>
      </c>
      <c r="AX977" s="3" t="s">
        <v>10084</v>
      </c>
      <c r="AY977" s="3" t="s">
        <v>10085</v>
      </c>
      <c r="AZ977" s="3" t="s">
        <v>10086</v>
      </c>
      <c r="BA977" s="3" t="s">
        <v>10086</v>
      </c>
      <c r="BB977" s="3" t="s">
        <v>10087</v>
      </c>
      <c r="BC977" s="3" t="s">
        <v>78</v>
      </c>
      <c r="BD977" s="3" t="s">
        <v>79</v>
      </c>
      <c r="BE977" s="3" t="s">
        <v>10088</v>
      </c>
      <c r="BF977" s="3" t="s">
        <v>10087</v>
      </c>
      <c r="BG977" s="3" t="s">
        <v>10089</v>
      </c>
    </row>
    <row r="978" spans="1:59" ht="58" x14ac:dyDescent="0.35">
      <c r="A978" s="2" t="s">
        <v>59</v>
      </c>
      <c r="B978" s="2" t="s">
        <v>94</v>
      </c>
      <c r="C978" s="2" t="s">
        <v>10090</v>
      </c>
      <c r="D978" s="2" t="s">
        <v>10091</v>
      </c>
      <c r="E978" s="2" t="s">
        <v>10092</v>
      </c>
      <c r="G978" s="3" t="s">
        <v>64</v>
      </c>
      <c r="I978" s="3" t="s">
        <v>64</v>
      </c>
      <c r="J978" s="3" t="s">
        <v>64</v>
      </c>
      <c r="K978" s="3" t="s">
        <v>65</v>
      </c>
      <c r="L978" s="2" t="s">
        <v>10093</v>
      </c>
      <c r="M978" s="2" t="s">
        <v>10094</v>
      </c>
      <c r="N978" s="3" t="s">
        <v>2214</v>
      </c>
      <c r="P978" s="3" t="s">
        <v>69</v>
      </c>
      <c r="R978" s="3" t="s">
        <v>9228</v>
      </c>
      <c r="S978" s="4">
        <v>3</v>
      </c>
      <c r="T978" s="4">
        <v>3</v>
      </c>
      <c r="U978" s="5" t="s">
        <v>1701</v>
      </c>
      <c r="V978" s="5" t="s">
        <v>1701</v>
      </c>
      <c r="W978" s="5" t="s">
        <v>72</v>
      </c>
      <c r="X978" s="5" t="s">
        <v>72</v>
      </c>
      <c r="Y978" s="4">
        <v>331</v>
      </c>
      <c r="Z978" s="4">
        <v>17</v>
      </c>
      <c r="AA978" s="4">
        <v>19</v>
      </c>
      <c r="AB978" s="4">
        <v>1</v>
      </c>
      <c r="AC978" s="4">
        <v>3</v>
      </c>
      <c r="AD978" s="4">
        <v>96</v>
      </c>
      <c r="AE978" s="4">
        <v>98</v>
      </c>
      <c r="AF978" s="4">
        <v>0</v>
      </c>
      <c r="AG978" s="4">
        <v>2</v>
      </c>
      <c r="AH978" s="4">
        <v>86</v>
      </c>
      <c r="AI978" s="4">
        <v>87</v>
      </c>
      <c r="AJ978" s="4">
        <v>12</v>
      </c>
      <c r="AK978" s="4">
        <v>14</v>
      </c>
      <c r="AL978" s="4">
        <v>52</v>
      </c>
      <c r="AM978" s="4">
        <v>52</v>
      </c>
      <c r="AN978" s="4">
        <v>0</v>
      </c>
      <c r="AO978" s="4">
        <v>0</v>
      </c>
      <c r="AP978" s="4">
        <v>14</v>
      </c>
      <c r="AQ978" s="4">
        <v>15</v>
      </c>
      <c r="AR978" s="3" t="s">
        <v>64</v>
      </c>
      <c r="AS978" s="3" t="s">
        <v>64</v>
      </c>
      <c r="AT978" s="3" t="s">
        <v>73</v>
      </c>
      <c r="AU978" s="6" t="str">
        <f>HYPERLINK("http://catalog.hathitrust.org/Record/001047722","HathiTrust Record")</f>
        <v>HathiTrust Record</v>
      </c>
      <c r="AV978" s="6" t="str">
        <f>HYPERLINK("http://mcgill.on.worldcat.org/oclc/1129995","Catalog Record")</f>
        <v>Catalog Record</v>
      </c>
      <c r="AW978" s="6" t="str">
        <f>HYPERLINK("http://www.worldcat.org/oclc/1129995","WorldCat Record")</f>
        <v>WorldCat Record</v>
      </c>
      <c r="AX978" s="3" t="s">
        <v>10095</v>
      </c>
      <c r="AY978" s="3" t="s">
        <v>10096</v>
      </c>
      <c r="AZ978" s="3" t="s">
        <v>10097</v>
      </c>
      <c r="BA978" s="3" t="s">
        <v>10097</v>
      </c>
      <c r="BB978" s="3" t="s">
        <v>10098</v>
      </c>
      <c r="BC978" s="3" t="s">
        <v>78</v>
      </c>
      <c r="BD978" s="3" t="s">
        <v>79</v>
      </c>
      <c r="BE978" s="3" t="s">
        <v>10099</v>
      </c>
      <c r="BF978" s="3" t="s">
        <v>10098</v>
      </c>
      <c r="BG978" s="3" t="s">
        <v>10100</v>
      </c>
    </row>
    <row r="979" spans="1:59" ht="58" x14ac:dyDescent="0.35">
      <c r="A979" s="2" t="s">
        <v>59</v>
      </c>
      <c r="B979" s="2" t="s">
        <v>94</v>
      </c>
      <c r="C979" s="2" t="s">
        <v>10101</v>
      </c>
      <c r="D979" s="2" t="s">
        <v>10102</v>
      </c>
      <c r="E979" s="2" t="s">
        <v>10103</v>
      </c>
      <c r="G979" s="3" t="s">
        <v>64</v>
      </c>
      <c r="I979" s="3" t="s">
        <v>64</v>
      </c>
      <c r="J979" s="3" t="s">
        <v>64</v>
      </c>
      <c r="K979" s="3" t="s">
        <v>65</v>
      </c>
      <c r="L979" s="2" t="s">
        <v>10104</v>
      </c>
      <c r="M979" s="2" t="s">
        <v>10105</v>
      </c>
      <c r="N979" s="3" t="s">
        <v>407</v>
      </c>
      <c r="O979" s="2" t="s">
        <v>1294</v>
      </c>
      <c r="P979" s="3" t="s">
        <v>69</v>
      </c>
      <c r="R979" s="3" t="s">
        <v>9228</v>
      </c>
      <c r="S979" s="4">
        <v>4</v>
      </c>
      <c r="T979" s="4">
        <v>4</v>
      </c>
      <c r="U979" s="5" t="s">
        <v>2819</v>
      </c>
      <c r="V979" s="5" t="s">
        <v>2819</v>
      </c>
      <c r="W979" s="5" t="s">
        <v>72</v>
      </c>
      <c r="X979" s="5" t="s">
        <v>72</v>
      </c>
      <c r="Y979" s="4">
        <v>564</v>
      </c>
      <c r="Z979" s="4">
        <v>13</v>
      </c>
      <c r="AA979" s="4">
        <v>15</v>
      </c>
      <c r="AB979" s="4">
        <v>1</v>
      </c>
      <c r="AC979" s="4">
        <v>2</v>
      </c>
      <c r="AD979" s="4">
        <v>93</v>
      </c>
      <c r="AE979" s="4">
        <v>93</v>
      </c>
      <c r="AF979" s="4">
        <v>0</v>
      </c>
      <c r="AG979" s="4">
        <v>0</v>
      </c>
      <c r="AH979" s="4">
        <v>84</v>
      </c>
      <c r="AI979" s="4">
        <v>84</v>
      </c>
      <c r="AJ979" s="4">
        <v>10</v>
      </c>
      <c r="AK979" s="4">
        <v>10</v>
      </c>
      <c r="AL979" s="4">
        <v>52</v>
      </c>
      <c r="AM979" s="4">
        <v>52</v>
      </c>
      <c r="AN979" s="4">
        <v>0</v>
      </c>
      <c r="AO979" s="4">
        <v>0</v>
      </c>
      <c r="AP979" s="4">
        <v>10</v>
      </c>
      <c r="AQ979" s="4">
        <v>10</v>
      </c>
      <c r="AR979" s="3" t="s">
        <v>64</v>
      </c>
      <c r="AS979" s="3" t="s">
        <v>64</v>
      </c>
      <c r="AT979" s="3" t="s">
        <v>73</v>
      </c>
      <c r="AU979" s="6" t="str">
        <f>HYPERLINK("http://catalog.hathitrust.org/Record/000582944","HathiTrust Record")</f>
        <v>HathiTrust Record</v>
      </c>
      <c r="AV979" s="6" t="str">
        <f>HYPERLINK("http://mcgill.on.worldcat.org/oclc/12215155","Catalog Record")</f>
        <v>Catalog Record</v>
      </c>
      <c r="AW979" s="6" t="str">
        <f>HYPERLINK("http://www.worldcat.org/oclc/12215155","WorldCat Record")</f>
        <v>WorldCat Record</v>
      </c>
      <c r="AX979" s="3" t="s">
        <v>10106</v>
      </c>
      <c r="AY979" s="3" t="s">
        <v>10107</v>
      </c>
      <c r="AZ979" s="3" t="s">
        <v>10108</v>
      </c>
      <c r="BA979" s="3" t="s">
        <v>10108</v>
      </c>
      <c r="BB979" s="3" t="s">
        <v>10109</v>
      </c>
      <c r="BC979" s="3" t="s">
        <v>78</v>
      </c>
      <c r="BD979" s="3" t="s">
        <v>79</v>
      </c>
      <c r="BE979" s="3" t="s">
        <v>10110</v>
      </c>
      <c r="BF979" s="3" t="s">
        <v>10109</v>
      </c>
      <c r="BG979" s="3" t="s">
        <v>10111</v>
      </c>
    </row>
    <row r="980" spans="1:59" ht="58" x14ac:dyDescent="0.35">
      <c r="A980" s="2" t="s">
        <v>59</v>
      </c>
      <c r="B980" s="2" t="s">
        <v>94</v>
      </c>
      <c r="C980" s="2" t="s">
        <v>10112</v>
      </c>
      <c r="D980" s="2" t="s">
        <v>10113</v>
      </c>
      <c r="E980" s="2" t="s">
        <v>10114</v>
      </c>
      <c r="G980" s="3" t="s">
        <v>64</v>
      </c>
      <c r="I980" s="3" t="s">
        <v>64</v>
      </c>
      <c r="J980" s="3" t="s">
        <v>64</v>
      </c>
      <c r="K980" s="3" t="s">
        <v>65</v>
      </c>
      <c r="L980" s="2" t="s">
        <v>10115</v>
      </c>
      <c r="M980" s="2" t="s">
        <v>10116</v>
      </c>
      <c r="N980" s="3" t="s">
        <v>365</v>
      </c>
      <c r="O980" s="2" t="s">
        <v>1294</v>
      </c>
      <c r="P980" s="3" t="s">
        <v>69</v>
      </c>
      <c r="R980" s="3" t="s">
        <v>9228</v>
      </c>
      <c r="S980" s="4">
        <v>9</v>
      </c>
      <c r="T980" s="4">
        <v>9</v>
      </c>
      <c r="U980" s="5" t="s">
        <v>190</v>
      </c>
      <c r="V980" s="5" t="s">
        <v>190</v>
      </c>
      <c r="W980" s="5" t="s">
        <v>72</v>
      </c>
      <c r="X980" s="5" t="s">
        <v>72</v>
      </c>
      <c r="Y980" s="4">
        <v>851</v>
      </c>
      <c r="Z980" s="4">
        <v>26</v>
      </c>
      <c r="AA980" s="4">
        <v>40</v>
      </c>
      <c r="AB980" s="4">
        <v>3</v>
      </c>
      <c r="AC980" s="4">
        <v>5</v>
      </c>
      <c r="AD980" s="4">
        <v>115</v>
      </c>
      <c r="AE980" s="4">
        <v>130</v>
      </c>
      <c r="AF980" s="4">
        <v>1</v>
      </c>
      <c r="AG980" s="4">
        <v>2</v>
      </c>
      <c r="AH980" s="4">
        <v>98</v>
      </c>
      <c r="AI980" s="4">
        <v>109</v>
      </c>
      <c r="AJ980" s="4">
        <v>12</v>
      </c>
      <c r="AK980" s="4">
        <v>19</v>
      </c>
      <c r="AL980" s="4">
        <v>57</v>
      </c>
      <c r="AM980" s="4">
        <v>61</v>
      </c>
      <c r="AN980" s="4">
        <v>0</v>
      </c>
      <c r="AO980" s="4">
        <v>0</v>
      </c>
      <c r="AP980" s="4">
        <v>18</v>
      </c>
      <c r="AQ980" s="4">
        <v>26</v>
      </c>
      <c r="AR980" s="3" t="s">
        <v>64</v>
      </c>
      <c r="AS980" s="3" t="s">
        <v>64</v>
      </c>
      <c r="AT980" s="3" t="s">
        <v>73</v>
      </c>
      <c r="AU980" s="6" t="str">
        <f>HYPERLINK("http://catalog.hathitrust.org/Record/000566275","HathiTrust Record")</f>
        <v>HathiTrust Record</v>
      </c>
      <c r="AV980" s="6" t="str">
        <f>HYPERLINK("http://mcgill.on.worldcat.org/oclc/11090858","Catalog Record")</f>
        <v>Catalog Record</v>
      </c>
      <c r="AW980" s="6" t="str">
        <f>HYPERLINK("http://www.worldcat.org/oclc/11090858","WorldCat Record")</f>
        <v>WorldCat Record</v>
      </c>
      <c r="AX980" s="3" t="s">
        <v>10117</v>
      </c>
      <c r="AY980" s="3" t="s">
        <v>10118</v>
      </c>
      <c r="AZ980" s="3" t="s">
        <v>10119</v>
      </c>
      <c r="BA980" s="3" t="s">
        <v>10119</v>
      </c>
      <c r="BB980" s="3" t="s">
        <v>10120</v>
      </c>
      <c r="BC980" s="3" t="s">
        <v>78</v>
      </c>
      <c r="BD980" s="3" t="s">
        <v>79</v>
      </c>
      <c r="BE980" s="3" t="s">
        <v>10121</v>
      </c>
      <c r="BF980" s="3" t="s">
        <v>10120</v>
      </c>
      <c r="BG980" s="3" t="s">
        <v>10122</v>
      </c>
    </row>
    <row r="981" spans="1:59" ht="58" x14ac:dyDescent="0.35">
      <c r="A981" s="2" t="s">
        <v>59</v>
      </c>
      <c r="B981" s="2" t="s">
        <v>94</v>
      </c>
      <c r="C981" s="2" t="s">
        <v>10123</v>
      </c>
      <c r="D981" s="2" t="s">
        <v>10124</v>
      </c>
      <c r="E981" s="2" t="s">
        <v>10125</v>
      </c>
      <c r="G981" s="3" t="s">
        <v>64</v>
      </c>
      <c r="I981" s="3" t="s">
        <v>64</v>
      </c>
      <c r="J981" s="3" t="s">
        <v>64</v>
      </c>
      <c r="K981" s="3" t="s">
        <v>65</v>
      </c>
      <c r="L981" s="2" t="s">
        <v>10126</v>
      </c>
      <c r="M981" s="2" t="s">
        <v>10127</v>
      </c>
      <c r="N981" s="3" t="s">
        <v>3181</v>
      </c>
      <c r="P981" s="3" t="s">
        <v>69</v>
      </c>
      <c r="Q981" s="2" t="s">
        <v>10128</v>
      </c>
      <c r="R981" s="3" t="s">
        <v>9228</v>
      </c>
      <c r="S981" s="4">
        <v>4</v>
      </c>
      <c r="T981" s="4">
        <v>4</v>
      </c>
      <c r="U981" s="5" t="s">
        <v>228</v>
      </c>
      <c r="V981" s="5" t="s">
        <v>228</v>
      </c>
      <c r="W981" s="5" t="s">
        <v>72</v>
      </c>
      <c r="X981" s="5" t="s">
        <v>72</v>
      </c>
      <c r="Y981" s="4">
        <v>335</v>
      </c>
      <c r="Z981" s="4">
        <v>13</v>
      </c>
      <c r="AA981" s="4">
        <v>13</v>
      </c>
      <c r="AB981" s="4">
        <v>3</v>
      </c>
      <c r="AC981" s="4">
        <v>3</v>
      </c>
      <c r="AD981" s="4">
        <v>65</v>
      </c>
      <c r="AE981" s="4">
        <v>65</v>
      </c>
      <c r="AF981" s="4">
        <v>1</v>
      </c>
      <c r="AG981" s="4">
        <v>1</v>
      </c>
      <c r="AH981" s="4">
        <v>58</v>
      </c>
      <c r="AI981" s="4">
        <v>58</v>
      </c>
      <c r="AJ981" s="4">
        <v>9</v>
      </c>
      <c r="AK981" s="4">
        <v>9</v>
      </c>
      <c r="AL981" s="4">
        <v>35</v>
      </c>
      <c r="AM981" s="4">
        <v>35</v>
      </c>
      <c r="AN981" s="4">
        <v>0</v>
      </c>
      <c r="AO981" s="4">
        <v>0</v>
      </c>
      <c r="AP981" s="4">
        <v>10</v>
      </c>
      <c r="AQ981" s="4">
        <v>10</v>
      </c>
      <c r="AR981" s="3" t="s">
        <v>64</v>
      </c>
      <c r="AS981" s="3" t="s">
        <v>64</v>
      </c>
      <c r="AT981" s="3" t="s">
        <v>73</v>
      </c>
      <c r="AU981" s="6" t="str">
        <f>HYPERLINK("http://catalog.hathitrust.org/Record/001047725","HathiTrust Record")</f>
        <v>HathiTrust Record</v>
      </c>
      <c r="AV981" s="6" t="str">
        <f>HYPERLINK("http://mcgill.on.worldcat.org/oclc/298345","Catalog Record")</f>
        <v>Catalog Record</v>
      </c>
      <c r="AW981" s="6" t="str">
        <f>HYPERLINK("http://www.worldcat.org/oclc/298345","WorldCat Record")</f>
        <v>WorldCat Record</v>
      </c>
      <c r="AX981" s="3" t="s">
        <v>10129</v>
      </c>
      <c r="AY981" s="3" t="s">
        <v>10130</v>
      </c>
      <c r="AZ981" s="3" t="s">
        <v>10131</v>
      </c>
      <c r="BA981" s="3" t="s">
        <v>10131</v>
      </c>
      <c r="BB981" s="3" t="s">
        <v>10132</v>
      </c>
      <c r="BC981" s="3" t="s">
        <v>78</v>
      </c>
      <c r="BD981" s="3" t="s">
        <v>79</v>
      </c>
      <c r="BE981" s="3" t="s">
        <v>10133</v>
      </c>
      <c r="BF981" s="3" t="s">
        <v>10132</v>
      </c>
      <c r="BG981" s="3" t="s">
        <v>10134</v>
      </c>
    </row>
    <row r="982" spans="1:59" ht="58" x14ac:dyDescent="0.35">
      <c r="A982" s="2" t="s">
        <v>59</v>
      </c>
      <c r="B982" s="2" t="s">
        <v>94</v>
      </c>
      <c r="C982" s="2" t="s">
        <v>10135</v>
      </c>
      <c r="D982" s="2" t="s">
        <v>10136</v>
      </c>
      <c r="E982" s="2" t="s">
        <v>10137</v>
      </c>
      <c r="G982" s="3" t="s">
        <v>64</v>
      </c>
      <c r="I982" s="3" t="s">
        <v>73</v>
      </c>
      <c r="J982" s="3" t="s">
        <v>64</v>
      </c>
      <c r="K982" s="3" t="s">
        <v>65</v>
      </c>
      <c r="L982" s="2" t="s">
        <v>10138</v>
      </c>
      <c r="M982" s="2" t="s">
        <v>10139</v>
      </c>
      <c r="N982" s="3" t="s">
        <v>3437</v>
      </c>
      <c r="P982" s="3" t="s">
        <v>69</v>
      </c>
      <c r="R982" s="3" t="s">
        <v>9228</v>
      </c>
      <c r="S982" s="4">
        <v>4</v>
      </c>
      <c r="T982" s="4">
        <v>11</v>
      </c>
      <c r="U982" s="5" t="s">
        <v>10140</v>
      </c>
      <c r="V982" s="5" t="s">
        <v>9182</v>
      </c>
      <c r="W982" s="5" t="s">
        <v>72</v>
      </c>
      <c r="X982" s="5" t="s">
        <v>72</v>
      </c>
      <c r="Y982" s="4">
        <v>740</v>
      </c>
      <c r="Z982" s="4">
        <v>32</v>
      </c>
      <c r="AA982" s="4">
        <v>35</v>
      </c>
      <c r="AB982" s="4">
        <v>4</v>
      </c>
      <c r="AC982" s="4">
        <v>6</v>
      </c>
      <c r="AD982" s="4">
        <v>122</v>
      </c>
      <c r="AE982" s="4">
        <v>127</v>
      </c>
      <c r="AF982" s="4">
        <v>2</v>
      </c>
      <c r="AG982" s="4">
        <v>4</v>
      </c>
      <c r="AH982" s="4">
        <v>102</v>
      </c>
      <c r="AI982" s="4">
        <v>106</v>
      </c>
      <c r="AJ982" s="4">
        <v>18</v>
      </c>
      <c r="AK982" s="4">
        <v>21</v>
      </c>
      <c r="AL982" s="4">
        <v>59</v>
      </c>
      <c r="AM982" s="4">
        <v>59</v>
      </c>
      <c r="AN982" s="4">
        <v>0</v>
      </c>
      <c r="AO982" s="4">
        <v>0</v>
      </c>
      <c r="AP982" s="4">
        <v>24</v>
      </c>
      <c r="AQ982" s="4">
        <v>26</v>
      </c>
      <c r="AR982" s="3" t="s">
        <v>64</v>
      </c>
      <c r="AS982" s="3" t="s">
        <v>64</v>
      </c>
      <c r="AT982" s="3" t="s">
        <v>64</v>
      </c>
      <c r="AU982" s="6" t="str">
        <f>HYPERLINK("http://catalog.hathitrust.org/Record/001114816","HathiTrust Record")</f>
        <v>HathiTrust Record</v>
      </c>
      <c r="AV982" s="6" t="str">
        <f>HYPERLINK("http://mcgill.on.worldcat.org/oclc/569270","Catalog Record")</f>
        <v>Catalog Record</v>
      </c>
      <c r="AW982" s="6" t="str">
        <f>HYPERLINK("http://www.worldcat.org/oclc/569270","WorldCat Record")</f>
        <v>WorldCat Record</v>
      </c>
      <c r="AX982" s="3" t="s">
        <v>10141</v>
      </c>
      <c r="AY982" s="3" t="s">
        <v>10142</v>
      </c>
      <c r="AZ982" s="3" t="s">
        <v>10143</v>
      </c>
      <c r="BA982" s="3" t="s">
        <v>10143</v>
      </c>
      <c r="BB982" s="3" t="s">
        <v>10144</v>
      </c>
      <c r="BC982" s="3" t="s">
        <v>78</v>
      </c>
      <c r="BD982" s="3" t="s">
        <v>79</v>
      </c>
      <c r="BF982" s="3" t="s">
        <v>10144</v>
      </c>
      <c r="BG982" s="3" t="s">
        <v>10145</v>
      </c>
    </row>
    <row r="983" spans="1:59" ht="58" x14ac:dyDescent="0.35">
      <c r="A983" s="2" t="s">
        <v>59</v>
      </c>
      <c r="B983" s="2" t="s">
        <v>94</v>
      </c>
      <c r="C983" s="2" t="s">
        <v>10135</v>
      </c>
      <c r="D983" s="2" t="s">
        <v>10136</v>
      </c>
      <c r="E983" s="2" t="s">
        <v>10137</v>
      </c>
      <c r="G983" s="3" t="s">
        <v>64</v>
      </c>
      <c r="I983" s="3" t="s">
        <v>73</v>
      </c>
      <c r="J983" s="3" t="s">
        <v>64</v>
      </c>
      <c r="K983" s="3" t="s">
        <v>65</v>
      </c>
      <c r="L983" s="2" t="s">
        <v>10138</v>
      </c>
      <c r="M983" s="2" t="s">
        <v>10139</v>
      </c>
      <c r="N983" s="3" t="s">
        <v>3437</v>
      </c>
      <c r="P983" s="3" t="s">
        <v>69</v>
      </c>
      <c r="R983" s="3" t="s">
        <v>9228</v>
      </c>
      <c r="S983" s="4">
        <v>7</v>
      </c>
      <c r="T983" s="4">
        <v>11</v>
      </c>
      <c r="U983" s="5" t="s">
        <v>9182</v>
      </c>
      <c r="V983" s="5" t="s">
        <v>9182</v>
      </c>
      <c r="W983" s="5" t="s">
        <v>72</v>
      </c>
      <c r="X983" s="5" t="s">
        <v>72</v>
      </c>
      <c r="Y983" s="4">
        <v>740</v>
      </c>
      <c r="Z983" s="4">
        <v>32</v>
      </c>
      <c r="AA983" s="4">
        <v>35</v>
      </c>
      <c r="AB983" s="4">
        <v>4</v>
      </c>
      <c r="AC983" s="4">
        <v>6</v>
      </c>
      <c r="AD983" s="4">
        <v>122</v>
      </c>
      <c r="AE983" s="4">
        <v>127</v>
      </c>
      <c r="AF983" s="4">
        <v>2</v>
      </c>
      <c r="AG983" s="4">
        <v>4</v>
      </c>
      <c r="AH983" s="4">
        <v>102</v>
      </c>
      <c r="AI983" s="4">
        <v>106</v>
      </c>
      <c r="AJ983" s="4">
        <v>18</v>
      </c>
      <c r="AK983" s="4">
        <v>21</v>
      </c>
      <c r="AL983" s="4">
        <v>59</v>
      </c>
      <c r="AM983" s="4">
        <v>59</v>
      </c>
      <c r="AN983" s="4">
        <v>0</v>
      </c>
      <c r="AO983" s="4">
        <v>0</v>
      </c>
      <c r="AP983" s="4">
        <v>24</v>
      </c>
      <c r="AQ983" s="4">
        <v>26</v>
      </c>
      <c r="AR983" s="3" t="s">
        <v>64</v>
      </c>
      <c r="AS983" s="3" t="s">
        <v>64</v>
      </c>
      <c r="AT983" s="3" t="s">
        <v>64</v>
      </c>
      <c r="AU983" s="6" t="str">
        <f>HYPERLINK("http://catalog.hathitrust.org/Record/001114816","HathiTrust Record")</f>
        <v>HathiTrust Record</v>
      </c>
      <c r="AV983" s="6" t="str">
        <f>HYPERLINK("http://mcgill.on.worldcat.org/oclc/569270","Catalog Record")</f>
        <v>Catalog Record</v>
      </c>
      <c r="AW983" s="6" t="str">
        <f>HYPERLINK("http://www.worldcat.org/oclc/569270","WorldCat Record")</f>
        <v>WorldCat Record</v>
      </c>
      <c r="AX983" s="3" t="s">
        <v>10141</v>
      </c>
      <c r="AY983" s="3" t="s">
        <v>10142</v>
      </c>
      <c r="AZ983" s="3" t="s">
        <v>10143</v>
      </c>
      <c r="BA983" s="3" t="s">
        <v>10143</v>
      </c>
      <c r="BB983" s="3" t="s">
        <v>10146</v>
      </c>
      <c r="BC983" s="3" t="s">
        <v>78</v>
      </c>
      <c r="BD983" s="3" t="s">
        <v>79</v>
      </c>
      <c r="BF983" s="3" t="s">
        <v>10146</v>
      </c>
      <c r="BG983" s="3" t="s">
        <v>10147</v>
      </c>
    </row>
    <row r="984" spans="1:59" ht="58" x14ac:dyDescent="0.35">
      <c r="A984" s="2" t="s">
        <v>59</v>
      </c>
      <c r="B984" s="2" t="s">
        <v>94</v>
      </c>
      <c r="C984" s="2" t="s">
        <v>10148</v>
      </c>
      <c r="D984" s="2" t="s">
        <v>10149</v>
      </c>
      <c r="E984" s="2" t="s">
        <v>10150</v>
      </c>
      <c r="G984" s="3" t="s">
        <v>64</v>
      </c>
      <c r="I984" s="3" t="s">
        <v>73</v>
      </c>
      <c r="J984" s="3" t="s">
        <v>64</v>
      </c>
      <c r="K984" s="3" t="s">
        <v>65</v>
      </c>
      <c r="L984" s="2" t="s">
        <v>10138</v>
      </c>
      <c r="M984" s="2" t="s">
        <v>10151</v>
      </c>
      <c r="N984" s="3" t="s">
        <v>2609</v>
      </c>
      <c r="P984" s="3" t="s">
        <v>69</v>
      </c>
      <c r="R984" s="3" t="s">
        <v>9228</v>
      </c>
      <c r="S984" s="4">
        <v>20</v>
      </c>
      <c r="T984" s="4">
        <v>87</v>
      </c>
      <c r="U984" s="5" t="s">
        <v>10152</v>
      </c>
      <c r="V984" s="5" t="s">
        <v>10153</v>
      </c>
      <c r="W984" s="5" t="s">
        <v>72</v>
      </c>
      <c r="X984" s="5" t="s">
        <v>72</v>
      </c>
      <c r="Y984" s="4">
        <v>1172</v>
      </c>
      <c r="Z984" s="4">
        <v>33</v>
      </c>
      <c r="AA984" s="4">
        <v>58</v>
      </c>
      <c r="AB984" s="4">
        <v>4</v>
      </c>
      <c r="AC984" s="4">
        <v>10</v>
      </c>
      <c r="AD984" s="4">
        <v>120</v>
      </c>
      <c r="AE984" s="4">
        <v>142</v>
      </c>
      <c r="AF984" s="4">
        <v>1</v>
      </c>
      <c r="AG984" s="4">
        <v>3</v>
      </c>
      <c r="AH984" s="4">
        <v>102</v>
      </c>
      <c r="AI984" s="4">
        <v>112</v>
      </c>
      <c r="AJ984" s="4">
        <v>14</v>
      </c>
      <c r="AK984" s="4">
        <v>23</v>
      </c>
      <c r="AL984" s="4">
        <v>56</v>
      </c>
      <c r="AM984" s="4">
        <v>60</v>
      </c>
      <c r="AN984" s="4">
        <v>0</v>
      </c>
      <c r="AO984" s="4">
        <v>0</v>
      </c>
      <c r="AP984" s="4">
        <v>20</v>
      </c>
      <c r="AQ984" s="4">
        <v>35</v>
      </c>
      <c r="AR984" s="3" t="s">
        <v>64</v>
      </c>
      <c r="AS984" s="3" t="s">
        <v>64</v>
      </c>
      <c r="AT984" s="3" t="s">
        <v>73</v>
      </c>
      <c r="AU984" s="6" t="str">
        <f>HYPERLINK("http://catalog.hathitrust.org/Record/001116268","HathiTrust Record")</f>
        <v>HathiTrust Record</v>
      </c>
      <c r="AV984" s="6" t="str">
        <f>HYPERLINK("http://mcgill.on.worldcat.org/oclc/569431","Catalog Record")</f>
        <v>Catalog Record</v>
      </c>
      <c r="AW984" s="6" t="str">
        <f>HYPERLINK("http://www.worldcat.org/oclc/569431","WorldCat Record")</f>
        <v>WorldCat Record</v>
      </c>
      <c r="AX984" s="3" t="s">
        <v>10154</v>
      </c>
      <c r="AY984" s="3" t="s">
        <v>10155</v>
      </c>
      <c r="AZ984" s="3" t="s">
        <v>10156</v>
      </c>
      <c r="BA984" s="3" t="s">
        <v>10156</v>
      </c>
      <c r="BB984" s="3" t="s">
        <v>10157</v>
      </c>
      <c r="BC984" s="3" t="s">
        <v>78</v>
      </c>
      <c r="BD984" s="3" t="s">
        <v>79</v>
      </c>
      <c r="BE984" s="3" t="s">
        <v>10158</v>
      </c>
      <c r="BF984" s="3" t="s">
        <v>10157</v>
      </c>
      <c r="BG984" s="3" t="s">
        <v>10159</v>
      </c>
    </row>
    <row r="985" spans="1:59" ht="58" x14ac:dyDescent="0.35">
      <c r="A985" s="2" t="s">
        <v>59</v>
      </c>
      <c r="B985" s="2" t="s">
        <v>94</v>
      </c>
      <c r="C985" s="2" t="s">
        <v>10148</v>
      </c>
      <c r="D985" s="2" t="s">
        <v>10149</v>
      </c>
      <c r="E985" s="2" t="s">
        <v>10150</v>
      </c>
      <c r="G985" s="3" t="s">
        <v>64</v>
      </c>
      <c r="I985" s="3" t="s">
        <v>73</v>
      </c>
      <c r="J985" s="3" t="s">
        <v>64</v>
      </c>
      <c r="K985" s="3" t="s">
        <v>65</v>
      </c>
      <c r="L985" s="2" t="s">
        <v>10138</v>
      </c>
      <c r="M985" s="2" t="s">
        <v>10151</v>
      </c>
      <c r="N985" s="3" t="s">
        <v>2609</v>
      </c>
      <c r="P985" s="3" t="s">
        <v>69</v>
      </c>
      <c r="R985" s="3" t="s">
        <v>9228</v>
      </c>
      <c r="S985" s="4">
        <v>15</v>
      </c>
      <c r="T985" s="4">
        <v>87</v>
      </c>
      <c r="U985" s="5" t="s">
        <v>10153</v>
      </c>
      <c r="V985" s="5" t="s">
        <v>10153</v>
      </c>
      <c r="W985" s="5" t="s">
        <v>72</v>
      </c>
      <c r="X985" s="5" t="s">
        <v>72</v>
      </c>
      <c r="Y985" s="4">
        <v>1172</v>
      </c>
      <c r="Z985" s="4">
        <v>33</v>
      </c>
      <c r="AA985" s="4">
        <v>58</v>
      </c>
      <c r="AB985" s="4">
        <v>4</v>
      </c>
      <c r="AC985" s="4">
        <v>10</v>
      </c>
      <c r="AD985" s="4">
        <v>120</v>
      </c>
      <c r="AE985" s="4">
        <v>142</v>
      </c>
      <c r="AF985" s="4">
        <v>1</v>
      </c>
      <c r="AG985" s="4">
        <v>3</v>
      </c>
      <c r="AH985" s="4">
        <v>102</v>
      </c>
      <c r="AI985" s="4">
        <v>112</v>
      </c>
      <c r="AJ985" s="4">
        <v>14</v>
      </c>
      <c r="AK985" s="4">
        <v>23</v>
      </c>
      <c r="AL985" s="4">
        <v>56</v>
      </c>
      <c r="AM985" s="4">
        <v>60</v>
      </c>
      <c r="AN985" s="4">
        <v>0</v>
      </c>
      <c r="AO985" s="4">
        <v>0</v>
      </c>
      <c r="AP985" s="4">
        <v>20</v>
      </c>
      <c r="AQ985" s="4">
        <v>35</v>
      </c>
      <c r="AR985" s="3" t="s">
        <v>64</v>
      </c>
      <c r="AS985" s="3" t="s">
        <v>64</v>
      </c>
      <c r="AT985" s="3" t="s">
        <v>73</v>
      </c>
      <c r="AU985" s="6" t="str">
        <f>HYPERLINK("http://catalog.hathitrust.org/Record/001116268","HathiTrust Record")</f>
        <v>HathiTrust Record</v>
      </c>
      <c r="AV985" s="6" t="str">
        <f>HYPERLINK("http://mcgill.on.worldcat.org/oclc/569431","Catalog Record")</f>
        <v>Catalog Record</v>
      </c>
      <c r="AW985" s="6" t="str">
        <f>HYPERLINK("http://www.worldcat.org/oclc/569431","WorldCat Record")</f>
        <v>WorldCat Record</v>
      </c>
      <c r="AX985" s="3" t="s">
        <v>10154</v>
      </c>
      <c r="AY985" s="3" t="s">
        <v>10155</v>
      </c>
      <c r="AZ985" s="3" t="s">
        <v>10156</v>
      </c>
      <c r="BA985" s="3" t="s">
        <v>10156</v>
      </c>
      <c r="BB985" s="3" t="s">
        <v>10160</v>
      </c>
      <c r="BC985" s="3" t="s">
        <v>78</v>
      </c>
      <c r="BD985" s="3" t="s">
        <v>79</v>
      </c>
      <c r="BE985" s="3" t="s">
        <v>10158</v>
      </c>
      <c r="BF985" s="3" t="s">
        <v>10160</v>
      </c>
      <c r="BG985" s="3" t="s">
        <v>10161</v>
      </c>
    </row>
    <row r="986" spans="1:59" ht="58" x14ac:dyDescent="0.35">
      <c r="A986" s="2" t="s">
        <v>59</v>
      </c>
      <c r="B986" s="2" t="s">
        <v>94</v>
      </c>
      <c r="C986" s="2" t="s">
        <v>10148</v>
      </c>
      <c r="D986" s="2" t="s">
        <v>10149</v>
      </c>
      <c r="E986" s="2" t="s">
        <v>10150</v>
      </c>
      <c r="G986" s="3" t="s">
        <v>64</v>
      </c>
      <c r="I986" s="3" t="s">
        <v>73</v>
      </c>
      <c r="J986" s="3" t="s">
        <v>64</v>
      </c>
      <c r="K986" s="3" t="s">
        <v>65</v>
      </c>
      <c r="L986" s="2" t="s">
        <v>10138</v>
      </c>
      <c r="M986" s="2" t="s">
        <v>10151</v>
      </c>
      <c r="N986" s="3" t="s">
        <v>2609</v>
      </c>
      <c r="P986" s="3" t="s">
        <v>69</v>
      </c>
      <c r="R986" s="3" t="s">
        <v>9228</v>
      </c>
      <c r="S986" s="4">
        <v>21</v>
      </c>
      <c r="T986" s="4">
        <v>87</v>
      </c>
      <c r="U986" s="5" t="s">
        <v>240</v>
      </c>
      <c r="V986" s="5" t="s">
        <v>10153</v>
      </c>
      <c r="W986" s="5" t="s">
        <v>72</v>
      </c>
      <c r="X986" s="5" t="s">
        <v>72</v>
      </c>
      <c r="Y986" s="4">
        <v>1172</v>
      </c>
      <c r="Z986" s="4">
        <v>33</v>
      </c>
      <c r="AA986" s="4">
        <v>58</v>
      </c>
      <c r="AB986" s="4">
        <v>4</v>
      </c>
      <c r="AC986" s="4">
        <v>10</v>
      </c>
      <c r="AD986" s="4">
        <v>120</v>
      </c>
      <c r="AE986" s="4">
        <v>142</v>
      </c>
      <c r="AF986" s="4">
        <v>1</v>
      </c>
      <c r="AG986" s="4">
        <v>3</v>
      </c>
      <c r="AH986" s="4">
        <v>102</v>
      </c>
      <c r="AI986" s="4">
        <v>112</v>
      </c>
      <c r="AJ986" s="4">
        <v>14</v>
      </c>
      <c r="AK986" s="4">
        <v>23</v>
      </c>
      <c r="AL986" s="4">
        <v>56</v>
      </c>
      <c r="AM986" s="4">
        <v>60</v>
      </c>
      <c r="AN986" s="4">
        <v>0</v>
      </c>
      <c r="AO986" s="4">
        <v>0</v>
      </c>
      <c r="AP986" s="4">
        <v>20</v>
      </c>
      <c r="AQ986" s="4">
        <v>35</v>
      </c>
      <c r="AR986" s="3" t="s">
        <v>64</v>
      </c>
      <c r="AS986" s="3" t="s">
        <v>64</v>
      </c>
      <c r="AT986" s="3" t="s">
        <v>73</v>
      </c>
      <c r="AU986" s="6" t="str">
        <f>HYPERLINK("http://catalog.hathitrust.org/Record/001116268","HathiTrust Record")</f>
        <v>HathiTrust Record</v>
      </c>
      <c r="AV986" s="6" t="str">
        <f>HYPERLINK("http://mcgill.on.worldcat.org/oclc/569431","Catalog Record")</f>
        <v>Catalog Record</v>
      </c>
      <c r="AW986" s="6" t="str">
        <f>HYPERLINK("http://www.worldcat.org/oclc/569431","WorldCat Record")</f>
        <v>WorldCat Record</v>
      </c>
      <c r="AX986" s="3" t="s">
        <v>10154</v>
      </c>
      <c r="AY986" s="3" t="s">
        <v>10155</v>
      </c>
      <c r="AZ986" s="3" t="s">
        <v>10156</v>
      </c>
      <c r="BA986" s="3" t="s">
        <v>10156</v>
      </c>
      <c r="BB986" s="3" t="s">
        <v>10162</v>
      </c>
      <c r="BC986" s="3" t="s">
        <v>78</v>
      </c>
      <c r="BD986" s="3" t="s">
        <v>79</v>
      </c>
      <c r="BE986" s="3" t="s">
        <v>10158</v>
      </c>
      <c r="BF986" s="3" t="s">
        <v>10162</v>
      </c>
      <c r="BG986" s="3" t="s">
        <v>10163</v>
      </c>
    </row>
    <row r="987" spans="1:59" ht="58" x14ac:dyDescent="0.35">
      <c r="A987" s="2" t="s">
        <v>59</v>
      </c>
      <c r="B987" s="2" t="s">
        <v>94</v>
      </c>
      <c r="C987" s="2" t="s">
        <v>10148</v>
      </c>
      <c r="D987" s="2" t="s">
        <v>10149</v>
      </c>
      <c r="E987" s="2" t="s">
        <v>10150</v>
      </c>
      <c r="G987" s="3" t="s">
        <v>64</v>
      </c>
      <c r="I987" s="3" t="s">
        <v>73</v>
      </c>
      <c r="J987" s="3" t="s">
        <v>64</v>
      </c>
      <c r="K987" s="3" t="s">
        <v>65</v>
      </c>
      <c r="L987" s="2" t="s">
        <v>10138</v>
      </c>
      <c r="M987" s="2" t="s">
        <v>10151</v>
      </c>
      <c r="N987" s="3" t="s">
        <v>2609</v>
      </c>
      <c r="P987" s="3" t="s">
        <v>69</v>
      </c>
      <c r="R987" s="3" t="s">
        <v>9228</v>
      </c>
      <c r="S987" s="4">
        <v>31</v>
      </c>
      <c r="T987" s="4">
        <v>87</v>
      </c>
      <c r="U987" s="5" t="s">
        <v>10164</v>
      </c>
      <c r="V987" s="5" t="s">
        <v>10153</v>
      </c>
      <c r="W987" s="5" t="s">
        <v>72</v>
      </c>
      <c r="X987" s="5" t="s">
        <v>72</v>
      </c>
      <c r="Y987" s="4">
        <v>1172</v>
      </c>
      <c r="Z987" s="4">
        <v>33</v>
      </c>
      <c r="AA987" s="4">
        <v>58</v>
      </c>
      <c r="AB987" s="4">
        <v>4</v>
      </c>
      <c r="AC987" s="4">
        <v>10</v>
      </c>
      <c r="AD987" s="4">
        <v>120</v>
      </c>
      <c r="AE987" s="4">
        <v>142</v>
      </c>
      <c r="AF987" s="4">
        <v>1</v>
      </c>
      <c r="AG987" s="4">
        <v>3</v>
      </c>
      <c r="AH987" s="4">
        <v>102</v>
      </c>
      <c r="AI987" s="4">
        <v>112</v>
      </c>
      <c r="AJ987" s="4">
        <v>14</v>
      </c>
      <c r="AK987" s="4">
        <v>23</v>
      </c>
      <c r="AL987" s="4">
        <v>56</v>
      </c>
      <c r="AM987" s="4">
        <v>60</v>
      </c>
      <c r="AN987" s="4">
        <v>0</v>
      </c>
      <c r="AO987" s="4">
        <v>0</v>
      </c>
      <c r="AP987" s="4">
        <v>20</v>
      </c>
      <c r="AQ987" s="4">
        <v>35</v>
      </c>
      <c r="AR987" s="3" t="s">
        <v>64</v>
      </c>
      <c r="AS987" s="3" t="s">
        <v>64</v>
      </c>
      <c r="AT987" s="3" t="s">
        <v>73</v>
      </c>
      <c r="AU987" s="6" t="str">
        <f>HYPERLINK("http://catalog.hathitrust.org/Record/001116268","HathiTrust Record")</f>
        <v>HathiTrust Record</v>
      </c>
      <c r="AV987" s="6" t="str">
        <f>HYPERLINK("http://mcgill.on.worldcat.org/oclc/569431","Catalog Record")</f>
        <v>Catalog Record</v>
      </c>
      <c r="AW987" s="6" t="str">
        <f>HYPERLINK("http://www.worldcat.org/oclc/569431","WorldCat Record")</f>
        <v>WorldCat Record</v>
      </c>
      <c r="AX987" s="3" t="s">
        <v>10154</v>
      </c>
      <c r="AY987" s="3" t="s">
        <v>10155</v>
      </c>
      <c r="AZ987" s="3" t="s">
        <v>10156</v>
      </c>
      <c r="BA987" s="3" t="s">
        <v>10156</v>
      </c>
      <c r="BB987" s="3" t="s">
        <v>10165</v>
      </c>
      <c r="BC987" s="3" t="s">
        <v>78</v>
      </c>
      <c r="BD987" s="3" t="s">
        <v>79</v>
      </c>
      <c r="BE987" s="3" t="s">
        <v>10158</v>
      </c>
      <c r="BF987" s="3" t="s">
        <v>10165</v>
      </c>
      <c r="BG987" s="3" t="s">
        <v>10166</v>
      </c>
    </row>
    <row r="988" spans="1:59" ht="58" x14ac:dyDescent="0.35">
      <c r="A988" s="2" t="s">
        <v>59</v>
      </c>
      <c r="B988" s="2" t="s">
        <v>94</v>
      </c>
      <c r="C988" s="2" t="s">
        <v>10167</v>
      </c>
      <c r="D988" s="2" t="s">
        <v>10168</v>
      </c>
      <c r="E988" s="2" t="s">
        <v>10169</v>
      </c>
      <c r="G988" s="3" t="s">
        <v>64</v>
      </c>
      <c r="I988" s="3" t="s">
        <v>64</v>
      </c>
      <c r="J988" s="3" t="s">
        <v>64</v>
      </c>
      <c r="K988" s="3" t="s">
        <v>65</v>
      </c>
      <c r="M988" s="2" t="s">
        <v>10170</v>
      </c>
      <c r="N988" s="3" t="s">
        <v>499</v>
      </c>
      <c r="P988" s="3" t="s">
        <v>69</v>
      </c>
      <c r="R988" s="3" t="s">
        <v>9228</v>
      </c>
      <c r="S988" s="4">
        <v>3</v>
      </c>
      <c r="T988" s="4">
        <v>3</v>
      </c>
      <c r="U988" s="5" t="s">
        <v>10171</v>
      </c>
      <c r="V988" s="5" t="s">
        <v>10171</v>
      </c>
      <c r="W988" s="5" t="s">
        <v>72</v>
      </c>
      <c r="X988" s="5" t="s">
        <v>72</v>
      </c>
      <c r="Y988" s="4">
        <v>201</v>
      </c>
      <c r="Z988" s="4">
        <v>14</v>
      </c>
      <c r="AA988" s="4">
        <v>15</v>
      </c>
      <c r="AB988" s="4">
        <v>1</v>
      </c>
      <c r="AC988" s="4">
        <v>2</v>
      </c>
      <c r="AD988" s="4">
        <v>75</v>
      </c>
      <c r="AE988" s="4">
        <v>76</v>
      </c>
      <c r="AF988" s="4">
        <v>0</v>
      </c>
      <c r="AG988" s="4">
        <v>1</v>
      </c>
      <c r="AH988" s="4">
        <v>71</v>
      </c>
      <c r="AI988" s="4">
        <v>72</v>
      </c>
      <c r="AJ988" s="4">
        <v>11</v>
      </c>
      <c r="AK988" s="4">
        <v>12</v>
      </c>
      <c r="AL988" s="4">
        <v>40</v>
      </c>
      <c r="AM988" s="4">
        <v>40</v>
      </c>
      <c r="AN988" s="4">
        <v>0</v>
      </c>
      <c r="AO988" s="4">
        <v>0</v>
      </c>
      <c r="AP988" s="4">
        <v>11</v>
      </c>
      <c r="AQ988" s="4">
        <v>12</v>
      </c>
      <c r="AR988" s="3" t="s">
        <v>64</v>
      </c>
      <c r="AS988" s="3" t="s">
        <v>64</v>
      </c>
      <c r="AT988" s="3" t="s">
        <v>64</v>
      </c>
      <c r="AV988" s="6" t="str">
        <f>HYPERLINK("http://mcgill.on.worldcat.org/oclc/58654090","Catalog Record")</f>
        <v>Catalog Record</v>
      </c>
      <c r="AW988" s="6" t="str">
        <f>HYPERLINK("http://www.worldcat.org/oclc/58654090","WorldCat Record")</f>
        <v>WorldCat Record</v>
      </c>
      <c r="AX988" s="3" t="s">
        <v>10172</v>
      </c>
      <c r="AY988" s="3" t="s">
        <v>10173</v>
      </c>
      <c r="AZ988" s="3" t="s">
        <v>10174</v>
      </c>
      <c r="BA988" s="3" t="s">
        <v>10174</v>
      </c>
      <c r="BB988" s="3" t="s">
        <v>10175</v>
      </c>
      <c r="BC988" s="3" t="s">
        <v>78</v>
      </c>
      <c r="BD988" s="3" t="s">
        <v>79</v>
      </c>
      <c r="BE988" s="3" t="s">
        <v>10176</v>
      </c>
      <c r="BF988" s="3" t="s">
        <v>10175</v>
      </c>
      <c r="BG988" s="3" t="s">
        <v>10177</v>
      </c>
    </row>
    <row r="989" spans="1:59" ht="58" x14ac:dyDescent="0.35">
      <c r="A989" s="2" t="s">
        <v>59</v>
      </c>
      <c r="B989" s="2" t="s">
        <v>94</v>
      </c>
      <c r="C989" s="2" t="s">
        <v>10178</v>
      </c>
      <c r="D989" s="2" t="s">
        <v>10179</v>
      </c>
      <c r="E989" s="2" t="s">
        <v>10180</v>
      </c>
      <c r="G989" s="3" t="s">
        <v>64</v>
      </c>
      <c r="I989" s="3" t="s">
        <v>64</v>
      </c>
      <c r="J989" s="3" t="s">
        <v>64</v>
      </c>
      <c r="K989" s="3" t="s">
        <v>65</v>
      </c>
      <c r="M989" s="2" t="s">
        <v>10181</v>
      </c>
      <c r="N989" s="3" t="s">
        <v>449</v>
      </c>
      <c r="O989" s="2" t="s">
        <v>1294</v>
      </c>
      <c r="P989" s="3" t="s">
        <v>69</v>
      </c>
      <c r="R989" s="3" t="s">
        <v>9228</v>
      </c>
      <c r="S989" s="4">
        <v>6</v>
      </c>
      <c r="T989" s="4">
        <v>6</v>
      </c>
      <c r="U989" s="5" t="s">
        <v>10182</v>
      </c>
      <c r="V989" s="5" t="s">
        <v>10182</v>
      </c>
      <c r="W989" s="5" t="s">
        <v>72</v>
      </c>
      <c r="X989" s="5" t="s">
        <v>72</v>
      </c>
      <c r="Y989" s="4">
        <v>154</v>
      </c>
      <c r="Z989" s="4">
        <v>5</v>
      </c>
      <c r="AA989" s="4">
        <v>9</v>
      </c>
      <c r="AB989" s="4">
        <v>1</v>
      </c>
      <c r="AC989" s="4">
        <v>4</v>
      </c>
      <c r="AD989" s="4">
        <v>46</v>
      </c>
      <c r="AE989" s="4">
        <v>49</v>
      </c>
      <c r="AF989" s="4">
        <v>0</v>
      </c>
      <c r="AG989" s="4">
        <v>1</v>
      </c>
      <c r="AH989" s="4">
        <v>43</v>
      </c>
      <c r="AI989" s="4">
        <v>45</v>
      </c>
      <c r="AJ989" s="4">
        <v>4</v>
      </c>
      <c r="AK989" s="4">
        <v>6</v>
      </c>
      <c r="AL989" s="4">
        <v>30</v>
      </c>
      <c r="AM989" s="4">
        <v>31</v>
      </c>
      <c r="AN989" s="4">
        <v>0</v>
      </c>
      <c r="AO989" s="4">
        <v>0</v>
      </c>
      <c r="AP989" s="4">
        <v>4</v>
      </c>
      <c r="AQ989" s="4">
        <v>6</v>
      </c>
      <c r="AR989" s="3" t="s">
        <v>64</v>
      </c>
      <c r="AS989" s="3" t="s">
        <v>64</v>
      </c>
      <c r="AT989" s="3" t="s">
        <v>64</v>
      </c>
      <c r="AV989" s="6" t="str">
        <f>HYPERLINK("http://mcgill.on.worldcat.org/oclc/186349146","Catalog Record")</f>
        <v>Catalog Record</v>
      </c>
      <c r="AW989" s="6" t="str">
        <f>HYPERLINK("http://www.worldcat.org/oclc/186349146","WorldCat Record")</f>
        <v>WorldCat Record</v>
      </c>
      <c r="AX989" s="3" t="s">
        <v>10183</v>
      </c>
      <c r="AY989" s="3" t="s">
        <v>10184</v>
      </c>
      <c r="AZ989" s="3" t="s">
        <v>10185</v>
      </c>
      <c r="BA989" s="3" t="s">
        <v>10185</v>
      </c>
      <c r="BB989" s="3" t="s">
        <v>10186</v>
      </c>
      <c r="BC989" s="3" t="s">
        <v>78</v>
      </c>
      <c r="BD989" s="3" t="s">
        <v>79</v>
      </c>
      <c r="BE989" s="3" t="s">
        <v>10187</v>
      </c>
      <c r="BF989" s="3" t="s">
        <v>10186</v>
      </c>
      <c r="BG989" s="3" t="s">
        <v>10188</v>
      </c>
    </row>
    <row r="990" spans="1:59" ht="58" x14ac:dyDescent="0.35">
      <c r="A990" s="2" t="s">
        <v>59</v>
      </c>
      <c r="B990" s="2" t="s">
        <v>94</v>
      </c>
      <c r="C990" s="2" t="s">
        <v>10189</v>
      </c>
      <c r="D990" s="2" t="s">
        <v>10190</v>
      </c>
      <c r="E990" s="2" t="s">
        <v>10191</v>
      </c>
      <c r="G990" s="3" t="s">
        <v>64</v>
      </c>
      <c r="I990" s="3" t="s">
        <v>64</v>
      </c>
      <c r="J990" s="3" t="s">
        <v>64</v>
      </c>
      <c r="K990" s="3" t="s">
        <v>65</v>
      </c>
      <c r="L990" s="2" t="s">
        <v>10192</v>
      </c>
      <c r="M990" s="2" t="s">
        <v>10193</v>
      </c>
      <c r="N990" s="3" t="s">
        <v>861</v>
      </c>
      <c r="O990" s="2" t="s">
        <v>1294</v>
      </c>
      <c r="P990" s="3" t="s">
        <v>69</v>
      </c>
      <c r="Q990" s="2" t="s">
        <v>10194</v>
      </c>
      <c r="R990" s="3" t="s">
        <v>9228</v>
      </c>
      <c r="S990" s="4">
        <v>33</v>
      </c>
      <c r="T990" s="4">
        <v>33</v>
      </c>
      <c r="U990" s="5" t="s">
        <v>10195</v>
      </c>
      <c r="V990" s="5" t="s">
        <v>10195</v>
      </c>
      <c r="W990" s="5" t="s">
        <v>72</v>
      </c>
      <c r="X990" s="5" t="s">
        <v>72</v>
      </c>
      <c r="Y990" s="4">
        <v>1410</v>
      </c>
      <c r="Z990" s="4">
        <v>40</v>
      </c>
      <c r="AA990" s="4">
        <v>62</v>
      </c>
      <c r="AB990" s="4">
        <v>1</v>
      </c>
      <c r="AC990" s="4">
        <v>7</v>
      </c>
      <c r="AD990" s="4">
        <v>113</v>
      </c>
      <c r="AE990" s="4">
        <v>129</v>
      </c>
      <c r="AF990" s="4">
        <v>0</v>
      </c>
      <c r="AG990" s="4">
        <v>3</v>
      </c>
      <c r="AH990" s="4">
        <v>99</v>
      </c>
      <c r="AI990" s="4">
        <v>105</v>
      </c>
      <c r="AJ990" s="4">
        <v>15</v>
      </c>
      <c r="AK990" s="4">
        <v>23</v>
      </c>
      <c r="AL990" s="4">
        <v>53</v>
      </c>
      <c r="AM990" s="4">
        <v>55</v>
      </c>
      <c r="AN990" s="4">
        <v>0</v>
      </c>
      <c r="AO990" s="4">
        <v>0</v>
      </c>
      <c r="AP990" s="4">
        <v>18</v>
      </c>
      <c r="AQ990" s="4">
        <v>30</v>
      </c>
      <c r="AR990" s="3" t="s">
        <v>64</v>
      </c>
      <c r="AS990" s="3" t="s">
        <v>64</v>
      </c>
      <c r="AT990" s="3" t="s">
        <v>64</v>
      </c>
      <c r="AV990" s="6" t="str">
        <f>HYPERLINK("http://mcgill.on.worldcat.org/oclc/52706072","Catalog Record")</f>
        <v>Catalog Record</v>
      </c>
      <c r="AW990" s="6" t="str">
        <f>HYPERLINK("http://www.worldcat.org/oclc/52706072","WorldCat Record")</f>
        <v>WorldCat Record</v>
      </c>
      <c r="AX990" s="3" t="s">
        <v>10196</v>
      </c>
      <c r="AY990" s="3" t="s">
        <v>10197</v>
      </c>
      <c r="AZ990" s="3" t="s">
        <v>10198</v>
      </c>
      <c r="BA990" s="3" t="s">
        <v>10198</v>
      </c>
      <c r="BB990" s="3" t="s">
        <v>10199</v>
      </c>
      <c r="BC990" s="3" t="s">
        <v>78</v>
      </c>
      <c r="BD990" s="3" t="s">
        <v>414</v>
      </c>
      <c r="BE990" s="3" t="s">
        <v>10200</v>
      </c>
      <c r="BF990" s="3" t="s">
        <v>10199</v>
      </c>
      <c r="BG990" s="3" t="s">
        <v>10201</v>
      </c>
    </row>
    <row r="991" spans="1:59" ht="58" x14ac:dyDescent="0.35">
      <c r="A991" s="2" t="s">
        <v>59</v>
      </c>
      <c r="B991" s="2" t="s">
        <v>94</v>
      </c>
      <c r="C991" s="2" t="s">
        <v>10202</v>
      </c>
      <c r="D991" s="2" t="s">
        <v>10203</v>
      </c>
      <c r="E991" s="2" t="s">
        <v>10204</v>
      </c>
      <c r="G991" s="3" t="s">
        <v>64</v>
      </c>
      <c r="I991" s="3" t="s">
        <v>64</v>
      </c>
      <c r="J991" s="3" t="s">
        <v>73</v>
      </c>
      <c r="K991" s="3" t="s">
        <v>65</v>
      </c>
      <c r="M991" s="2" t="s">
        <v>10205</v>
      </c>
      <c r="N991" s="3" t="s">
        <v>1029</v>
      </c>
      <c r="O991" s="2" t="s">
        <v>10206</v>
      </c>
      <c r="P991" s="3" t="s">
        <v>69</v>
      </c>
      <c r="R991" s="3" t="s">
        <v>9228</v>
      </c>
      <c r="S991" s="4">
        <v>6</v>
      </c>
      <c r="T991" s="4">
        <v>6</v>
      </c>
      <c r="U991" s="5" t="s">
        <v>10207</v>
      </c>
      <c r="V991" s="5" t="s">
        <v>10207</v>
      </c>
      <c r="W991" s="5" t="s">
        <v>72</v>
      </c>
      <c r="X991" s="5" t="s">
        <v>72</v>
      </c>
      <c r="Y991" s="4">
        <v>127</v>
      </c>
      <c r="Z991" s="4">
        <v>8</v>
      </c>
      <c r="AA991" s="4">
        <v>45</v>
      </c>
      <c r="AB991" s="4">
        <v>2</v>
      </c>
      <c r="AC991" s="4">
        <v>6</v>
      </c>
      <c r="AD991" s="4">
        <v>26</v>
      </c>
      <c r="AE991" s="4">
        <v>137</v>
      </c>
      <c r="AF991" s="4">
        <v>0</v>
      </c>
      <c r="AG991" s="4">
        <v>2</v>
      </c>
      <c r="AH991" s="4">
        <v>25</v>
      </c>
      <c r="AI991" s="4">
        <v>115</v>
      </c>
      <c r="AJ991" s="4">
        <v>4</v>
      </c>
      <c r="AK991" s="4">
        <v>19</v>
      </c>
      <c r="AL991" s="4">
        <v>17</v>
      </c>
      <c r="AM991" s="4">
        <v>61</v>
      </c>
      <c r="AN991" s="4">
        <v>0</v>
      </c>
      <c r="AO991" s="4">
        <v>0</v>
      </c>
      <c r="AP991" s="4">
        <v>4</v>
      </c>
      <c r="AQ991" s="4">
        <v>28</v>
      </c>
      <c r="AR991" s="3" t="s">
        <v>64</v>
      </c>
      <c r="AS991" s="3" t="s">
        <v>64</v>
      </c>
      <c r="AT991" s="3" t="s">
        <v>64</v>
      </c>
      <c r="AV991" s="6" t="str">
        <f>HYPERLINK("http://mcgill.on.worldcat.org/oclc/232391920","Catalog Record")</f>
        <v>Catalog Record</v>
      </c>
      <c r="AW991" s="6" t="str">
        <f>HYPERLINK("http://www.worldcat.org/oclc/232391920","WorldCat Record")</f>
        <v>WorldCat Record</v>
      </c>
      <c r="AX991" s="3" t="s">
        <v>10208</v>
      </c>
      <c r="AY991" s="3" t="s">
        <v>10209</v>
      </c>
      <c r="AZ991" s="3" t="s">
        <v>10210</v>
      </c>
      <c r="BA991" s="3" t="s">
        <v>10210</v>
      </c>
      <c r="BB991" s="3" t="s">
        <v>10211</v>
      </c>
      <c r="BC991" s="3" t="s">
        <v>78</v>
      </c>
      <c r="BD991" s="3" t="s">
        <v>79</v>
      </c>
      <c r="BE991" s="3" t="s">
        <v>10212</v>
      </c>
      <c r="BF991" s="3" t="s">
        <v>10211</v>
      </c>
      <c r="BG991" s="3" t="s">
        <v>10213</v>
      </c>
    </row>
    <row r="992" spans="1:59" ht="58" x14ac:dyDescent="0.35">
      <c r="A992" s="2" t="s">
        <v>59</v>
      </c>
      <c r="B992" s="2" t="s">
        <v>94</v>
      </c>
      <c r="C992" s="2" t="s">
        <v>10214</v>
      </c>
      <c r="D992" s="2" t="s">
        <v>10215</v>
      </c>
      <c r="E992" s="2" t="s">
        <v>10216</v>
      </c>
      <c r="G992" s="3" t="s">
        <v>64</v>
      </c>
      <c r="I992" s="3" t="s">
        <v>64</v>
      </c>
      <c r="J992" s="3" t="s">
        <v>64</v>
      </c>
      <c r="K992" s="3" t="s">
        <v>65</v>
      </c>
      <c r="L992" s="2" t="s">
        <v>10217</v>
      </c>
      <c r="M992" s="2" t="s">
        <v>10218</v>
      </c>
      <c r="N992" s="3" t="s">
        <v>68</v>
      </c>
      <c r="O992" s="2" t="s">
        <v>1294</v>
      </c>
      <c r="P992" s="3" t="s">
        <v>69</v>
      </c>
      <c r="R992" s="3" t="s">
        <v>9228</v>
      </c>
      <c r="S992" s="4">
        <v>7</v>
      </c>
      <c r="T992" s="4">
        <v>7</v>
      </c>
      <c r="U992" s="5" t="s">
        <v>10219</v>
      </c>
      <c r="V992" s="5" t="s">
        <v>10219</v>
      </c>
      <c r="W992" s="5" t="s">
        <v>72</v>
      </c>
      <c r="X992" s="5" t="s">
        <v>72</v>
      </c>
      <c r="Y992" s="4">
        <v>432</v>
      </c>
      <c r="Z992" s="4">
        <v>9</v>
      </c>
      <c r="AA992" s="4">
        <v>13</v>
      </c>
      <c r="AB992" s="4">
        <v>1</v>
      </c>
      <c r="AC992" s="4">
        <v>4</v>
      </c>
      <c r="AD992" s="4">
        <v>69</v>
      </c>
      <c r="AE992" s="4">
        <v>71</v>
      </c>
      <c r="AF992" s="4">
        <v>0</v>
      </c>
      <c r="AG992" s="4">
        <v>1</v>
      </c>
      <c r="AH992" s="4">
        <v>68</v>
      </c>
      <c r="AI992" s="4">
        <v>68</v>
      </c>
      <c r="AJ992" s="4">
        <v>4</v>
      </c>
      <c r="AK992" s="4">
        <v>5</v>
      </c>
      <c r="AL992" s="4">
        <v>37</v>
      </c>
      <c r="AM992" s="4">
        <v>37</v>
      </c>
      <c r="AN992" s="4">
        <v>0</v>
      </c>
      <c r="AO992" s="4">
        <v>0</v>
      </c>
      <c r="AP992" s="4">
        <v>4</v>
      </c>
      <c r="AQ992" s="4">
        <v>5</v>
      </c>
      <c r="AR992" s="3" t="s">
        <v>64</v>
      </c>
      <c r="AS992" s="3" t="s">
        <v>64</v>
      </c>
      <c r="AT992" s="3" t="s">
        <v>73</v>
      </c>
      <c r="AU992" s="6" t="str">
        <f>HYPERLINK("http://catalog.hathitrust.org/Record/005283454","HathiTrust Record")</f>
        <v>HathiTrust Record</v>
      </c>
      <c r="AV992" s="6" t="str">
        <f>HYPERLINK("http://mcgill.on.worldcat.org/oclc/67375072","Catalog Record")</f>
        <v>Catalog Record</v>
      </c>
      <c r="AW992" s="6" t="str">
        <f>HYPERLINK("http://www.worldcat.org/oclc/67375072","WorldCat Record")</f>
        <v>WorldCat Record</v>
      </c>
      <c r="AX992" s="3" t="s">
        <v>10220</v>
      </c>
      <c r="AY992" s="3" t="s">
        <v>10221</v>
      </c>
      <c r="AZ992" s="3" t="s">
        <v>10222</v>
      </c>
      <c r="BA992" s="3" t="s">
        <v>10222</v>
      </c>
      <c r="BB992" s="3" t="s">
        <v>10223</v>
      </c>
      <c r="BC992" s="3" t="s">
        <v>78</v>
      </c>
      <c r="BD992" s="3" t="s">
        <v>79</v>
      </c>
      <c r="BE992" s="3" t="s">
        <v>10224</v>
      </c>
      <c r="BF992" s="3" t="s">
        <v>10223</v>
      </c>
      <c r="BG992" s="3" t="s">
        <v>10225</v>
      </c>
    </row>
    <row r="993" spans="1:59" ht="58" x14ac:dyDescent="0.35">
      <c r="A993" s="2" t="s">
        <v>59</v>
      </c>
      <c r="B993" s="2" t="s">
        <v>94</v>
      </c>
      <c r="C993" s="2" t="s">
        <v>10226</v>
      </c>
      <c r="D993" s="2" t="s">
        <v>10227</v>
      </c>
      <c r="E993" s="2" t="s">
        <v>10228</v>
      </c>
      <c r="G993" s="3" t="s">
        <v>64</v>
      </c>
      <c r="I993" s="3" t="s">
        <v>64</v>
      </c>
      <c r="J993" s="3" t="s">
        <v>64</v>
      </c>
      <c r="K993" s="3" t="s">
        <v>65</v>
      </c>
      <c r="L993" s="2" t="s">
        <v>10229</v>
      </c>
      <c r="M993" s="2" t="s">
        <v>10230</v>
      </c>
      <c r="N993" s="3" t="s">
        <v>315</v>
      </c>
      <c r="O993" s="2" t="s">
        <v>1294</v>
      </c>
      <c r="P993" s="3" t="s">
        <v>69</v>
      </c>
      <c r="R993" s="3" t="s">
        <v>9228</v>
      </c>
      <c r="S993" s="4">
        <v>12</v>
      </c>
      <c r="T993" s="4">
        <v>12</v>
      </c>
      <c r="U993" s="5" t="s">
        <v>10231</v>
      </c>
      <c r="V993" s="5" t="s">
        <v>10231</v>
      </c>
      <c r="W993" s="5" t="s">
        <v>72</v>
      </c>
      <c r="X993" s="5" t="s">
        <v>72</v>
      </c>
      <c r="Y993" s="4">
        <v>428</v>
      </c>
      <c r="Z993" s="4">
        <v>18</v>
      </c>
      <c r="AA993" s="4">
        <v>37</v>
      </c>
      <c r="AB993" s="4">
        <v>1</v>
      </c>
      <c r="AC993" s="4">
        <v>4</v>
      </c>
      <c r="AD993" s="4">
        <v>85</v>
      </c>
      <c r="AE993" s="4">
        <v>102</v>
      </c>
      <c r="AF993" s="4">
        <v>0</v>
      </c>
      <c r="AG993" s="4">
        <v>2</v>
      </c>
      <c r="AH993" s="4">
        <v>75</v>
      </c>
      <c r="AI993" s="4">
        <v>81</v>
      </c>
      <c r="AJ993" s="4">
        <v>9</v>
      </c>
      <c r="AK993" s="4">
        <v>18</v>
      </c>
      <c r="AL993" s="4">
        <v>43</v>
      </c>
      <c r="AM993" s="4">
        <v>43</v>
      </c>
      <c r="AN993" s="4">
        <v>0</v>
      </c>
      <c r="AO993" s="4">
        <v>0</v>
      </c>
      <c r="AP993" s="4">
        <v>14</v>
      </c>
      <c r="AQ993" s="4">
        <v>28</v>
      </c>
      <c r="AR993" s="3" t="s">
        <v>64</v>
      </c>
      <c r="AS993" s="3" t="s">
        <v>64</v>
      </c>
      <c r="AT993" s="3" t="s">
        <v>73</v>
      </c>
      <c r="AU993" s="6" t="str">
        <f>HYPERLINK("http://catalog.hathitrust.org/Record/004408636","HathiTrust Record")</f>
        <v>HathiTrust Record</v>
      </c>
      <c r="AV993" s="6" t="str">
        <f>HYPERLINK("http://mcgill.on.worldcat.org/oclc/14691711","Catalog Record")</f>
        <v>Catalog Record</v>
      </c>
      <c r="AW993" s="6" t="str">
        <f>HYPERLINK("http://www.worldcat.org/oclc/14691711","WorldCat Record")</f>
        <v>WorldCat Record</v>
      </c>
      <c r="AX993" s="3" t="s">
        <v>10232</v>
      </c>
      <c r="AY993" s="3" t="s">
        <v>10233</v>
      </c>
      <c r="AZ993" s="3" t="s">
        <v>10234</v>
      </c>
      <c r="BA993" s="3" t="s">
        <v>10234</v>
      </c>
      <c r="BB993" s="3" t="s">
        <v>10235</v>
      </c>
      <c r="BC993" s="3" t="s">
        <v>78</v>
      </c>
      <c r="BD993" s="3" t="s">
        <v>79</v>
      </c>
      <c r="BE993" s="3" t="s">
        <v>10236</v>
      </c>
      <c r="BF993" s="3" t="s">
        <v>10235</v>
      </c>
      <c r="BG993" s="3" t="s">
        <v>10237</v>
      </c>
    </row>
    <row r="994" spans="1:59" ht="58" x14ac:dyDescent="0.35">
      <c r="A994" s="2" t="s">
        <v>59</v>
      </c>
      <c r="B994" s="2" t="s">
        <v>94</v>
      </c>
      <c r="C994" s="2" t="s">
        <v>10238</v>
      </c>
      <c r="D994" s="2" t="s">
        <v>10239</v>
      </c>
      <c r="E994" s="2" t="s">
        <v>10240</v>
      </c>
      <c r="G994" s="3" t="s">
        <v>64</v>
      </c>
      <c r="I994" s="3" t="s">
        <v>64</v>
      </c>
      <c r="J994" s="3" t="s">
        <v>64</v>
      </c>
      <c r="K994" s="3" t="s">
        <v>65</v>
      </c>
      <c r="L994" s="2" t="s">
        <v>10241</v>
      </c>
      <c r="M994" s="2" t="s">
        <v>10242</v>
      </c>
      <c r="N994" s="3" t="s">
        <v>328</v>
      </c>
      <c r="P994" s="3" t="s">
        <v>69</v>
      </c>
      <c r="Q994" s="2" t="s">
        <v>539</v>
      </c>
      <c r="R994" s="3" t="s">
        <v>9228</v>
      </c>
      <c r="S994" s="4">
        <v>11</v>
      </c>
      <c r="T994" s="4">
        <v>11</v>
      </c>
      <c r="U994" s="5" t="s">
        <v>3472</v>
      </c>
      <c r="V994" s="5" t="s">
        <v>3472</v>
      </c>
      <c r="W994" s="5" t="s">
        <v>72</v>
      </c>
      <c r="X994" s="5" t="s">
        <v>72</v>
      </c>
      <c r="Y994" s="4">
        <v>129</v>
      </c>
      <c r="Z994" s="4">
        <v>14</v>
      </c>
      <c r="AA994" s="4">
        <v>79</v>
      </c>
      <c r="AB994" s="4">
        <v>2</v>
      </c>
      <c r="AC994" s="4">
        <v>15</v>
      </c>
      <c r="AD994" s="4">
        <v>52</v>
      </c>
      <c r="AE994" s="4">
        <v>117</v>
      </c>
      <c r="AF994" s="4">
        <v>1</v>
      </c>
      <c r="AG994" s="4">
        <v>8</v>
      </c>
      <c r="AH994" s="4">
        <v>46</v>
      </c>
      <c r="AI994" s="4">
        <v>83</v>
      </c>
      <c r="AJ994" s="4">
        <v>11</v>
      </c>
      <c r="AK994" s="4">
        <v>23</v>
      </c>
      <c r="AL994" s="4">
        <v>28</v>
      </c>
      <c r="AM994" s="4">
        <v>44</v>
      </c>
      <c r="AN994" s="4">
        <v>0</v>
      </c>
      <c r="AO994" s="4">
        <v>0</v>
      </c>
      <c r="AP994" s="4">
        <v>11</v>
      </c>
      <c r="AQ994" s="4">
        <v>42</v>
      </c>
      <c r="AR994" s="3" t="s">
        <v>64</v>
      </c>
      <c r="AS994" s="3" t="s">
        <v>64</v>
      </c>
      <c r="AT994" s="3" t="s">
        <v>64</v>
      </c>
      <c r="AV994" s="6" t="str">
        <f>HYPERLINK("http://mcgill.on.worldcat.org/oclc/457164742","Catalog Record")</f>
        <v>Catalog Record</v>
      </c>
      <c r="AW994" s="6" t="str">
        <f>HYPERLINK("http://www.worldcat.org/oclc/457164742","WorldCat Record")</f>
        <v>WorldCat Record</v>
      </c>
      <c r="AX994" s="3" t="s">
        <v>10243</v>
      </c>
      <c r="AY994" s="3" t="s">
        <v>10244</v>
      </c>
      <c r="AZ994" s="3" t="s">
        <v>10245</v>
      </c>
      <c r="BA994" s="3" t="s">
        <v>10245</v>
      </c>
      <c r="BB994" s="3" t="s">
        <v>10246</v>
      </c>
      <c r="BC994" s="3" t="s">
        <v>78</v>
      </c>
      <c r="BD994" s="3" t="s">
        <v>79</v>
      </c>
      <c r="BE994" s="3" t="s">
        <v>10247</v>
      </c>
      <c r="BF994" s="3" t="s">
        <v>10246</v>
      </c>
      <c r="BG994" s="3" t="s">
        <v>10248</v>
      </c>
    </row>
    <row r="995" spans="1:59" ht="58" x14ac:dyDescent="0.35">
      <c r="A995" s="2" t="s">
        <v>59</v>
      </c>
      <c r="B995" s="2" t="s">
        <v>94</v>
      </c>
      <c r="C995" s="2" t="s">
        <v>10249</v>
      </c>
      <c r="D995" s="2" t="s">
        <v>10250</v>
      </c>
      <c r="E995" s="2" t="s">
        <v>10251</v>
      </c>
      <c r="G995" s="3" t="s">
        <v>64</v>
      </c>
      <c r="I995" s="3" t="s">
        <v>64</v>
      </c>
      <c r="J995" s="3" t="s">
        <v>73</v>
      </c>
      <c r="K995" s="3" t="s">
        <v>65</v>
      </c>
      <c r="L995" s="2" t="s">
        <v>10252</v>
      </c>
      <c r="M995" s="2" t="s">
        <v>10253</v>
      </c>
      <c r="N995" s="3" t="s">
        <v>264</v>
      </c>
      <c r="P995" s="3" t="s">
        <v>69</v>
      </c>
      <c r="R995" s="3" t="s">
        <v>9228</v>
      </c>
      <c r="S995" s="4">
        <v>4</v>
      </c>
      <c r="T995" s="4">
        <v>4</v>
      </c>
      <c r="U995" s="5" t="s">
        <v>9768</v>
      </c>
      <c r="V995" s="5" t="s">
        <v>9768</v>
      </c>
      <c r="W995" s="5" t="s">
        <v>72</v>
      </c>
      <c r="X995" s="5" t="s">
        <v>72</v>
      </c>
      <c r="Y995" s="4">
        <v>501</v>
      </c>
      <c r="Z995" s="4">
        <v>24</v>
      </c>
      <c r="AA995" s="4">
        <v>25</v>
      </c>
      <c r="AB995" s="4">
        <v>2</v>
      </c>
      <c r="AC995" s="4">
        <v>3</v>
      </c>
      <c r="AD995" s="4">
        <v>117</v>
      </c>
      <c r="AE995" s="4">
        <v>122</v>
      </c>
      <c r="AF995" s="4">
        <v>1</v>
      </c>
      <c r="AG995" s="4">
        <v>2</v>
      </c>
      <c r="AH995" s="4">
        <v>101</v>
      </c>
      <c r="AI995" s="4">
        <v>105</v>
      </c>
      <c r="AJ995" s="4">
        <v>18</v>
      </c>
      <c r="AK995" s="4">
        <v>19</v>
      </c>
      <c r="AL995" s="4">
        <v>59</v>
      </c>
      <c r="AM995" s="4">
        <v>59</v>
      </c>
      <c r="AN995" s="4">
        <v>0</v>
      </c>
      <c r="AO995" s="4">
        <v>0</v>
      </c>
      <c r="AP995" s="4">
        <v>22</v>
      </c>
      <c r="AQ995" s="4">
        <v>22</v>
      </c>
      <c r="AR995" s="3" t="s">
        <v>64</v>
      </c>
      <c r="AS995" s="3" t="s">
        <v>64</v>
      </c>
      <c r="AT995" s="3" t="s">
        <v>73</v>
      </c>
      <c r="AU995" s="6" t="str">
        <f>HYPERLINK("http://catalog.hathitrust.org/Record/000296337","HathiTrust Record")</f>
        <v>HathiTrust Record</v>
      </c>
      <c r="AV995" s="6" t="str">
        <f>HYPERLINK("http://mcgill.on.worldcat.org/oclc/3246381","Catalog Record")</f>
        <v>Catalog Record</v>
      </c>
      <c r="AW995" s="6" t="str">
        <f>HYPERLINK("http://www.worldcat.org/oclc/3246381","WorldCat Record")</f>
        <v>WorldCat Record</v>
      </c>
      <c r="AX995" s="3" t="s">
        <v>10254</v>
      </c>
      <c r="AY995" s="3" t="s">
        <v>10255</v>
      </c>
      <c r="AZ995" s="3" t="s">
        <v>10256</v>
      </c>
      <c r="BA995" s="3" t="s">
        <v>10256</v>
      </c>
      <c r="BB995" s="3" t="s">
        <v>10257</v>
      </c>
      <c r="BC995" s="3" t="s">
        <v>78</v>
      </c>
      <c r="BD995" s="3" t="s">
        <v>79</v>
      </c>
      <c r="BE995" s="3" t="s">
        <v>10258</v>
      </c>
      <c r="BF995" s="3" t="s">
        <v>10257</v>
      </c>
      <c r="BG995" s="3" t="s">
        <v>10259</v>
      </c>
    </row>
    <row r="996" spans="1:59" ht="58" x14ac:dyDescent="0.35">
      <c r="A996" s="2" t="s">
        <v>59</v>
      </c>
      <c r="B996" s="2" t="s">
        <v>94</v>
      </c>
      <c r="C996" s="2" t="s">
        <v>10260</v>
      </c>
      <c r="D996" s="2" t="s">
        <v>10261</v>
      </c>
      <c r="E996" s="2" t="s">
        <v>10251</v>
      </c>
      <c r="G996" s="3" t="s">
        <v>64</v>
      </c>
      <c r="I996" s="3" t="s">
        <v>64</v>
      </c>
      <c r="J996" s="3" t="s">
        <v>73</v>
      </c>
      <c r="K996" s="3" t="s">
        <v>65</v>
      </c>
      <c r="L996" s="2" t="s">
        <v>10252</v>
      </c>
      <c r="M996" s="2" t="s">
        <v>10262</v>
      </c>
      <c r="N996" s="3" t="s">
        <v>872</v>
      </c>
      <c r="P996" s="3" t="s">
        <v>69</v>
      </c>
      <c r="Q996" s="2" t="s">
        <v>10263</v>
      </c>
      <c r="R996" s="3" t="s">
        <v>9228</v>
      </c>
      <c r="S996" s="4">
        <v>8</v>
      </c>
      <c r="T996" s="4">
        <v>8</v>
      </c>
      <c r="U996" s="5" t="s">
        <v>9768</v>
      </c>
      <c r="V996" s="5" t="s">
        <v>9768</v>
      </c>
      <c r="W996" s="5" t="s">
        <v>72</v>
      </c>
      <c r="X996" s="5" t="s">
        <v>72</v>
      </c>
      <c r="Y996" s="4">
        <v>66</v>
      </c>
      <c r="Z996" s="4">
        <v>2</v>
      </c>
      <c r="AA996" s="4">
        <v>25</v>
      </c>
      <c r="AB996" s="4">
        <v>1</v>
      </c>
      <c r="AC996" s="4">
        <v>3</v>
      </c>
      <c r="AD996" s="4">
        <v>14</v>
      </c>
      <c r="AE996" s="4">
        <v>122</v>
      </c>
      <c r="AF996" s="4">
        <v>0</v>
      </c>
      <c r="AG996" s="4">
        <v>2</v>
      </c>
      <c r="AH996" s="4">
        <v>14</v>
      </c>
      <c r="AI996" s="4">
        <v>105</v>
      </c>
      <c r="AJ996" s="4">
        <v>1</v>
      </c>
      <c r="AK996" s="4">
        <v>19</v>
      </c>
      <c r="AL996" s="4">
        <v>4</v>
      </c>
      <c r="AM996" s="4">
        <v>59</v>
      </c>
      <c r="AN996" s="4">
        <v>0</v>
      </c>
      <c r="AO996" s="4">
        <v>0</v>
      </c>
      <c r="AP996" s="4">
        <v>1</v>
      </c>
      <c r="AQ996" s="4">
        <v>22</v>
      </c>
      <c r="AR996" s="3" t="s">
        <v>64</v>
      </c>
      <c r="AS996" s="3" t="s">
        <v>64</v>
      </c>
      <c r="AT996" s="3" t="s">
        <v>64</v>
      </c>
      <c r="AV996" s="6" t="str">
        <f>HYPERLINK("http://mcgill.on.worldcat.org/oclc/19741777","Catalog Record")</f>
        <v>Catalog Record</v>
      </c>
      <c r="AW996" s="6" t="str">
        <f>HYPERLINK("http://www.worldcat.org/oclc/19741777","WorldCat Record")</f>
        <v>WorldCat Record</v>
      </c>
      <c r="AX996" s="3" t="s">
        <v>10254</v>
      </c>
      <c r="AY996" s="3" t="s">
        <v>10264</v>
      </c>
      <c r="AZ996" s="3" t="s">
        <v>10265</v>
      </c>
      <c r="BA996" s="3" t="s">
        <v>10265</v>
      </c>
      <c r="BB996" s="3" t="s">
        <v>10266</v>
      </c>
      <c r="BC996" s="3" t="s">
        <v>78</v>
      </c>
      <c r="BD996" s="3" t="s">
        <v>79</v>
      </c>
      <c r="BE996" s="3" t="s">
        <v>10267</v>
      </c>
      <c r="BF996" s="3" t="s">
        <v>10266</v>
      </c>
      <c r="BG996" s="3" t="s">
        <v>10268</v>
      </c>
    </row>
    <row r="997" spans="1:59" ht="58" x14ac:dyDescent="0.35">
      <c r="A997" s="2" t="s">
        <v>59</v>
      </c>
      <c r="B997" s="2" t="s">
        <v>94</v>
      </c>
      <c r="C997" s="2" t="s">
        <v>10269</v>
      </c>
      <c r="D997" s="2" t="s">
        <v>10270</v>
      </c>
      <c r="E997" s="2" t="s">
        <v>10271</v>
      </c>
      <c r="G997" s="3" t="s">
        <v>64</v>
      </c>
      <c r="I997" s="3" t="s">
        <v>73</v>
      </c>
      <c r="J997" s="3" t="s">
        <v>73</v>
      </c>
      <c r="K997" s="3" t="s">
        <v>65</v>
      </c>
      <c r="L997" s="2" t="s">
        <v>10272</v>
      </c>
      <c r="M997" s="2" t="s">
        <v>10273</v>
      </c>
      <c r="N997" s="3" t="s">
        <v>2609</v>
      </c>
      <c r="O997" s="2" t="s">
        <v>1294</v>
      </c>
      <c r="P997" s="3" t="s">
        <v>69</v>
      </c>
      <c r="R997" s="3" t="s">
        <v>9228</v>
      </c>
      <c r="S997" s="4">
        <v>11</v>
      </c>
      <c r="T997" s="4">
        <v>26</v>
      </c>
      <c r="U997" s="5" t="s">
        <v>9634</v>
      </c>
      <c r="V997" s="5" t="s">
        <v>9634</v>
      </c>
      <c r="W997" s="5" t="s">
        <v>72</v>
      </c>
      <c r="X997" s="5" t="s">
        <v>72</v>
      </c>
      <c r="Y997" s="4">
        <v>1094</v>
      </c>
      <c r="Z997" s="4">
        <v>37</v>
      </c>
      <c r="AA997" s="4">
        <v>77</v>
      </c>
      <c r="AB997" s="4">
        <v>4</v>
      </c>
      <c r="AC997" s="4">
        <v>10</v>
      </c>
      <c r="AD997" s="4">
        <v>117</v>
      </c>
      <c r="AE997" s="4">
        <v>157</v>
      </c>
      <c r="AF997" s="4">
        <v>1</v>
      </c>
      <c r="AG997" s="4">
        <v>3</v>
      </c>
      <c r="AH997" s="4">
        <v>96</v>
      </c>
      <c r="AI997" s="4">
        <v>114</v>
      </c>
      <c r="AJ997" s="4">
        <v>18</v>
      </c>
      <c r="AK997" s="4">
        <v>27</v>
      </c>
      <c r="AL997" s="4">
        <v>51</v>
      </c>
      <c r="AM997" s="4">
        <v>63</v>
      </c>
      <c r="AN997" s="4">
        <v>5</v>
      </c>
      <c r="AO997" s="4">
        <v>5</v>
      </c>
      <c r="AP997" s="4">
        <v>22</v>
      </c>
      <c r="AQ997" s="4">
        <v>46</v>
      </c>
      <c r="AR997" s="3" t="s">
        <v>64</v>
      </c>
      <c r="AS997" s="3" t="s">
        <v>64</v>
      </c>
      <c r="AT997" s="3" t="s">
        <v>73</v>
      </c>
      <c r="AU997" s="6" t="str">
        <f>HYPERLINK("http://catalog.hathitrust.org/Record/001114818","HathiTrust Record")</f>
        <v>HathiTrust Record</v>
      </c>
      <c r="AV997" s="6" t="str">
        <f>HYPERLINK("http://mcgill.on.worldcat.org/oclc/1311276","Catalog Record")</f>
        <v>Catalog Record</v>
      </c>
      <c r="AW997" s="6" t="str">
        <f>HYPERLINK("http://www.worldcat.org/oclc/1311276","WorldCat Record")</f>
        <v>WorldCat Record</v>
      </c>
      <c r="AX997" s="3" t="s">
        <v>10274</v>
      </c>
      <c r="AY997" s="3" t="s">
        <v>10275</v>
      </c>
      <c r="AZ997" s="3" t="s">
        <v>10276</v>
      </c>
      <c r="BA997" s="3" t="s">
        <v>10276</v>
      </c>
      <c r="BB997" s="3" t="s">
        <v>10277</v>
      </c>
      <c r="BC997" s="3" t="s">
        <v>78</v>
      </c>
      <c r="BD997" s="3" t="s">
        <v>79</v>
      </c>
      <c r="BF997" s="3" t="s">
        <v>10277</v>
      </c>
      <c r="BG997" s="3" t="s">
        <v>10278</v>
      </c>
    </row>
    <row r="998" spans="1:59" ht="58" x14ac:dyDescent="0.35">
      <c r="A998" s="2" t="s">
        <v>59</v>
      </c>
      <c r="B998" s="2" t="s">
        <v>94</v>
      </c>
      <c r="C998" s="2" t="s">
        <v>10269</v>
      </c>
      <c r="D998" s="2" t="s">
        <v>10270</v>
      </c>
      <c r="E998" s="2" t="s">
        <v>10271</v>
      </c>
      <c r="G998" s="3" t="s">
        <v>64</v>
      </c>
      <c r="I998" s="3" t="s">
        <v>73</v>
      </c>
      <c r="J998" s="3" t="s">
        <v>73</v>
      </c>
      <c r="K998" s="3" t="s">
        <v>65</v>
      </c>
      <c r="L998" s="2" t="s">
        <v>10272</v>
      </c>
      <c r="M998" s="2" t="s">
        <v>10273</v>
      </c>
      <c r="N998" s="3" t="s">
        <v>2609</v>
      </c>
      <c r="O998" s="2" t="s">
        <v>1294</v>
      </c>
      <c r="P998" s="3" t="s">
        <v>69</v>
      </c>
      <c r="R998" s="3" t="s">
        <v>9228</v>
      </c>
      <c r="S998" s="4">
        <v>12</v>
      </c>
      <c r="T998" s="4">
        <v>26</v>
      </c>
      <c r="U998" s="5" t="s">
        <v>846</v>
      </c>
      <c r="V998" s="5" t="s">
        <v>9634</v>
      </c>
      <c r="W998" s="5" t="s">
        <v>72</v>
      </c>
      <c r="X998" s="5" t="s">
        <v>72</v>
      </c>
      <c r="Y998" s="4">
        <v>1094</v>
      </c>
      <c r="Z998" s="4">
        <v>37</v>
      </c>
      <c r="AA998" s="4">
        <v>77</v>
      </c>
      <c r="AB998" s="4">
        <v>4</v>
      </c>
      <c r="AC998" s="4">
        <v>10</v>
      </c>
      <c r="AD998" s="4">
        <v>117</v>
      </c>
      <c r="AE998" s="4">
        <v>157</v>
      </c>
      <c r="AF998" s="4">
        <v>1</v>
      </c>
      <c r="AG998" s="4">
        <v>3</v>
      </c>
      <c r="AH998" s="4">
        <v>96</v>
      </c>
      <c r="AI998" s="4">
        <v>114</v>
      </c>
      <c r="AJ998" s="4">
        <v>18</v>
      </c>
      <c r="AK998" s="4">
        <v>27</v>
      </c>
      <c r="AL998" s="4">
        <v>51</v>
      </c>
      <c r="AM998" s="4">
        <v>63</v>
      </c>
      <c r="AN998" s="4">
        <v>5</v>
      </c>
      <c r="AO998" s="4">
        <v>5</v>
      </c>
      <c r="AP998" s="4">
        <v>22</v>
      </c>
      <c r="AQ998" s="4">
        <v>46</v>
      </c>
      <c r="AR998" s="3" t="s">
        <v>64</v>
      </c>
      <c r="AS998" s="3" t="s">
        <v>64</v>
      </c>
      <c r="AT998" s="3" t="s">
        <v>73</v>
      </c>
      <c r="AU998" s="6" t="str">
        <f>HYPERLINK("http://catalog.hathitrust.org/Record/001114818","HathiTrust Record")</f>
        <v>HathiTrust Record</v>
      </c>
      <c r="AV998" s="6" t="str">
        <f>HYPERLINK("http://mcgill.on.worldcat.org/oclc/1311276","Catalog Record")</f>
        <v>Catalog Record</v>
      </c>
      <c r="AW998" s="6" t="str">
        <f>HYPERLINK("http://www.worldcat.org/oclc/1311276","WorldCat Record")</f>
        <v>WorldCat Record</v>
      </c>
      <c r="AX998" s="3" t="s">
        <v>10274</v>
      </c>
      <c r="AY998" s="3" t="s">
        <v>10275</v>
      </c>
      <c r="AZ998" s="3" t="s">
        <v>10276</v>
      </c>
      <c r="BA998" s="3" t="s">
        <v>10276</v>
      </c>
      <c r="BB998" s="3" t="s">
        <v>10279</v>
      </c>
      <c r="BC998" s="3" t="s">
        <v>78</v>
      </c>
      <c r="BD998" s="3" t="s">
        <v>79</v>
      </c>
      <c r="BF998" s="3" t="s">
        <v>10279</v>
      </c>
      <c r="BG998" s="3" t="s">
        <v>10280</v>
      </c>
    </row>
    <row r="999" spans="1:59" ht="58" x14ac:dyDescent="0.35">
      <c r="A999" s="2" t="s">
        <v>59</v>
      </c>
      <c r="B999" s="2" t="s">
        <v>94</v>
      </c>
      <c r="C999" s="2" t="s">
        <v>10281</v>
      </c>
      <c r="D999" s="2" t="s">
        <v>10282</v>
      </c>
      <c r="E999" s="2" t="s">
        <v>10283</v>
      </c>
      <c r="G999" s="3" t="s">
        <v>64</v>
      </c>
      <c r="I999" s="3" t="s">
        <v>64</v>
      </c>
      <c r="J999" s="3" t="s">
        <v>73</v>
      </c>
      <c r="K999" s="3" t="s">
        <v>65</v>
      </c>
      <c r="L999" s="2" t="s">
        <v>10272</v>
      </c>
      <c r="M999" s="2" t="s">
        <v>10284</v>
      </c>
      <c r="N999" s="3" t="s">
        <v>2265</v>
      </c>
      <c r="O999" s="2" t="s">
        <v>10285</v>
      </c>
      <c r="P999" s="3" t="s">
        <v>69</v>
      </c>
      <c r="Q999" s="2" t="s">
        <v>10286</v>
      </c>
      <c r="R999" s="3" t="s">
        <v>9228</v>
      </c>
      <c r="S999" s="4">
        <v>12</v>
      </c>
      <c r="T999" s="4">
        <v>12</v>
      </c>
      <c r="U999" s="5" t="s">
        <v>3364</v>
      </c>
      <c r="V999" s="5" t="s">
        <v>3364</v>
      </c>
      <c r="W999" s="5" t="s">
        <v>72</v>
      </c>
      <c r="X999" s="5" t="s">
        <v>72</v>
      </c>
      <c r="Y999" s="4">
        <v>425</v>
      </c>
      <c r="Z999" s="4">
        <v>21</v>
      </c>
      <c r="AA999" s="4">
        <v>77</v>
      </c>
      <c r="AB999" s="4">
        <v>1</v>
      </c>
      <c r="AC999" s="4">
        <v>10</v>
      </c>
      <c r="AD999" s="4">
        <v>57</v>
      </c>
      <c r="AE999" s="4">
        <v>157</v>
      </c>
      <c r="AF999" s="4">
        <v>0</v>
      </c>
      <c r="AG999" s="4">
        <v>3</v>
      </c>
      <c r="AH999" s="4">
        <v>49</v>
      </c>
      <c r="AI999" s="4">
        <v>114</v>
      </c>
      <c r="AJ999" s="4">
        <v>7</v>
      </c>
      <c r="AK999" s="4">
        <v>27</v>
      </c>
      <c r="AL999" s="4">
        <v>24</v>
      </c>
      <c r="AM999" s="4">
        <v>63</v>
      </c>
      <c r="AN999" s="4">
        <v>0</v>
      </c>
      <c r="AO999" s="4">
        <v>5</v>
      </c>
      <c r="AP999" s="4">
        <v>14</v>
      </c>
      <c r="AQ999" s="4">
        <v>46</v>
      </c>
      <c r="AR999" s="3" t="s">
        <v>64</v>
      </c>
      <c r="AS999" s="3" t="s">
        <v>64</v>
      </c>
      <c r="AT999" s="3" t="s">
        <v>64</v>
      </c>
      <c r="AV999" s="6" t="str">
        <f>HYPERLINK("http://mcgill.on.worldcat.org/oclc/841162","Catalog Record")</f>
        <v>Catalog Record</v>
      </c>
      <c r="AW999" s="6" t="str">
        <f>HYPERLINK("http://www.worldcat.org/oclc/841162","WorldCat Record")</f>
        <v>WorldCat Record</v>
      </c>
      <c r="AX999" s="3" t="s">
        <v>10274</v>
      </c>
      <c r="AY999" s="3" t="s">
        <v>10287</v>
      </c>
      <c r="AZ999" s="3" t="s">
        <v>10288</v>
      </c>
      <c r="BA999" s="3" t="s">
        <v>10288</v>
      </c>
      <c r="BB999" s="3" t="s">
        <v>10289</v>
      </c>
      <c r="BC999" s="3" t="s">
        <v>78</v>
      </c>
      <c r="BD999" s="3" t="s">
        <v>79</v>
      </c>
      <c r="BE999" s="3" t="s">
        <v>10290</v>
      </c>
      <c r="BF999" s="3" t="s">
        <v>10289</v>
      </c>
      <c r="BG999" s="3" t="s">
        <v>10291</v>
      </c>
    </row>
    <row r="1000" spans="1:59" ht="58" x14ac:dyDescent="0.35">
      <c r="A1000" s="2" t="s">
        <v>59</v>
      </c>
      <c r="B1000" s="2" t="s">
        <v>94</v>
      </c>
      <c r="C1000" s="2" t="s">
        <v>10292</v>
      </c>
      <c r="D1000" s="2" t="s">
        <v>10293</v>
      </c>
      <c r="E1000" s="2" t="s">
        <v>10294</v>
      </c>
      <c r="G1000" s="3" t="s">
        <v>64</v>
      </c>
      <c r="I1000" s="3" t="s">
        <v>64</v>
      </c>
      <c r="J1000" s="3" t="s">
        <v>64</v>
      </c>
      <c r="K1000" s="3" t="s">
        <v>65</v>
      </c>
      <c r="L1000" s="2" t="s">
        <v>10295</v>
      </c>
      <c r="M1000" s="2" t="s">
        <v>10296</v>
      </c>
      <c r="N1000" s="3" t="s">
        <v>1320</v>
      </c>
      <c r="O1000" s="2" t="s">
        <v>1294</v>
      </c>
      <c r="P1000" s="3" t="s">
        <v>69</v>
      </c>
      <c r="R1000" s="3" t="s">
        <v>9228</v>
      </c>
      <c r="S1000" s="4">
        <v>27</v>
      </c>
      <c r="T1000" s="4">
        <v>27</v>
      </c>
      <c r="U1000" s="5" t="s">
        <v>10297</v>
      </c>
      <c r="V1000" s="5" t="s">
        <v>10297</v>
      </c>
      <c r="W1000" s="5" t="s">
        <v>72</v>
      </c>
      <c r="X1000" s="5" t="s">
        <v>72</v>
      </c>
      <c r="Y1000" s="4">
        <v>469</v>
      </c>
      <c r="Z1000" s="4">
        <v>23</v>
      </c>
      <c r="AA1000" s="4">
        <v>26</v>
      </c>
      <c r="AB1000" s="4">
        <v>1</v>
      </c>
      <c r="AC1000" s="4">
        <v>1</v>
      </c>
      <c r="AD1000" s="4">
        <v>98</v>
      </c>
      <c r="AE1000" s="4">
        <v>103</v>
      </c>
      <c r="AF1000" s="4">
        <v>0</v>
      </c>
      <c r="AG1000" s="4">
        <v>0</v>
      </c>
      <c r="AH1000" s="4">
        <v>87</v>
      </c>
      <c r="AI1000" s="4">
        <v>90</v>
      </c>
      <c r="AJ1000" s="4">
        <v>13</v>
      </c>
      <c r="AK1000" s="4">
        <v>14</v>
      </c>
      <c r="AL1000" s="4">
        <v>49</v>
      </c>
      <c r="AM1000" s="4">
        <v>51</v>
      </c>
      <c r="AN1000" s="4">
        <v>0</v>
      </c>
      <c r="AO1000" s="4">
        <v>0</v>
      </c>
      <c r="AP1000" s="4">
        <v>14</v>
      </c>
      <c r="AQ1000" s="4">
        <v>16</v>
      </c>
      <c r="AR1000" s="3" t="s">
        <v>64</v>
      </c>
      <c r="AS1000" s="3" t="s">
        <v>64</v>
      </c>
      <c r="AT1000" s="3" t="s">
        <v>64</v>
      </c>
      <c r="AV1000" s="6" t="str">
        <f>HYPERLINK("http://mcgill.on.worldcat.org/oclc/31753930","Catalog Record")</f>
        <v>Catalog Record</v>
      </c>
      <c r="AW1000" s="6" t="str">
        <f>HYPERLINK("http://www.worldcat.org/oclc/31753930","WorldCat Record")</f>
        <v>WorldCat Record</v>
      </c>
      <c r="AX1000" s="3" t="s">
        <v>10298</v>
      </c>
      <c r="AY1000" s="3" t="s">
        <v>10299</v>
      </c>
      <c r="AZ1000" s="3" t="s">
        <v>10300</v>
      </c>
      <c r="BA1000" s="3" t="s">
        <v>10300</v>
      </c>
      <c r="BB1000" s="3" t="s">
        <v>10301</v>
      </c>
      <c r="BC1000" s="3" t="s">
        <v>78</v>
      </c>
      <c r="BD1000" s="3" t="s">
        <v>79</v>
      </c>
      <c r="BE1000" s="3" t="s">
        <v>10302</v>
      </c>
      <c r="BF1000" s="3" t="s">
        <v>10301</v>
      </c>
      <c r="BG1000" s="3" t="s">
        <v>10303</v>
      </c>
    </row>
    <row r="1001" spans="1:59" ht="58" x14ac:dyDescent="0.35">
      <c r="A1001" s="2" t="s">
        <v>59</v>
      </c>
      <c r="B1001" s="2" t="s">
        <v>94</v>
      </c>
      <c r="C1001" s="2" t="s">
        <v>10304</v>
      </c>
      <c r="D1001" s="2" t="s">
        <v>10305</v>
      </c>
      <c r="E1001" s="2" t="s">
        <v>10306</v>
      </c>
      <c r="G1001" s="3" t="s">
        <v>64</v>
      </c>
      <c r="I1001" s="3" t="s">
        <v>64</v>
      </c>
      <c r="J1001" s="3" t="s">
        <v>64</v>
      </c>
      <c r="K1001" s="3" t="s">
        <v>65</v>
      </c>
      <c r="L1001" s="2" t="s">
        <v>10295</v>
      </c>
      <c r="M1001" s="2" t="s">
        <v>10307</v>
      </c>
      <c r="N1001" s="3" t="s">
        <v>287</v>
      </c>
      <c r="O1001" s="2" t="s">
        <v>10308</v>
      </c>
      <c r="P1001" s="3" t="s">
        <v>69</v>
      </c>
      <c r="R1001" s="3" t="s">
        <v>9228</v>
      </c>
      <c r="S1001" s="4">
        <v>8</v>
      </c>
      <c r="T1001" s="4">
        <v>8</v>
      </c>
      <c r="U1001" s="5" t="s">
        <v>9634</v>
      </c>
      <c r="V1001" s="5" t="s">
        <v>9634</v>
      </c>
      <c r="W1001" s="5" t="s">
        <v>72</v>
      </c>
      <c r="X1001" s="5" t="s">
        <v>72</v>
      </c>
      <c r="Y1001" s="4">
        <v>443</v>
      </c>
      <c r="Z1001" s="4">
        <v>24</v>
      </c>
      <c r="AA1001" s="4">
        <v>31</v>
      </c>
      <c r="AB1001" s="4">
        <v>2</v>
      </c>
      <c r="AC1001" s="4">
        <v>4</v>
      </c>
      <c r="AD1001" s="4">
        <v>106</v>
      </c>
      <c r="AE1001" s="4">
        <v>122</v>
      </c>
      <c r="AF1001" s="4">
        <v>1</v>
      </c>
      <c r="AG1001" s="4">
        <v>3</v>
      </c>
      <c r="AH1001" s="4">
        <v>92</v>
      </c>
      <c r="AI1001" s="4">
        <v>102</v>
      </c>
      <c r="AJ1001" s="4">
        <v>15</v>
      </c>
      <c r="AK1001" s="4">
        <v>21</v>
      </c>
      <c r="AL1001" s="4">
        <v>46</v>
      </c>
      <c r="AM1001" s="4">
        <v>54</v>
      </c>
      <c r="AN1001" s="4">
        <v>0</v>
      </c>
      <c r="AO1001" s="4">
        <v>0</v>
      </c>
      <c r="AP1001" s="4">
        <v>21</v>
      </c>
      <c r="AQ1001" s="4">
        <v>26</v>
      </c>
      <c r="AR1001" s="3" t="s">
        <v>64</v>
      </c>
      <c r="AS1001" s="3" t="s">
        <v>64</v>
      </c>
      <c r="AT1001" s="3" t="s">
        <v>73</v>
      </c>
      <c r="AU1001" s="6" t="str">
        <f>HYPERLINK("http://catalog.hathitrust.org/Record/000761046","HathiTrust Record")</f>
        <v>HathiTrust Record</v>
      </c>
      <c r="AV1001" s="6" t="str">
        <f>HYPERLINK("http://mcgill.on.worldcat.org/oclc/7830656","Catalog Record")</f>
        <v>Catalog Record</v>
      </c>
      <c r="AW1001" s="6" t="str">
        <f>HYPERLINK("http://www.worldcat.org/oclc/7830656","WorldCat Record")</f>
        <v>WorldCat Record</v>
      </c>
      <c r="AX1001" s="3" t="s">
        <v>10309</v>
      </c>
      <c r="AY1001" s="3" t="s">
        <v>10310</v>
      </c>
      <c r="AZ1001" s="3" t="s">
        <v>10311</v>
      </c>
      <c r="BA1001" s="3" t="s">
        <v>10311</v>
      </c>
      <c r="BB1001" s="3" t="s">
        <v>10312</v>
      </c>
      <c r="BC1001" s="3" t="s">
        <v>78</v>
      </c>
      <c r="BD1001" s="3" t="s">
        <v>79</v>
      </c>
      <c r="BE1001" s="3" t="s">
        <v>10313</v>
      </c>
      <c r="BF1001" s="3" t="s">
        <v>10312</v>
      </c>
      <c r="BG1001" s="3" t="s">
        <v>10314</v>
      </c>
    </row>
    <row r="1002" spans="1:59" ht="58" x14ac:dyDescent="0.35">
      <c r="A1002" s="2" t="s">
        <v>59</v>
      </c>
      <c r="B1002" s="2" t="s">
        <v>94</v>
      </c>
      <c r="C1002" s="2" t="s">
        <v>10315</v>
      </c>
      <c r="D1002" s="2" t="s">
        <v>10316</v>
      </c>
      <c r="E1002" s="2" t="s">
        <v>10317</v>
      </c>
      <c r="G1002" s="3" t="s">
        <v>64</v>
      </c>
      <c r="I1002" s="3" t="s">
        <v>64</v>
      </c>
      <c r="J1002" s="3" t="s">
        <v>64</v>
      </c>
      <c r="K1002" s="3" t="s">
        <v>65</v>
      </c>
      <c r="L1002" s="2" t="s">
        <v>10295</v>
      </c>
      <c r="M1002" s="2" t="s">
        <v>10318</v>
      </c>
      <c r="N1002" s="3" t="s">
        <v>1227</v>
      </c>
      <c r="O1002" s="2" t="s">
        <v>6770</v>
      </c>
      <c r="P1002" s="3" t="s">
        <v>69</v>
      </c>
      <c r="R1002" s="3" t="s">
        <v>9228</v>
      </c>
      <c r="S1002" s="4">
        <v>4</v>
      </c>
      <c r="T1002" s="4">
        <v>4</v>
      </c>
      <c r="U1002" s="5" t="s">
        <v>6443</v>
      </c>
      <c r="V1002" s="5" t="s">
        <v>6443</v>
      </c>
      <c r="W1002" s="5" t="s">
        <v>72</v>
      </c>
      <c r="X1002" s="5" t="s">
        <v>72</v>
      </c>
      <c r="Y1002" s="4">
        <v>414</v>
      </c>
      <c r="Z1002" s="4">
        <v>26</v>
      </c>
      <c r="AA1002" s="4">
        <v>32</v>
      </c>
      <c r="AB1002" s="4">
        <v>1</v>
      </c>
      <c r="AC1002" s="4">
        <v>4</v>
      </c>
      <c r="AD1002" s="4">
        <v>94</v>
      </c>
      <c r="AE1002" s="4">
        <v>110</v>
      </c>
      <c r="AF1002" s="4">
        <v>0</v>
      </c>
      <c r="AG1002" s="4">
        <v>3</v>
      </c>
      <c r="AH1002" s="4">
        <v>80</v>
      </c>
      <c r="AI1002" s="4">
        <v>90</v>
      </c>
      <c r="AJ1002" s="4">
        <v>18</v>
      </c>
      <c r="AK1002" s="4">
        <v>22</v>
      </c>
      <c r="AL1002" s="4">
        <v>47</v>
      </c>
      <c r="AM1002" s="4">
        <v>52</v>
      </c>
      <c r="AN1002" s="4">
        <v>0</v>
      </c>
      <c r="AO1002" s="4">
        <v>0</v>
      </c>
      <c r="AP1002" s="4">
        <v>21</v>
      </c>
      <c r="AQ1002" s="4">
        <v>25</v>
      </c>
      <c r="AR1002" s="3" t="s">
        <v>64</v>
      </c>
      <c r="AS1002" s="3" t="s">
        <v>64</v>
      </c>
      <c r="AT1002" s="3" t="s">
        <v>73</v>
      </c>
      <c r="AU1002" s="6" t="str">
        <f>HYPERLINK("http://catalog.hathitrust.org/Record/001116274","HathiTrust Record")</f>
        <v>HathiTrust Record</v>
      </c>
      <c r="AV1002" s="6" t="str">
        <f>HYPERLINK("http://mcgill.on.worldcat.org/oclc/241589","Catalog Record")</f>
        <v>Catalog Record</v>
      </c>
      <c r="AW1002" s="6" t="str">
        <f>HYPERLINK("http://www.worldcat.org/oclc/241589","WorldCat Record")</f>
        <v>WorldCat Record</v>
      </c>
      <c r="AX1002" s="3" t="s">
        <v>10319</v>
      </c>
      <c r="AY1002" s="3" t="s">
        <v>10320</v>
      </c>
      <c r="AZ1002" s="3" t="s">
        <v>10321</v>
      </c>
      <c r="BA1002" s="3" t="s">
        <v>10321</v>
      </c>
      <c r="BB1002" s="3" t="s">
        <v>10322</v>
      </c>
      <c r="BC1002" s="3" t="s">
        <v>78</v>
      </c>
      <c r="BD1002" s="3" t="s">
        <v>79</v>
      </c>
      <c r="BE1002" s="3" t="s">
        <v>10323</v>
      </c>
      <c r="BF1002" s="3" t="s">
        <v>10322</v>
      </c>
      <c r="BG1002" s="3" t="s">
        <v>10324</v>
      </c>
    </row>
    <row r="1003" spans="1:59" ht="58" x14ac:dyDescent="0.35">
      <c r="A1003" s="2" t="s">
        <v>59</v>
      </c>
      <c r="B1003" s="2" t="s">
        <v>94</v>
      </c>
      <c r="C1003" s="2" t="s">
        <v>10325</v>
      </c>
      <c r="D1003" s="2" t="s">
        <v>10326</v>
      </c>
      <c r="E1003" s="2" t="s">
        <v>10327</v>
      </c>
      <c r="G1003" s="3" t="s">
        <v>64</v>
      </c>
      <c r="I1003" s="3" t="s">
        <v>64</v>
      </c>
      <c r="J1003" s="3" t="s">
        <v>64</v>
      </c>
      <c r="K1003" s="3" t="s">
        <v>65</v>
      </c>
      <c r="L1003" s="2" t="s">
        <v>10328</v>
      </c>
      <c r="M1003" s="2" t="s">
        <v>10329</v>
      </c>
      <c r="N1003" s="3" t="s">
        <v>328</v>
      </c>
      <c r="P1003" s="3" t="s">
        <v>69</v>
      </c>
      <c r="Q1003" s="2" t="s">
        <v>1996</v>
      </c>
      <c r="R1003" s="3" t="s">
        <v>9228</v>
      </c>
      <c r="S1003" s="4">
        <v>1</v>
      </c>
      <c r="T1003" s="4">
        <v>1</v>
      </c>
      <c r="U1003" s="5" t="s">
        <v>10330</v>
      </c>
      <c r="V1003" s="5" t="s">
        <v>10330</v>
      </c>
      <c r="W1003" s="5" t="s">
        <v>72</v>
      </c>
      <c r="X1003" s="5" t="s">
        <v>72</v>
      </c>
      <c r="Y1003" s="4">
        <v>209</v>
      </c>
      <c r="Z1003" s="4">
        <v>7</v>
      </c>
      <c r="AA1003" s="4">
        <v>13</v>
      </c>
      <c r="AB1003" s="4">
        <v>1</v>
      </c>
      <c r="AC1003" s="4">
        <v>5</v>
      </c>
      <c r="AD1003" s="4">
        <v>57</v>
      </c>
      <c r="AE1003" s="4">
        <v>62</v>
      </c>
      <c r="AF1003" s="4">
        <v>0</v>
      </c>
      <c r="AG1003" s="4">
        <v>0</v>
      </c>
      <c r="AH1003" s="4">
        <v>55</v>
      </c>
      <c r="AI1003" s="4">
        <v>59</v>
      </c>
      <c r="AJ1003" s="4">
        <v>5</v>
      </c>
      <c r="AK1003" s="4">
        <v>5</v>
      </c>
      <c r="AL1003" s="4">
        <v>34</v>
      </c>
      <c r="AM1003" s="4">
        <v>36</v>
      </c>
      <c r="AN1003" s="4">
        <v>0</v>
      </c>
      <c r="AO1003" s="4">
        <v>0</v>
      </c>
      <c r="AP1003" s="4">
        <v>5</v>
      </c>
      <c r="AQ1003" s="4">
        <v>6</v>
      </c>
      <c r="AR1003" s="3" t="s">
        <v>64</v>
      </c>
      <c r="AS1003" s="3" t="s">
        <v>64</v>
      </c>
      <c r="AT1003" s="3" t="s">
        <v>64</v>
      </c>
      <c r="AV1003" s="6" t="str">
        <f>HYPERLINK("http://mcgill.on.worldcat.org/oclc/707842627","Catalog Record")</f>
        <v>Catalog Record</v>
      </c>
      <c r="AW1003" s="6" t="str">
        <f>HYPERLINK("http://www.worldcat.org/oclc/707842627","WorldCat Record")</f>
        <v>WorldCat Record</v>
      </c>
      <c r="AX1003" s="3" t="s">
        <v>10331</v>
      </c>
      <c r="AY1003" s="3" t="s">
        <v>10332</v>
      </c>
      <c r="AZ1003" s="3" t="s">
        <v>10333</v>
      </c>
      <c r="BA1003" s="3" t="s">
        <v>10333</v>
      </c>
      <c r="BB1003" s="3" t="s">
        <v>10334</v>
      </c>
      <c r="BC1003" s="3" t="s">
        <v>78</v>
      </c>
      <c r="BD1003" s="3" t="s">
        <v>79</v>
      </c>
      <c r="BE1003" s="3" t="s">
        <v>10335</v>
      </c>
      <c r="BF1003" s="3" t="s">
        <v>10334</v>
      </c>
      <c r="BG1003" s="3" t="s">
        <v>10336</v>
      </c>
    </row>
    <row r="1004" spans="1:59" ht="58" x14ac:dyDescent="0.35">
      <c r="A1004" s="2" t="s">
        <v>59</v>
      </c>
      <c r="B1004" s="2" t="s">
        <v>94</v>
      </c>
      <c r="C1004" s="2" t="s">
        <v>10337</v>
      </c>
      <c r="D1004" s="2" t="s">
        <v>10338</v>
      </c>
      <c r="E1004" s="2" t="s">
        <v>10339</v>
      </c>
      <c r="G1004" s="3" t="s">
        <v>64</v>
      </c>
      <c r="I1004" s="3" t="s">
        <v>64</v>
      </c>
      <c r="J1004" s="3" t="s">
        <v>64</v>
      </c>
      <c r="K1004" s="3" t="s">
        <v>65</v>
      </c>
      <c r="L1004" s="2" t="s">
        <v>10340</v>
      </c>
      <c r="M1004" s="2" t="s">
        <v>10341</v>
      </c>
      <c r="N1004" s="3" t="s">
        <v>538</v>
      </c>
      <c r="P1004" s="3" t="s">
        <v>69</v>
      </c>
      <c r="Q1004" s="2" t="s">
        <v>539</v>
      </c>
      <c r="R1004" s="3" t="s">
        <v>9228</v>
      </c>
      <c r="S1004" s="4">
        <v>8</v>
      </c>
      <c r="T1004" s="4">
        <v>8</v>
      </c>
      <c r="U1004" s="5" t="s">
        <v>10342</v>
      </c>
      <c r="V1004" s="5" t="s">
        <v>10342</v>
      </c>
      <c r="W1004" s="5" t="s">
        <v>72</v>
      </c>
      <c r="X1004" s="5" t="s">
        <v>72</v>
      </c>
      <c r="Y1004" s="4">
        <v>203</v>
      </c>
      <c r="Z1004" s="4">
        <v>14</v>
      </c>
      <c r="AA1004" s="4">
        <v>22</v>
      </c>
      <c r="AB1004" s="4">
        <v>2</v>
      </c>
      <c r="AC1004" s="4">
        <v>6</v>
      </c>
      <c r="AD1004" s="4">
        <v>75</v>
      </c>
      <c r="AE1004" s="4">
        <v>83</v>
      </c>
      <c r="AF1004" s="4">
        <v>1</v>
      </c>
      <c r="AG1004" s="4">
        <v>2</v>
      </c>
      <c r="AH1004" s="4">
        <v>69</v>
      </c>
      <c r="AI1004" s="4">
        <v>75</v>
      </c>
      <c r="AJ1004" s="4">
        <v>11</v>
      </c>
      <c r="AK1004" s="4">
        <v>13</v>
      </c>
      <c r="AL1004" s="4">
        <v>42</v>
      </c>
      <c r="AM1004" s="4">
        <v>44</v>
      </c>
      <c r="AN1004" s="4">
        <v>5</v>
      </c>
      <c r="AO1004" s="4">
        <v>5</v>
      </c>
      <c r="AP1004" s="4">
        <v>11</v>
      </c>
      <c r="AQ1004" s="4">
        <v>14</v>
      </c>
      <c r="AR1004" s="3" t="s">
        <v>64</v>
      </c>
      <c r="AS1004" s="3" t="s">
        <v>64</v>
      </c>
      <c r="AT1004" s="3" t="s">
        <v>73</v>
      </c>
      <c r="AU1004" s="6" t="str">
        <f>HYPERLINK("http://catalog.hathitrust.org/Record/102049398","HathiTrust Record")</f>
        <v>HathiTrust Record</v>
      </c>
      <c r="AV1004" s="6" t="str">
        <f>HYPERLINK("http://mcgill.on.worldcat.org/oclc/69331775","Catalog Record")</f>
        <v>Catalog Record</v>
      </c>
      <c r="AW1004" s="6" t="str">
        <f>HYPERLINK("http://www.worldcat.org/oclc/69331775","WorldCat Record")</f>
        <v>WorldCat Record</v>
      </c>
      <c r="AX1004" s="3" t="s">
        <v>10343</v>
      </c>
      <c r="AY1004" s="3" t="s">
        <v>10344</v>
      </c>
      <c r="AZ1004" s="3" t="s">
        <v>10345</v>
      </c>
      <c r="BA1004" s="3" t="s">
        <v>10345</v>
      </c>
      <c r="BB1004" s="3" t="s">
        <v>10346</v>
      </c>
      <c r="BC1004" s="3" t="s">
        <v>78</v>
      </c>
      <c r="BD1004" s="3" t="s">
        <v>79</v>
      </c>
      <c r="BE1004" s="3" t="s">
        <v>10347</v>
      </c>
      <c r="BF1004" s="3" t="s">
        <v>10346</v>
      </c>
      <c r="BG1004" s="3" t="s">
        <v>10348</v>
      </c>
    </row>
    <row r="1005" spans="1:59" ht="58" x14ac:dyDescent="0.35">
      <c r="A1005" s="2" t="s">
        <v>59</v>
      </c>
      <c r="B1005" s="2" t="s">
        <v>94</v>
      </c>
      <c r="C1005" s="2" t="s">
        <v>10349</v>
      </c>
      <c r="D1005" s="2" t="s">
        <v>10350</v>
      </c>
      <c r="E1005" s="2" t="s">
        <v>10351</v>
      </c>
      <c r="G1005" s="3" t="s">
        <v>64</v>
      </c>
      <c r="I1005" s="3" t="s">
        <v>64</v>
      </c>
      <c r="J1005" s="3" t="s">
        <v>64</v>
      </c>
      <c r="K1005" s="3" t="s">
        <v>65</v>
      </c>
      <c r="L1005" s="2" t="s">
        <v>10340</v>
      </c>
      <c r="M1005" s="2" t="s">
        <v>10352</v>
      </c>
      <c r="N1005" s="3" t="s">
        <v>214</v>
      </c>
      <c r="P1005" s="3" t="s">
        <v>69</v>
      </c>
      <c r="R1005" s="3" t="s">
        <v>9228</v>
      </c>
      <c r="S1005" s="4">
        <v>3</v>
      </c>
      <c r="T1005" s="4">
        <v>3</v>
      </c>
      <c r="U1005" s="5" t="s">
        <v>10353</v>
      </c>
      <c r="V1005" s="5" t="s">
        <v>10353</v>
      </c>
      <c r="W1005" s="5" t="s">
        <v>72</v>
      </c>
      <c r="X1005" s="5" t="s">
        <v>72</v>
      </c>
      <c r="Y1005" s="4">
        <v>226</v>
      </c>
      <c r="Z1005" s="4">
        <v>12</v>
      </c>
      <c r="AA1005" s="4">
        <v>28</v>
      </c>
      <c r="AB1005" s="4">
        <v>1</v>
      </c>
      <c r="AC1005" s="4">
        <v>3</v>
      </c>
      <c r="AD1005" s="4">
        <v>62</v>
      </c>
      <c r="AE1005" s="4">
        <v>90</v>
      </c>
      <c r="AF1005" s="4">
        <v>0</v>
      </c>
      <c r="AG1005" s="4">
        <v>1</v>
      </c>
      <c r="AH1005" s="4">
        <v>58</v>
      </c>
      <c r="AI1005" s="4">
        <v>77</v>
      </c>
      <c r="AJ1005" s="4">
        <v>6</v>
      </c>
      <c r="AK1005" s="4">
        <v>11</v>
      </c>
      <c r="AL1005" s="4">
        <v>37</v>
      </c>
      <c r="AM1005" s="4">
        <v>43</v>
      </c>
      <c r="AN1005" s="4">
        <v>0</v>
      </c>
      <c r="AO1005" s="4">
        <v>0</v>
      </c>
      <c r="AP1005" s="4">
        <v>7</v>
      </c>
      <c r="AQ1005" s="4">
        <v>18</v>
      </c>
      <c r="AR1005" s="3" t="s">
        <v>64</v>
      </c>
      <c r="AS1005" s="3" t="s">
        <v>64</v>
      </c>
      <c r="AT1005" s="3" t="s">
        <v>64</v>
      </c>
      <c r="AV1005" s="6" t="str">
        <f>HYPERLINK("http://mcgill.on.worldcat.org/oclc/432442321","Catalog Record")</f>
        <v>Catalog Record</v>
      </c>
      <c r="AW1005" s="6" t="str">
        <f>HYPERLINK("http://www.worldcat.org/oclc/432442321","WorldCat Record")</f>
        <v>WorldCat Record</v>
      </c>
      <c r="AX1005" s="3" t="s">
        <v>10354</v>
      </c>
      <c r="AY1005" s="3" t="s">
        <v>10355</v>
      </c>
      <c r="AZ1005" s="3" t="s">
        <v>10356</v>
      </c>
      <c r="BA1005" s="3" t="s">
        <v>10356</v>
      </c>
      <c r="BB1005" s="3" t="s">
        <v>10357</v>
      </c>
      <c r="BC1005" s="3" t="s">
        <v>78</v>
      </c>
      <c r="BD1005" s="3" t="s">
        <v>79</v>
      </c>
      <c r="BE1005" s="3" t="s">
        <v>10358</v>
      </c>
      <c r="BF1005" s="3" t="s">
        <v>10357</v>
      </c>
      <c r="BG1005" s="3" t="s">
        <v>10359</v>
      </c>
    </row>
    <row r="1006" spans="1:59" ht="58" x14ac:dyDescent="0.35">
      <c r="A1006" s="2" t="s">
        <v>59</v>
      </c>
      <c r="B1006" s="2" t="s">
        <v>94</v>
      </c>
      <c r="C1006" s="2" t="s">
        <v>10360</v>
      </c>
      <c r="D1006" s="2" t="s">
        <v>10361</v>
      </c>
      <c r="E1006" s="2" t="s">
        <v>10362</v>
      </c>
      <c r="G1006" s="3" t="s">
        <v>64</v>
      </c>
      <c r="I1006" s="3" t="s">
        <v>64</v>
      </c>
      <c r="J1006" s="3" t="s">
        <v>64</v>
      </c>
      <c r="K1006" s="3" t="s">
        <v>65</v>
      </c>
      <c r="L1006" s="2" t="s">
        <v>6239</v>
      </c>
      <c r="M1006" s="2" t="s">
        <v>5100</v>
      </c>
      <c r="N1006" s="3" t="s">
        <v>328</v>
      </c>
      <c r="P1006" s="3" t="s">
        <v>69</v>
      </c>
      <c r="Q1006" s="2" t="s">
        <v>5134</v>
      </c>
      <c r="R1006" s="3" t="s">
        <v>9228</v>
      </c>
      <c r="S1006" s="4">
        <v>0</v>
      </c>
      <c r="T1006" s="4">
        <v>0</v>
      </c>
      <c r="W1006" s="5" t="s">
        <v>72</v>
      </c>
      <c r="X1006" s="5" t="s">
        <v>72</v>
      </c>
      <c r="Y1006" s="4">
        <v>115</v>
      </c>
      <c r="Z1006" s="4">
        <v>6</v>
      </c>
      <c r="AA1006" s="4">
        <v>99</v>
      </c>
      <c r="AB1006" s="4">
        <v>1</v>
      </c>
      <c r="AC1006" s="4">
        <v>20</v>
      </c>
      <c r="AD1006" s="4">
        <v>54</v>
      </c>
      <c r="AE1006" s="4">
        <v>133</v>
      </c>
      <c r="AF1006" s="4">
        <v>0</v>
      </c>
      <c r="AG1006" s="4">
        <v>8</v>
      </c>
      <c r="AH1006" s="4">
        <v>53</v>
      </c>
      <c r="AI1006" s="4">
        <v>95</v>
      </c>
      <c r="AJ1006" s="4">
        <v>4</v>
      </c>
      <c r="AK1006" s="4">
        <v>21</v>
      </c>
      <c r="AL1006" s="4">
        <v>30</v>
      </c>
      <c r="AM1006" s="4">
        <v>53</v>
      </c>
      <c r="AN1006" s="4">
        <v>0</v>
      </c>
      <c r="AO1006" s="4">
        <v>0</v>
      </c>
      <c r="AP1006" s="4">
        <v>4</v>
      </c>
      <c r="AQ1006" s="4">
        <v>43</v>
      </c>
      <c r="AR1006" s="3" t="s">
        <v>64</v>
      </c>
      <c r="AS1006" s="3" t="s">
        <v>64</v>
      </c>
      <c r="AT1006" s="3" t="s">
        <v>64</v>
      </c>
      <c r="AV1006" s="6" t="str">
        <f>HYPERLINK("http://mcgill.on.worldcat.org/oclc/727610583","Catalog Record")</f>
        <v>Catalog Record</v>
      </c>
      <c r="AW1006" s="6" t="str">
        <f>HYPERLINK("http://www.worldcat.org/oclc/727610583","WorldCat Record")</f>
        <v>WorldCat Record</v>
      </c>
      <c r="AX1006" s="3" t="s">
        <v>10363</v>
      </c>
      <c r="AY1006" s="3" t="s">
        <v>10364</v>
      </c>
      <c r="AZ1006" s="3" t="s">
        <v>10365</v>
      </c>
      <c r="BA1006" s="3" t="s">
        <v>10365</v>
      </c>
      <c r="BB1006" s="3" t="s">
        <v>10366</v>
      </c>
      <c r="BC1006" s="3" t="s">
        <v>78</v>
      </c>
      <c r="BD1006" s="3" t="s">
        <v>79</v>
      </c>
      <c r="BE1006" s="3" t="s">
        <v>10367</v>
      </c>
      <c r="BF1006" s="3" t="s">
        <v>10366</v>
      </c>
      <c r="BG1006" s="3" t="s">
        <v>10368</v>
      </c>
    </row>
    <row r="1007" spans="1:59" ht="58" x14ac:dyDescent="0.35">
      <c r="A1007" s="2" t="s">
        <v>59</v>
      </c>
      <c r="B1007" s="2" t="s">
        <v>94</v>
      </c>
      <c r="C1007" s="2" t="s">
        <v>10369</v>
      </c>
      <c r="D1007" s="2" t="s">
        <v>10370</v>
      </c>
      <c r="E1007" s="2" t="s">
        <v>10371</v>
      </c>
      <c r="G1007" s="3" t="s">
        <v>64</v>
      </c>
      <c r="I1007" s="3" t="s">
        <v>64</v>
      </c>
      <c r="J1007" s="3" t="s">
        <v>64</v>
      </c>
      <c r="K1007" s="3" t="s">
        <v>65</v>
      </c>
      <c r="M1007" s="2" t="s">
        <v>10372</v>
      </c>
      <c r="N1007" s="3" t="s">
        <v>274</v>
      </c>
      <c r="O1007" s="2" t="s">
        <v>1294</v>
      </c>
      <c r="P1007" s="3" t="s">
        <v>69</v>
      </c>
      <c r="R1007" s="3" t="s">
        <v>9228</v>
      </c>
      <c r="S1007" s="4">
        <v>18</v>
      </c>
      <c r="T1007" s="4">
        <v>18</v>
      </c>
      <c r="U1007" s="5" t="s">
        <v>265</v>
      </c>
      <c r="V1007" s="5" t="s">
        <v>265</v>
      </c>
      <c r="W1007" s="5" t="s">
        <v>72</v>
      </c>
      <c r="X1007" s="5" t="s">
        <v>72</v>
      </c>
      <c r="Y1007" s="4">
        <v>731</v>
      </c>
      <c r="Z1007" s="4">
        <v>29</v>
      </c>
      <c r="AA1007" s="4">
        <v>36</v>
      </c>
      <c r="AB1007" s="4">
        <v>2</v>
      </c>
      <c r="AC1007" s="4">
        <v>5</v>
      </c>
      <c r="AD1007" s="4">
        <v>110</v>
      </c>
      <c r="AE1007" s="4">
        <v>117</v>
      </c>
      <c r="AF1007" s="4">
        <v>0</v>
      </c>
      <c r="AG1007" s="4">
        <v>2</v>
      </c>
      <c r="AH1007" s="4">
        <v>92</v>
      </c>
      <c r="AI1007" s="4">
        <v>96</v>
      </c>
      <c r="AJ1007" s="4">
        <v>15</v>
      </c>
      <c r="AK1007" s="4">
        <v>19</v>
      </c>
      <c r="AL1007" s="4">
        <v>53</v>
      </c>
      <c r="AM1007" s="4">
        <v>54</v>
      </c>
      <c r="AN1007" s="4">
        <v>0</v>
      </c>
      <c r="AO1007" s="4">
        <v>0</v>
      </c>
      <c r="AP1007" s="4">
        <v>22</v>
      </c>
      <c r="AQ1007" s="4">
        <v>25</v>
      </c>
      <c r="AR1007" s="3" t="s">
        <v>64</v>
      </c>
      <c r="AS1007" s="3" t="s">
        <v>64</v>
      </c>
      <c r="AT1007" s="3" t="s">
        <v>73</v>
      </c>
      <c r="AU1007" s="6" t="str">
        <f>HYPERLINK("http://catalog.hathitrust.org/Record/000866078","HathiTrust Record")</f>
        <v>HathiTrust Record</v>
      </c>
      <c r="AV1007" s="6" t="str">
        <f>HYPERLINK("http://mcgill.on.worldcat.org/oclc/16867686","Catalog Record")</f>
        <v>Catalog Record</v>
      </c>
      <c r="AW1007" s="6" t="str">
        <f>HYPERLINK("http://www.worldcat.org/oclc/16867686","WorldCat Record")</f>
        <v>WorldCat Record</v>
      </c>
      <c r="AX1007" s="3" t="s">
        <v>10373</v>
      </c>
      <c r="AY1007" s="3" t="s">
        <v>10374</v>
      </c>
      <c r="AZ1007" s="3" t="s">
        <v>10375</v>
      </c>
      <c r="BA1007" s="3" t="s">
        <v>10375</v>
      </c>
      <c r="BB1007" s="3" t="s">
        <v>10376</v>
      </c>
      <c r="BC1007" s="3" t="s">
        <v>78</v>
      </c>
      <c r="BD1007" s="3" t="s">
        <v>79</v>
      </c>
      <c r="BE1007" s="3" t="s">
        <v>10377</v>
      </c>
      <c r="BF1007" s="3" t="s">
        <v>10376</v>
      </c>
      <c r="BG1007" s="3" t="s">
        <v>10378</v>
      </c>
    </row>
    <row r="1008" spans="1:59" ht="58" x14ac:dyDescent="0.35">
      <c r="A1008" s="2" t="s">
        <v>59</v>
      </c>
      <c r="B1008" s="2" t="s">
        <v>94</v>
      </c>
      <c r="C1008" s="2" t="s">
        <v>10379</v>
      </c>
      <c r="D1008" s="2" t="s">
        <v>10380</v>
      </c>
      <c r="E1008" s="2" t="s">
        <v>10381</v>
      </c>
      <c r="G1008" s="3" t="s">
        <v>64</v>
      </c>
      <c r="I1008" s="3" t="s">
        <v>64</v>
      </c>
      <c r="J1008" s="3" t="s">
        <v>64</v>
      </c>
      <c r="K1008" s="3" t="s">
        <v>65</v>
      </c>
      <c r="L1008" s="2" t="s">
        <v>10382</v>
      </c>
      <c r="M1008" s="2" t="s">
        <v>10383</v>
      </c>
      <c r="N1008" s="3" t="s">
        <v>274</v>
      </c>
      <c r="P1008" s="3" t="s">
        <v>69</v>
      </c>
      <c r="R1008" s="3" t="s">
        <v>9228</v>
      </c>
      <c r="S1008" s="4">
        <v>12</v>
      </c>
      <c r="T1008" s="4">
        <v>12</v>
      </c>
      <c r="U1008" s="5" t="s">
        <v>6048</v>
      </c>
      <c r="V1008" s="5" t="s">
        <v>6048</v>
      </c>
      <c r="W1008" s="5" t="s">
        <v>72</v>
      </c>
      <c r="X1008" s="5" t="s">
        <v>72</v>
      </c>
      <c r="Y1008" s="4">
        <v>523</v>
      </c>
      <c r="Z1008" s="4">
        <v>16</v>
      </c>
      <c r="AA1008" s="4">
        <v>16</v>
      </c>
      <c r="AB1008" s="4">
        <v>1</v>
      </c>
      <c r="AC1008" s="4">
        <v>1</v>
      </c>
      <c r="AD1008" s="4">
        <v>112</v>
      </c>
      <c r="AE1008" s="4">
        <v>112</v>
      </c>
      <c r="AF1008" s="4">
        <v>0</v>
      </c>
      <c r="AG1008" s="4">
        <v>0</v>
      </c>
      <c r="AH1008" s="4">
        <v>102</v>
      </c>
      <c r="AI1008" s="4">
        <v>102</v>
      </c>
      <c r="AJ1008" s="4">
        <v>12</v>
      </c>
      <c r="AK1008" s="4">
        <v>12</v>
      </c>
      <c r="AL1008" s="4">
        <v>54</v>
      </c>
      <c r="AM1008" s="4">
        <v>54</v>
      </c>
      <c r="AN1008" s="4">
        <v>0</v>
      </c>
      <c r="AO1008" s="4">
        <v>0</v>
      </c>
      <c r="AP1008" s="4">
        <v>14</v>
      </c>
      <c r="AQ1008" s="4">
        <v>14</v>
      </c>
      <c r="AR1008" s="3" t="s">
        <v>64</v>
      </c>
      <c r="AS1008" s="3" t="s">
        <v>64</v>
      </c>
      <c r="AT1008" s="3" t="s">
        <v>73</v>
      </c>
      <c r="AU1008" s="6" t="str">
        <f>HYPERLINK("http://catalog.hathitrust.org/Record/001078072","HathiTrust Record")</f>
        <v>HathiTrust Record</v>
      </c>
      <c r="AV1008" s="6" t="str">
        <f>HYPERLINK("http://mcgill.on.worldcat.org/oclc/18191622","Catalog Record")</f>
        <v>Catalog Record</v>
      </c>
      <c r="AW1008" s="6" t="str">
        <f>HYPERLINK("http://www.worldcat.org/oclc/18191622","WorldCat Record")</f>
        <v>WorldCat Record</v>
      </c>
      <c r="AX1008" s="3" t="s">
        <v>10384</v>
      </c>
      <c r="AY1008" s="3" t="s">
        <v>10385</v>
      </c>
      <c r="AZ1008" s="3" t="s">
        <v>10386</v>
      </c>
      <c r="BA1008" s="3" t="s">
        <v>10386</v>
      </c>
      <c r="BB1008" s="3" t="s">
        <v>10387</v>
      </c>
      <c r="BC1008" s="3" t="s">
        <v>78</v>
      </c>
      <c r="BD1008" s="3" t="s">
        <v>79</v>
      </c>
      <c r="BE1008" s="3" t="s">
        <v>10388</v>
      </c>
      <c r="BF1008" s="3" t="s">
        <v>10387</v>
      </c>
      <c r="BG1008" s="3" t="s">
        <v>10389</v>
      </c>
    </row>
    <row r="1009" spans="1:59" ht="58" x14ac:dyDescent="0.35">
      <c r="A1009" s="2" t="s">
        <v>59</v>
      </c>
      <c r="B1009" s="2" t="s">
        <v>94</v>
      </c>
      <c r="C1009" s="2" t="s">
        <v>10390</v>
      </c>
      <c r="D1009" s="2" t="s">
        <v>10391</v>
      </c>
      <c r="E1009" s="2" t="s">
        <v>10392</v>
      </c>
      <c r="G1009" s="3" t="s">
        <v>64</v>
      </c>
      <c r="I1009" s="3" t="s">
        <v>64</v>
      </c>
      <c r="J1009" s="3" t="s">
        <v>64</v>
      </c>
      <c r="K1009" s="3" t="s">
        <v>65</v>
      </c>
      <c r="L1009" s="2" t="s">
        <v>10393</v>
      </c>
      <c r="M1009" s="2" t="s">
        <v>10394</v>
      </c>
      <c r="N1009" s="3" t="s">
        <v>861</v>
      </c>
      <c r="P1009" s="3" t="s">
        <v>69</v>
      </c>
      <c r="Q1009" s="2" t="s">
        <v>10395</v>
      </c>
      <c r="R1009" s="3" t="s">
        <v>9228</v>
      </c>
      <c r="S1009" s="4">
        <v>28</v>
      </c>
      <c r="T1009" s="4">
        <v>28</v>
      </c>
      <c r="U1009" s="5" t="s">
        <v>10396</v>
      </c>
      <c r="V1009" s="5" t="s">
        <v>10396</v>
      </c>
      <c r="W1009" s="5" t="s">
        <v>72</v>
      </c>
      <c r="X1009" s="5" t="s">
        <v>72</v>
      </c>
      <c r="Y1009" s="4">
        <v>166</v>
      </c>
      <c r="Z1009" s="4">
        <v>12</v>
      </c>
      <c r="AA1009" s="4">
        <v>16</v>
      </c>
      <c r="AB1009" s="4">
        <v>1</v>
      </c>
      <c r="AC1009" s="4">
        <v>5</v>
      </c>
      <c r="AD1009" s="4">
        <v>66</v>
      </c>
      <c r="AE1009" s="4">
        <v>68</v>
      </c>
      <c r="AF1009" s="4">
        <v>0</v>
      </c>
      <c r="AG1009" s="4">
        <v>1</v>
      </c>
      <c r="AH1009" s="4">
        <v>60</v>
      </c>
      <c r="AI1009" s="4">
        <v>62</v>
      </c>
      <c r="AJ1009" s="4">
        <v>9</v>
      </c>
      <c r="AK1009" s="4">
        <v>10</v>
      </c>
      <c r="AL1009" s="4">
        <v>36</v>
      </c>
      <c r="AM1009" s="4">
        <v>37</v>
      </c>
      <c r="AN1009" s="4">
        <v>0</v>
      </c>
      <c r="AO1009" s="4">
        <v>0</v>
      </c>
      <c r="AP1009" s="4">
        <v>10</v>
      </c>
      <c r="AQ1009" s="4">
        <v>11</v>
      </c>
      <c r="AR1009" s="3" t="s">
        <v>64</v>
      </c>
      <c r="AS1009" s="3" t="s">
        <v>64</v>
      </c>
      <c r="AT1009" s="3" t="s">
        <v>64</v>
      </c>
      <c r="AV1009" s="6" t="str">
        <f>HYPERLINK("http://mcgill.on.worldcat.org/oclc/53462143","Catalog Record")</f>
        <v>Catalog Record</v>
      </c>
      <c r="AW1009" s="6" t="str">
        <f>HYPERLINK("http://www.worldcat.org/oclc/53462143","WorldCat Record")</f>
        <v>WorldCat Record</v>
      </c>
      <c r="AX1009" s="3" t="s">
        <v>10397</v>
      </c>
      <c r="AY1009" s="3" t="s">
        <v>10398</v>
      </c>
      <c r="AZ1009" s="3" t="s">
        <v>10399</v>
      </c>
      <c r="BA1009" s="3" t="s">
        <v>10399</v>
      </c>
      <c r="BB1009" s="3" t="s">
        <v>10400</v>
      </c>
      <c r="BC1009" s="3" t="s">
        <v>78</v>
      </c>
      <c r="BD1009" s="3" t="s">
        <v>79</v>
      </c>
      <c r="BE1009" s="3" t="s">
        <v>10401</v>
      </c>
      <c r="BF1009" s="3" t="s">
        <v>10400</v>
      </c>
      <c r="BG1009" s="3" t="s">
        <v>10402</v>
      </c>
    </row>
    <row r="1010" spans="1:59" ht="58" x14ac:dyDescent="0.35">
      <c r="A1010" s="2" t="s">
        <v>59</v>
      </c>
      <c r="B1010" s="2" t="s">
        <v>94</v>
      </c>
      <c r="C1010" s="2" t="s">
        <v>10403</v>
      </c>
      <c r="D1010" s="2" t="s">
        <v>10404</v>
      </c>
      <c r="E1010" s="2" t="s">
        <v>10405</v>
      </c>
      <c r="G1010" s="3" t="s">
        <v>64</v>
      </c>
      <c r="I1010" s="3" t="s">
        <v>64</v>
      </c>
      <c r="J1010" s="3" t="s">
        <v>64</v>
      </c>
      <c r="K1010" s="3" t="s">
        <v>65</v>
      </c>
      <c r="L1010" s="2" t="s">
        <v>10406</v>
      </c>
      <c r="M1010" s="2" t="s">
        <v>10407</v>
      </c>
      <c r="N1010" s="3" t="s">
        <v>377</v>
      </c>
      <c r="O1010" s="2" t="s">
        <v>525</v>
      </c>
      <c r="P1010" s="3" t="s">
        <v>69</v>
      </c>
      <c r="R1010" s="3" t="s">
        <v>9228</v>
      </c>
      <c r="S1010" s="4">
        <v>6</v>
      </c>
      <c r="T1010" s="4">
        <v>6</v>
      </c>
      <c r="U1010" s="5" t="s">
        <v>10408</v>
      </c>
      <c r="V1010" s="5" t="s">
        <v>10408</v>
      </c>
      <c r="W1010" s="5" t="s">
        <v>72</v>
      </c>
      <c r="X1010" s="5" t="s">
        <v>72</v>
      </c>
      <c r="Y1010" s="4">
        <v>2216</v>
      </c>
      <c r="Z1010" s="4">
        <v>43</v>
      </c>
      <c r="AA1010" s="4">
        <v>61</v>
      </c>
      <c r="AB1010" s="4">
        <v>6</v>
      </c>
      <c r="AC1010" s="4">
        <v>8</v>
      </c>
      <c r="AD1010" s="4">
        <v>96</v>
      </c>
      <c r="AE1010" s="4">
        <v>100</v>
      </c>
      <c r="AF1010" s="4">
        <v>2</v>
      </c>
      <c r="AG1010" s="4">
        <v>2</v>
      </c>
      <c r="AH1010" s="4">
        <v>84</v>
      </c>
      <c r="AI1010" s="4">
        <v>87</v>
      </c>
      <c r="AJ1010" s="4">
        <v>9</v>
      </c>
      <c r="AK1010" s="4">
        <v>10</v>
      </c>
      <c r="AL1010" s="4">
        <v>49</v>
      </c>
      <c r="AM1010" s="4">
        <v>51</v>
      </c>
      <c r="AN1010" s="4">
        <v>0</v>
      </c>
      <c r="AO1010" s="4">
        <v>0</v>
      </c>
      <c r="AP1010" s="4">
        <v>12</v>
      </c>
      <c r="AQ1010" s="4">
        <v>13</v>
      </c>
      <c r="AR1010" s="3" t="s">
        <v>64</v>
      </c>
      <c r="AS1010" s="3" t="s">
        <v>64</v>
      </c>
      <c r="AT1010" s="3" t="s">
        <v>64</v>
      </c>
      <c r="AV1010" s="6" t="str">
        <f>HYPERLINK("http://mcgill.on.worldcat.org/oclc/765967335","Catalog Record")</f>
        <v>Catalog Record</v>
      </c>
      <c r="AW1010" s="6" t="str">
        <f>HYPERLINK("http://www.worldcat.org/oclc/765967335","WorldCat Record")</f>
        <v>WorldCat Record</v>
      </c>
      <c r="AX1010" s="3" t="s">
        <v>10409</v>
      </c>
      <c r="AY1010" s="3" t="s">
        <v>10410</v>
      </c>
      <c r="AZ1010" s="3" t="s">
        <v>10411</v>
      </c>
      <c r="BA1010" s="3" t="s">
        <v>10411</v>
      </c>
      <c r="BB1010" s="3" t="s">
        <v>10412</v>
      </c>
      <c r="BC1010" s="3" t="s">
        <v>78</v>
      </c>
      <c r="BD1010" s="3" t="s">
        <v>79</v>
      </c>
      <c r="BE1010" s="3" t="s">
        <v>10413</v>
      </c>
      <c r="BF1010" s="3" t="s">
        <v>10412</v>
      </c>
      <c r="BG1010" s="3" t="s">
        <v>10414</v>
      </c>
    </row>
    <row r="1011" spans="1:59" ht="58" x14ac:dyDescent="0.35">
      <c r="A1011" s="2" t="s">
        <v>59</v>
      </c>
      <c r="B1011" s="2" t="s">
        <v>94</v>
      </c>
      <c r="C1011" s="2" t="s">
        <v>10415</v>
      </c>
      <c r="D1011" s="2" t="s">
        <v>10416</v>
      </c>
      <c r="E1011" s="2" t="s">
        <v>10417</v>
      </c>
      <c r="G1011" s="3" t="s">
        <v>64</v>
      </c>
      <c r="I1011" s="3" t="s">
        <v>64</v>
      </c>
      <c r="J1011" s="3" t="s">
        <v>64</v>
      </c>
      <c r="K1011" s="3" t="s">
        <v>65</v>
      </c>
      <c r="L1011" s="2" t="s">
        <v>10418</v>
      </c>
      <c r="M1011" s="2" t="s">
        <v>10419</v>
      </c>
      <c r="N1011" s="3" t="s">
        <v>524</v>
      </c>
      <c r="P1011" s="3" t="s">
        <v>69</v>
      </c>
      <c r="R1011" s="3" t="s">
        <v>9228</v>
      </c>
      <c r="S1011" s="4">
        <v>2</v>
      </c>
      <c r="T1011" s="4">
        <v>2</v>
      </c>
      <c r="U1011" s="5" t="s">
        <v>10420</v>
      </c>
      <c r="V1011" s="5" t="s">
        <v>10420</v>
      </c>
      <c r="W1011" s="5" t="s">
        <v>72</v>
      </c>
      <c r="X1011" s="5" t="s">
        <v>72</v>
      </c>
      <c r="Y1011" s="4">
        <v>1344</v>
      </c>
      <c r="Z1011" s="4">
        <v>34</v>
      </c>
      <c r="AA1011" s="4">
        <v>46</v>
      </c>
      <c r="AB1011" s="4">
        <v>4</v>
      </c>
      <c r="AC1011" s="4">
        <v>9</v>
      </c>
      <c r="AD1011" s="4">
        <v>82</v>
      </c>
      <c r="AE1011" s="4">
        <v>93</v>
      </c>
      <c r="AF1011" s="4">
        <v>1</v>
      </c>
      <c r="AG1011" s="4">
        <v>2</v>
      </c>
      <c r="AH1011" s="4">
        <v>75</v>
      </c>
      <c r="AI1011" s="4">
        <v>82</v>
      </c>
      <c r="AJ1011" s="4">
        <v>9</v>
      </c>
      <c r="AK1011" s="4">
        <v>12</v>
      </c>
      <c r="AL1011" s="4">
        <v>45</v>
      </c>
      <c r="AM1011" s="4">
        <v>46</v>
      </c>
      <c r="AN1011" s="4">
        <v>0</v>
      </c>
      <c r="AO1011" s="4">
        <v>0</v>
      </c>
      <c r="AP1011" s="4">
        <v>9</v>
      </c>
      <c r="AQ1011" s="4">
        <v>13</v>
      </c>
      <c r="AR1011" s="3" t="s">
        <v>64</v>
      </c>
      <c r="AS1011" s="3" t="s">
        <v>64</v>
      </c>
      <c r="AT1011" s="3" t="s">
        <v>64</v>
      </c>
      <c r="AV1011" s="6" t="str">
        <f>HYPERLINK("http://mcgill.on.worldcat.org/oclc/829239596","Catalog Record")</f>
        <v>Catalog Record</v>
      </c>
      <c r="AW1011" s="6" t="str">
        <f>HYPERLINK("http://www.worldcat.org/oclc/829239596","WorldCat Record")</f>
        <v>WorldCat Record</v>
      </c>
      <c r="AX1011" s="3" t="s">
        <v>10421</v>
      </c>
      <c r="AY1011" s="3" t="s">
        <v>10422</v>
      </c>
      <c r="AZ1011" s="3" t="s">
        <v>10423</v>
      </c>
      <c r="BA1011" s="3" t="s">
        <v>10423</v>
      </c>
      <c r="BB1011" s="3" t="s">
        <v>10424</v>
      </c>
      <c r="BC1011" s="3" t="s">
        <v>78</v>
      </c>
      <c r="BD1011" s="3" t="s">
        <v>79</v>
      </c>
      <c r="BE1011" s="3" t="s">
        <v>10425</v>
      </c>
      <c r="BF1011" s="3" t="s">
        <v>10424</v>
      </c>
      <c r="BG1011" s="3" t="s">
        <v>10426</v>
      </c>
    </row>
    <row r="1012" spans="1:59" ht="58" x14ac:dyDescent="0.35">
      <c r="A1012" s="2" t="s">
        <v>59</v>
      </c>
      <c r="B1012" s="2" t="s">
        <v>94</v>
      </c>
      <c r="C1012" s="2" t="s">
        <v>10427</v>
      </c>
      <c r="D1012" s="2" t="s">
        <v>10428</v>
      </c>
      <c r="E1012" s="2" t="s">
        <v>10429</v>
      </c>
      <c r="G1012" s="3" t="s">
        <v>64</v>
      </c>
      <c r="I1012" s="3" t="s">
        <v>64</v>
      </c>
      <c r="J1012" s="3" t="s">
        <v>64</v>
      </c>
      <c r="K1012" s="3" t="s">
        <v>65</v>
      </c>
      <c r="L1012" s="2" t="s">
        <v>10430</v>
      </c>
      <c r="M1012" s="2" t="s">
        <v>10431</v>
      </c>
      <c r="N1012" s="3" t="s">
        <v>1267</v>
      </c>
      <c r="O1012" s="2" t="s">
        <v>6770</v>
      </c>
      <c r="P1012" s="3" t="s">
        <v>69</v>
      </c>
      <c r="R1012" s="3" t="s">
        <v>9228</v>
      </c>
      <c r="S1012" s="4">
        <v>8</v>
      </c>
      <c r="T1012" s="4">
        <v>8</v>
      </c>
      <c r="U1012" s="5" t="s">
        <v>6823</v>
      </c>
      <c r="V1012" s="5" t="s">
        <v>6823</v>
      </c>
      <c r="W1012" s="5" t="s">
        <v>72</v>
      </c>
      <c r="X1012" s="5" t="s">
        <v>72</v>
      </c>
      <c r="Y1012" s="4">
        <v>1427</v>
      </c>
      <c r="Z1012" s="4">
        <v>57</v>
      </c>
      <c r="AA1012" s="4">
        <v>61</v>
      </c>
      <c r="AB1012" s="4">
        <v>3</v>
      </c>
      <c r="AC1012" s="4">
        <v>5</v>
      </c>
      <c r="AD1012" s="4">
        <v>143</v>
      </c>
      <c r="AE1012" s="4">
        <v>149</v>
      </c>
      <c r="AF1012" s="4">
        <v>2</v>
      </c>
      <c r="AG1012" s="4">
        <v>4</v>
      </c>
      <c r="AH1012" s="4">
        <v>109</v>
      </c>
      <c r="AI1012" s="4">
        <v>111</v>
      </c>
      <c r="AJ1012" s="4">
        <v>23</v>
      </c>
      <c r="AK1012" s="4">
        <v>25</v>
      </c>
      <c r="AL1012" s="4">
        <v>59</v>
      </c>
      <c r="AM1012" s="4">
        <v>59</v>
      </c>
      <c r="AN1012" s="4">
        <v>0</v>
      </c>
      <c r="AO1012" s="4">
        <v>0</v>
      </c>
      <c r="AP1012" s="4">
        <v>39</v>
      </c>
      <c r="AQ1012" s="4">
        <v>42</v>
      </c>
      <c r="AR1012" s="3" t="s">
        <v>64</v>
      </c>
      <c r="AS1012" s="3" t="s">
        <v>64</v>
      </c>
      <c r="AT1012" s="3" t="s">
        <v>73</v>
      </c>
      <c r="AU1012" s="6" t="str">
        <f>HYPERLINK("http://catalog.hathitrust.org/Record/001116276","HathiTrust Record")</f>
        <v>HathiTrust Record</v>
      </c>
      <c r="AV1012" s="6" t="str">
        <f>HYPERLINK("http://mcgill.on.worldcat.org/oclc/175254","Catalog Record")</f>
        <v>Catalog Record</v>
      </c>
      <c r="AW1012" s="6" t="str">
        <f>HYPERLINK("http://www.worldcat.org/oclc/175254","WorldCat Record")</f>
        <v>WorldCat Record</v>
      </c>
      <c r="AX1012" s="3" t="s">
        <v>10432</v>
      </c>
      <c r="AY1012" s="3" t="s">
        <v>10433</v>
      </c>
      <c r="AZ1012" s="3" t="s">
        <v>10434</v>
      </c>
      <c r="BA1012" s="3" t="s">
        <v>10434</v>
      </c>
      <c r="BB1012" s="3" t="s">
        <v>10435</v>
      </c>
      <c r="BC1012" s="3" t="s">
        <v>78</v>
      </c>
      <c r="BD1012" s="3" t="s">
        <v>79</v>
      </c>
      <c r="BF1012" s="3" t="s">
        <v>10435</v>
      </c>
      <c r="BG1012" s="3" t="s">
        <v>10436</v>
      </c>
    </row>
    <row r="1013" spans="1:59" ht="101.5" x14ac:dyDescent="0.35">
      <c r="A1013" s="2" t="s">
        <v>59</v>
      </c>
      <c r="B1013" s="2" t="s">
        <v>94</v>
      </c>
      <c r="C1013" s="2" t="s">
        <v>10437</v>
      </c>
      <c r="D1013" s="2" t="s">
        <v>10438</v>
      </c>
      <c r="E1013" s="2" t="s">
        <v>10439</v>
      </c>
      <c r="G1013" s="3" t="s">
        <v>64</v>
      </c>
      <c r="I1013" s="3" t="s">
        <v>64</v>
      </c>
      <c r="J1013" s="3" t="s">
        <v>64</v>
      </c>
      <c r="K1013" s="3" t="s">
        <v>65</v>
      </c>
      <c r="L1013" s="2" t="s">
        <v>10440</v>
      </c>
      <c r="M1013" s="2" t="s">
        <v>7238</v>
      </c>
      <c r="N1013" s="3" t="s">
        <v>175</v>
      </c>
      <c r="P1013" s="3" t="s">
        <v>69</v>
      </c>
      <c r="R1013" s="3" t="s">
        <v>9228</v>
      </c>
      <c r="S1013" s="4">
        <v>0</v>
      </c>
      <c r="T1013" s="4">
        <v>0</v>
      </c>
      <c r="W1013" s="5" t="s">
        <v>72</v>
      </c>
      <c r="X1013" s="5" t="s">
        <v>72</v>
      </c>
      <c r="Y1013" s="4">
        <v>65</v>
      </c>
      <c r="Z1013" s="4">
        <v>3</v>
      </c>
      <c r="AA1013" s="4">
        <v>4</v>
      </c>
      <c r="AB1013" s="4">
        <v>1</v>
      </c>
      <c r="AC1013" s="4">
        <v>1</v>
      </c>
      <c r="AD1013" s="4">
        <v>43</v>
      </c>
      <c r="AE1013" s="4">
        <v>48</v>
      </c>
      <c r="AF1013" s="4">
        <v>0</v>
      </c>
      <c r="AG1013" s="4">
        <v>0</v>
      </c>
      <c r="AH1013" s="4">
        <v>41</v>
      </c>
      <c r="AI1013" s="4">
        <v>45</v>
      </c>
      <c r="AJ1013" s="4">
        <v>2</v>
      </c>
      <c r="AK1013" s="4">
        <v>3</v>
      </c>
      <c r="AL1013" s="4">
        <v>24</v>
      </c>
      <c r="AM1013" s="4">
        <v>27</v>
      </c>
      <c r="AN1013" s="4">
        <v>0</v>
      </c>
      <c r="AO1013" s="4">
        <v>0</v>
      </c>
      <c r="AP1013" s="4">
        <v>2</v>
      </c>
      <c r="AQ1013" s="4">
        <v>3</v>
      </c>
      <c r="AR1013" s="3" t="s">
        <v>64</v>
      </c>
      <c r="AS1013" s="3" t="s">
        <v>64</v>
      </c>
      <c r="AT1013" s="3" t="s">
        <v>64</v>
      </c>
      <c r="AV1013" s="6" t="str">
        <f>HYPERLINK("http://mcgill.on.worldcat.org/oclc/870336355","Catalog Record")</f>
        <v>Catalog Record</v>
      </c>
      <c r="AW1013" s="6" t="str">
        <f>HYPERLINK("http://www.worldcat.org/oclc/870336355","WorldCat Record")</f>
        <v>WorldCat Record</v>
      </c>
      <c r="AX1013" s="3" t="s">
        <v>10441</v>
      </c>
      <c r="AY1013" s="3" t="s">
        <v>10442</v>
      </c>
      <c r="AZ1013" s="3" t="s">
        <v>10443</v>
      </c>
      <c r="BA1013" s="3" t="s">
        <v>10443</v>
      </c>
      <c r="BB1013" s="3" t="s">
        <v>10444</v>
      </c>
      <c r="BC1013" s="3" t="s">
        <v>78</v>
      </c>
      <c r="BD1013" s="3" t="s">
        <v>79</v>
      </c>
      <c r="BE1013" s="3" t="s">
        <v>10445</v>
      </c>
      <c r="BF1013" s="3" t="s">
        <v>10444</v>
      </c>
      <c r="BG1013" s="3" t="s">
        <v>10446</v>
      </c>
    </row>
    <row r="1014" spans="1:59" ht="58" x14ac:dyDescent="0.35">
      <c r="A1014" s="2" t="s">
        <v>59</v>
      </c>
      <c r="B1014" s="2" t="s">
        <v>94</v>
      </c>
      <c r="C1014" s="2" t="s">
        <v>10447</v>
      </c>
      <c r="D1014" s="2" t="s">
        <v>10448</v>
      </c>
      <c r="E1014" s="2" t="s">
        <v>10449</v>
      </c>
      <c r="G1014" s="3" t="s">
        <v>64</v>
      </c>
      <c r="I1014" s="3" t="s">
        <v>64</v>
      </c>
      <c r="J1014" s="3" t="s">
        <v>64</v>
      </c>
      <c r="K1014" s="3" t="s">
        <v>65</v>
      </c>
      <c r="L1014" s="2" t="s">
        <v>10450</v>
      </c>
      <c r="M1014" s="2" t="s">
        <v>10451</v>
      </c>
      <c r="N1014" s="3" t="s">
        <v>390</v>
      </c>
      <c r="P1014" s="3" t="s">
        <v>69</v>
      </c>
      <c r="R1014" s="3" t="s">
        <v>9228</v>
      </c>
      <c r="S1014" s="4">
        <v>10</v>
      </c>
      <c r="T1014" s="4">
        <v>10</v>
      </c>
      <c r="U1014" s="5" t="s">
        <v>10452</v>
      </c>
      <c r="V1014" s="5" t="s">
        <v>10452</v>
      </c>
      <c r="W1014" s="5" t="s">
        <v>72</v>
      </c>
      <c r="X1014" s="5" t="s">
        <v>72</v>
      </c>
      <c r="Y1014" s="4">
        <v>894</v>
      </c>
      <c r="Z1014" s="4">
        <v>40</v>
      </c>
      <c r="AA1014" s="4">
        <v>45</v>
      </c>
      <c r="AB1014" s="4">
        <v>4</v>
      </c>
      <c r="AC1014" s="4">
        <v>7</v>
      </c>
      <c r="AD1014" s="4">
        <v>128</v>
      </c>
      <c r="AE1014" s="4">
        <v>130</v>
      </c>
      <c r="AF1014" s="4">
        <v>1</v>
      </c>
      <c r="AG1014" s="4">
        <v>3</v>
      </c>
      <c r="AH1014" s="4">
        <v>107</v>
      </c>
      <c r="AI1014" s="4">
        <v>108</v>
      </c>
      <c r="AJ1014" s="4">
        <v>19</v>
      </c>
      <c r="AK1014" s="4">
        <v>21</v>
      </c>
      <c r="AL1014" s="4">
        <v>59</v>
      </c>
      <c r="AM1014" s="4">
        <v>59</v>
      </c>
      <c r="AN1014" s="4">
        <v>0</v>
      </c>
      <c r="AO1014" s="4">
        <v>0</v>
      </c>
      <c r="AP1014" s="4">
        <v>28</v>
      </c>
      <c r="AQ1014" s="4">
        <v>30</v>
      </c>
      <c r="AR1014" s="3" t="s">
        <v>64</v>
      </c>
      <c r="AS1014" s="3" t="s">
        <v>64</v>
      </c>
      <c r="AT1014" s="3" t="s">
        <v>64</v>
      </c>
      <c r="AV1014" s="6" t="str">
        <f>HYPERLINK("http://mcgill.on.worldcat.org/oclc/4638110","Catalog Record")</f>
        <v>Catalog Record</v>
      </c>
      <c r="AW1014" s="6" t="str">
        <f>HYPERLINK("http://www.worldcat.org/oclc/4638110","WorldCat Record")</f>
        <v>WorldCat Record</v>
      </c>
      <c r="AX1014" s="3" t="s">
        <v>10453</v>
      </c>
      <c r="AY1014" s="3" t="s">
        <v>10454</v>
      </c>
      <c r="AZ1014" s="3" t="s">
        <v>10455</v>
      </c>
      <c r="BA1014" s="3" t="s">
        <v>10455</v>
      </c>
      <c r="BB1014" s="3" t="s">
        <v>10456</v>
      </c>
      <c r="BC1014" s="3" t="s">
        <v>78</v>
      </c>
      <c r="BD1014" s="3" t="s">
        <v>79</v>
      </c>
      <c r="BE1014" s="3" t="s">
        <v>10457</v>
      </c>
      <c r="BF1014" s="3" t="s">
        <v>10456</v>
      </c>
      <c r="BG1014" s="3" t="s">
        <v>10458</v>
      </c>
    </row>
    <row r="1015" spans="1:59" ht="58" x14ac:dyDescent="0.35">
      <c r="A1015" s="2" t="s">
        <v>59</v>
      </c>
      <c r="B1015" s="2" t="s">
        <v>94</v>
      </c>
      <c r="C1015" s="2" t="s">
        <v>10459</v>
      </c>
      <c r="D1015" s="2" t="s">
        <v>10460</v>
      </c>
      <c r="E1015" s="2" t="s">
        <v>10461</v>
      </c>
      <c r="G1015" s="3" t="s">
        <v>64</v>
      </c>
      <c r="I1015" s="3" t="s">
        <v>64</v>
      </c>
      <c r="J1015" s="3" t="s">
        <v>64</v>
      </c>
      <c r="K1015" s="3" t="s">
        <v>65</v>
      </c>
      <c r="L1015" s="2" t="s">
        <v>10462</v>
      </c>
      <c r="M1015" s="2" t="s">
        <v>10463</v>
      </c>
      <c r="N1015" s="3" t="s">
        <v>1267</v>
      </c>
      <c r="O1015" s="2" t="s">
        <v>6770</v>
      </c>
      <c r="P1015" s="3" t="s">
        <v>69</v>
      </c>
      <c r="Q1015" s="2" t="s">
        <v>10464</v>
      </c>
      <c r="R1015" s="3" t="s">
        <v>9228</v>
      </c>
      <c r="S1015" s="4">
        <v>2</v>
      </c>
      <c r="T1015" s="4">
        <v>2</v>
      </c>
      <c r="U1015" s="5" t="s">
        <v>6823</v>
      </c>
      <c r="V1015" s="5" t="s">
        <v>6823</v>
      </c>
      <c r="W1015" s="5" t="s">
        <v>72</v>
      </c>
      <c r="X1015" s="5" t="s">
        <v>72</v>
      </c>
      <c r="Y1015" s="4">
        <v>606</v>
      </c>
      <c r="Z1015" s="4">
        <v>33</v>
      </c>
      <c r="AA1015" s="4">
        <v>35</v>
      </c>
      <c r="AB1015" s="4">
        <v>3</v>
      </c>
      <c r="AC1015" s="4">
        <v>5</v>
      </c>
      <c r="AD1015" s="4">
        <v>119</v>
      </c>
      <c r="AE1015" s="4">
        <v>121</v>
      </c>
      <c r="AF1015" s="4">
        <v>1</v>
      </c>
      <c r="AG1015" s="4">
        <v>3</v>
      </c>
      <c r="AH1015" s="4">
        <v>99</v>
      </c>
      <c r="AI1015" s="4">
        <v>100</v>
      </c>
      <c r="AJ1015" s="4">
        <v>20</v>
      </c>
      <c r="AK1015" s="4">
        <v>22</v>
      </c>
      <c r="AL1015" s="4">
        <v>57</v>
      </c>
      <c r="AM1015" s="4">
        <v>57</v>
      </c>
      <c r="AN1015" s="4">
        <v>0</v>
      </c>
      <c r="AO1015" s="4">
        <v>0</v>
      </c>
      <c r="AP1015" s="4">
        <v>23</v>
      </c>
      <c r="AQ1015" s="4">
        <v>25</v>
      </c>
      <c r="AR1015" s="3" t="s">
        <v>64</v>
      </c>
      <c r="AS1015" s="3" t="s">
        <v>64</v>
      </c>
      <c r="AT1015" s="3" t="s">
        <v>64</v>
      </c>
      <c r="AV1015" s="6" t="str">
        <f>HYPERLINK("http://mcgill.on.worldcat.org/oclc/437099","Catalog Record")</f>
        <v>Catalog Record</v>
      </c>
      <c r="AW1015" s="6" t="str">
        <f>HYPERLINK("http://www.worldcat.org/oclc/437099","WorldCat Record")</f>
        <v>WorldCat Record</v>
      </c>
      <c r="AX1015" s="3" t="s">
        <v>10465</v>
      </c>
      <c r="AY1015" s="3" t="s">
        <v>10466</v>
      </c>
      <c r="AZ1015" s="3" t="s">
        <v>10467</v>
      </c>
      <c r="BA1015" s="3" t="s">
        <v>10467</v>
      </c>
      <c r="BB1015" s="3" t="s">
        <v>10468</v>
      </c>
      <c r="BC1015" s="3" t="s">
        <v>78</v>
      </c>
      <c r="BD1015" s="3" t="s">
        <v>79</v>
      </c>
      <c r="BF1015" s="3" t="s">
        <v>10468</v>
      </c>
      <c r="BG1015" s="3" t="s">
        <v>10469</v>
      </c>
    </row>
    <row r="1016" spans="1:59" ht="58" x14ac:dyDescent="0.35">
      <c r="A1016" s="2" t="s">
        <v>59</v>
      </c>
      <c r="B1016" s="2" t="s">
        <v>94</v>
      </c>
      <c r="C1016" s="2" t="s">
        <v>10470</v>
      </c>
      <c r="D1016" s="2" t="s">
        <v>10471</v>
      </c>
      <c r="E1016" s="2" t="s">
        <v>10472</v>
      </c>
      <c r="G1016" s="3" t="s">
        <v>64</v>
      </c>
      <c r="I1016" s="3" t="s">
        <v>64</v>
      </c>
      <c r="J1016" s="3" t="s">
        <v>64</v>
      </c>
      <c r="K1016" s="3" t="s">
        <v>65</v>
      </c>
      <c r="L1016" s="2" t="s">
        <v>10473</v>
      </c>
      <c r="M1016" s="2" t="s">
        <v>10474</v>
      </c>
      <c r="N1016" s="3" t="s">
        <v>274</v>
      </c>
      <c r="P1016" s="3" t="s">
        <v>69</v>
      </c>
      <c r="R1016" s="3" t="s">
        <v>9228</v>
      </c>
      <c r="S1016" s="4">
        <v>16</v>
      </c>
      <c r="T1016" s="4">
        <v>16</v>
      </c>
      <c r="U1016" s="5" t="s">
        <v>10475</v>
      </c>
      <c r="V1016" s="5" t="s">
        <v>10475</v>
      </c>
      <c r="W1016" s="5" t="s">
        <v>72</v>
      </c>
      <c r="X1016" s="5" t="s">
        <v>72</v>
      </c>
      <c r="Y1016" s="4">
        <v>727</v>
      </c>
      <c r="Z1016" s="4">
        <v>23</v>
      </c>
      <c r="AA1016" s="4">
        <v>24</v>
      </c>
      <c r="AB1016" s="4">
        <v>2</v>
      </c>
      <c r="AC1016" s="4">
        <v>3</v>
      </c>
      <c r="AD1016" s="4">
        <v>112</v>
      </c>
      <c r="AE1016" s="4">
        <v>114</v>
      </c>
      <c r="AF1016" s="4">
        <v>1</v>
      </c>
      <c r="AG1016" s="4">
        <v>2</v>
      </c>
      <c r="AH1016" s="4">
        <v>97</v>
      </c>
      <c r="AI1016" s="4">
        <v>98</v>
      </c>
      <c r="AJ1016" s="4">
        <v>13</v>
      </c>
      <c r="AK1016" s="4">
        <v>14</v>
      </c>
      <c r="AL1016" s="4">
        <v>57</v>
      </c>
      <c r="AM1016" s="4">
        <v>58</v>
      </c>
      <c r="AN1016" s="4">
        <v>0</v>
      </c>
      <c r="AO1016" s="4">
        <v>0</v>
      </c>
      <c r="AP1016" s="4">
        <v>17</v>
      </c>
      <c r="AQ1016" s="4">
        <v>17</v>
      </c>
      <c r="AR1016" s="3" t="s">
        <v>64</v>
      </c>
      <c r="AS1016" s="3" t="s">
        <v>64</v>
      </c>
      <c r="AT1016" s="3" t="s">
        <v>73</v>
      </c>
      <c r="AU1016" s="6" t="str">
        <f>HYPERLINK("http://catalog.hathitrust.org/Record/000928655","HathiTrust Record")</f>
        <v>HathiTrust Record</v>
      </c>
      <c r="AV1016" s="6" t="str">
        <f>HYPERLINK("http://mcgill.on.worldcat.org/oclc/18105529","Catalog Record")</f>
        <v>Catalog Record</v>
      </c>
      <c r="AW1016" s="6" t="str">
        <f>HYPERLINK("http://www.worldcat.org/oclc/18105529","WorldCat Record")</f>
        <v>WorldCat Record</v>
      </c>
      <c r="AX1016" s="3" t="s">
        <v>10476</v>
      </c>
      <c r="AY1016" s="3" t="s">
        <v>10477</v>
      </c>
      <c r="AZ1016" s="3" t="s">
        <v>10478</v>
      </c>
      <c r="BA1016" s="3" t="s">
        <v>10478</v>
      </c>
      <c r="BB1016" s="3" t="s">
        <v>10479</v>
      </c>
      <c r="BC1016" s="3" t="s">
        <v>78</v>
      </c>
      <c r="BD1016" s="3" t="s">
        <v>79</v>
      </c>
      <c r="BE1016" s="3" t="s">
        <v>10480</v>
      </c>
      <c r="BF1016" s="3" t="s">
        <v>10479</v>
      </c>
      <c r="BG1016" s="3" t="s">
        <v>10481</v>
      </c>
    </row>
    <row r="1017" spans="1:59" ht="58" x14ac:dyDescent="0.35">
      <c r="A1017" s="2" t="s">
        <v>59</v>
      </c>
      <c r="B1017" s="2" t="s">
        <v>94</v>
      </c>
      <c r="C1017" s="2" t="s">
        <v>10482</v>
      </c>
      <c r="D1017" s="2" t="s">
        <v>10483</v>
      </c>
      <c r="E1017" s="2" t="s">
        <v>10484</v>
      </c>
      <c r="G1017" s="3" t="s">
        <v>64</v>
      </c>
      <c r="I1017" s="3" t="s">
        <v>64</v>
      </c>
      <c r="J1017" s="3" t="s">
        <v>64</v>
      </c>
      <c r="K1017" s="3" t="s">
        <v>65</v>
      </c>
      <c r="L1017" s="2" t="s">
        <v>10485</v>
      </c>
      <c r="M1017" s="2" t="s">
        <v>1633</v>
      </c>
      <c r="N1017" s="3" t="s">
        <v>214</v>
      </c>
      <c r="P1017" s="3" t="s">
        <v>69</v>
      </c>
      <c r="R1017" s="3" t="s">
        <v>9228</v>
      </c>
      <c r="S1017" s="4">
        <v>0</v>
      </c>
      <c r="T1017" s="4">
        <v>0</v>
      </c>
      <c r="W1017" s="5" t="s">
        <v>72</v>
      </c>
      <c r="X1017" s="5" t="s">
        <v>72</v>
      </c>
      <c r="Y1017" s="4">
        <v>205</v>
      </c>
      <c r="Z1017" s="4">
        <v>10</v>
      </c>
      <c r="AA1017" s="4">
        <v>10</v>
      </c>
      <c r="AB1017" s="4">
        <v>1</v>
      </c>
      <c r="AC1017" s="4">
        <v>1</v>
      </c>
      <c r="AD1017" s="4">
        <v>62</v>
      </c>
      <c r="AE1017" s="4">
        <v>62</v>
      </c>
      <c r="AF1017" s="4">
        <v>0</v>
      </c>
      <c r="AG1017" s="4">
        <v>0</v>
      </c>
      <c r="AH1017" s="4">
        <v>59</v>
      </c>
      <c r="AI1017" s="4">
        <v>59</v>
      </c>
      <c r="AJ1017" s="4">
        <v>8</v>
      </c>
      <c r="AK1017" s="4">
        <v>8</v>
      </c>
      <c r="AL1017" s="4">
        <v>31</v>
      </c>
      <c r="AM1017" s="4">
        <v>31</v>
      </c>
      <c r="AN1017" s="4">
        <v>5</v>
      </c>
      <c r="AO1017" s="4">
        <v>5</v>
      </c>
      <c r="AP1017" s="4">
        <v>8</v>
      </c>
      <c r="AQ1017" s="4">
        <v>8</v>
      </c>
      <c r="AR1017" s="3" t="s">
        <v>64</v>
      </c>
      <c r="AS1017" s="3" t="s">
        <v>64</v>
      </c>
      <c r="AT1017" s="3" t="s">
        <v>73</v>
      </c>
      <c r="AU1017" s="6" t="str">
        <f>HYPERLINK("http://catalog.hathitrust.org/Record/011227734","HathiTrust Record")</f>
        <v>HathiTrust Record</v>
      </c>
      <c r="AV1017" s="6" t="str">
        <f>HYPERLINK("http://mcgill.on.worldcat.org/oclc/548555762","Catalog Record")</f>
        <v>Catalog Record</v>
      </c>
      <c r="AW1017" s="6" t="str">
        <f>HYPERLINK("http://www.worldcat.org/oclc/548555762","WorldCat Record")</f>
        <v>WorldCat Record</v>
      </c>
      <c r="AX1017" s="3" t="s">
        <v>10486</v>
      </c>
      <c r="AY1017" s="3" t="s">
        <v>10487</v>
      </c>
      <c r="AZ1017" s="3" t="s">
        <v>10488</v>
      </c>
      <c r="BA1017" s="3" t="s">
        <v>10488</v>
      </c>
      <c r="BB1017" s="3" t="s">
        <v>10489</v>
      </c>
      <c r="BC1017" s="3" t="s">
        <v>78</v>
      </c>
      <c r="BD1017" s="3" t="s">
        <v>79</v>
      </c>
      <c r="BE1017" s="3" t="s">
        <v>10490</v>
      </c>
      <c r="BF1017" s="3" t="s">
        <v>10489</v>
      </c>
      <c r="BG1017" s="3" t="s">
        <v>10491</v>
      </c>
    </row>
    <row r="1018" spans="1:59" ht="58" x14ac:dyDescent="0.35">
      <c r="A1018" s="2" t="s">
        <v>59</v>
      </c>
      <c r="B1018" s="2" t="s">
        <v>94</v>
      </c>
      <c r="C1018" s="2" t="s">
        <v>10492</v>
      </c>
      <c r="D1018" s="2" t="s">
        <v>10493</v>
      </c>
      <c r="E1018" s="2" t="s">
        <v>10494</v>
      </c>
      <c r="G1018" s="3" t="s">
        <v>64</v>
      </c>
      <c r="I1018" s="3" t="s">
        <v>64</v>
      </c>
      <c r="J1018" s="3" t="s">
        <v>64</v>
      </c>
      <c r="K1018" s="3" t="s">
        <v>65</v>
      </c>
      <c r="L1018" s="2" t="s">
        <v>10495</v>
      </c>
      <c r="M1018" s="2" t="s">
        <v>10496</v>
      </c>
      <c r="N1018" s="3" t="s">
        <v>524</v>
      </c>
      <c r="P1018" s="3" t="s">
        <v>69</v>
      </c>
      <c r="R1018" s="3" t="s">
        <v>9228</v>
      </c>
      <c r="S1018" s="4">
        <v>0</v>
      </c>
      <c r="T1018" s="4">
        <v>0</v>
      </c>
      <c r="W1018" s="5" t="s">
        <v>72</v>
      </c>
      <c r="X1018" s="5" t="s">
        <v>72</v>
      </c>
      <c r="Y1018" s="4">
        <v>73</v>
      </c>
      <c r="Z1018" s="4">
        <v>5</v>
      </c>
      <c r="AA1018" s="4">
        <v>107</v>
      </c>
      <c r="AB1018" s="4">
        <v>1</v>
      </c>
      <c r="AC1018" s="4">
        <v>17</v>
      </c>
      <c r="AD1018" s="4">
        <v>41</v>
      </c>
      <c r="AE1018" s="4">
        <v>130</v>
      </c>
      <c r="AF1018" s="4">
        <v>0</v>
      </c>
      <c r="AG1018" s="4">
        <v>8</v>
      </c>
      <c r="AH1018" s="4">
        <v>40</v>
      </c>
      <c r="AI1018" s="4">
        <v>90</v>
      </c>
      <c r="AJ1018" s="4">
        <v>3</v>
      </c>
      <c r="AK1018" s="4">
        <v>22</v>
      </c>
      <c r="AL1018" s="4">
        <v>23</v>
      </c>
      <c r="AM1018" s="4">
        <v>48</v>
      </c>
      <c r="AN1018" s="4">
        <v>0</v>
      </c>
      <c r="AO1018" s="4">
        <v>0</v>
      </c>
      <c r="AP1018" s="4">
        <v>3</v>
      </c>
      <c r="AQ1018" s="4">
        <v>45</v>
      </c>
      <c r="AR1018" s="3" t="s">
        <v>64</v>
      </c>
      <c r="AS1018" s="3" t="s">
        <v>64</v>
      </c>
      <c r="AT1018" s="3" t="s">
        <v>64</v>
      </c>
      <c r="AV1018" s="6" t="str">
        <f>HYPERLINK("http://mcgill.on.worldcat.org/oclc/846490617","Catalog Record")</f>
        <v>Catalog Record</v>
      </c>
      <c r="AW1018" s="6" t="str">
        <f>HYPERLINK("http://www.worldcat.org/oclc/846490617","WorldCat Record")</f>
        <v>WorldCat Record</v>
      </c>
      <c r="AX1018" s="3" t="s">
        <v>10497</v>
      </c>
      <c r="AY1018" s="3" t="s">
        <v>10498</v>
      </c>
      <c r="AZ1018" s="3" t="s">
        <v>10499</v>
      </c>
      <c r="BA1018" s="3" t="s">
        <v>10499</v>
      </c>
      <c r="BB1018" s="3" t="s">
        <v>10500</v>
      </c>
      <c r="BC1018" s="3" t="s">
        <v>78</v>
      </c>
      <c r="BD1018" s="3" t="s">
        <v>79</v>
      </c>
      <c r="BE1018" s="3" t="s">
        <v>10501</v>
      </c>
      <c r="BF1018" s="3" t="s">
        <v>10500</v>
      </c>
      <c r="BG1018" s="3" t="s">
        <v>10502</v>
      </c>
    </row>
    <row r="1019" spans="1:59" ht="58" x14ac:dyDescent="0.35">
      <c r="A1019" s="2" t="s">
        <v>59</v>
      </c>
      <c r="B1019" s="2" t="s">
        <v>94</v>
      </c>
      <c r="C1019" s="2" t="s">
        <v>10503</v>
      </c>
      <c r="D1019" s="2" t="s">
        <v>10504</v>
      </c>
      <c r="E1019" s="2" t="s">
        <v>10505</v>
      </c>
      <c r="G1019" s="3" t="s">
        <v>64</v>
      </c>
      <c r="I1019" s="3" t="s">
        <v>64</v>
      </c>
      <c r="J1019" s="3" t="s">
        <v>64</v>
      </c>
      <c r="K1019" s="3" t="s">
        <v>65</v>
      </c>
      <c r="L1019" s="2" t="s">
        <v>10506</v>
      </c>
      <c r="M1019" s="2" t="s">
        <v>10507</v>
      </c>
      <c r="N1019" s="3" t="s">
        <v>252</v>
      </c>
      <c r="P1019" s="3" t="s">
        <v>69</v>
      </c>
      <c r="R1019" s="3" t="s">
        <v>9228</v>
      </c>
      <c r="S1019" s="4">
        <v>3</v>
      </c>
      <c r="T1019" s="4">
        <v>3</v>
      </c>
      <c r="U1019" s="5" t="s">
        <v>276</v>
      </c>
      <c r="V1019" s="5" t="s">
        <v>276</v>
      </c>
      <c r="W1019" s="5" t="s">
        <v>72</v>
      </c>
      <c r="X1019" s="5" t="s">
        <v>72</v>
      </c>
      <c r="Y1019" s="4">
        <v>562</v>
      </c>
      <c r="Z1019" s="4">
        <v>30</v>
      </c>
      <c r="AA1019" s="4">
        <v>32</v>
      </c>
      <c r="AB1019" s="4">
        <v>1</v>
      </c>
      <c r="AC1019" s="4">
        <v>3</v>
      </c>
      <c r="AD1019" s="4">
        <v>105</v>
      </c>
      <c r="AE1019" s="4">
        <v>107</v>
      </c>
      <c r="AF1019" s="4">
        <v>0</v>
      </c>
      <c r="AG1019" s="4">
        <v>2</v>
      </c>
      <c r="AH1019" s="4">
        <v>89</v>
      </c>
      <c r="AI1019" s="4">
        <v>89</v>
      </c>
      <c r="AJ1019" s="4">
        <v>18</v>
      </c>
      <c r="AK1019" s="4">
        <v>20</v>
      </c>
      <c r="AL1019" s="4">
        <v>50</v>
      </c>
      <c r="AM1019" s="4">
        <v>50</v>
      </c>
      <c r="AN1019" s="4">
        <v>0</v>
      </c>
      <c r="AO1019" s="4">
        <v>0</v>
      </c>
      <c r="AP1019" s="4">
        <v>24</v>
      </c>
      <c r="AQ1019" s="4">
        <v>25</v>
      </c>
      <c r="AR1019" s="3" t="s">
        <v>64</v>
      </c>
      <c r="AS1019" s="3" t="s">
        <v>64</v>
      </c>
      <c r="AT1019" s="3" t="s">
        <v>73</v>
      </c>
      <c r="AU1019" s="6" t="str">
        <f>HYPERLINK("http://catalog.hathitrust.org/Record/001116278","HathiTrust Record")</f>
        <v>HathiTrust Record</v>
      </c>
      <c r="AV1019" s="6" t="str">
        <f>HYPERLINK("http://mcgill.on.worldcat.org/oclc/516025","Catalog Record")</f>
        <v>Catalog Record</v>
      </c>
      <c r="AW1019" s="6" t="str">
        <f>HYPERLINK("http://www.worldcat.org/oclc/516025","WorldCat Record")</f>
        <v>WorldCat Record</v>
      </c>
      <c r="AX1019" s="3" t="s">
        <v>10508</v>
      </c>
      <c r="AY1019" s="3" t="s">
        <v>10509</v>
      </c>
      <c r="AZ1019" s="3" t="s">
        <v>10510</v>
      </c>
      <c r="BA1019" s="3" t="s">
        <v>10510</v>
      </c>
      <c r="BB1019" s="3" t="s">
        <v>10511</v>
      </c>
      <c r="BC1019" s="3" t="s">
        <v>78</v>
      </c>
      <c r="BD1019" s="3" t="s">
        <v>79</v>
      </c>
      <c r="BE1019" s="3" t="s">
        <v>10512</v>
      </c>
      <c r="BF1019" s="3" t="s">
        <v>10511</v>
      </c>
      <c r="BG1019" s="3" t="s">
        <v>10513</v>
      </c>
    </row>
    <row r="1020" spans="1:59" ht="130.5" x14ac:dyDescent="0.35">
      <c r="A1020" s="2" t="s">
        <v>59</v>
      </c>
      <c r="B1020" s="2" t="s">
        <v>94</v>
      </c>
      <c r="C1020" s="2" t="s">
        <v>10514</v>
      </c>
      <c r="D1020" s="2" t="s">
        <v>10515</v>
      </c>
      <c r="E1020" s="2" t="s">
        <v>10516</v>
      </c>
      <c r="G1020" s="3" t="s">
        <v>64</v>
      </c>
      <c r="I1020" s="3" t="s">
        <v>64</v>
      </c>
      <c r="J1020" s="3" t="s">
        <v>64</v>
      </c>
      <c r="K1020" s="3" t="s">
        <v>65</v>
      </c>
      <c r="L1020" s="2" t="s">
        <v>10517</v>
      </c>
      <c r="M1020" s="2" t="s">
        <v>10518</v>
      </c>
      <c r="N1020" s="3" t="s">
        <v>719</v>
      </c>
      <c r="P1020" s="3" t="s">
        <v>69</v>
      </c>
      <c r="R1020" s="3" t="s">
        <v>9228</v>
      </c>
      <c r="S1020" s="4">
        <v>1</v>
      </c>
      <c r="T1020" s="4">
        <v>1</v>
      </c>
      <c r="U1020" s="5" t="s">
        <v>10519</v>
      </c>
      <c r="V1020" s="5" t="s">
        <v>10519</v>
      </c>
      <c r="W1020" s="5" t="s">
        <v>72</v>
      </c>
      <c r="X1020" s="5" t="s">
        <v>72</v>
      </c>
      <c r="Y1020" s="4">
        <v>340</v>
      </c>
      <c r="Z1020" s="4">
        <v>10</v>
      </c>
      <c r="AA1020" s="4">
        <v>11</v>
      </c>
      <c r="AB1020" s="4">
        <v>1</v>
      </c>
      <c r="AC1020" s="4">
        <v>1</v>
      </c>
      <c r="AD1020" s="4">
        <v>84</v>
      </c>
      <c r="AE1020" s="4">
        <v>85</v>
      </c>
      <c r="AF1020" s="4">
        <v>0</v>
      </c>
      <c r="AG1020" s="4">
        <v>0</v>
      </c>
      <c r="AH1020" s="4">
        <v>77</v>
      </c>
      <c r="AI1020" s="4">
        <v>77</v>
      </c>
      <c r="AJ1020" s="4">
        <v>6</v>
      </c>
      <c r="AK1020" s="4">
        <v>7</v>
      </c>
      <c r="AL1020" s="4">
        <v>46</v>
      </c>
      <c r="AM1020" s="4">
        <v>46</v>
      </c>
      <c r="AN1020" s="4">
        <v>0</v>
      </c>
      <c r="AO1020" s="4">
        <v>0</v>
      </c>
      <c r="AP1020" s="4">
        <v>7</v>
      </c>
      <c r="AQ1020" s="4">
        <v>8</v>
      </c>
      <c r="AR1020" s="3" t="s">
        <v>64</v>
      </c>
      <c r="AS1020" s="3" t="s">
        <v>73</v>
      </c>
      <c r="AT1020" s="3" t="s">
        <v>64</v>
      </c>
      <c r="AU1020" s="6" t="str">
        <f>HYPERLINK("http://catalog.hathitrust.org/Record/001090635","HathiTrust Record")</f>
        <v>HathiTrust Record</v>
      </c>
      <c r="AV1020" s="6" t="str">
        <f>HYPERLINK("http://mcgill.on.worldcat.org/oclc/11688017","Catalog Record")</f>
        <v>Catalog Record</v>
      </c>
      <c r="AW1020" s="6" t="str">
        <f>HYPERLINK("http://www.worldcat.org/oclc/11688017","WorldCat Record")</f>
        <v>WorldCat Record</v>
      </c>
      <c r="AX1020" s="3" t="s">
        <v>10520</v>
      </c>
      <c r="AY1020" s="3" t="s">
        <v>10521</v>
      </c>
      <c r="AZ1020" s="3" t="s">
        <v>10522</v>
      </c>
      <c r="BA1020" s="3" t="s">
        <v>10522</v>
      </c>
      <c r="BB1020" s="3" t="s">
        <v>10523</v>
      </c>
      <c r="BC1020" s="3" t="s">
        <v>78</v>
      </c>
      <c r="BD1020" s="3" t="s">
        <v>79</v>
      </c>
      <c r="BF1020" s="3" t="s">
        <v>10523</v>
      </c>
      <c r="BG1020" s="3" t="s">
        <v>10524</v>
      </c>
    </row>
    <row r="1021" spans="1:59" ht="58" x14ac:dyDescent="0.35">
      <c r="A1021" s="2" t="s">
        <v>59</v>
      </c>
      <c r="B1021" s="2" t="s">
        <v>94</v>
      </c>
      <c r="C1021" s="2" t="s">
        <v>10525</v>
      </c>
      <c r="D1021" s="2" t="s">
        <v>10526</v>
      </c>
      <c r="E1021" s="2" t="s">
        <v>10527</v>
      </c>
      <c r="G1021" s="3" t="s">
        <v>64</v>
      </c>
      <c r="I1021" s="3" t="s">
        <v>64</v>
      </c>
      <c r="J1021" s="3" t="s">
        <v>64</v>
      </c>
      <c r="K1021" s="3" t="s">
        <v>65</v>
      </c>
      <c r="M1021" s="2" t="s">
        <v>10528</v>
      </c>
      <c r="N1021" s="3" t="s">
        <v>328</v>
      </c>
      <c r="P1021" s="3" t="s">
        <v>69</v>
      </c>
      <c r="R1021" s="3" t="s">
        <v>9228</v>
      </c>
      <c r="S1021" s="4">
        <v>4</v>
      </c>
      <c r="T1021" s="4">
        <v>4</v>
      </c>
      <c r="U1021" s="5" t="s">
        <v>10529</v>
      </c>
      <c r="V1021" s="5" t="s">
        <v>10529</v>
      </c>
      <c r="W1021" s="5" t="s">
        <v>72</v>
      </c>
      <c r="X1021" s="5" t="s">
        <v>72</v>
      </c>
      <c r="Y1021" s="4">
        <v>271</v>
      </c>
      <c r="Z1021" s="4">
        <v>8</v>
      </c>
      <c r="AA1021" s="4">
        <v>11</v>
      </c>
      <c r="AB1021" s="4">
        <v>1</v>
      </c>
      <c r="AC1021" s="4">
        <v>3</v>
      </c>
      <c r="AD1021" s="4">
        <v>68</v>
      </c>
      <c r="AE1021" s="4">
        <v>74</v>
      </c>
      <c r="AF1021" s="4">
        <v>0</v>
      </c>
      <c r="AG1021" s="4">
        <v>1</v>
      </c>
      <c r="AH1021" s="4">
        <v>62</v>
      </c>
      <c r="AI1021" s="4">
        <v>68</v>
      </c>
      <c r="AJ1021" s="4">
        <v>5</v>
      </c>
      <c r="AK1021" s="4">
        <v>7</v>
      </c>
      <c r="AL1021" s="4">
        <v>44</v>
      </c>
      <c r="AM1021" s="4">
        <v>46</v>
      </c>
      <c r="AN1021" s="4">
        <v>0</v>
      </c>
      <c r="AO1021" s="4">
        <v>0</v>
      </c>
      <c r="AP1021" s="4">
        <v>5</v>
      </c>
      <c r="AQ1021" s="4">
        <v>7</v>
      </c>
      <c r="AR1021" s="3" t="s">
        <v>64</v>
      </c>
      <c r="AS1021" s="3" t="s">
        <v>64</v>
      </c>
      <c r="AT1021" s="3" t="s">
        <v>64</v>
      </c>
      <c r="AV1021" s="6" t="str">
        <f>HYPERLINK("http://mcgill.on.worldcat.org/oclc/639574034","Catalog Record")</f>
        <v>Catalog Record</v>
      </c>
      <c r="AW1021" s="6" t="str">
        <f>HYPERLINK("http://www.worldcat.org/oclc/639574034","WorldCat Record")</f>
        <v>WorldCat Record</v>
      </c>
      <c r="AX1021" s="3" t="s">
        <v>10530</v>
      </c>
      <c r="AY1021" s="3" t="s">
        <v>10531</v>
      </c>
      <c r="AZ1021" s="3" t="s">
        <v>10532</v>
      </c>
      <c r="BA1021" s="3" t="s">
        <v>10532</v>
      </c>
      <c r="BB1021" s="3" t="s">
        <v>10533</v>
      </c>
      <c r="BC1021" s="3" t="s">
        <v>78</v>
      </c>
      <c r="BD1021" s="3" t="s">
        <v>79</v>
      </c>
      <c r="BE1021" s="3" t="s">
        <v>10534</v>
      </c>
      <c r="BF1021" s="3" t="s">
        <v>10533</v>
      </c>
      <c r="BG1021" s="3" t="s">
        <v>10535</v>
      </c>
    </row>
    <row r="1022" spans="1:59" ht="58" x14ac:dyDescent="0.35">
      <c r="A1022" s="2" t="s">
        <v>59</v>
      </c>
      <c r="B1022" s="2" t="s">
        <v>94</v>
      </c>
      <c r="C1022" s="2" t="s">
        <v>10536</v>
      </c>
      <c r="D1022" s="2" t="s">
        <v>10537</v>
      </c>
      <c r="E1022" s="2" t="s">
        <v>10538</v>
      </c>
      <c r="G1022" s="3" t="s">
        <v>64</v>
      </c>
      <c r="I1022" s="3" t="s">
        <v>64</v>
      </c>
      <c r="J1022" s="3" t="s">
        <v>64</v>
      </c>
      <c r="K1022" s="3" t="s">
        <v>65</v>
      </c>
      <c r="M1022" s="2" t="s">
        <v>10539</v>
      </c>
      <c r="N1022" s="3" t="s">
        <v>861</v>
      </c>
      <c r="P1022" s="3" t="s">
        <v>69</v>
      </c>
      <c r="R1022" s="3" t="s">
        <v>9228</v>
      </c>
      <c r="S1022" s="4">
        <v>4</v>
      </c>
      <c r="T1022" s="4">
        <v>4</v>
      </c>
      <c r="U1022" s="5" t="s">
        <v>10540</v>
      </c>
      <c r="V1022" s="5" t="s">
        <v>10540</v>
      </c>
      <c r="W1022" s="5" t="s">
        <v>72</v>
      </c>
      <c r="X1022" s="5" t="s">
        <v>72</v>
      </c>
      <c r="Y1022" s="4">
        <v>83</v>
      </c>
      <c r="Z1022" s="4">
        <v>5</v>
      </c>
      <c r="AA1022" s="4">
        <v>25</v>
      </c>
      <c r="AB1022" s="4">
        <v>1</v>
      </c>
      <c r="AC1022" s="4">
        <v>10</v>
      </c>
      <c r="AD1022" s="4">
        <v>26</v>
      </c>
      <c r="AE1022" s="4">
        <v>41</v>
      </c>
      <c r="AF1022" s="4">
        <v>0</v>
      </c>
      <c r="AG1022" s="4">
        <v>4</v>
      </c>
      <c r="AH1022" s="4">
        <v>22</v>
      </c>
      <c r="AI1022" s="4">
        <v>28</v>
      </c>
      <c r="AJ1022" s="4">
        <v>4</v>
      </c>
      <c r="AK1022" s="4">
        <v>12</v>
      </c>
      <c r="AL1022" s="4">
        <v>11</v>
      </c>
      <c r="AM1022" s="4">
        <v>12</v>
      </c>
      <c r="AN1022" s="4">
        <v>0</v>
      </c>
      <c r="AO1022" s="4">
        <v>0</v>
      </c>
      <c r="AP1022" s="4">
        <v>4</v>
      </c>
      <c r="AQ1022" s="4">
        <v>18</v>
      </c>
      <c r="AR1022" s="3" t="s">
        <v>64</v>
      </c>
      <c r="AS1022" s="3" t="s">
        <v>64</v>
      </c>
      <c r="AT1022" s="3" t="s">
        <v>64</v>
      </c>
      <c r="AV1022" s="6" t="str">
        <f>HYPERLINK("http://mcgill.on.worldcat.org/oclc/53013060","Catalog Record")</f>
        <v>Catalog Record</v>
      </c>
      <c r="AW1022" s="6" t="str">
        <f>HYPERLINK("http://www.worldcat.org/oclc/53013060","WorldCat Record")</f>
        <v>WorldCat Record</v>
      </c>
      <c r="AX1022" s="3" t="s">
        <v>10541</v>
      </c>
      <c r="AY1022" s="3" t="s">
        <v>10542</v>
      </c>
      <c r="AZ1022" s="3" t="s">
        <v>10543</v>
      </c>
      <c r="BA1022" s="3" t="s">
        <v>10543</v>
      </c>
      <c r="BB1022" s="3" t="s">
        <v>10544</v>
      </c>
      <c r="BC1022" s="3" t="s">
        <v>78</v>
      </c>
      <c r="BD1022" s="3" t="s">
        <v>79</v>
      </c>
      <c r="BE1022" s="3" t="s">
        <v>10545</v>
      </c>
      <c r="BF1022" s="3" t="s">
        <v>10544</v>
      </c>
      <c r="BG1022" s="3" t="s">
        <v>10546</v>
      </c>
    </row>
    <row r="1023" spans="1:59" ht="58" x14ac:dyDescent="0.35">
      <c r="A1023" s="2" t="s">
        <v>59</v>
      </c>
      <c r="B1023" s="2" t="s">
        <v>94</v>
      </c>
      <c r="C1023" s="2" t="s">
        <v>10547</v>
      </c>
      <c r="D1023" s="2" t="s">
        <v>10548</v>
      </c>
      <c r="E1023" s="2" t="s">
        <v>10549</v>
      </c>
      <c r="G1023" s="3" t="s">
        <v>64</v>
      </c>
      <c r="I1023" s="3" t="s">
        <v>64</v>
      </c>
      <c r="J1023" s="3" t="s">
        <v>64</v>
      </c>
      <c r="K1023" s="3" t="s">
        <v>65</v>
      </c>
      <c r="L1023" s="2" t="s">
        <v>10550</v>
      </c>
      <c r="M1023" s="2" t="s">
        <v>1394</v>
      </c>
      <c r="N1023" s="3" t="s">
        <v>651</v>
      </c>
      <c r="P1023" s="3" t="s">
        <v>69</v>
      </c>
      <c r="R1023" s="3" t="s">
        <v>9228</v>
      </c>
      <c r="S1023" s="4">
        <v>5</v>
      </c>
      <c r="T1023" s="4">
        <v>5</v>
      </c>
      <c r="U1023" s="5" t="s">
        <v>9462</v>
      </c>
      <c r="V1023" s="5" t="s">
        <v>9462</v>
      </c>
      <c r="W1023" s="5" t="s">
        <v>72</v>
      </c>
      <c r="X1023" s="5" t="s">
        <v>72</v>
      </c>
      <c r="Y1023" s="4">
        <v>358</v>
      </c>
      <c r="Z1023" s="4">
        <v>17</v>
      </c>
      <c r="AA1023" s="4">
        <v>68</v>
      </c>
      <c r="AB1023" s="4">
        <v>2</v>
      </c>
      <c r="AC1023" s="4">
        <v>8</v>
      </c>
      <c r="AD1023" s="4">
        <v>95</v>
      </c>
      <c r="AE1023" s="4">
        <v>115</v>
      </c>
      <c r="AF1023" s="4">
        <v>1</v>
      </c>
      <c r="AG1023" s="4">
        <v>2</v>
      </c>
      <c r="AH1023" s="4">
        <v>85</v>
      </c>
      <c r="AI1023" s="4">
        <v>96</v>
      </c>
      <c r="AJ1023" s="4">
        <v>11</v>
      </c>
      <c r="AK1023" s="4">
        <v>16</v>
      </c>
      <c r="AL1023" s="4">
        <v>49</v>
      </c>
      <c r="AM1023" s="4">
        <v>53</v>
      </c>
      <c r="AN1023" s="4">
        <v>0</v>
      </c>
      <c r="AO1023" s="4">
        <v>0</v>
      </c>
      <c r="AP1023" s="4">
        <v>12</v>
      </c>
      <c r="AQ1023" s="4">
        <v>25</v>
      </c>
      <c r="AR1023" s="3" t="s">
        <v>64</v>
      </c>
      <c r="AS1023" s="3" t="s">
        <v>64</v>
      </c>
      <c r="AT1023" s="3" t="s">
        <v>64</v>
      </c>
      <c r="AV1023" s="6" t="str">
        <f>HYPERLINK("http://mcgill.on.worldcat.org/oclc/52373901","Catalog Record")</f>
        <v>Catalog Record</v>
      </c>
      <c r="AW1023" s="6" t="str">
        <f>HYPERLINK("http://www.worldcat.org/oclc/52373901","WorldCat Record")</f>
        <v>WorldCat Record</v>
      </c>
      <c r="AX1023" s="3" t="s">
        <v>10551</v>
      </c>
      <c r="AY1023" s="3" t="s">
        <v>10552</v>
      </c>
      <c r="AZ1023" s="3" t="s">
        <v>10553</v>
      </c>
      <c r="BA1023" s="3" t="s">
        <v>10553</v>
      </c>
      <c r="BB1023" s="3" t="s">
        <v>10554</v>
      </c>
      <c r="BC1023" s="3" t="s">
        <v>78</v>
      </c>
      <c r="BD1023" s="3" t="s">
        <v>414</v>
      </c>
      <c r="BE1023" s="3" t="s">
        <v>10555</v>
      </c>
      <c r="BF1023" s="3" t="s">
        <v>10554</v>
      </c>
      <c r="BG1023" s="3" t="s">
        <v>10556</v>
      </c>
    </row>
    <row r="1024" spans="1:59" ht="58" x14ac:dyDescent="0.35">
      <c r="A1024" s="2" t="s">
        <v>59</v>
      </c>
      <c r="B1024" s="2" t="s">
        <v>94</v>
      </c>
      <c r="C1024" s="2" t="s">
        <v>10557</v>
      </c>
      <c r="D1024" s="2" t="s">
        <v>10558</v>
      </c>
      <c r="E1024" s="2" t="s">
        <v>10559</v>
      </c>
      <c r="G1024" s="3" t="s">
        <v>64</v>
      </c>
      <c r="I1024" s="3" t="s">
        <v>64</v>
      </c>
      <c r="J1024" s="3" t="s">
        <v>64</v>
      </c>
      <c r="K1024" s="3" t="s">
        <v>65</v>
      </c>
      <c r="L1024" s="2" t="s">
        <v>10560</v>
      </c>
      <c r="M1024" s="2" t="s">
        <v>10561</v>
      </c>
      <c r="N1024" s="3" t="s">
        <v>1227</v>
      </c>
      <c r="P1024" s="3" t="s">
        <v>69</v>
      </c>
      <c r="R1024" s="3" t="s">
        <v>9228</v>
      </c>
      <c r="S1024" s="4">
        <v>2</v>
      </c>
      <c r="T1024" s="4">
        <v>2</v>
      </c>
      <c r="U1024" s="5" t="s">
        <v>10562</v>
      </c>
      <c r="V1024" s="5" t="s">
        <v>10562</v>
      </c>
      <c r="W1024" s="5" t="s">
        <v>72</v>
      </c>
      <c r="X1024" s="5" t="s">
        <v>72</v>
      </c>
      <c r="Y1024" s="4">
        <v>3</v>
      </c>
      <c r="Z1024" s="4">
        <v>1</v>
      </c>
      <c r="AA1024" s="4">
        <v>34</v>
      </c>
      <c r="AB1024" s="4">
        <v>1</v>
      </c>
      <c r="AC1024" s="4">
        <v>6</v>
      </c>
      <c r="AD1024" s="4">
        <v>0</v>
      </c>
      <c r="AE1024" s="4">
        <v>115</v>
      </c>
      <c r="AF1024" s="4">
        <v>0</v>
      </c>
      <c r="AG1024" s="4">
        <v>4</v>
      </c>
      <c r="AH1024" s="4">
        <v>0</v>
      </c>
      <c r="AI1024" s="4">
        <v>96</v>
      </c>
      <c r="AJ1024" s="4">
        <v>0</v>
      </c>
      <c r="AK1024" s="4">
        <v>22</v>
      </c>
      <c r="AL1024" s="4">
        <v>0</v>
      </c>
      <c r="AM1024" s="4">
        <v>51</v>
      </c>
      <c r="AN1024" s="4">
        <v>0</v>
      </c>
      <c r="AO1024" s="4">
        <v>0</v>
      </c>
      <c r="AP1024" s="4">
        <v>0</v>
      </c>
      <c r="AQ1024" s="4">
        <v>26</v>
      </c>
      <c r="AR1024" s="3" t="s">
        <v>64</v>
      </c>
      <c r="AS1024" s="3" t="s">
        <v>64</v>
      </c>
      <c r="AT1024" s="3" t="s">
        <v>73</v>
      </c>
      <c r="AU1024" s="6" t="str">
        <f>HYPERLINK("http://catalog.hathitrust.org/Record/000182560","HathiTrust Record")</f>
        <v>HathiTrust Record</v>
      </c>
      <c r="AV1024" s="6" t="str">
        <f>HYPERLINK("http://mcgill.on.worldcat.org/oclc/427860764","Catalog Record")</f>
        <v>Catalog Record</v>
      </c>
      <c r="AW1024" s="6" t="str">
        <f>HYPERLINK("http://www.worldcat.org/oclc/427860764","WorldCat Record")</f>
        <v>WorldCat Record</v>
      </c>
      <c r="AX1024" s="3" t="s">
        <v>10563</v>
      </c>
      <c r="AY1024" s="3" t="s">
        <v>10564</v>
      </c>
      <c r="AZ1024" s="3" t="s">
        <v>10565</v>
      </c>
      <c r="BA1024" s="3" t="s">
        <v>10565</v>
      </c>
      <c r="BB1024" s="3" t="s">
        <v>10566</v>
      </c>
      <c r="BC1024" s="3" t="s">
        <v>78</v>
      </c>
      <c r="BD1024" s="3" t="s">
        <v>79</v>
      </c>
      <c r="BE1024" s="3" t="s">
        <v>10567</v>
      </c>
      <c r="BF1024" s="3" t="s">
        <v>10566</v>
      </c>
      <c r="BG1024" s="3" t="s">
        <v>10568</v>
      </c>
    </row>
    <row r="1025" spans="1:59" ht="58" x14ac:dyDescent="0.35">
      <c r="A1025" s="2" t="s">
        <v>59</v>
      </c>
      <c r="B1025" s="2" t="s">
        <v>94</v>
      </c>
      <c r="C1025" s="2" t="s">
        <v>10569</v>
      </c>
      <c r="D1025" s="2" t="s">
        <v>10570</v>
      </c>
      <c r="E1025" s="2" t="s">
        <v>10571</v>
      </c>
      <c r="G1025" s="3" t="s">
        <v>64</v>
      </c>
      <c r="I1025" s="3" t="s">
        <v>64</v>
      </c>
      <c r="J1025" s="3" t="s">
        <v>64</v>
      </c>
      <c r="K1025" s="3" t="s">
        <v>65</v>
      </c>
      <c r="L1025" s="2" t="s">
        <v>10572</v>
      </c>
      <c r="M1025" s="2" t="s">
        <v>10573</v>
      </c>
      <c r="N1025" s="3" t="s">
        <v>377</v>
      </c>
      <c r="P1025" s="3" t="s">
        <v>69</v>
      </c>
      <c r="Q1025" s="2" t="s">
        <v>5134</v>
      </c>
      <c r="R1025" s="3" t="s">
        <v>9228</v>
      </c>
      <c r="S1025" s="4">
        <v>0</v>
      </c>
      <c r="T1025" s="4">
        <v>0</v>
      </c>
      <c r="W1025" s="5" t="s">
        <v>72</v>
      </c>
      <c r="X1025" s="5" t="s">
        <v>72</v>
      </c>
      <c r="Y1025" s="4">
        <v>84</v>
      </c>
      <c r="Z1025" s="4">
        <v>5</v>
      </c>
      <c r="AA1025" s="4">
        <v>110</v>
      </c>
      <c r="AB1025" s="4">
        <v>1</v>
      </c>
      <c r="AC1025" s="4">
        <v>17</v>
      </c>
      <c r="AD1025" s="4">
        <v>47</v>
      </c>
      <c r="AE1025" s="4">
        <v>135</v>
      </c>
      <c r="AF1025" s="4">
        <v>0</v>
      </c>
      <c r="AG1025" s="4">
        <v>8</v>
      </c>
      <c r="AH1025" s="4">
        <v>45</v>
      </c>
      <c r="AI1025" s="4">
        <v>93</v>
      </c>
      <c r="AJ1025" s="4">
        <v>3</v>
      </c>
      <c r="AK1025" s="4">
        <v>22</v>
      </c>
      <c r="AL1025" s="4">
        <v>27</v>
      </c>
      <c r="AM1025" s="4">
        <v>51</v>
      </c>
      <c r="AN1025" s="4">
        <v>0</v>
      </c>
      <c r="AO1025" s="4">
        <v>0</v>
      </c>
      <c r="AP1025" s="4">
        <v>3</v>
      </c>
      <c r="AQ1025" s="4">
        <v>45</v>
      </c>
      <c r="AR1025" s="3" t="s">
        <v>64</v>
      </c>
      <c r="AS1025" s="3" t="s">
        <v>64</v>
      </c>
      <c r="AT1025" s="3" t="s">
        <v>64</v>
      </c>
      <c r="AV1025" s="6" t="str">
        <f>HYPERLINK("http://mcgill.on.worldcat.org/oclc/818327387","Catalog Record")</f>
        <v>Catalog Record</v>
      </c>
      <c r="AW1025" s="6" t="str">
        <f>HYPERLINK("http://www.worldcat.org/oclc/818327387","WorldCat Record")</f>
        <v>WorldCat Record</v>
      </c>
      <c r="AX1025" s="3" t="s">
        <v>10574</v>
      </c>
      <c r="AY1025" s="3" t="s">
        <v>10575</v>
      </c>
      <c r="AZ1025" s="3" t="s">
        <v>10576</v>
      </c>
      <c r="BA1025" s="3" t="s">
        <v>10576</v>
      </c>
      <c r="BB1025" s="3" t="s">
        <v>10577</v>
      </c>
      <c r="BC1025" s="3" t="s">
        <v>78</v>
      </c>
      <c r="BD1025" s="3" t="s">
        <v>79</v>
      </c>
      <c r="BE1025" s="3" t="s">
        <v>10578</v>
      </c>
      <c r="BF1025" s="3" t="s">
        <v>10577</v>
      </c>
      <c r="BG1025" s="3" t="s">
        <v>10579</v>
      </c>
    </row>
    <row r="1026" spans="1:59" ht="72.5" x14ac:dyDescent="0.35">
      <c r="A1026" s="2" t="s">
        <v>59</v>
      </c>
      <c r="B1026" s="2" t="s">
        <v>94</v>
      </c>
      <c r="C1026" s="2" t="s">
        <v>10580</v>
      </c>
      <c r="D1026" s="2" t="s">
        <v>10581</v>
      </c>
      <c r="E1026" s="2" t="s">
        <v>10582</v>
      </c>
      <c r="G1026" s="3" t="s">
        <v>64</v>
      </c>
      <c r="I1026" s="3" t="s">
        <v>64</v>
      </c>
      <c r="J1026" s="3" t="s">
        <v>64</v>
      </c>
      <c r="K1026" s="3" t="s">
        <v>65</v>
      </c>
      <c r="L1026" s="2" t="s">
        <v>10583</v>
      </c>
      <c r="M1026" s="2" t="s">
        <v>2030</v>
      </c>
      <c r="N1026" s="3" t="s">
        <v>524</v>
      </c>
      <c r="P1026" s="3" t="s">
        <v>69</v>
      </c>
      <c r="Q1026" s="2" t="s">
        <v>5134</v>
      </c>
      <c r="R1026" s="3" t="s">
        <v>9228</v>
      </c>
      <c r="S1026" s="4">
        <v>1</v>
      </c>
      <c r="T1026" s="4">
        <v>1</v>
      </c>
      <c r="U1026" s="5" t="s">
        <v>10584</v>
      </c>
      <c r="V1026" s="5" t="s">
        <v>10584</v>
      </c>
      <c r="W1026" s="5" t="s">
        <v>72</v>
      </c>
      <c r="X1026" s="5" t="s">
        <v>72</v>
      </c>
      <c r="Y1026" s="4">
        <v>91</v>
      </c>
      <c r="Z1026" s="4">
        <v>6</v>
      </c>
      <c r="AA1026" s="4">
        <v>71</v>
      </c>
      <c r="AB1026" s="4">
        <v>1</v>
      </c>
      <c r="AC1026" s="4">
        <v>8</v>
      </c>
      <c r="AD1026" s="4">
        <v>46</v>
      </c>
      <c r="AE1026" s="4">
        <v>113</v>
      </c>
      <c r="AF1026" s="4">
        <v>0</v>
      </c>
      <c r="AG1026" s="4">
        <v>2</v>
      </c>
      <c r="AH1026" s="4">
        <v>45</v>
      </c>
      <c r="AI1026" s="4">
        <v>87</v>
      </c>
      <c r="AJ1026" s="4">
        <v>2</v>
      </c>
      <c r="AK1026" s="4">
        <v>16</v>
      </c>
      <c r="AL1026" s="4">
        <v>26</v>
      </c>
      <c r="AM1026" s="4">
        <v>46</v>
      </c>
      <c r="AN1026" s="4">
        <v>0</v>
      </c>
      <c r="AO1026" s="4">
        <v>0</v>
      </c>
      <c r="AP1026" s="4">
        <v>3</v>
      </c>
      <c r="AQ1026" s="4">
        <v>32</v>
      </c>
      <c r="AR1026" s="3" t="s">
        <v>64</v>
      </c>
      <c r="AS1026" s="3" t="s">
        <v>64</v>
      </c>
      <c r="AT1026" s="3" t="s">
        <v>64</v>
      </c>
      <c r="AV1026" s="6" t="str">
        <f>HYPERLINK("http://mcgill.on.worldcat.org/oclc/823045478","Catalog Record")</f>
        <v>Catalog Record</v>
      </c>
      <c r="AW1026" s="6" t="str">
        <f>HYPERLINK("http://www.worldcat.org/oclc/823045478","WorldCat Record")</f>
        <v>WorldCat Record</v>
      </c>
      <c r="AX1026" s="3" t="s">
        <v>10585</v>
      </c>
      <c r="AY1026" s="3" t="s">
        <v>10586</v>
      </c>
      <c r="AZ1026" s="3" t="s">
        <v>10587</v>
      </c>
      <c r="BA1026" s="3" t="s">
        <v>10587</v>
      </c>
      <c r="BB1026" s="3" t="s">
        <v>10588</v>
      </c>
      <c r="BC1026" s="3" t="s">
        <v>78</v>
      </c>
      <c r="BD1026" s="3" t="s">
        <v>79</v>
      </c>
      <c r="BE1026" s="3" t="s">
        <v>10589</v>
      </c>
      <c r="BF1026" s="3" t="s">
        <v>10588</v>
      </c>
      <c r="BG1026" s="3" t="s">
        <v>10590</v>
      </c>
    </row>
    <row r="1027" spans="1:59" ht="58" x14ac:dyDescent="0.35">
      <c r="A1027" s="2" t="s">
        <v>59</v>
      </c>
      <c r="B1027" s="2" t="s">
        <v>94</v>
      </c>
      <c r="C1027" s="2" t="s">
        <v>10591</v>
      </c>
      <c r="D1027" s="2" t="s">
        <v>10592</v>
      </c>
      <c r="E1027" s="2" t="s">
        <v>10593</v>
      </c>
      <c r="G1027" s="3" t="s">
        <v>64</v>
      </c>
      <c r="I1027" s="3" t="s">
        <v>64</v>
      </c>
      <c r="J1027" s="3" t="s">
        <v>64</v>
      </c>
      <c r="K1027" s="3" t="s">
        <v>65</v>
      </c>
      <c r="L1027" s="2" t="s">
        <v>10594</v>
      </c>
      <c r="M1027" s="2" t="s">
        <v>10595</v>
      </c>
      <c r="N1027" s="3" t="s">
        <v>861</v>
      </c>
      <c r="P1027" s="3" t="s">
        <v>69</v>
      </c>
      <c r="R1027" s="3" t="s">
        <v>9228</v>
      </c>
      <c r="S1027" s="4">
        <v>11</v>
      </c>
      <c r="T1027" s="4">
        <v>11</v>
      </c>
      <c r="U1027" s="5" t="s">
        <v>6823</v>
      </c>
      <c r="V1027" s="5" t="s">
        <v>6823</v>
      </c>
      <c r="W1027" s="5" t="s">
        <v>72</v>
      </c>
      <c r="X1027" s="5" t="s">
        <v>72</v>
      </c>
      <c r="Y1027" s="4">
        <v>366</v>
      </c>
      <c r="Z1027" s="4">
        <v>18</v>
      </c>
      <c r="AA1027" s="4">
        <v>20</v>
      </c>
      <c r="AB1027" s="4">
        <v>2</v>
      </c>
      <c r="AC1027" s="4">
        <v>4</v>
      </c>
      <c r="AD1027" s="4">
        <v>94</v>
      </c>
      <c r="AE1027" s="4">
        <v>96</v>
      </c>
      <c r="AF1027" s="4">
        <v>1</v>
      </c>
      <c r="AG1027" s="4">
        <v>3</v>
      </c>
      <c r="AH1027" s="4">
        <v>85</v>
      </c>
      <c r="AI1027" s="4">
        <v>86</v>
      </c>
      <c r="AJ1027" s="4">
        <v>10</v>
      </c>
      <c r="AK1027" s="4">
        <v>12</v>
      </c>
      <c r="AL1027" s="4">
        <v>49</v>
      </c>
      <c r="AM1027" s="4">
        <v>49</v>
      </c>
      <c r="AN1027" s="4">
        <v>0</v>
      </c>
      <c r="AO1027" s="4">
        <v>0</v>
      </c>
      <c r="AP1027" s="4">
        <v>12</v>
      </c>
      <c r="AQ1027" s="4">
        <v>14</v>
      </c>
      <c r="AR1027" s="3" t="s">
        <v>64</v>
      </c>
      <c r="AS1027" s="3" t="s">
        <v>64</v>
      </c>
      <c r="AT1027" s="3" t="s">
        <v>64</v>
      </c>
      <c r="AV1027" s="6" t="str">
        <f>HYPERLINK("http://mcgill.on.worldcat.org/oclc/54529575","Catalog Record")</f>
        <v>Catalog Record</v>
      </c>
      <c r="AW1027" s="6" t="str">
        <f>HYPERLINK("http://www.worldcat.org/oclc/54529575","WorldCat Record")</f>
        <v>WorldCat Record</v>
      </c>
      <c r="AX1027" s="3" t="s">
        <v>10596</v>
      </c>
      <c r="AY1027" s="3" t="s">
        <v>10597</v>
      </c>
      <c r="AZ1027" s="3" t="s">
        <v>10598</v>
      </c>
      <c r="BA1027" s="3" t="s">
        <v>10598</v>
      </c>
      <c r="BB1027" s="3" t="s">
        <v>10599</v>
      </c>
      <c r="BC1027" s="3" t="s">
        <v>78</v>
      </c>
      <c r="BD1027" s="3" t="s">
        <v>79</v>
      </c>
      <c r="BE1027" s="3" t="s">
        <v>10600</v>
      </c>
      <c r="BF1027" s="3" t="s">
        <v>10599</v>
      </c>
      <c r="BG1027" s="3" t="s">
        <v>10601</v>
      </c>
    </row>
    <row r="1028" spans="1:59" ht="58" x14ac:dyDescent="0.35">
      <c r="A1028" s="2" t="s">
        <v>59</v>
      </c>
      <c r="B1028" s="2" t="s">
        <v>94</v>
      </c>
      <c r="C1028" s="2" t="s">
        <v>10602</v>
      </c>
      <c r="D1028" s="2" t="s">
        <v>10603</v>
      </c>
      <c r="E1028" s="2" t="s">
        <v>10604</v>
      </c>
      <c r="G1028" s="3" t="s">
        <v>64</v>
      </c>
      <c r="I1028" s="3" t="s">
        <v>64</v>
      </c>
      <c r="J1028" s="3" t="s">
        <v>64</v>
      </c>
      <c r="K1028" s="3" t="s">
        <v>65</v>
      </c>
      <c r="L1028" s="2" t="s">
        <v>10594</v>
      </c>
      <c r="M1028" s="2" t="s">
        <v>10605</v>
      </c>
      <c r="N1028" s="3" t="s">
        <v>1029</v>
      </c>
      <c r="P1028" s="3" t="s">
        <v>69</v>
      </c>
      <c r="Q1028" s="2" t="s">
        <v>450</v>
      </c>
      <c r="R1028" s="3" t="s">
        <v>9228</v>
      </c>
      <c r="S1028" s="4">
        <v>2</v>
      </c>
      <c r="T1028" s="4">
        <v>2</v>
      </c>
      <c r="U1028" s="5" t="s">
        <v>9925</v>
      </c>
      <c r="V1028" s="5" t="s">
        <v>9925</v>
      </c>
      <c r="W1028" s="5" t="s">
        <v>72</v>
      </c>
      <c r="X1028" s="5" t="s">
        <v>72</v>
      </c>
      <c r="Y1028" s="4">
        <v>319</v>
      </c>
      <c r="Z1028" s="4">
        <v>14</v>
      </c>
      <c r="AA1028" s="4">
        <v>86</v>
      </c>
      <c r="AB1028" s="4">
        <v>2</v>
      </c>
      <c r="AC1028" s="4">
        <v>16</v>
      </c>
      <c r="AD1028" s="4">
        <v>75</v>
      </c>
      <c r="AE1028" s="4">
        <v>129</v>
      </c>
      <c r="AF1028" s="4">
        <v>0</v>
      </c>
      <c r="AG1028" s="4">
        <v>8</v>
      </c>
      <c r="AH1028" s="4">
        <v>70</v>
      </c>
      <c r="AI1028" s="4">
        <v>92</v>
      </c>
      <c r="AJ1028" s="4">
        <v>7</v>
      </c>
      <c r="AK1028" s="4">
        <v>22</v>
      </c>
      <c r="AL1028" s="4">
        <v>43</v>
      </c>
      <c r="AM1028" s="4">
        <v>50</v>
      </c>
      <c r="AN1028" s="4">
        <v>0</v>
      </c>
      <c r="AO1028" s="4">
        <v>0</v>
      </c>
      <c r="AP1028" s="4">
        <v>9</v>
      </c>
      <c r="AQ1028" s="4">
        <v>43</v>
      </c>
      <c r="AR1028" s="3" t="s">
        <v>64</v>
      </c>
      <c r="AS1028" s="3" t="s">
        <v>64</v>
      </c>
      <c r="AT1028" s="3" t="s">
        <v>64</v>
      </c>
      <c r="AV1028" s="6" t="str">
        <f>HYPERLINK("http://mcgill.on.worldcat.org/oclc/283802750","Catalog Record")</f>
        <v>Catalog Record</v>
      </c>
      <c r="AW1028" s="6" t="str">
        <f>HYPERLINK("http://www.worldcat.org/oclc/283802750","WorldCat Record")</f>
        <v>WorldCat Record</v>
      </c>
      <c r="AX1028" s="3" t="s">
        <v>10606</v>
      </c>
      <c r="AY1028" s="3" t="s">
        <v>10607</v>
      </c>
      <c r="AZ1028" s="3" t="s">
        <v>10608</v>
      </c>
      <c r="BA1028" s="3" t="s">
        <v>10608</v>
      </c>
      <c r="BB1028" s="3" t="s">
        <v>10609</v>
      </c>
      <c r="BC1028" s="3" t="s">
        <v>78</v>
      </c>
      <c r="BD1028" s="3" t="s">
        <v>79</v>
      </c>
      <c r="BE1028" s="3" t="s">
        <v>10610</v>
      </c>
      <c r="BF1028" s="3" t="s">
        <v>10609</v>
      </c>
      <c r="BG1028" s="3" t="s">
        <v>10611</v>
      </c>
    </row>
    <row r="1029" spans="1:59" ht="58" x14ac:dyDescent="0.35">
      <c r="A1029" s="2" t="s">
        <v>59</v>
      </c>
      <c r="B1029" s="2" t="s">
        <v>94</v>
      </c>
      <c r="C1029" s="2" t="s">
        <v>10612</v>
      </c>
      <c r="D1029" s="2" t="s">
        <v>10613</v>
      </c>
      <c r="E1029" s="2" t="s">
        <v>10614</v>
      </c>
      <c r="G1029" s="3" t="s">
        <v>64</v>
      </c>
      <c r="I1029" s="3" t="s">
        <v>64</v>
      </c>
      <c r="J1029" s="3" t="s">
        <v>64</v>
      </c>
      <c r="K1029" s="3" t="s">
        <v>65</v>
      </c>
      <c r="L1029" s="2" t="s">
        <v>10615</v>
      </c>
      <c r="M1029" s="2" t="s">
        <v>10616</v>
      </c>
      <c r="N1029" s="3" t="s">
        <v>3181</v>
      </c>
      <c r="P1029" s="3" t="s">
        <v>69</v>
      </c>
      <c r="R1029" s="3" t="s">
        <v>9228</v>
      </c>
      <c r="S1029" s="4">
        <v>1</v>
      </c>
      <c r="T1029" s="4">
        <v>1</v>
      </c>
      <c r="U1029" s="5" t="s">
        <v>10617</v>
      </c>
      <c r="V1029" s="5" t="s">
        <v>10617</v>
      </c>
      <c r="W1029" s="5" t="s">
        <v>72</v>
      </c>
      <c r="X1029" s="5" t="s">
        <v>72</v>
      </c>
      <c r="Y1029" s="4">
        <v>447</v>
      </c>
      <c r="Z1029" s="4">
        <v>21</v>
      </c>
      <c r="AA1029" s="4">
        <v>22</v>
      </c>
      <c r="AB1029" s="4">
        <v>2</v>
      </c>
      <c r="AC1029" s="4">
        <v>2</v>
      </c>
      <c r="AD1029" s="4">
        <v>89</v>
      </c>
      <c r="AE1029" s="4">
        <v>90</v>
      </c>
      <c r="AF1029" s="4">
        <v>1</v>
      </c>
      <c r="AG1029" s="4">
        <v>1</v>
      </c>
      <c r="AH1029" s="4">
        <v>75</v>
      </c>
      <c r="AI1029" s="4">
        <v>76</v>
      </c>
      <c r="AJ1029" s="4">
        <v>15</v>
      </c>
      <c r="AK1029" s="4">
        <v>16</v>
      </c>
      <c r="AL1029" s="4">
        <v>43</v>
      </c>
      <c r="AM1029" s="4">
        <v>43</v>
      </c>
      <c r="AN1029" s="4">
        <v>0</v>
      </c>
      <c r="AO1029" s="4">
        <v>0</v>
      </c>
      <c r="AP1029" s="4">
        <v>17</v>
      </c>
      <c r="AQ1029" s="4">
        <v>18</v>
      </c>
      <c r="AR1029" s="3" t="s">
        <v>64</v>
      </c>
      <c r="AS1029" s="3" t="s">
        <v>64</v>
      </c>
      <c r="AT1029" s="3" t="s">
        <v>73</v>
      </c>
      <c r="AU1029" s="6" t="str">
        <f>HYPERLINK("http://catalog.hathitrust.org/Record/001047766","HathiTrust Record")</f>
        <v>HathiTrust Record</v>
      </c>
      <c r="AV1029" s="6" t="str">
        <f>HYPERLINK("http://mcgill.on.worldcat.org/oclc/163484","Catalog Record")</f>
        <v>Catalog Record</v>
      </c>
      <c r="AW1029" s="6" t="str">
        <f>HYPERLINK("http://www.worldcat.org/oclc/163484","WorldCat Record")</f>
        <v>WorldCat Record</v>
      </c>
      <c r="AX1029" s="3" t="s">
        <v>10618</v>
      </c>
      <c r="AY1029" s="3" t="s">
        <v>10619</v>
      </c>
      <c r="AZ1029" s="3" t="s">
        <v>10620</v>
      </c>
      <c r="BA1029" s="3" t="s">
        <v>10620</v>
      </c>
      <c r="BB1029" s="3" t="s">
        <v>10621</v>
      </c>
      <c r="BC1029" s="3" t="s">
        <v>78</v>
      </c>
      <c r="BD1029" s="3" t="s">
        <v>79</v>
      </c>
      <c r="BE1029" s="3" t="s">
        <v>10622</v>
      </c>
      <c r="BF1029" s="3" t="s">
        <v>10621</v>
      </c>
      <c r="BG1029" s="3" t="s">
        <v>10623</v>
      </c>
    </row>
    <row r="1030" spans="1:59" ht="58" x14ac:dyDescent="0.35">
      <c r="A1030" s="2" t="s">
        <v>59</v>
      </c>
      <c r="B1030" s="2" t="s">
        <v>94</v>
      </c>
      <c r="C1030" s="2" t="s">
        <v>10624</v>
      </c>
      <c r="D1030" s="2" t="s">
        <v>10625</v>
      </c>
      <c r="E1030" s="2" t="s">
        <v>10626</v>
      </c>
      <c r="G1030" s="3" t="s">
        <v>64</v>
      </c>
      <c r="I1030" s="3" t="s">
        <v>64</v>
      </c>
      <c r="J1030" s="3" t="s">
        <v>64</v>
      </c>
      <c r="K1030" s="3" t="s">
        <v>65</v>
      </c>
      <c r="L1030" s="2" t="s">
        <v>10627</v>
      </c>
      <c r="M1030" s="2" t="s">
        <v>10628</v>
      </c>
      <c r="N1030" s="3" t="s">
        <v>214</v>
      </c>
      <c r="P1030" s="3" t="s">
        <v>69</v>
      </c>
      <c r="R1030" s="3" t="s">
        <v>9228</v>
      </c>
      <c r="S1030" s="4">
        <v>1</v>
      </c>
      <c r="T1030" s="4">
        <v>1</v>
      </c>
      <c r="U1030" s="5" t="s">
        <v>8933</v>
      </c>
      <c r="V1030" s="5" t="s">
        <v>8933</v>
      </c>
      <c r="W1030" s="5" t="s">
        <v>72</v>
      </c>
      <c r="X1030" s="5" t="s">
        <v>72</v>
      </c>
      <c r="Y1030" s="4">
        <v>238</v>
      </c>
      <c r="Z1030" s="4">
        <v>11</v>
      </c>
      <c r="AA1030" s="4">
        <v>54</v>
      </c>
      <c r="AB1030" s="4">
        <v>1</v>
      </c>
      <c r="AC1030" s="4">
        <v>11</v>
      </c>
      <c r="AD1030" s="4">
        <v>59</v>
      </c>
      <c r="AE1030" s="4">
        <v>97</v>
      </c>
      <c r="AF1030" s="4">
        <v>0</v>
      </c>
      <c r="AG1030" s="4">
        <v>3</v>
      </c>
      <c r="AH1030" s="4">
        <v>57</v>
      </c>
      <c r="AI1030" s="4">
        <v>79</v>
      </c>
      <c r="AJ1030" s="4">
        <v>6</v>
      </c>
      <c r="AK1030" s="4">
        <v>15</v>
      </c>
      <c r="AL1030" s="4">
        <v>36</v>
      </c>
      <c r="AM1030" s="4">
        <v>45</v>
      </c>
      <c r="AN1030" s="4">
        <v>0</v>
      </c>
      <c r="AO1030" s="4">
        <v>0</v>
      </c>
      <c r="AP1030" s="4">
        <v>7</v>
      </c>
      <c r="AQ1030" s="4">
        <v>23</v>
      </c>
      <c r="AR1030" s="3" t="s">
        <v>64</v>
      </c>
      <c r="AS1030" s="3" t="s">
        <v>64</v>
      </c>
      <c r="AT1030" s="3" t="s">
        <v>64</v>
      </c>
      <c r="AV1030" s="6" t="str">
        <f>HYPERLINK("http://mcgill.on.worldcat.org/oclc/519826450","Catalog Record")</f>
        <v>Catalog Record</v>
      </c>
      <c r="AW1030" s="6" t="str">
        <f>HYPERLINK("http://www.worldcat.org/oclc/519826450","WorldCat Record")</f>
        <v>WorldCat Record</v>
      </c>
      <c r="AX1030" s="3" t="s">
        <v>10629</v>
      </c>
      <c r="AY1030" s="3" t="s">
        <v>10630</v>
      </c>
      <c r="AZ1030" s="3" t="s">
        <v>10631</v>
      </c>
      <c r="BA1030" s="3" t="s">
        <v>10631</v>
      </c>
      <c r="BB1030" s="3" t="s">
        <v>10632</v>
      </c>
      <c r="BC1030" s="3" t="s">
        <v>78</v>
      </c>
      <c r="BD1030" s="3" t="s">
        <v>79</v>
      </c>
      <c r="BE1030" s="3" t="s">
        <v>10633</v>
      </c>
      <c r="BF1030" s="3" t="s">
        <v>10632</v>
      </c>
      <c r="BG1030" s="3" t="s">
        <v>10634</v>
      </c>
    </row>
    <row r="1031" spans="1:59" ht="58" x14ac:dyDescent="0.35">
      <c r="A1031" s="2" t="s">
        <v>59</v>
      </c>
      <c r="B1031" s="2" t="s">
        <v>94</v>
      </c>
      <c r="C1031" s="2" t="s">
        <v>10635</v>
      </c>
      <c r="D1031" s="2" t="s">
        <v>10636</v>
      </c>
      <c r="E1031" s="2" t="s">
        <v>10637</v>
      </c>
      <c r="G1031" s="3" t="s">
        <v>64</v>
      </c>
      <c r="I1031" s="3" t="s">
        <v>64</v>
      </c>
      <c r="J1031" s="3" t="s">
        <v>64</v>
      </c>
      <c r="K1031" s="3" t="s">
        <v>65</v>
      </c>
      <c r="L1031" s="2" t="s">
        <v>10638</v>
      </c>
      <c r="M1031" s="2" t="s">
        <v>10639</v>
      </c>
      <c r="N1031" s="3" t="s">
        <v>1813</v>
      </c>
      <c r="P1031" s="3" t="s">
        <v>69</v>
      </c>
      <c r="R1031" s="3" t="s">
        <v>9228</v>
      </c>
      <c r="S1031" s="4">
        <v>0</v>
      </c>
      <c r="T1031" s="4">
        <v>0</v>
      </c>
      <c r="W1031" s="5" t="s">
        <v>72</v>
      </c>
      <c r="X1031" s="5" t="s">
        <v>72</v>
      </c>
      <c r="Y1031" s="4">
        <v>340</v>
      </c>
      <c r="Z1031" s="4">
        <v>10</v>
      </c>
      <c r="AA1031" s="4">
        <v>102</v>
      </c>
      <c r="AB1031" s="4">
        <v>3</v>
      </c>
      <c r="AC1031" s="4">
        <v>14</v>
      </c>
      <c r="AD1031" s="4">
        <v>57</v>
      </c>
      <c r="AE1031" s="4">
        <v>126</v>
      </c>
      <c r="AF1031" s="4">
        <v>2</v>
      </c>
      <c r="AG1031" s="4">
        <v>8</v>
      </c>
      <c r="AH1031" s="4">
        <v>49</v>
      </c>
      <c r="AI1031" s="4">
        <v>86</v>
      </c>
      <c r="AJ1031" s="4">
        <v>3</v>
      </c>
      <c r="AK1031" s="4">
        <v>20</v>
      </c>
      <c r="AL1031" s="4">
        <v>36</v>
      </c>
      <c r="AM1031" s="4">
        <v>47</v>
      </c>
      <c r="AN1031" s="4">
        <v>0</v>
      </c>
      <c r="AO1031" s="4">
        <v>0</v>
      </c>
      <c r="AP1031" s="4">
        <v>7</v>
      </c>
      <c r="AQ1031" s="4">
        <v>44</v>
      </c>
      <c r="AR1031" s="3" t="s">
        <v>64</v>
      </c>
      <c r="AS1031" s="3" t="s">
        <v>64</v>
      </c>
      <c r="AT1031" s="3" t="s">
        <v>64</v>
      </c>
      <c r="AV1031" s="6" t="str">
        <f>HYPERLINK("http://mcgill.on.worldcat.org/oclc/908286962","Catalog Record")</f>
        <v>Catalog Record</v>
      </c>
      <c r="AW1031" s="6" t="str">
        <f>HYPERLINK("http://www.worldcat.org/oclc/908286962","WorldCat Record")</f>
        <v>WorldCat Record</v>
      </c>
      <c r="AX1031" s="3" t="s">
        <v>10640</v>
      </c>
      <c r="AY1031" s="3" t="s">
        <v>10641</v>
      </c>
      <c r="AZ1031" s="3" t="s">
        <v>10642</v>
      </c>
      <c r="BA1031" s="3" t="s">
        <v>10642</v>
      </c>
      <c r="BB1031" s="3" t="s">
        <v>10643</v>
      </c>
      <c r="BC1031" s="3" t="s">
        <v>78</v>
      </c>
      <c r="BD1031" s="3" t="s">
        <v>79</v>
      </c>
      <c r="BE1031" s="3" t="s">
        <v>10644</v>
      </c>
      <c r="BF1031" s="3" t="s">
        <v>10643</v>
      </c>
      <c r="BG1031" s="3" t="s">
        <v>10645</v>
      </c>
    </row>
    <row r="1032" spans="1:59" ht="58" x14ac:dyDescent="0.35">
      <c r="A1032" s="2" t="s">
        <v>59</v>
      </c>
      <c r="B1032" s="2" t="s">
        <v>94</v>
      </c>
      <c r="C1032" s="2" t="s">
        <v>10646</v>
      </c>
      <c r="D1032" s="2" t="s">
        <v>10647</v>
      </c>
      <c r="E1032" s="2" t="s">
        <v>10648</v>
      </c>
      <c r="G1032" s="3" t="s">
        <v>64</v>
      </c>
      <c r="I1032" s="3" t="s">
        <v>64</v>
      </c>
      <c r="J1032" s="3" t="s">
        <v>64</v>
      </c>
      <c r="K1032" s="3" t="s">
        <v>65</v>
      </c>
      <c r="L1032" s="2" t="s">
        <v>10649</v>
      </c>
      <c r="M1032" s="2" t="s">
        <v>10650</v>
      </c>
      <c r="N1032" s="3" t="s">
        <v>1320</v>
      </c>
      <c r="P1032" s="3" t="s">
        <v>69</v>
      </c>
      <c r="Q1032" s="2" t="s">
        <v>450</v>
      </c>
      <c r="R1032" s="3" t="s">
        <v>9228</v>
      </c>
      <c r="S1032" s="4">
        <v>14</v>
      </c>
      <c r="T1032" s="4">
        <v>14</v>
      </c>
      <c r="U1032" s="5" t="s">
        <v>6823</v>
      </c>
      <c r="V1032" s="5" t="s">
        <v>6823</v>
      </c>
      <c r="W1032" s="5" t="s">
        <v>72</v>
      </c>
      <c r="X1032" s="5" t="s">
        <v>72</v>
      </c>
      <c r="Y1032" s="4">
        <v>349</v>
      </c>
      <c r="Z1032" s="4">
        <v>21</v>
      </c>
      <c r="AA1032" s="4">
        <v>23</v>
      </c>
      <c r="AB1032" s="4">
        <v>2</v>
      </c>
      <c r="AC1032" s="4">
        <v>3</v>
      </c>
      <c r="AD1032" s="4">
        <v>110</v>
      </c>
      <c r="AE1032" s="4">
        <v>112</v>
      </c>
      <c r="AF1032" s="4">
        <v>1</v>
      </c>
      <c r="AG1032" s="4">
        <v>1</v>
      </c>
      <c r="AH1032" s="4">
        <v>100</v>
      </c>
      <c r="AI1032" s="4">
        <v>102</v>
      </c>
      <c r="AJ1032" s="4">
        <v>13</v>
      </c>
      <c r="AK1032" s="4">
        <v>13</v>
      </c>
      <c r="AL1032" s="4">
        <v>56</v>
      </c>
      <c r="AM1032" s="4">
        <v>56</v>
      </c>
      <c r="AN1032" s="4">
        <v>0</v>
      </c>
      <c r="AO1032" s="4">
        <v>0</v>
      </c>
      <c r="AP1032" s="4">
        <v>15</v>
      </c>
      <c r="AQ1032" s="4">
        <v>15</v>
      </c>
      <c r="AR1032" s="3" t="s">
        <v>64</v>
      </c>
      <c r="AS1032" s="3" t="s">
        <v>64</v>
      </c>
      <c r="AT1032" s="3" t="s">
        <v>73</v>
      </c>
      <c r="AU1032" s="6" t="str">
        <f>HYPERLINK("http://catalog.hathitrust.org/Record/003024608","HathiTrust Record")</f>
        <v>HathiTrust Record</v>
      </c>
      <c r="AV1032" s="6" t="str">
        <f>HYPERLINK("http://mcgill.on.worldcat.org/oclc/32890835","Catalog Record")</f>
        <v>Catalog Record</v>
      </c>
      <c r="AW1032" s="6" t="str">
        <f>HYPERLINK("http://www.worldcat.org/oclc/32890835","WorldCat Record")</f>
        <v>WorldCat Record</v>
      </c>
      <c r="AX1032" s="3" t="s">
        <v>10651</v>
      </c>
      <c r="AY1032" s="3" t="s">
        <v>10652</v>
      </c>
      <c r="AZ1032" s="3" t="s">
        <v>10653</v>
      </c>
      <c r="BA1032" s="3" t="s">
        <v>10653</v>
      </c>
      <c r="BB1032" s="3" t="s">
        <v>10654</v>
      </c>
      <c r="BC1032" s="3" t="s">
        <v>78</v>
      </c>
      <c r="BD1032" s="3" t="s">
        <v>79</v>
      </c>
      <c r="BE1032" s="3" t="s">
        <v>10655</v>
      </c>
      <c r="BF1032" s="3" t="s">
        <v>10654</v>
      </c>
      <c r="BG1032" s="3" t="s">
        <v>10656</v>
      </c>
    </row>
    <row r="1033" spans="1:59" ht="58" x14ac:dyDescent="0.35">
      <c r="A1033" s="2" t="s">
        <v>59</v>
      </c>
      <c r="B1033" s="2" t="s">
        <v>94</v>
      </c>
      <c r="C1033" s="2" t="s">
        <v>10657</v>
      </c>
      <c r="D1033" s="2" t="s">
        <v>10658</v>
      </c>
      <c r="E1033" s="2" t="s">
        <v>10659</v>
      </c>
      <c r="G1033" s="3" t="s">
        <v>64</v>
      </c>
      <c r="I1033" s="3" t="s">
        <v>64</v>
      </c>
      <c r="J1033" s="3" t="s">
        <v>64</v>
      </c>
      <c r="K1033" s="3" t="s">
        <v>65</v>
      </c>
      <c r="L1033" s="2" t="s">
        <v>10660</v>
      </c>
      <c r="M1033" s="2" t="s">
        <v>10661</v>
      </c>
      <c r="N1033" s="3" t="s">
        <v>201</v>
      </c>
      <c r="P1033" s="3" t="s">
        <v>69</v>
      </c>
      <c r="R1033" s="3" t="s">
        <v>9228</v>
      </c>
      <c r="S1033" s="4">
        <v>4</v>
      </c>
      <c r="T1033" s="4">
        <v>4</v>
      </c>
      <c r="U1033" s="5" t="s">
        <v>846</v>
      </c>
      <c r="V1033" s="5" t="s">
        <v>846</v>
      </c>
      <c r="W1033" s="5" t="s">
        <v>72</v>
      </c>
      <c r="X1033" s="5" t="s">
        <v>72</v>
      </c>
      <c r="Y1033" s="4">
        <v>577</v>
      </c>
      <c r="Z1033" s="4">
        <v>21</v>
      </c>
      <c r="AA1033" s="4">
        <v>24</v>
      </c>
      <c r="AB1033" s="4">
        <v>2</v>
      </c>
      <c r="AC1033" s="4">
        <v>3</v>
      </c>
      <c r="AD1033" s="4">
        <v>107</v>
      </c>
      <c r="AE1033" s="4">
        <v>110</v>
      </c>
      <c r="AF1033" s="4">
        <v>1</v>
      </c>
      <c r="AG1033" s="4">
        <v>2</v>
      </c>
      <c r="AH1033" s="4">
        <v>95</v>
      </c>
      <c r="AI1033" s="4">
        <v>97</v>
      </c>
      <c r="AJ1033" s="4">
        <v>14</v>
      </c>
      <c r="AK1033" s="4">
        <v>17</v>
      </c>
      <c r="AL1033" s="4">
        <v>52</v>
      </c>
      <c r="AM1033" s="4">
        <v>52</v>
      </c>
      <c r="AN1033" s="4">
        <v>0</v>
      </c>
      <c r="AO1033" s="4">
        <v>0</v>
      </c>
      <c r="AP1033" s="4">
        <v>18</v>
      </c>
      <c r="AQ1033" s="4">
        <v>20</v>
      </c>
      <c r="AR1033" s="3" t="s">
        <v>64</v>
      </c>
      <c r="AS1033" s="3" t="s">
        <v>64</v>
      </c>
      <c r="AT1033" s="3" t="s">
        <v>73</v>
      </c>
      <c r="AU1033" s="6" t="str">
        <f>HYPERLINK("http://catalog.hathitrust.org/Record/001047774","HathiTrust Record")</f>
        <v>HathiTrust Record</v>
      </c>
      <c r="AV1033" s="6" t="str">
        <f>HYPERLINK("http://mcgill.on.worldcat.org/oclc/92577","Catalog Record")</f>
        <v>Catalog Record</v>
      </c>
      <c r="AW1033" s="6" t="str">
        <f>HYPERLINK("http://www.worldcat.org/oclc/92577","WorldCat Record")</f>
        <v>WorldCat Record</v>
      </c>
      <c r="AX1033" s="3" t="s">
        <v>10662</v>
      </c>
      <c r="AY1033" s="3" t="s">
        <v>10663</v>
      </c>
      <c r="AZ1033" s="3" t="s">
        <v>10664</v>
      </c>
      <c r="BA1033" s="3" t="s">
        <v>10664</v>
      </c>
      <c r="BB1033" s="3" t="s">
        <v>10665</v>
      </c>
      <c r="BC1033" s="3" t="s">
        <v>78</v>
      </c>
      <c r="BD1033" s="3" t="s">
        <v>79</v>
      </c>
      <c r="BE1033" s="3" t="s">
        <v>10666</v>
      </c>
      <c r="BF1033" s="3" t="s">
        <v>10665</v>
      </c>
      <c r="BG1033" s="3" t="s">
        <v>10667</v>
      </c>
    </row>
    <row r="1034" spans="1:59" ht="58" x14ac:dyDescent="0.35">
      <c r="A1034" s="2" t="s">
        <v>59</v>
      </c>
      <c r="B1034" s="2" t="s">
        <v>94</v>
      </c>
      <c r="C1034" s="2" t="s">
        <v>10668</v>
      </c>
      <c r="D1034" s="2" t="s">
        <v>10669</v>
      </c>
      <c r="E1034" s="2" t="s">
        <v>10670</v>
      </c>
      <c r="G1034" s="3" t="s">
        <v>64</v>
      </c>
      <c r="I1034" s="3" t="s">
        <v>64</v>
      </c>
      <c r="J1034" s="3" t="s">
        <v>64</v>
      </c>
      <c r="K1034" s="3" t="s">
        <v>65</v>
      </c>
      <c r="L1034" s="2" t="s">
        <v>10671</v>
      </c>
      <c r="M1034" s="2" t="s">
        <v>10672</v>
      </c>
      <c r="N1034" s="3" t="s">
        <v>1227</v>
      </c>
      <c r="P1034" s="3" t="s">
        <v>69</v>
      </c>
      <c r="Q1034" s="2" t="s">
        <v>10673</v>
      </c>
      <c r="R1034" s="3" t="s">
        <v>9228</v>
      </c>
      <c r="S1034" s="4">
        <v>12</v>
      </c>
      <c r="T1034" s="4">
        <v>12</v>
      </c>
      <c r="U1034" s="5" t="s">
        <v>1180</v>
      </c>
      <c r="V1034" s="5" t="s">
        <v>1180</v>
      </c>
      <c r="W1034" s="5" t="s">
        <v>72</v>
      </c>
      <c r="X1034" s="5" t="s">
        <v>72</v>
      </c>
      <c r="Y1034" s="4">
        <v>421</v>
      </c>
      <c r="Z1034" s="4">
        <v>22</v>
      </c>
      <c r="AA1034" s="4">
        <v>24</v>
      </c>
      <c r="AB1034" s="4">
        <v>2</v>
      </c>
      <c r="AC1034" s="4">
        <v>4</v>
      </c>
      <c r="AD1034" s="4">
        <v>94</v>
      </c>
      <c r="AE1034" s="4">
        <v>96</v>
      </c>
      <c r="AF1034" s="4">
        <v>1</v>
      </c>
      <c r="AG1034" s="4">
        <v>3</v>
      </c>
      <c r="AH1034" s="4">
        <v>81</v>
      </c>
      <c r="AI1034" s="4">
        <v>82</v>
      </c>
      <c r="AJ1034" s="4">
        <v>16</v>
      </c>
      <c r="AK1034" s="4">
        <v>18</v>
      </c>
      <c r="AL1034" s="4">
        <v>45</v>
      </c>
      <c r="AM1034" s="4">
        <v>45</v>
      </c>
      <c r="AN1034" s="4">
        <v>0</v>
      </c>
      <c r="AO1034" s="4">
        <v>0</v>
      </c>
      <c r="AP1034" s="4">
        <v>20</v>
      </c>
      <c r="AQ1034" s="4">
        <v>22</v>
      </c>
      <c r="AR1034" s="3" t="s">
        <v>64</v>
      </c>
      <c r="AS1034" s="3" t="s">
        <v>64</v>
      </c>
      <c r="AT1034" s="3" t="s">
        <v>64</v>
      </c>
      <c r="AV1034" s="6" t="str">
        <f>HYPERLINK("http://mcgill.on.worldcat.org/oclc/2780565","Catalog Record")</f>
        <v>Catalog Record</v>
      </c>
      <c r="AW1034" s="6" t="str">
        <f>HYPERLINK("http://www.worldcat.org/oclc/2780565","WorldCat Record")</f>
        <v>WorldCat Record</v>
      </c>
      <c r="AX1034" s="3" t="s">
        <v>10674</v>
      </c>
      <c r="AY1034" s="3" t="s">
        <v>10675</v>
      </c>
      <c r="AZ1034" s="3" t="s">
        <v>10676</v>
      </c>
      <c r="BA1034" s="3" t="s">
        <v>10676</v>
      </c>
      <c r="BB1034" s="3" t="s">
        <v>10677</v>
      </c>
      <c r="BC1034" s="3" t="s">
        <v>78</v>
      </c>
      <c r="BD1034" s="3" t="s">
        <v>79</v>
      </c>
      <c r="BE1034" s="3" t="s">
        <v>10678</v>
      </c>
      <c r="BF1034" s="3" t="s">
        <v>10677</v>
      </c>
      <c r="BG1034" s="3" t="s">
        <v>10679</v>
      </c>
    </row>
    <row r="1035" spans="1:59" ht="58" x14ac:dyDescent="0.35">
      <c r="A1035" s="2" t="s">
        <v>59</v>
      </c>
      <c r="B1035" s="2" t="s">
        <v>94</v>
      </c>
      <c r="C1035" s="2" t="s">
        <v>10680</v>
      </c>
      <c r="D1035" s="2" t="s">
        <v>10681</v>
      </c>
      <c r="E1035" s="2" t="s">
        <v>10682</v>
      </c>
      <c r="G1035" s="3" t="s">
        <v>64</v>
      </c>
      <c r="I1035" s="3" t="s">
        <v>64</v>
      </c>
      <c r="J1035" s="3" t="s">
        <v>64</v>
      </c>
      <c r="K1035" s="3" t="s">
        <v>65</v>
      </c>
      <c r="L1035" s="2" t="s">
        <v>10683</v>
      </c>
      <c r="M1035" s="2" t="s">
        <v>10684</v>
      </c>
      <c r="N1035" s="3" t="s">
        <v>733</v>
      </c>
      <c r="O1035" s="2" t="s">
        <v>1294</v>
      </c>
      <c r="P1035" s="3" t="s">
        <v>69</v>
      </c>
      <c r="R1035" s="3" t="s">
        <v>9228</v>
      </c>
      <c r="S1035" s="4">
        <v>6</v>
      </c>
      <c r="T1035" s="4">
        <v>6</v>
      </c>
      <c r="U1035" s="5" t="s">
        <v>10685</v>
      </c>
      <c r="V1035" s="5" t="s">
        <v>10685</v>
      </c>
      <c r="W1035" s="5" t="s">
        <v>72</v>
      </c>
      <c r="X1035" s="5" t="s">
        <v>72</v>
      </c>
      <c r="Y1035" s="4">
        <v>474</v>
      </c>
      <c r="Z1035" s="4">
        <v>24</v>
      </c>
      <c r="AA1035" s="4">
        <v>25</v>
      </c>
      <c r="AB1035" s="4">
        <v>1</v>
      </c>
      <c r="AC1035" s="4">
        <v>2</v>
      </c>
      <c r="AD1035" s="4">
        <v>110</v>
      </c>
      <c r="AE1035" s="4">
        <v>111</v>
      </c>
      <c r="AF1035" s="4">
        <v>0</v>
      </c>
      <c r="AG1035" s="4">
        <v>1</v>
      </c>
      <c r="AH1035" s="4">
        <v>99</v>
      </c>
      <c r="AI1035" s="4">
        <v>99</v>
      </c>
      <c r="AJ1035" s="4">
        <v>16</v>
      </c>
      <c r="AK1035" s="4">
        <v>17</v>
      </c>
      <c r="AL1035" s="4">
        <v>55</v>
      </c>
      <c r="AM1035" s="4">
        <v>55</v>
      </c>
      <c r="AN1035" s="4">
        <v>0</v>
      </c>
      <c r="AO1035" s="4">
        <v>0</v>
      </c>
      <c r="AP1035" s="4">
        <v>19</v>
      </c>
      <c r="AQ1035" s="4">
        <v>20</v>
      </c>
      <c r="AR1035" s="3" t="s">
        <v>64</v>
      </c>
      <c r="AS1035" s="3" t="s">
        <v>64</v>
      </c>
      <c r="AT1035" s="3" t="s">
        <v>64</v>
      </c>
      <c r="AV1035" s="6" t="str">
        <f>HYPERLINK("http://mcgill.on.worldcat.org/oclc/9967880","Catalog Record")</f>
        <v>Catalog Record</v>
      </c>
      <c r="AW1035" s="6" t="str">
        <f>HYPERLINK("http://www.worldcat.org/oclc/9967880","WorldCat Record")</f>
        <v>WorldCat Record</v>
      </c>
      <c r="AX1035" s="3" t="s">
        <v>10686</v>
      </c>
      <c r="AY1035" s="3" t="s">
        <v>10687</v>
      </c>
      <c r="AZ1035" s="3" t="s">
        <v>10688</v>
      </c>
      <c r="BA1035" s="3" t="s">
        <v>10688</v>
      </c>
      <c r="BB1035" s="3" t="s">
        <v>10689</v>
      </c>
      <c r="BC1035" s="3" t="s">
        <v>78</v>
      </c>
      <c r="BD1035" s="3" t="s">
        <v>79</v>
      </c>
      <c r="BE1035" s="3" t="s">
        <v>10690</v>
      </c>
      <c r="BF1035" s="3" t="s">
        <v>10689</v>
      </c>
      <c r="BG1035" s="3" t="s">
        <v>10691</v>
      </c>
    </row>
    <row r="1036" spans="1:59" ht="58" x14ac:dyDescent="0.35">
      <c r="A1036" s="2" t="s">
        <v>59</v>
      </c>
      <c r="B1036" s="2" t="s">
        <v>94</v>
      </c>
      <c r="C1036" s="2" t="s">
        <v>10692</v>
      </c>
      <c r="D1036" s="2" t="s">
        <v>10693</v>
      </c>
      <c r="E1036" s="2" t="s">
        <v>10694</v>
      </c>
      <c r="G1036" s="3" t="s">
        <v>64</v>
      </c>
      <c r="I1036" s="3" t="s">
        <v>64</v>
      </c>
      <c r="J1036" s="3" t="s">
        <v>64</v>
      </c>
      <c r="K1036" s="3" t="s">
        <v>65</v>
      </c>
      <c r="L1036" s="2" t="s">
        <v>10695</v>
      </c>
      <c r="M1036" s="2" t="s">
        <v>10696</v>
      </c>
      <c r="N1036" s="3" t="s">
        <v>1320</v>
      </c>
      <c r="O1036" s="2" t="s">
        <v>638</v>
      </c>
      <c r="P1036" s="3" t="s">
        <v>69</v>
      </c>
      <c r="R1036" s="3" t="s">
        <v>9228</v>
      </c>
      <c r="S1036" s="4">
        <v>17</v>
      </c>
      <c r="T1036" s="4">
        <v>17</v>
      </c>
      <c r="U1036" s="5" t="s">
        <v>4050</v>
      </c>
      <c r="V1036" s="5" t="s">
        <v>4050</v>
      </c>
      <c r="W1036" s="5" t="s">
        <v>72</v>
      </c>
      <c r="X1036" s="5" t="s">
        <v>72</v>
      </c>
      <c r="Y1036" s="4">
        <v>185</v>
      </c>
      <c r="Z1036" s="4">
        <v>11</v>
      </c>
      <c r="AA1036" s="4">
        <v>36</v>
      </c>
      <c r="AB1036" s="4">
        <v>1</v>
      </c>
      <c r="AC1036" s="4">
        <v>6</v>
      </c>
      <c r="AD1036" s="4">
        <v>69</v>
      </c>
      <c r="AE1036" s="4">
        <v>129</v>
      </c>
      <c r="AF1036" s="4">
        <v>0</v>
      </c>
      <c r="AG1036" s="4">
        <v>4</v>
      </c>
      <c r="AH1036" s="4">
        <v>63</v>
      </c>
      <c r="AI1036" s="4">
        <v>109</v>
      </c>
      <c r="AJ1036" s="4">
        <v>6</v>
      </c>
      <c r="AK1036" s="4">
        <v>20</v>
      </c>
      <c r="AL1036" s="4">
        <v>35</v>
      </c>
      <c r="AM1036" s="4">
        <v>58</v>
      </c>
      <c r="AN1036" s="4">
        <v>0</v>
      </c>
      <c r="AO1036" s="4">
        <v>0</v>
      </c>
      <c r="AP1036" s="4">
        <v>9</v>
      </c>
      <c r="AQ1036" s="4">
        <v>27</v>
      </c>
      <c r="AR1036" s="3" t="s">
        <v>64</v>
      </c>
      <c r="AS1036" s="3" t="s">
        <v>64</v>
      </c>
      <c r="AT1036" s="3" t="s">
        <v>64</v>
      </c>
      <c r="AV1036" s="6" t="str">
        <f>HYPERLINK("http://mcgill.on.worldcat.org/oclc/30516399","Catalog Record")</f>
        <v>Catalog Record</v>
      </c>
      <c r="AW1036" s="6" t="str">
        <f>HYPERLINK("http://www.worldcat.org/oclc/30516399","WorldCat Record")</f>
        <v>WorldCat Record</v>
      </c>
      <c r="AX1036" s="3" t="s">
        <v>10697</v>
      </c>
      <c r="AY1036" s="3" t="s">
        <v>10698</v>
      </c>
      <c r="AZ1036" s="3" t="s">
        <v>10699</v>
      </c>
      <c r="BA1036" s="3" t="s">
        <v>10699</v>
      </c>
      <c r="BB1036" s="3" t="s">
        <v>10700</v>
      </c>
      <c r="BC1036" s="3" t="s">
        <v>78</v>
      </c>
      <c r="BD1036" s="3" t="s">
        <v>79</v>
      </c>
      <c r="BE1036" s="3" t="s">
        <v>10701</v>
      </c>
      <c r="BF1036" s="3" t="s">
        <v>10700</v>
      </c>
      <c r="BG1036" s="3" t="s">
        <v>10702</v>
      </c>
    </row>
    <row r="1037" spans="1:59" ht="58" x14ac:dyDescent="0.35">
      <c r="A1037" s="2" t="s">
        <v>59</v>
      </c>
      <c r="B1037" s="2" t="s">
        <v>94</v>
      </c>
      <c r="C1037" s="2" t="s">
        <v>10703</v>
      </c>
      <c r="D1037" s="2" t="s">
        <v>10704</v>
      </c>
      <c r="E1037" s="2" t="s">
        <v>10705</v>
      </c>
      <c r="G1037" s="3" t="s">
        <v>64</v>
      </c>
      <c r="I1037" s="3" t="s">
        <v>64</v>
      </c>
      <c r="J1037" s="3" t="s">
        <v>64</v>
      </c>
      <c r="K1037" s="3" t="s">
        <v>65</v>
      </c>
      <c r="L1037" s="2" t="s">
        <v>10706</v>
      </c>
      <c r="M1037" s="2" t="s">
        <v>10707</v>
      </c>
      <c r="N1037" s="3" t="s">
        <v>315</v>
      </c>
      <c r="P1037" s="3" t="s">
        <v>69</v>
      </c>
      <c r="Q1037" s="2" t="s">
        <v>10708</v>
      </c>
      <c r="R1037" s="3" t="s">
        <v>9228</v>
      </c>
      <c r="S1037" s="4">
        <v>20</v>
      </c>
      <c r="T1037" s="4">
        <v>20</v>
      </c>
      <c r="U1037" s="5" t="s">
        <v>10709</v>
      </c>
      <c r="V1037" s="5" t="s">
        <v>10709</v>
      </c>
      <c r="W1037" s="5" t="s">
        <v>72</v>
      </c>
      <c r="X1037" s="5" t="s">
        <v>72</v>
      </c>
      <c r="Y1037" s="4">
        <v>605</v>
      </c>
      <c r="Z1037" s="4">
        <v>35</v>
      </c>
      <c r="AA1037" s="4">
        <v>43</v>
      </c>
      <c r="AB1037" s="4">
        <v>4</v>
      </c>
      <c r="AC1037" s="4">
        <v>10</v>
      </c>
      <c r="AD1037" s="4">
        <v>125</v>
      </c>
      <c r="AE1037" s="4">
        <v>129</v>
      </c>
      <c r="AF1037" s="4">
        <v>1</v>
      </c>
      <c r="AG1037" s="4">
        <v>3</v>
      </c>
      <c r="AH1037" s="4">
        <v>106</v>
      </c>
      <c r="AI1037" s="4">
        <v>109</v>
      </c>
      <c r="AJ1037" s="4">
        <v>18</v>
      </c>
      <c r="AK1037" s="4">
        <v>20</v>
      </c>
      <c r="AL1037" s="4">
        <v>57</v>
      </c>
      <c r="AM1037" s="4">
        <v>58</v>
      </c>
      <c r="AN1037" s="4">
        <v>0</v>
      </c>
      <c r="AO1037" s="4">
        <v>0</v>
      </c>
      <c r="AP1037" s="4">
        <v>27</v>
      </c>
      <c r="AQ1037" s="4">
        <v>28</v>
      </c>
      <c r="AR1037" s="3" t="s">
        <v>64</v>
      </c>
      <c r="AS1037" s="3" t="s">
        <v>64</v>
      </c>
      <c r="AT1037" s="3" t="s">
        <v>64</v>
      </c>
      <c r="AV1037" s="6" t="str">
        <f>HYPERLINK("http://mcgill.on.worldcat.org/oclc/15163168","Catalog Record")</f>
        <v>Catalog Record</v>
      </c>
      <c r="AW1037" s="6" t="str">
        <f>HYPERLINK("http://www.worldcat.org/oclc/15163168","WorldCat Record")</f>
        <v>WorldCat Record</v>
      </c>
      <c r="AX1037" s="3" t="s">
        <v>10710</v>
      </c>
      <c r="AY1037" s="3" t="s">
        <v>10711</v>
      </c>
      <c r="AZ1037" s="3" t="s">
        <v>10712</v>
      </c>
      <c r="BA1037" s="3" t="s">
        <v>10712</v>
      </c>
      <c r="BB1037" s="3" t="s">
        <v>10713</v>
      </c>
      <c r="BC1037" s="3" t="s">
        <v>78</v>
      </c>
      <c r="BD1037" s="3" t="s">
        <v>79</v>
      </c>
      <c r="BE1037" s="3" t="s">
        <v>10714</v>
      </c>
      <c r="BF1037" s="3" t="s">
        <v>10713</v>
      </c>
      <c r="BG1037" s="3" t="s">
        <v>10715</v>
      </c>
    </row>
    <row r="1038" spans="1:59" ht="58" x14ac:dyDescent="0.35">
      <c r="A1038" s="2" t="s">
        <v>59</v>
      </c>
      <c r="B1038" s="2" t="s">
        <v>94</v>
      </c>
      <c r="C1038" s="2" t="s">
        <v>10716</v>
      </c>
      <c r="D1038" s="2" t="s">
        <v>10717</v>
      </c>
      <c r="E1038" s="2" t="s">
        <v>10718</v>
      </c>
      <c r="G1038" s="3" t="s">
        <v>64</v>
      </c>
      <c r="I1038" s="3" t="s">
        <v>64</v>
      </c>
      <c r="J1038" s="3" t="s">
        <v>64</v>
      </c>
      <c r="K1038" s="3" t="s">
        <v>65</v>
      </c>
      <c r="L1038" s="2" t="s">
        <v>10719</v>
      </c>
      <c r="M1038" s="2" t="s">
        <v>5910</v>
      </c>
      <c r="N1038" s="3" t="s">
        <v>689</v>
      </c>
      <c r="P1038" s="3" t="s">
        <v>69</v>
      </c>
      <c r="R1038" s="3" t="s">
        <v>9228</v>
      </c>
      <c r="S1038" s="4">
        <v>7</v>
      </c>
      <c r="T1038" s="4">
        <v>7</v>
      </c>
      <c r="U1038" s="5" t="s">
        <v>10720</v>
      </c>
      <c r="V1038" s="5" t="s">
        <v>10720</v>
      </c>
      <c r="W1038" s="5" t="s">
        <v>72</v>
      </c>
      <c r="X1038" s="5" t="s">
        <v>72</v>
      </c>
      <c r="Y1038" s="4">
        <v>152</v>
      </c>
      <c r="Z1038" s="4">
        <v>4</v>
      </c>
      <c r="AA1038" s="4">
        <v>5</v>
      </c>
      <c r="AB1038" s="4">
        <v>1</v>
      </c>
      <c r="AC1038" s="4">
        <v>1</v>
      </c>
      <c r="AD1038" s="4">
        <v>59</v>
      </c>
      <c r="AE1038" s="4">
        <v>65</v>
      </c>
      <c r="AF1038" s="4">
        <v>0</v>
      </c>
      <c r="AG1038" s="4">
        <v>0</v>
      </c>
      <c r="AH1038" s="4">
        <v>56</v>
      </c>
      <c r="AI1038" s="4">
        <v>62</v>
      </c>
      <c r="AJ1038" s="4">
        <v>3</v>
      </c>
      <c r="AK1038" s="4">
        <v>4</v>
      </c>
      <c r="AL1038" s="4">
        <v>32</v>
      </c>
      <c r="AM1038" s="4">
        <v>33</v>
      </c>
      <c r="AN1038" s="4">
        <v>0</v>
      </c>
      <c r="AO1038" s="4">
        <v>0</v>
      </c>
      <c r="AP1038" s="4">
        <v>3</v>
      </c>
      <c r="AQ1038" s="4">
        <v>4</v>
      </c>
      <c r="AR1038" s="3" t="s">
        <v>64</v>
      </c>
      <c r="AS1038" s="3" t="s">
        <v>64</v>
      </c>
      <c r="AT1038" s="3" t="s">
        <v>73</v>
      </c>
      <c r="AU1038" s="6" t="str">
        <f>HYPERLINK("http://catalog.hathitrust.org/Record/007191728","HathiTrust Record")</f>
        <v>HathiTrust Record</v>
      </c>
      <c r="AV1038" s="6" t="str">
        <f>HYPERLINK("http://mcgill.on.worldcat.org/oclc/25259718","Catalog Record")</f>
        <v>Catalog Record</v>
      </c>
      <c r="AW1038" s="6" t="str">
        <f>HYPERLINK("http://www.worldcat.org/oclc/25259718","WorldCat Record")</f>
        <v>WorldCat Record</v>
      </c>
      <c r="AX1038" s="3" t="s">
        <v>10721</v>
      </c>
      <c r="AY1038" s="3" t="s">
        <v>10722</v>
      </c>
      <c r="AZ1038" s="3" t="s">
        <v>10723</v>
      </c>
      <c r="BA1038" s="3" t="s">
        <v>10723</v>
      </c>
      <c r="BB1038" s="3" t="s">
        <v>10724</v>
      </c>
      <c r="BC1038" s="3" t="s">
        <v>78</v>
      </c>
      <c r="BD1038" s="3" t="s">
        <v>79</v>
      </c>
      <c r="BE1038" s="3" t="s">
        <v>10725</v>
      </c>
      <c r="BF1038" s="3" t="s">
        <v>10724</v>
      </c>
      <c r="BG1038" s="3" t="s">
        <v>10726</v>
      </c>
    </row>
    <row r="1039" spans="1:59" ht="58" x14ac:dyDescent="0.35">
      <c r="A1039" s="2" t="s">
        <v>59</v>
      </c>
      <c r="B1039" s="2" t="s">
        <v>94</v>
      </c>
      <c r="C1039" s="2" t="s">
        <v>10727</v>
      </c>
      <c r="D1039" s="2" t="s">
        <v>10728</v>
      </c>
      <c r="E1039" s="2" t="s">
        <v>10729</v>
      </c>
      <c r="G1039" s="3" t="s">
        <v>64</v>
      </c>
      <c r="I1039" s="3" t="s">
        <v>64</v>
      </c>
      <c r="J1039" s="3" t="s">
        <v>64</v>
      </c>
      <c r="K1039" s="3" t="s">
        <v>65</v>
      </c>
      <c r="L1039" s="2" t="s">
        <v>10730</v>
      </c>
      <c r="M1039" s="2" t="s">
        <v>1422</v>
      </c>
      <c r="N1039" s="3" t="s">
        <v>264</v>
      </c>
      <c r="P1039" s="3" t="s">
        <v>69</v>
      </c>
      <c r="Q1039" s="2" t="s">
        <v>10731</v>
      </c>
      <c r="R1039" s="3" t="s">
        <v>9228</v>
      </c>
      <c r="S1039" s="4">
        <v>4</v>
      </c>
      <c r="T1039" s="4">
        <v>4</v>
      </c>
      <c r="U1039" s="5" t="s">
        <v>10732</v>
      </c>
      <c r="V1039" s="5" t="s">
        <v>10732</v>
      </c>
      <c r="W1039" s="5" t="s">
        <v>72</v>
      </c>
      <c r="X1039" s="5" t="s">
        <v>72</v>
      </c>
      <c r="Y1039" s="4">
        <v>608</v>
      </c>
      <c r="Z1039" s="4">
        <v>27</v>
      </c>
      <c r="AA1039" s="4">
        <v>27</v>
      </c>
      <c r="AB1039" s="4">
        <v>2</v>
      </c>
      <c r="AC1039" s="4">
        <v>2</v>
      </c>
      <c r="AD1039" s="4">
        <v>123</v>
      </c>
      <c r="AE1039" s="4">
        <v>123</v>
      </c>
      <c r="AF1039" s="4">
        <v>1</v>
      </c>
      <c r="AG1039" s="4">
        <v>1</v>
      </c>
      <c r="AH1039" s="4">
        <v>105</v>
      </c>
      <c r="AI1039" s="4">
        <v>105</v>
      </c>
      <c r="AJ1039" s="4">
        <v>17</v>
      </c>
      <c r="AK1039" s="4">
        <v>17</v>
      </c>
      <c r="AL1039" s="4">
        <v>59</v>
      </c>
      <c r="AM1039" s="4">
        <v>59</v>
      </c>
      <c r="AN1039" s="4">
        <v>0</v>
      </c>
      <c r="AO1039" s="4">
        <v>0</v>
      </c>
      <c r="AP1039" s="4">
        <v>22</v>
      </c>
      <c r="AQ1039" s="4">
        <v>22</v>
      </c>
      <c r="AR1039" s="3" t="s">
        <v>64</v>
      </c>
      <c r="AS1039" s="3" t="s">
        <v>64</v>
      </c>
      <c r="AT1039" s="3" t="s">
        <v>64</v>
      </c>
      <c r="AV1039" s="6" t="str">
        <f>HYPERLINK("http://mcgill.on.worldcat.org/oclc/2388131","Catalog Record")</f>
        <v>Catalog Record</v>
      </c>
      <c r="AW1039" s="6" t="str">
        <f>HYPERLINK("http://www.worldcat.org/oclc/2388131","WorldCat Record")</f>
        <v>WorldCat Record</v>
      </c>
      <c r="AX1039" s="3" t="s">
        <v>10733</v>
      </c>
      <c r="AY1039" s="3" t="s">
        <v>10734</v>
      </c>
      <c r="AZ1039" s="3" t="s">
        <v>10735</v>
      </c>
      <c r="BA1039" s="3" t="s">
        <v>10735</v>
      </c>
      <c r="BB1039" s="3" t="s">
        <v>10736</v>
      </c>
      <c r="BC1039" s="3" t="s">
        <v>78</v>
      </c>
      <c r="BD1039" s="3" t="s">
        <v>79</v>
      </c>
      <c r="BE1039" s="3" t="s">
        <v>10737</v>
      </c>
      <c r="BF1039" s="3" t="s">
        <v>10736</v>
      </c>
      <c r="BG1039" s="3" t="s">
        <v>10738</v>
      </c>
    </row>
    <row r="1040" spans="1:59" ht="58" x14ac:dyDescent="0.35">
      <c r="A1040" s="2" t="s">
        <v>59</v>
      </c>
      <c r="B1040" s="2" t="s">
        <v>94</v>
      </c>
      <c r="C1040" s="2" t="s">
        <v>10739</v>
      </c>
      <c r="D1040" s="2" t="s">
        <v>10740</v>
      </c>
      <c r="E1040" s="2" t="s">
        <v>10741</v>
      </c>
      <c r="G1040" s="3" t="s">
        <v>64</v>
      </c>
      <c r="I1040" s="3" t="s">
        <v>64</v>
      </c>
      <c r="J1040" s="3" t="s">
        <v>64</v>
      </c>
      <c r="K1040" s="3" t="s">
        <v>65</v>
      </c>
      <c r="L1040" s="2" t="s">
        <v>10742</v>
      </c>
      <c r="M1040" s="2" t="s">
        <v>10743</v>
      </c>
      <c r="N1040" s="3" t="s">
        <v>328</v>
      </c>
      <c r="P1040" s="3" t="s">
        <v>69</v>
      </c>
      <c r="R1040" s="3" t="s">
        <v>9228</v>
      </c>
      <c r="S1040" s="4">
        <v>0</v>
      </c>
      <c r="T1040" s="4">
        <v>0</v>
      </c>
      <c r="W1040" s="5" t="s">
        <v>72</v>
      </c>
      <c r="X1040" s="5" t="s">
        <v>72</v>
      </c>
      <c r="Y1040" s="4">
        <v>147</v>
      </c>
      <c r="Z1040" s="4">
        <v>4</v>
      </c>
      <c r="AA1040" s="4">
        <v>16</v>
      </c>
      <c r="AB1040" s="4">
        <v>1</v>
      </c>
      <c r="AC1040" s="4">
        <v>3</v>
      </c>
      <c r="AD1040" s="4">
        <v>33</v>
      </c>
      <c r="AE1040" s="4">
        <v>69</v>
      </c>
      <c r="AF1040" s="4">
        <v>0</v>
      </c>
      <c r="AG1040" s="4">
        <v>0</v>
      </c>
      <c r="AH1040" s="4">
        <v>30</v>
      </c>
      <c r="AI1040" s="4">
        <v>60</v>
      </c>
      <c r="AJ1040" s="4">
        <v>2</v>
      </c>
      <c r="AK1040" s="4">
        <v>4</v>
      </c>
      <c r="AL1040" s="4">
        <v>24</v>
      </c>
      <c r="AM1040" s="4">
        <v>41</v>
      </c>
      <c r="AN1040" s="4">
        <v>0</v>
      </c>
      <c r="AO1040" s="4">
        <v>0</v>
      </c>
      <c r="AP1040" s="4">
        <v>2</v>
      </c>
      <c r="AQ1040" s="4">
        <v>8</v>
      </c>
      <c r="AR1040" s="3" t="s">
        <v>64</v>
      </c>
      <c r="AS1040" s="3" t="s">
        <v>64</v>
      </c>
      <c r="AT1040" s="3" t="s">
        <v>64</v>
      </c>
      <c r="AV1040" s="6" t="str">
        <f>HYPERLINK("http://mcgill.on.worldcat.org/oclc/724704486","Catalog Record")</f>
        <v>Catalog Record</v>
      </c>
      <c r="AW1040" s="6" t="str">
        <f>HYPERLINK("http://www.worldcat.org/oclc/724704486","WorldCat Record")</f>
        <v>WorldCat Record</v>
      </c>
      <c r="AX1040" s="3" t="s">
        <v>10744</v>
      </c>
      <c r="AY1040" s="3" t="s">
        <v>10745</v>
      </c>
      <c r="AZ1040" s="3" t="s">
        <v>10746</v>
      </c>
      <c r="BA1040" s="3" t="s">
        <v>10746</v>
      </c>
      <c r="BB1040" s="3" t="s">
        <v>10747</v>
      </c>
      <c r="BC1040" s="3" t="s">
        <v>78</v>
      </c>
      <c r="BD1040" s="3" t="s">
        <v>79</v>
      </c>
      <c r="BE1040" s="3" t="s">
        <v>10748</v>
      </c>
      <c r="BF1040" s="3" t="s">
        <v>10747</v>
      </c>
      <c r="BG1040" s="3" t="s">
        <v>10749</v>
      </c>
    </row>
    <row r="1041" spans="1:59" ht="58" x14ac:dyDescent="0.35">
      <c r="A1041" s="2" t="s">
        <v>59</v>
      </c>
      <c r="B1041" s="2" t="s">
        <v>94</v>
      </c>
      <c r="C1041" s="2" t="s">
        <v>10750</v>
      </c>
      <c r="D1041" s="2" t="s">
        <v>10751</v>
      </c>
      <c r="E1041" s="2" t="s">
        <v>10752</v>
      </c>
      <c r="G1041" s="3" t="s">
        <v>64</v>
      </c>
      <c r="I1041" s="3" t="s">
        <v>64</v>
      </c>
      <c r="J1041" s="3" t="s">
        <v>64</v>
      </c>
      <c r="K1041" s="3" t="s">
        <v>65</v>
      </c>
      <c r="L1041" s="2" t="s">
        <v>10753</v>
      </c>
      <c r="M1041" s="2" t="s">
        <v>10754</v>
      </c>
      <c r="N1041" s="3" t="s">
        <v>499</v>
      </c>
      <c r="P1041" s="3" t="s">
        <v>69</v>
      </c>
      <c r="R1041" s="3" t="s">
        <v>9228</v>
      </c>
      <c r="S1041" s="4">
        <v>18</v>
      </c>
      <c r="T1041" s="4">
        <v>18</v>
      </c>
      <c r="U1041" s="5" t="s">
        <v>10755</v>
      </c>
      <c r="V1041" s="5" t="s">
        <v>10755</v>
      </c>
      <c r="W1041" s="5" t="s">
        <v>72</v>
      </c>
      <c r="X1041" s="5" t="s">
        <v>72</v>
      </c>
      <c r="Y1041" s="4">
        <v>691</v>
      </c>
      <c r="Z1041" s="4">
        <v>26</v>
      </c>
      <c r="AA1041" s="4">
        <v>26</v>
      </c>
      <c r="AB1041" s="4">
        <v>2</v>
      </c>
      <c r="AC1041" s="4">
        <v>2</v>
      </c>
      <c r="AD1041" s="4">
        <v>93</v>
      </c>
      <c r="AE1041" s="4">
        <v>93</v>
      </c>
      <c r="AF1041" s="4">
        <v>0</v>
      </c>
      <c r="AG1041" s="4">
        <v>0</v>
      </c>
      <c r="AH1041" s="4">
        <v>84</v>
      </c>
      <c r="AI1041" s="4">
        <v>84</v>
      </c>
      <c r="AJ1041" s="4">
        <v>9</v>
      </c>
      <c r="AK1041" s="4">
        <v>9</v>
      </c>
      <c r="AL1041" s="4">
        <v>45</v>
      </c>
      <c r="AM1041" s="4">
        <v>45</v>
      </c>
      <c r="AN1041" s="4">
        <v>0</v>
      </c>
      <c r="AO1041" s="4">
        <v>0</v>
      </c>
      <c r="AP1041" s="4">
        <v>13</v>
      </c>
      <c r="AQ1041" s="4">
        <v>13</v>
      </c>
      <c r="AR1041" s="3" t="s">
        <v>64</v>
      </c>
      <c r="AS1041" s="3" t="s">
        <v>64</v>
      </c>
      <c r="AT1041" s="3" t="s">
        <v>73</v>
      </c>
      <c r="AU1041" s="6" t="str">
        <f>HYPERLINK("http://catalog.hathitrust.org/Record/004954760","HathiTrust Record")</f>
        <v>HathiTrust Record</v>
      </c>
      <c r="AV1041" s="6" t="str">
        <f>HYPERLINK("http://mcgill.on.worldcat.org/oclc/56066367","Catalog Record")</f>
        <v>Catalog Record</v>
      </c>
      <c r="AW1041" s="6" t="str">
        <f>HYPERLINK("http://www.worldcat.org/oclc/56066367","WorldCat Record")</f>
        <v>WorldCat Record</v>
      </c>
      <c r="AX1041" s="3" t="s">
        <v>10756</v>
      </c>
      <c r="AY1041" s="3" t="s">
        <v>10757</v>
      </c>
      <c r="AZ1041" s="3" t="s">
        <v>10758</v>
      </c>
      <c r="BA1041" s="3" t="s">
        <v>10758</v>
      </c>
      <c r="BB1041" s="3" t="s">
        <v>10759</v>
      </c>
      <c r="BC1041" s="3" t="s">
        <v>78</v>
      </c>
      <c r="BD1041" s="3" t="s">
        <v>414</v>
      </c>
      <c r="BE1041" s="3" t="s">
        <v>10760</v>
      </c>
      <c r="BF1041" s="3" t="s">
        <v>10759</v>
      </c>
      <c r="BG1041" s="3" t="s">
        <v>10761</v>
      </c>
    </row>
    <row r="1042" spans="1:59" ht="58" x14ac:dyDescent="0.35">
      <c r="A1042" s="2" t="s">
        <v>59</v>
      </c>
      <c r="B1042" s="2" t="s">
        <v>94</v>
      </c>
      <c r="C1042" s="2" t="s">
        <v>10762</v>
      </c>
      <c r="D1042" s="2" t="s">
        <v>10763</v>
      </c>
      <c r="E1042" s="2" t="s">
        <v>10764</v>
      </c>
      <c r="G1042" s="3" t="s">
        <v>64</v>
      </c>
      <c r="I1042" s="3" t="s">
        <v>64</v>
      </c>
      <c r="J1042" s="3" t="s">
        <v>64</v>
      </c>
      <c r="K1042" s="3" t="s">
        <v>65</v>
      </c>
      <c r="M1042" s="2" t="s">
        <v>10765</v>
      </c>
      <c r="N1042" s="3" t="s">
        <v>377</v>
      </c>
      <c r="P1042" s="3" t="s">
        <v>69</v>
      </c>
      <c r="Q1042" s="2" t="s">
        <v>10766</v>
      </c>
      <c r="R1042" s="3" t="s">
        <v>9228</v>
      </c>
      <c r="S1042" s="4">
        <v>0</v>
      </c>
      <c r="T1042" s="4">
        <v>0</v>
      </c>
      <c r="W1042" s="5" t="s">
        <v>72</v>
      </c>
      <c r="X1042" s="5" t="s">
        <v>72</v>
      </c>
      <c r="Y1042" s="4">
        <v>76</v>
      </c>
      <c r="Z1042" s="4">
        <v>3</v>
      </c>
      <c r="AA1042" s="4">
        <v>32</v>
      </c>
      <c r="AB1042" s="4">
        <v>1</v>
      </c>
      <c r="AC1042" s="4">
        <v>6</v>
      </c>
      <c r="AD1042" s="4">
        <v>45</v>
      </c>
      <c r="AE1042" s="4">
        <v>95</v>
      </c>
      <c r="AF1042" s="4">
        <v>0</v>
      </c>
      <c r="AG1042" s="4">
        <v>2</v>
      </c>
      <c r="AH1042" s="4">
        <v>44</v>
      </c>
      <c r="AI1042" s="4">
        <v>78</v>
      </c>
      <c r="AJ1042" s="4">
        <v>2</v>
      </c>
      <c r="AK1042" s="4">
        <v>13</v>
      </c>
      <c r="AL1042" s="4">
        <v>26</v>
      </c>
      <c r="AM1042" s="4">
        <v>43</v>
      </c>
      <c r="AN1042" s="4">
        <v>0</v>
      </c>
      <c r="AO1042" s="4">
        <v>0</v>
      </c>
      <c r="AP1042" s="4">
        <v>2</v>
      </c>
      <c r="AQ1042" s="4">
        <v>23</v>
      </c>
      <c r="AR1042" s="3" t="s">
        <v>64</v>
      </c>
      <c r="AS1042" s="3" t="s">
        <v>64</v>
      </c>
      <c r="AT1042" s="3" t="s">
        <v>64</v>
      </c>
      <c r="AV1042" s="6" t="str">
        <f>HYPERLINK("http://mcgill.on.worldcat.org/oclc/813541087","Catalog Record")</f>
        <v>Catalog Record</v>
      </c>
      <c r="AW1042" s="6" t="str">
        <f>HYPERLINK("http://www.worldcat.org/oclc/813541087","WorldCat Record")</f>
        <v>WorldCat Record</v>
      </c>
      <c r="AX1042" s="3" t="s">
        <v>10767</v>
      </c>
      <c r="AY1042" s="3" t="s">
        <v>10768</v>
      </c>
      <c r="AZ1042" s="3" t="s">
        <v>10769</v>
      </c>
      <c r="BA1042" s="3" t="s">
        <v>10769</v>
      </c>
      <c r="BB1042" s="3" t="s">
        <v>10770</v>
      </c>
      <c r="BC1042" s="3" t="s">
        <v>78</v>
      </c>
      <c r="BD1042" s="3" t="s">
        <v>79</v>
      </c>
      <c r="BE1042" s="3" t="s">
        <v>10771</v>
      </c>
      <c r="BF1042" s="3" t="s">
        <v>10770</v>
      </c>
      <c r="BG1042" s="3" t="s">
        <v>10772</v>
      </c>
    </row>
    <row r="1043" spans="1:59" ht="58" x14ac:dyDescent="0.35">
      <c r="A1043" s="2" t="s">
        <v>59</v>
      </c>
      <c r="B1043" s="2" t="s">
        <v>94</v>
      </c>
      <c r="C1043" s="2" t="s">
        <v>10773</v>
      </c>
      <c r="D1043" s="2" t="s">
        <v>10774</v>
      </c>
      <c r="E1043" s="2" t="s">
        <v>10775</v>
      </c>
      <c r="G1043" s="3" t="s">
        <v>64</v>
      </c>
      <c r="I1043" s="3" t="s">
        <v>64</v>
      </c>
      <c r="J1043" s="3" t="s">
        <v>64</v>
      </c>
      <c r="K1043" s="3" t="s">
        <v>65</v>
      </c>
      <c r="M1043" s="2" t="s">
        <v>10776</v>
      </c>
      <c r="N1043" s="3" t="s">
        <v>473</v>
      </c>
      <c r="P1043" s="3" t="s">
        <v>69</v>
      </c>
      <c r="R1043" s="3" t="s">
        <v>9228</v>
      </c>
      <c r="S1043" s="4">
        <v>6</v>
      </c>
      <c r="T1043" s="4">
        <v>6</v>
      </c>
      <c r="U1043" s="5" t="s">
        <v>7430</v>
      </c>
      <c r="V1043" s="5" t="s">
        <v>7430</v>
      </c>
      <c r="W1043" s="5" t="s">
        <v>72</v>
      </c>
      <c r="X1043" s="5" t="s">
        <v>72</v>
      </c>
      <c r="Y1043" s="4">
        <v>95</v>
      </c>
      <c r="Z1043" s="4">
        <v>13</v>
      </c>
      <c r="AA1043" s="4">
        <v>24</v>
      </c>
      <c r="AB1043" s="4">
        <v>1</v>
      </c>
      <c r="AC1043" s="4">
        <v>3</v>
      </c>
      <c r="AD1043" s="4">
        <v>33</v>
      </c>
      <c r="AE1043" s="4">
        <v>98</v>
      </c>
      <c r="AF1043" s="4">
        <v>0</v>
      </c>
      <c r="AG1043" s="4">
        <v>2</v>
      </c>
      <c r="AH1043" s="4">
        <v>29</v>
      </c>
      <c r="AI1043" s="4">
        <v>87</v>
      </c>
      <c r="AJ1043" s="4">
        <v>10</v>
      </c>
      <c r="AK1043" s="4">
        <v>15</v>
      </c>
      <c r="AL1043" s="4">
        <v>20</v>
      </c>
      <c r="AM1043" s="4">
        <v>51</v>
      </c>
      <c r="AN1043" s="4">
        <v>0</v>
      </c>
      <c r="AO1043" s="4">
        <v>0</v>
      </c>
      <c r="AP1043" s="4">
        <v>10</v>
      </c>
      <c r="AQ1043" s="4">
        <v>16</v>
      </c>
      <c r="AR1043" s="3" t="s">
        <v>64</v>
      </c>
      <c r="AS1043" s="3" t="s">
        <v>64</v>
      </c>
      <c r="AT1043" s="3" t="s">
        <v>73</v>
      </c>
      <c r="AU1043" s="6" t="str">
        <f>HYPERLINK("http://catalog.hathitrust.org/Record/001952713","HathiTrust Record")</f>
        <v>HathiTrust Record</v>
      </c>
      <c r="AV1043" s="6" t="str">
        <f>HYPERLINK("http://mcgill.on.worldcat.org/oclc/20217690","Catalog Record")</f>
        <v>Catalog Record</v>
      </c>
      <c r="AW1043" s="6" t="str">
        <f>HYPERLINK("http://www.worldcat.org/oclc/20217690","WorldCat Record")</f>
        <v>WorldCat Record</v>
      </c>
      <c r="AX1043" s="3" t="s">
        <v>10777</v>
      </c>
      <c r="AY1043" s="3" t="s">
        <v>10778</v>
      </c>
      <c r="AZ1043" s="3" t="s">
        <v>10779</v>
      </c>
      <c r="BA1043" s="3" t="s">
        <v>10779</v>
      </c>
      <c r="BB1043" s="3" t="s">
        <v>10780</v>
      </c>
      <c r="BC1043" s="3" t="s">
        <v>78</v>
      </c>
      <c r="BD1043" s="3" t="s">
        <v>79</v>
      </c>
      <c r="BE1043" s="3" t="s">
        <v>10781</v>
      </c>
      <c r="BF1043" s="3" t="s">
        <v>10780</v>
      </c>
      <c r="BG1043" s="3" t="s">
        <v>10782</v>
      </c>
    </row>
    <row r="1044" spans="1:59" ht="58" x14ac:dyDescent="0.35">
      <c r="A1044" s="2" t="s">
        <v>59</v>
      </c>
      <c r="B1044" s="2" t="s">
        <v>94</v>
      </c>
      <c r="C1044" s="2" t="s">
        <v>10783</v>
      </c>
      <c r="D1044" s="2" t="s">
        <v>10784</v>
      </c>
      <c r="E1044" s="2" t="s">
        <v>10785</v>
      </c>
      <c r="G1044" s="3" t="s">
        <v>64</v>
      </c>
      <c r="I1044" s="3" t="s">
        <v>64</v>
      </c>
      <c r="J1044" s="3" t="s">
        <v>64</v>
      </c>
      <c r="K1044" s="3" t="s">
        <v>65</v>
      </c>
      <c r="L1044" s="2" t="s">
        <v>10786</v>
      </c>
      <c r="M1044" s="2" t="s">
        <v>10787</v>
      </c>
      <c r="N1044" s="3" t="s">
        <v>524</v>
      </c>
      <c r="P1044" s="3" t="s">
        <v>69</v>
      </c>
      <c r="R1044" s="3" t="s">
        <v>9228</v>
      </c>
      <c r="S1044" s="4">
        <v>0</v>
      </c>
      <c r="T1044" s="4">
        <v>0</v>
      </c>
      <c r="W1044" s="5" t="s">
        <v>72</v>
      </c>
      <c r="X1044" s="5" t="s">
        <v>72</v>
      </c>
      <c r="Y1044" s="4">
        <v>46</v>
      </c>
      <c r="Z1044" s="4">
        <v>2</v>
      </c>
      <c r="AA1044" s="4">
        <v>32</v>
      </c>
      <c r="AB1044" s="4">
        <v>1</v>
      </c>
      <c r="AC1044" s="4">
        <v>6</v>
      </c>
      <c r="AD1044" s="4">
        <v>33</v>
      </c>
      <c r="AE1044" s="4">
        <v>90</v>
      </c>
      <c r="AF1044" s="4">
        <v>0</v>
      </c>
      <c r="AG1044" s="4">
        <v>2</v>
      </c>
      <c r="AH1044" s="4">
        <v>32</v>
      </c>
      <c r="AI1044" s="4">
        <v>73</v>
      </c>
      <c r="AJ1044" s="4">
        <v>1</v>
      </c>
      <c r="AK1044" s="4">
        <v>13</v>
      </c>
      <c r="AL1044" s="4">
        <v>19</v>
      </c>
      <c r="AM1044" s="4">
        <v>39</v>
      </c>
      <c r="AN1044" s="4">
        <v>0</v>
      </c>
      <c r="AO1044" s="4">
        <v>0</v>
      </c>
      <c r="AP1044" s="4">
        <v>1</v>
      </c>
      <c r="AQ1044" s="4">
        <v>23</v>
      </c>
      <c r="AR1044" s="3" t="s">
        <v>64</v>
      </c>
      <c r="AS1044" s="3" t="s">
        <v>64</v>
      </c>
      <c r="AT1044" s="3" t="s">
        <v>64</v>
      </c>
      <c r="AV1044" s="6" t="str">
        <f>HYPERLINK("http://mcgill.on.worldcat.org/oclc/860908300","Catalog Record")</f>
        <v>Catalog Record</v>
      </c>
      <c r="AW1044" s="6" t="str">
        <f>HYPERLINK("http://www.worldcat.org/oclc/860908300","WorldCat Record")</f>
        <v>WorldCat Record</v>
      </c>
      <c r="AX1044" s="3" t="s">
        <v>10788</v>
      </c>
      <c r="AY1044" s="3" t="s">
        <v>10789</v>
      </c>
      <c r="AZ1044" s="3" t="s">
        <v>10790</v>
      </c>
      <c r="BA1044" s="3" t="s">
        <v>10790</v>
      </c>
      <c r="BB1044" s="3" t="s">
        <v>10791</v>
      </c>
      <c r="BC1044" s="3" t="s">
        <v>78</v>
      </c>
      <c r="BD1044" s="3" t="s">
        <v>79</v>
      </c>
      <c r="BE1044" s="3" t="s">
        <v>10792</v>
      </c>
      <c r="BF1044" s="3" t="s">
        <v>10791</v>
      </c>
      <c r="BG1044" s="3" t="s">
        <v>10793</v>
      </c>
    </row>
    <row r="1045" spans="1:59" ht="58" x14ac:dyDescent="0.35">
      <c r="A1045" s="2" t="s">
        <v>59</v>
      </c>
      <c r="B1045" s="2" t="s">
        <v>94</v>
      </c>
      <c r="C1045" s="2" t="s">
        <v>10794</v>
      </c>
      <c r="D1045" s="2" t="s">
        <v>10795</v>
      </c>
      <c r="E1045" s="2" t="s">
        <v>10796</v>
      </c>
      <c r="G1045" s="3" t="s">
        <v>64</v>
      </c>
      <c r="I1045" s="3" t="s">
        <v>64</v>
      </c>
      <c r="J1045" s="3" t="s">
        <v>64</v>
      </c>
      <c r="K1045" s="3" t="s">
        <v>65</v>
      </c>
      <c r="L1045" s="2" t="s">
        <v>10797</v>
      </c>
      <c r="M1045" s="2" t="s">
        <v>10798</v>
      </c>
      <c r="N1045" s="3" t="s">
        <v>499</v>
      </c>
      <c r="P1045" s="3" t="s">
        <v>69</v>
      </c>
      <c r="Q1045" s="2" t="s">
        <v>10799</v>
      </c>
      <c r="R1045" s="3" t="s">
        <v>9228</v>
      </c>
      <c r="S1045" s="4">
        <v>23</v>
      </c>
      <c r="T1045" s="4">
        <v>23</v>
      </c>
      <c r="U1045" s="5" t="s">
        <v>10800</v>
      </c>
      <c r="V1045" s="5" t="s">
        <v>10800</v>
      </c>
      <c r="W1045" s="5" t="s">
        <v>72</v>
      </c>
      <c r="X1045" s="5" t="s">
        <v>72</v>
      </c>
      <c r="Y1045" s="4">
        <v>29</v>
      </c>
      <c r="Z1045" s="4">
        <v>1</v>
      </c>
      <c r="AA1045" s="4">
        <v>35</v>
      </c>
      <c r="AB1045" s="4">
        <v>1</v>
      </c>
      <c r="AC1045" s="4">
        <v>6</v>
      </c>
      <c r="AD1045" s="4">
        <v>3</v>
      </c>
      <c r="AE1045" s="4">
        <v>109</v>
      </c>
      <c r="AF1045" s="4">
        <v>0</v>
      </c>
      <c r="AG1045" s="4">
        <v>3</v>
      </c>
      <c r="AH1045" s="4">
        <v>3</v>
      </c>
      <c r="AI1045" s="4">
        <v>93</v>
      </c>
      <c r="AJ1045" s="4">
        <v>0</v>
      </c>
      <c r="AK1045" s="4">
        <v>17</v>
      </c>
      <c r="AL1045" s="4">
        <v>1</v>
      </c>
      <c r="AM1045" s="4">
        <v>51</v>
      </c>
      <c r="AN1045" s="4">
        <v>0</v>
      </c>
      <c r="AO1045" s="4">
        <v>0</v>
      </c>
      <c r="AP1045" s="4">
        <v>0</v>
      </c>
      <c r="AQ1045" s="4">
        <v>23</v>
      </c>
      <c r="AR1045" s="3" t="s">
        <v>64</v>
      </c>
      <c r="AS1045" s="3" t="s">
        <v>64</v>
      </c>
      <c r="AT1045" s="3" t="s">
        <v>64</v>
      </c>
      <c r="AV1045" s="6" t="str">
        <f>HYPERLINK("http://mcgill.on.worldcat.org/oclc/60741710","Catalog Record")</f>
        <v>Catalog Record</v>
      </c>
      <c r="AW1045" s="6" t="str">
        <f>HYPERLINK("http://www.worldcat.org/oclc/60741710","WorldCat Record")</f>
        <v>WorldCat Record</v>
      </c>
      <c r="AX1045" s="3" t="s">
        <v>10801</v>
      </c>
      <c r="AY1045" s="3" t="s">
        <v>10802</v>
      </c>
      <c r="AZ1045" s="3" t="s">
        <v>10803</v>
      </c>
      <c r="BA1045" s="3" t="s">
        <v>10803</v>
      </c>
      <c r="BB1045" s="3" t="s">
        <v>10804</v>
      </c>
      <c r="BC1045" s="3" t="s">
        <v>78</v>
      </c>
      <c r="BD1045" s="3" t="s">
        <v>79</v>
      </c>
      <c r="BE1045" s="3" t="s">
        <v>10805</v>
      </c>
      <c r="BF1045" s="3" t="s">
        <v>10804</v>
      </c>
      <c r="BG1045" s="3" t="s">
        <v>10806</v>
      </c>
    </row>
    <row r="1046" spans="1:59" ht="58" x14ac:dyDescent="0.35">
      <c r="A1046" s="2" t="s">
        <v>59</v>
      </c>
      <c r="B1046" s="2" t="s">
        <v>94</v>
      </c>
      <c r="C1046" s="2" t="s">
        <v>10807</v>
      </c>
      <c r="D1046" s="2" t="s">
        <v>10808</v>
      </c>
      <c r="E1046" s="2" t="s">
        <v>10809</v>
      </c>
      <c r="G1046" s="3" t="s">
        <v>64</v>
      </c>
      <c r="I1046" s="3" t="s">
        <v>64</v>
      </c>
      <c r="J1046" s="3" t="s">
        <v>64</v>
      </c>
      <c r="K1046" s="3" t="s">
        <v>65</v>
      </c>
      <c r="L1046" s="2" t="s">
        <v>10810</v>
      </c>
      <c r="M1046" s="2" t="s">
        <v>10811</v>
      </c>
      <c r="N1046" s="3" t="s">
        <v>189</v>
      </c>
      <c r="O1046" s="2" t="s">
        <v>1294</v>
      </c>
      <c r="P1046" s="3" t="s">
        <v>69</v>
      </c>
      <c r="R1046" s="3" t="s">
        <v>9228</v>
      </c>
      <c r="S1046" s="4">
        <v>6</v>
      </c>
      <c r="T1046" s="4">
        <v>6</v>
      </c>
      <c r="U1046" s="5" t="s">
        <v>10812</v>
      </c>
      <c r="V1046" s="5" t="s">
        <v>10812</v>
      </c>
      <c r="W1046" s="5" t="s">
        <v>72</v>
      </c>
      <c r="X1046" s="5" t="s">
        <v>72</v>
      </c>
      <c r="Y1046" s="4">
        <v>753</v>
      </c>
      <c r="Z1046" s="4">
        <v>22</v>
      </c>
      <c r="AA1046" s="4">
        <v>27</v>
      </c>
      <c r="AB1046" s="4">
        <v>2</v>
      </c>
      <c r="AC1046" s="4">
        <v>3</v>
      </c>
      <c r="AD1046" s="4">
        <v>109</v>
      </c>
      <c r="AE1046" s="4">
        <v>115</v>
      </c>
      <c r="AF1046" s="4">
        <v>1</v>
      </c>
      <c r="AG1046" s="4">
        <v>2</v>
      </c>
      <c r="AH1046" s="4">
        <v>93</v>
      </c>
      <c r="AI1046" s="4">
        <v>97</v>
      </c>
      <c r="AJ1046" s="4">
        <v>16</v>
      </c>
      <c r="AK1046" s="4">
        <v>18</v>
      </c>
      <c r="AL1046" s="4">
        <v>53</v>
      </c>
      <c r="AM1046" s="4">
        <v>55</v>
      </c>
      <c r="AN1046" s="4">
        <v>0</v>
      </c>
      <c r="AO1046" s="4">
        <v>0</v>
      </c>
      <c r="AP1046" s="4">
        <v>18</v>
      </c>
      <c r="AQ1046" s="4">
        <v>20</v>
      </c>
      <c r="AR1046" s="3" t="s">
        <v>64</v>
      </c>
      <c r="AS1046" s="3" t="s">
        <v>64</v>
      </c>
      <c r="AT1046" s="3" t="s">
        <v>73</v>
      </c>
      <c r="AU1046" s="6" t="str">
        <f>HYPERLINK("http://catalog.hathitrust.org/Record/001588717","HathiTrust Record")</f>
        <v>HathiTrust Record</v>
      </c>
      <c r="AV1046" s="6" t="str">
        <f>HYPERLINK("http://mcgill.on.worldcat.org/oclc/1225668","Catalog Record")</f>
        <v>Catalog Record</v>
      </c>
      <c r="AW1046" s="6" t="str">
        <f>HYPERLINK("http://www.worldcat.org/oclc/1225668","WorldCat Record")</f>
        <v>WorldCat Record</v>
      </c>
      <c r="AX1046" s="3" t="s">
        <v>10813</v>
      </c>
      <c r="AY1046" s="3" t="s">
        <v>10814</v>
      </c>
      <c r="AZ1046" s="3" t="s">
        <v>10815</v>
      </c>
      <c r="BA1046" s="3" t="s">
        <v>10815</v>
      </c>
      <c r="BB1046" s="3" t="s">
        <v>10816</v>
      </c>
      <c r="BC1046" s="3" t="s">
        <v>78</v>
      </c>
      <c r="BD1046" s="3" t="s">
        <v>79</v>
      </c>
      <c r="BF1046" s="3" t="s">
        <v>10816</v>
      </c>
      <c r="BG1046" s="3" t="s">
        <v>10817</v>
      </c>
    </row>
    <row r="1047" spans="1:59" ht="58" x14ac:dyDescent="0.35">
      <c r="A1047" s="2" t="s">
        <v>59</v>
      </c>
      <c r="B1047" s="2" t="s">
        <v>94</v>
      </c>
      <c r="C1047" s="2" t="s">
        <v>10818</v>
      </c>
      <c r="D1047" s="2" t="s">
        <v>10819</v>
      </c>
      <c r="E1047" s="2" t="s">
        <v>10820</v>
      </c>
      <c r="G1047" s="3" t="s">
        <v>64</v>
      </c>
      <c r="I1047" s="3" t="s">
        <v>64</v>
      </c>
      <c r="J1047" s="3" t="s">
        <v>64</v>
      </c>
      <c r="K1047" s="3" t="s">
        <v>65</v>
      </c>
      <c r="L1047" s="2" t="s">
        <v>10821</v>
      </c>
      <c r="M1047" s="2" t="s">
        <v>537</v>
      </c>
      <c r="N1047" s="3" t="s">
        <v>538</v>
      </c>
      <c r="P1047" s="3" t="s">
        <v>69</v>
      </c>
      <c r="Q1047" s="2" t="s">
        <v>10822</v>
      </c>
      <c r="R1047" s="3" t="s">
        <v>9228</v>
      </c>
      <c r="S1047" s="4">
        <v>7</v>
      </c>
      <c r="T1047" s="4">
        <v>7</v>
      </c>
      <c r="U1047" s="5" t="s">
        <v>8933</v>
      </c>
      <c r="V1047" s="5" t="s">
        <v>8933</v>
      </c>
      <c r="W1047" s="5" t="s">
        <v>72</v>
      </c>
      <c r="X1047" s="5" t="s">
        <v>72</v>
      </c>
      <c r="Y1047" s="4">
        <v>156</v>
      </c>
      <c r="Z1047" s="4">
        <v>8</v>
      </c>
      <c r="AA1047" s="4">
        <v>13</v>
      </c>
      <c r="AB1047" s="4">
        <v>1</v>
      </c>
      <c r="AC1047" s="4">
        <v>5</v>
      </c>
      <c r="AD1047" s="4">
        <v>59</v>
      </c>
      <c r="AE1047" s="4">
        <v>63</v>
      </c>
      <c r="AF1047" s="4">
        <v>0</v>
      </c>
      <c r="AG1047" s="4">
        <v>1</v>
      </c>
      <c r="AH1047" s="4">
        <v>55</v>
      </c>
      <c r="AI1047" s="4">
        <v>59</v>
      </c>
      <c r="AJ1047" s="4">
        <v>5</v>
      </c>
      <c r="AK1047" s="4">
        <v>6</v>
      </c>
      <c r="AL1047" s="4">
        <v>37</v>
      </c>
      <c r="AM1047" s="4">
        <v>39</v>
      </c>
      <c r="AN1047" s="4">
        <v>0</v>
      </c>
      <c r="AO1047" s="4">
        <v>0</v>
      </c>
      <c r="AP1047" s="4">
        <v>5</v>
      </c>
      <c r="AQ1047" s="4">
        <v>6</v>
      </c>
      <c r="AR1047" s="3" t="s">
        <v>64</v>
      </c>
      <c r="AS1047" s="3" t="s">
        <v>64</v>
      </c>
      <c r="AT1047" s="3" t="s">
        <v>64</v>
      </c>
      <c r="AV1047" s="6" t="str">
        <f>HYPERLINK("http://mcgill.on.worldcat.org/oclc/74029289","Catalog Record")</f>
        <v>Catalog Record</v>
      </c>
      <c r="AW1047" s="6" t="str">
        <f>HYPERLINK("http://www.worldcat.org/oclc/74029289","WorldCat Record")</f>
        <v>WorldCat Record</v>
      </c>
      <c r="AX1047" s="3" t="s">
        <v>10823</v>
      </c>
      <c r="AY1047" s="3" t="s">
        <v>10824</v>
      </c>
      <c r="AZ1047" s="3" t="s">
        <v>10825</v>
      </c>
      <c r="BA1047" s="3" t="s">
        <v>10825</v>
      </c>
      <c r="BB1047" s="3" t="s">
        <v>10826</v>
      </c>
      <c r="BC1047" s="3" t="s">
        <v>78</v>
      </c>
      <c r="BD1047" s="3" t="s">
        <v>79</v>
      </c>
      <c r="BE1047" s="3" t="s">
        <v>10827</v>
      </c>
      <c r="BF1047" s="3" t="s">
        <v>10826</v>
      </c>
      <c r="BG1047" s="3" t="s">
        <v>10828</v>
      </c>
    </row>
    <row r="1048" spans="1:59" ht="58" x14ac:dyDescent="0.35">
      <c r="A1048" s="2" t="s">
        <v>59</v>
      </c>
      <c r="B1048" s="2" t="s">
        <v>94</v>
      </c>
      <c r="C1048" s="2" t="s">
        <v>10829</v>
      </c>
      <c r="D1048" s="2" t="s">
        <v>10830</v>
      </c>
      <c r="E1048" s="2" t="s">
        <v>10831</v>
      </c>
      <c r="G1048" s="3" t="s">
        <v>64</v>
      </c>
      <c r="I1048" s="3" t="s">
        <v>64</v>
      </c>
      <c r="J1048" s="3" t="s">
        <v>64</v>
      </c>
      <c r="K1048" s="3" t="s">
        <v>65</v>
      </c>
      <c r="L1048" s="2" t="s">
        <v>10832</v>
      </c>
      <c r="M1048" s="2" t="s">
        <v>10833</v>
      </c>
      <c r="N1048" s="3" t="s">
        <v>538</v>
      </c>
      <c r="P1048" s="3" t="s">
        <v>69</v>
      </c>
      <c r="Q1048" s="2" t="s">
        <v>10834</v>
      </c>
      <c r="R1048" s="3" t="s">
        <v>9228</v>
      </c>
      <c r="S1048" s="4">
        <v>6</v>
      </c>
      <c r="T1048" s="4">
        <v>6</v>
      </c>
      <c r="U1048" s="5" t="s">
        <v>10835</v>
      </c>
      <c r="V1048" s="5" t="s">
        <v>10835</v>
      </c>
      <c r="W1048" s="5" t="s">
        <v>72</v>
      </c>
      <c r="X1048" s="5" t="s">
        <v>72</v>
      </c>
      <c r="Y1048" s="4">
        <v>130</v>
      </c>
      <c r="Z1048" s="4">
        <v>7</v>
      </c>
      <c r="AA1048" s="4">
        <v>10</v>
      </c>
      <c r="AB1048" s="4">
        <v>1</v>
      </c>
      <c r="AC1048" s="4">
        <v>4</v>
      </c>
      <c r="AD1048" s="4">
        <v>47</v>
      </c>
      <c r="AE1048" s="4">
        <v>53</v>
      </c>
      <c r="AF1048" s="4">
        <v>0</v>
      </c>
      <c r="AG1048" s="4">
        <v>0</v>
      </c>
      <c r="AH1048" s="4">
        <v>44</v>
      </c>
      <c r="AI1048" s="4">
        <v>50</v>
      </c>
      <c r="AJ1048" s="4">
        <v>5</v>
      </c>
      <c r="AK1048" s="4">
        <v>5</v>
      </c>
      <c r="AL1048" s="4">
        <v>29</v>
      </c>
      <c r="AM1048" s="4">
        <v>31</v>
      </c>
      <c r="AN1048" s="4">
        <v>5</v>
      </c>
      <c r="AO1048" s="4">
        <v>5</v>
      </c>
      <c r="AP1048" s="4">
        <v>5</v>
      </c>
      <c r="AQ1048" s="4">
        <v>5</v>
      </c>
      <c r="AR1048" s="3" t="s">
        <v>64</v>
      </c>
      <c r="AS1048" s="3" t="s">
        <v>64</v>
      </c>
      <c r="AT1048" s="3" t="s">
        <v>73</v>
      </c>
      <c r="AU1048" s="6" t="str">
        <f>HYPERLINK("http://catalog.hathitrust.org/Record/007999623","HathiTrust Record")</f>
        <v>HathiTrust Record</v>
      </c>
      <c r="AV1048" s="6" t="str">
        <f>HYPERLINK("http://mcgill.on.worldcat.org/oclc/68221299","Catalog Record")</f>
        <v>Catalog Record</v>
      </c>
      <c r="AW1048" s="6" t="str">
        <f>HYPERLINK("http://www.worldcat.org/oclc/68221299","WorldCat Record")</f>
        <v>WorldCat Record</v>
      </c>
      <c r="AX1048" s="3" t="s">
        <v>10836</v>
      </c>
      <c r="AY1048" s="3" t="s">
        <v>10837</v>
      </c>
      <c r="AZ1048" s="3" t="s">
        <v>10838</v>
      </c>
      <c r="BA1048" s="3" t="s">
        <v>10838</v>
      </c>
      <c r="BB1048" s="3" t="s">
        <v>10839</v>
      </c>
      <c r="BC1048" s="3" t="s">
        <v>78</v>
      </c>
      <c r="BD1048" s="3" t="s">
        <v>79</v>
      </c>
      <c r="BE1048" s="3" t="s">
        <v>10840</v>
      </c>
      <c r="BF1048" s="3" t="s">
        <v>10839</v>
      </c>
      <c r="BG1048" s="3" t="s">
        <v>10841</v>
      </c>
    </row>
    <row r="1049" spans="1:59" ht="58" x14ac:dyDescent="0.35">
      <c r="A1049" s="2" t="s">
        <v>59</v>
      </c>
      <c r="B1049" s="2" t="s">
        <v>94</v>
      </c>
      <c r="C1049" s="2" t="s">
        <v>10842</v>
      </c>
      <c r="D1049" s="2" t="s">
        <v>10843</v>
      </c>
      <c r="E1049" s="2" t="s">
        <v>10844</v>
      </c>
      <c r="G1049" s="3" t="s">
        <v>64</v>
      </c>
      <c r="I1049" s="3" t="s">
        <v>64</v>
      </c>
      <c r="J1049" s="3" t="s">
        <v>64</v>
      </c>
      <c r="K1049" s="3" t="s">
        <v>65</v>
      </c>
      <c r="L1049" s="2" t="s">
        <v>10845</v>
      </c>
      <c r="M1049" s="2" t="s">
        <v>10846</v>
      </c>
      <c r="N1049" s="3" t="s">
        <v>377</v>
      </c>
      <c r="P1049" s="3" t="s">
        <v>69</v>
      </c>
      <c r="R1049" s="3" t="s">
        <v>9228</v>
      </c>
      <c r="S1049" s="4">
        <v>0</v>
      </c>
      <c r="T1049" s="4">
        <v>0</v>
      </c>
      <c r="W1049" s="5" t="s">
        <v>72</v>
      </c>
      <c r="X1049" s="5" t="s">
        <v>72</v>
      </c>
      <c r="Y1049" s="4">
        <v>742</v>
      </c>
      <c r="Z1049" s="4">
        <v>21</v>
      </c>
      <c r="AA1049" s="4">
        <v>26</v>
      </c>
      <c r="AB1049" s="4">
        <v>5</v>
      </c>
      <c r="AC1049" s="4">
        <v>6</v>
      </c>
      <c r="AD1049" s="4">
        <v>72</v>
      </c>
      <c r="AE1049" s="4">
        <v>78</v>
      </c>
      <c r="AF1049" s="4">
        <v>1</v>
      </c>
      <c r="AG1049" s="4">
        <v>2</v>
      </c>
      <c r="AH1049" s="4">
        <v>67</v>
      </c>
      <c r="AI1049" s="4">
        <v>72</v>
      </c>
      <c r="AJ1049" s="4">
        <v>7</v>
      </c>
      <c r="AK1049" s="4">
        <v>10</v>
      </c>
      <c r="AL1049" s="4">
        <v>42</v>
      </c>
      <c r="AM1049" s="4">
        <v>45</v>
      </c>
      <c r="AN1049" s="4">
        <v>0</v>
      </c>
      <c r="AO1049" s="4">
        <v>0</v>
      </c>
      <c r="AP1049" s="4">
        <v>7</v>
      </c>
      <c r="AQ1049" s="4">
        <v>9</v>
      </c>
      <c r="AR1049" s="3" t="s">
        <v>64</v>
      </c>
      <c r="AS1049" s="3" t="s">
        <v>64</v>
      </c>
      <c r="AT1049" s="3" t="s">
        <v>64</v>
      </c>
      <c r="AV1049" s="6" t="str">
        <f>HYPERLINK("http://mcgill.on.worldcat.org/oclc/733230707","Catalog Record")</f>
        <v>Catalog Record</v>
      </c>
      <c r="AW1049" s="6" t="str">
        <f>HYPERLINK("http://www.worldcat.org/oclc/733230707","WorldCat Record")</f>
        <v>WorldCat Record</v>
      </c>
      <c r="AX1049" s="3" t="s">
        <v>10847</v>
      </c>
      <c r="AY1049" s="3" t="s">
        <v>10848</v>
      </c>
      <c r="AZ1049" s="3" t="s">
        <v>10849</v>
      </c>
      <c r="BA1049" s="3" t="s">
        <v>10849</v>
      </c>
      <c r="BB1049" s="3" t="s">
        <v>10850</v>
      </c>
      <c r="BC1049" s="3" t="s">
        <v>78</v>
      </c>
      <c r="BD1049" s="3" t="s">
        <v>79</v>
      </c>
      <c r="BE1049" s="3" t="s">
        <v>10851</v>
      </c>
      <c r="BF1049" s="3" t="s">
        <v>10850</v>
      </c>
      <c r="BG1049" s="3" t="s">
        <v>10852</v>
      </c>
    </row>
    <row r="1050" spans="1:59" ht="58" x14ac:dyDescent="0.35">
      <c r="A1050" s="2" t="s">
        <v>59</v>
      </c>
      <c r="B1050" s="2" t="s">
        <v>94</v>
      </c>
      <c r="C1050" s="2" t="s">
        <v>10853</v>
      </c>
      <c r="D1050" s="2" t="s">
        <v>10854</v>
      </c>
      <c r="E1050" s="2" t="s">
        <v>10855</v>
      </c>
      <c r="G1050" s="3" t="s">
        <v>64</v>
      </c>
      <c r="I1050" s="3" t="s">
        <v>64</v>
      </c>
      <c r="J1050" s="3" t="s">
        <v>64</v>
      </c>
      <c r="K1050" s="3" t="s">
        <v>65</v>
      </c>
      <c r="M1050" s="2" t="s">
        <v>10856</v>
      </c>
      <c r="N1050" s="3" t="s">
        <v>538</v>
      </c>
      <c r="P1050" s="3" t="s">
        <v>69</v>
      </c>
      <c r="Q1050" s="2" t="s">
        <v>539</v>
      </c>
      <c r="R1050" s="3" t="s">
        <v>9228</v>
      </c>
      <c r="S1050" s="4">
        <v>6</v>
      </c>
      <c r="T1050" s="4">
        <v>6</v>
      </c>
      <c r="U1050" s="5" t="s">
        <v>1984</v>
      </c>
      <c r="V1050" s="5" t="s">
        <v>1984</v>
      </c>
      <c r="W1050" s="5" t="s">
        <v>72</v>
      </c>
      <c r="X1050" s="5" t="s">
        <v>72</v>
      </c>
      <c r="Y1050" s="4">
        <v>212</v>
      </c>
      <c r="Z1050" s="4">
        <v>13</v>
      </c>
      <c r="AA1050" s="4">
        <v>16</v>
      </c>
      <c r="AB1050" s="4">
        <v>2</v>
      </c>
      <c r="AC1050" s="4">
        <v>5</v>
      </c>
      <c r="AD1050" s="4">
        <v>58</v>
      </c>
      <c r="AE1050" s="4">
        <v>66</v>
      </c>
      <c r="AF1050" s="4">
        <v>1</v>
      </c>
      <c r="AG1050" s="4">
        <v>1</v>
      </c>
      <c r="AH1050" s="4">
        <v>53</v>
      </c>
      <c r="AI1050" s="4">
        <v>61</v>
      </c>
      <c r="AJ1050" s="4">
        <v>11</v>
      </c>
      <c r="AK1050" s="4">
        <v>11</v>
      </c>
      <c r="AL1050" s="4">
        <v>30</v>
      </c>
      <c r="AM1050" s="4">
        <v>34</v>
      </c>
      <c r="AN1050" s="4">
        <v>0</v>
      </c>
      <c r="AO1050" s="4">
        <v>0</v>
      </c>
      <c r="AP1050" s="4">
        <v>11</v>
      </c>
      <c r="AQ1050" s="4">
        <v>11</v>
      </c>
      <c r="AR1050" s="3" t="s">
        <v>64</v>
      </c>
      <c r="AS1050" s="3" t="s">
        <v>64</v>
      </c>
      <c r="AT1050" s="3" t="s">
        <v>73</v>
      </c>
      <c r="AU1050" s="6" t="str">
        <f>HYPERLINK("http://catalog.hathitrust.org/Record/005422396","HathiTrust Record")</f>
        <v>HathiTrust Record</v>
      </c>
      <c r="AV1050" s="6" t="str">
        <f>HYPERLINK("http://mcgill.on.worldcat.org/oclc/69594019","Catalog Record")</f>
        <v>Catalog Record</v>
      </c>
      <c r="AW1050" s="6" t="str">
        <f>HYPERLINK("http://www.worldcat.org/oclc/69594019","WorldCat Record")</f>
        <v>WorldCat Record</v>
      </c>
      <c r="AX1050" s="3" t="s">
        <v>10857</v>
      </c>
      <c r="AY1050" s="3" t="s">
        <v>10858</v>
      </c>
      <c r="AZ1050" s="3" t="s">
        <v>10859</v>
      </c>
      <c r="BA1050" s="3" t="s">
        <v>10859</v>
      </c>
      <c r="BB1050" s="3" t="s">
        <v>10860</v>
      </c>
      <c r="BC1050" s="3" t="s">
        <v>78</v>
      </c>
      <c r="BD1050" s="3" t="s">
        <v>79</v>
      </c>
      <c r="BE1050" s="3" t="s">
        <v>10861</v>
      </c>
      <c r="BF1050" s="3" t="s">
        <v>10860</v>
      </c>
      <c r="BG1050" s="3" t="s">
        <v>10862</v>
      </c>
    </row>
    <row r="1051" spans="1:59" ht="58" x14ac:dyDescent="0.35">
      <c r="A1051" s="2" t="s">
        <v>59</v>
      </c>
      <c r="B1051" s="2" t="s">
        <v>94</v>
      </c>
      <c r="C1051" s="2" t="s">
        <v>10863</v>
      </c>
      <c r="D1051" s="2" t="s">
        <v>10864</v>
      </c>
      <c r="E1051" s="2" t="s">
        <v>10865</v>
      </c>
      <c r="G1051" s="3" t="s">
        <v>64</v>
      </c>
      <c r="I1051" s="3" t="s">
        <v>64</v>
      </c>
      <c r="J1051" s="3" t="s">
        <v>64</v>
      </c>
      <c r="K1051" s="3" t="s">
        <v>65</v>
      </c>
      <c r="L1051" s="2" t="s">
        <v>10866</v>
      </c>
      <c r="M1051" s="2" t="s">
        <v>10867</v>
      </c>
      <c r="N1051" s="3" t="s">
        <v>473</v>
      </c>
      <c r="P1051" s="3" t="s">
        <v>69</v>
      </c>
      <c r="R1051" s="3" t="s">
        <v>9228</v>
      </c>
      <c r="S1051" s="4">
        <v>31</v>
      </c>
      <c r="T1051" s="4">
        <v>31</v>
      </c>
      <c r="U1051" s="5" t="s">
        <v>10868</v>
      </c>
      <c r="V1051" s="5" t="s">
        <v>10868</v>
      </c>
      <c r="W1051" s="5" t="s">
        <v>72</v>
      </c>
      <c r="X1051" s="5" t="s">
        <v>72</v>
      </c>
      <c r="Y1051" s="4">
        <v>60</v>
      </c>
      <c r="Z1051" s="4">
        <v>1</v>
      </c>
      <c r="AA1051" s="4">
        <v>21</v>
      </c>
      <c r="AB1051" s="4">
        <v>1</v>
      </c>
      <c r="AC1051" s="4">
        <v>2</v>
      </c>
      <c r="AD1051" s="4">
        <v>1</v>
      </c>
      <c r="AE1051" s="4">
        <v>104</v>
      </c>
      <c r="AF1051" s="4">
        <v>0</v>
      </c>
      <c r="AG1051" s="4">
        <v>1</v>
      </c>
      <c r="AH1051" s="4">
        <v>1</v>
      </c>
      <c r="AI1051" s="4">
        <v>96</v>
      </c>
      <c r="AJ1051" s="4">
        <v>0</v>
      </c>
      <c r="AK1051" s="4">
        <v>13</v>
      </c>
      <c r="AL1051" s="4">
        <v>1</v>
      </c>
      <c r="AM1051" s="4">
        <v>52</v>
      </c>
      <c r="AN1051" s="4">
        <v>0</v>
      </c>
      <c r="AO1051" s="4">
        <v>0</v>
      </c>
      <c r="AP1051" s="4">
        <v>0</v>
      </c>
      <c r="AQ1051" s="4">
        <v>14</v>
      </c>
      <c r="AR1051" s="3" t="s">
        <v>64</v>
      </c>
      <c r="AS1051" s="3" t="s">
        <v>64</v>
      </c>
      <c r="AT1051" s="3" t="s">
        <v>64</v>
      </c>
      <c r="AV1051" s="6" t="str">
        <f>HYPERLINK("http://mcgill.on.worldcat.org/oclc/21872066","Catalog Record")</f>
        <v>Catalog Record</v>
      </c>
      <c r="AW1051" s="6" t="str">
        <f>HYPERLINK("http://www.worldcat.org/oclc/21872066","WorldCat Record")</f>
        <v>WorldCat Record</v>
      </c>
      <c r="AX1051" s="3" t="s">
        <v>10869</v>
      </c>
      <c r="AY1051" s="3" t="s">
        <v>10870</v>
      </c>
      <c r="AZ1051" s="3" t="s">
        <v>10871</v>
      </c>
      <c r="BA1051" s="3" t="s">
        <v>10871</v>
      </c>
      <c r="BB1051" s="3" t="s">
        <v>10872</v>
      </c>
      <c r="BC1051" s="3" t="s">
        <v>78</v>
      </c>
      <c r="BD1051" s="3" t="s">
        <v>79</v>
      </c>
      <c r="BE1051" s="3" t="s">
        <v>10873</v>
      </c>
      <c r="BF1051" s="3" t="s">
        <v>10872</v>
      </c>
      <c r="BG1051" s="3" t="s">
        <v>10874</v>
      </c>
    </row>
    <row r="1052" spans="1:59" ht="58" x14ac:dyDescent="0.35">
      <c r="A1052" s="2" t="s">
        <v>59</v>
      </c>
      <c r="B1052" s="2" t="s">
        <v>94</v>
      </c>
      <c r="C1052" s="2" t="s">
        <v>10875</v>
      </c>
      <c r="D1052" s="2" t="s">
        <v>10876</v>
      </c>
      <c r="E1052" s="2" t="s">
        <v>10877</v>
      </c>
      <c r="G1052" s="3" t="s">
        <v>64</v>
      </c>
      <c r="I1052" s="3" t="s">
        <v>64</v>
      </c>
      <c r="J1052" s="3" t="s">
        <v>64</v>
      </c>
      <c r="K1052" s="3" t="s">
        <v>65</v>
      </c>
      <c r="L1052" s="2" t="s">
        <v>10878</v>
      </c>
      <c r="M1052" s="2" t="s">
        <v>10879</v>
      </c>
      <c r="N1052" s="3" t="s">
        <v>175</v>
      </c>
      <c r="P1052" s="3" t="s">
        <v>69</v>
      </c>
      <c r="R1052" s="3" t="s">
        <v>9228</v>
      </c>
      <c r="S1052" s="4">
        <v>1</v>
      </c>
      <c r="T1052" s="4">
        <v>1</v>
      </c>
      <c r="U1052" s="5" t="s">
        <v>10880</v>
      </c>
      <c r="V1052" s="5" t="s">
        <v>10880</v>
      </c>
      <c r="W1052" s="5" t="s">
        <v>72</v>
      </c>
      <c r="X1052" s="5" t="s">
        <v>72</v>
      </c>
      <c r="Y1052" s="4">
        <v>119</v>
      </c>
      <c r="Z1052" s="4">
        <v>7</v>
      </c>
      <c r="AA1052" s="4">
        <v>100</v>
      </c>
      <c r="AB1052" s="4">
        <v>2</v>
      </c>
      <c r="AC1052" s="4">
        <v>17</v>
      </c>
      <c r="AD1052" s="4">
        <v>49</v>
      </c>
      <c r="AE1052" s="4">
        <v>118</v>
      </c>
      <c r="AF1052" s="4">
        <v>1</v>
      </c>
      <c r="AG1052" s="4">
        <v>8</v>
      </c>
      <c r="AH1052" s="4">
        <v>44</v>
      </c>
      <c r="AI1052" s="4">
        <v>82</v>
      </c>
      <c r="AJ1052" s="4">
        <v>2</v>
      </c>
      <c r="AK1052" s="4">
        <v>19</v>
      </c>
      <c r="AL1052" s="4">
        <v>33</v>
      </c>
      <c r="AM1052" s="4">
        <v>45</v>
      </c>
      <c r="AN1052" s="4">
        <v>0</v>
      </c>
      <c r="AO1052" s="4">
        <v>0</v>
      </c>
      <c r="AP1052" s="4">
        <v>4</v>
      </c>
      <c r="AQ1052" s="4">
        <v>41</v>
      </c>
      <c r="AR1052" s="3" t="s">
        <v>64</v>
      </c>
      <c r="AS1052" s="3" t="s">
        <v>64</v>
      </c>
      <c r="AT1052" s="3" t="s">
        <v>64</v>
      </c>
      <c r="AV1052" s="6" t="str">
        <f>HYPERLINK("http://mcgill.on.worldcat.org/oclc/842330087","Catalog Record")</f>
        <v>Catalog Record</v>
      </c>
      <c r="AW1052" s="6" t="str">
        <f>HYPERLINK("http://www.worldcat.org/oclc/842330087","WorldCat Record")</f>
        <v>WorldCat Record</v>
      </c>
      <c r="AX1052" s="3" t="s">
        <v>10881</v>
      </c>
      <c r="AY1052" s="3" t="s">
        <v>10882</v>
      </c>
      <c r="AZ1052" s="3" t="s">
        <v>10883</v>
      </c>
      <c r="BA1052" s="3" t="s">
        <v>10883</v>
      </c>
      <c r="BB1052" s="3" t="s">
        <v>10884</v>
      </c>
      <c r="BC1052" s="3" t="s">
        <v>78</v>
      </c>
      <c r="BD1052" s="3" t="s">
        <v>79</v>
      </c>
      <c r="BE1052" s="3" t="s">
        <v>10885</v>
      </c>
      <c r="BF1052" s="3" t="s">
        <v>10884</v>
      </c>
      <c r="BG1052" s="3" t="s">
        <v>10886</v>
      </c>
    </row>
    <row r="1053" spans="1:59" ht="58" x14ac:dyDescent="0.35">
      <c r="A1053" s="2" t="s">
        <v>59</v>
      </c>
      <c r="B1053" s="2" t="s">
        <v>94</v>
      </c>
      <c r="C1053" s="2" t="s">
        <v>10887</v>
      </c>
      <c r="D1053" s="2" t="s">
        <v>10888</v>
      </c>
      <c r="E1053" s="2" t="s">
        <v>10889</v>
      </c>
      <c r="G1053" s="3" t="s">
        <v>64</v>
      </c>
      <c r="I1053" s="3" t="s">
        <v>64</v>
      </c>
      <c r="J1053" s="3" t="s">
        <v>64</v>
      </c>
      <c r="K1053" s="3" t="s">
        <v>65</v>
      </c>
      <c r="L1053" s="2" t="s">
        <v>10890</v>
      </c>
      <c r="M1053" s="2" t="s">
        <v>10891</v>
      </c>
      <c r="N1053" s="3" t="s">
        <v>226</v>
      </c>
      <c r="P1053" s="3" t="s">
        <v>69</v>
      </c>
      <c r="R1053" s="3" t="s">
        <v>9228</v>
      </c>
      <c r="S1053" s="4">
        <v>17</v>
      </c>
      <c r="T1053" s="4">
        <v>17</v>
      </c>
      <c r="U1053" s="5" t="s">
        <v>2080</v>
      </c>
      <c r="V1053" s="5" t="s">
        <v>2080</v>
      </c>
      <c r="W1053" s="5" t="s">
        <v>72</v>
      </c>
      <c r="X1053" s="5" t="s">
        <v>72</v>
      </c>
      <c r="Y1053" s="4">
        <v>343</v>
      </c>
      <c r="Z1053" s="4">
        <v>21</v>
      </c>
      <c r="AA1053" s="4">
        <v>24</v>
      </c>
      <c r="AB1053" s="4">
        <v>2</v>
      </c>
      <c r="AC1053" s="4">
        <v>5</v>
      </c>
      <c r="AD1053" s="4">
        <v>99</v>
      </c>
      <c r="AE1053" s="4">
        <v>105</v>
      </c>
      <c r="AF1053" s="4">
        <v>1</v>
      </c>
      <c r="AG1053" s="4">
        <v>2</v>
      </c>
      <c r="AH1053" s="4">
        <v>87</v>
      </c>
      <c r="AI1053" s="4">
        <v>92</v>
      </c>
      <c r="AJ1053" s="4">
        <v>15</v>
      </c>
      <c r="AK1053" s="4">
        <v>16</v>
      </c>
      <c r="AL1053" s="4">
        <v>50</v>
      </c>
      <c r="AM1053" s="4">
        <v>53</v>
      </c>
      <c r="AN1053" s="4">
        <v>0</v>
      </c>
      <c r="AO1053" s="4">
        <v>0</v>
      </c>
      <c r="AP1053" s="4">
        <v>17</v>
      </c>
      <c r="AQ1053" s="4">
        <v>17</v>
      </c>
      <c r="AR1053" s="3" t="s">
        <v>64</v>
      </c>
      <c r="AS1053" s="3" t="s">
        <v>64</v>
      </c>
      <c r="AT1053" s="3" t="s">
        <v>73</v>
      </c>
      <c r="AU1053" s="6" t="str">
        <f>HYPERLINK("http://catalog.hathitrust.org/Record/003945241","HathiTrust Record")</f>
        <v>HathiTrust Record</v>
      </c>
      <c r="AV1053" s="6" t="str">
        <f>HYPERLINK("http://mcgill.on.worldcat.org/oclc/36246022","Catalog Record")</f>
        <v>Catalog Record</v>
      </c>
      <c r="AW1053" s="6" t="str">
        <f>HYPERLINK("http://www.worldcat.org/oclc/36246022","WorldCat Record")</f>
        <v>WorldCat Record</v>
      </c>
      <c r="AX1053" s="3" t="s">
        <v>10892</v>
      </c>
      <c r="AY1053" s="3" t="s">
        <v>10893</v>
      </c>
      <c r="AZ1053" s="3" t="s">
        <v>10894</v>
      </c>
      <c r="BA1053" s="3" t="s">
        <v>10894</v>
      </c>
      <c r="BB1053" s="3" t="s">
        <v>10895</v>
      </c>
      <c r="BC1053" s="3" t="s">
        <v>78</v>
      </c>
      <c r="BD1053" s="3" t="s">
        <v>79</v>
      </c>
      <c r="BE1053" s="3" t="s">
        <v>10896</v>
      </c>
      <c r="BF1053" s="3" t="s">
        <v>10895</v>
      </c>
      <c r="BG1053" s="3" t="s">
        <v>10897</v>
      </c>
    </row>
    <row r="1054" spans="1:59" ht="58" x14ac:dyDescent="0.35">
      <c r="A1054" s="2" t="s">
        <v>59</v>
      </c>
      <c r="B1054" s="2" t="s">
        <v>94</v>
      </c>
      <c r="C1054" s="2" t="s">
        <v>10898</v>
      </c>
      <c r="D1054" s="2" t="s">
        <v>10899</v>
      </c>
      <c r="E1054" s="2" t="s">
        <v>10900</v>
      </c>
      <c r="G1054" s="3" t="s">
        <v>64</v>
      </c>
      <c r="I1054" s="3" t="s">
        <v>64</v>
      </c>
      <c r="J1054" s="3" t="s">
        <v>64</v>
      </c>
      <c r="K1054" s="3" t="s">
        <v>65</v>
      </c>
      <c r="M1054" s="2" t="s">
        <v>10901</v>
      </c>
      <c r="N1054" s="3" t="s">
        <v>377</v>
      </c>
      <c r="P1054" s="3" t="s">
        <v>69</v>
      </c>
      <c r="Q1054" s="2" t="s">
        <v>10902</v>
      </c>
      <c r="R1054" s="3" t="s">
        <v>9228</v>
      </c>
      <c r="S1054" s="4">
        <v>0</v>
      </c>
      <c r="T1054" s="4">
        <v>0</v>
      </c>
      <c r="W1054" s="5" t="s">
        <v>72</v>
      </c>
      <c r="X1054" s="5" t="s">
        <v>72</v>
      </c>
      <c r="Y1054" s="4">
        <v>18</v>
      </c>
      <c r="Z1054" s="4">
        <v>11</v>
      </c>
      <c r="AA1054" s="4">
        <v>11</v>
      </c>
      <c r="AB1054" s="4">
        <v>2</v>
      </c>
      <c r="AC1054" s="4">
        <v>2</v>
      </c>
      <c r="AD1054" s="4">
        <v>12</v>
      </c>
      <c r="AE1054" s="4">
        <v>12</v>
      </c>
      <c r="AF1054" s="4">
        <v>1</v>
      </c>
      <c r="AG1054" s="4">
        <v>1</v>
      </c>
      <c r="AH1054" s="4">
        <v>7</v>
      </c>
      <c r="AI1054" s="4">
        <v>7</v>
      </c>
      <c r="AJ1054" s="4">
        <v>9</v>
      </c>
      <c r="AK1054" s="4">
        <v>9</v>
      </c>
      <c r="AL1054" s="4">
        <v>3</v>
      </c>
      <c r="AM1054" s="4">
        <v>3</v>
      </c>
      <c r="AN1054" s="4">
        <v>0</v>
      </c>
      <c r="AO1054" s="4">
        <v>0</v>
      </c>
      <c r="AP1054" s="4">
        <v>8</v>
      </c>
      <c r="AQ1054" s="4">
        <v>8</v>
      </c>
      <c r="AR1054" s="3" t="s">
        <v>73</v>
      </c>
      <c r="AS1054" s="3" t="s">
        <v>64</v>
      </c>
      <c r="AT1054" s="3" t="s">
        <v>64</v>
      </c>
      <c r="AV1054" s="6" t="str">
        <f>HYPERLINK("http://mcgill.on.worldcat.org/oclc/814661650","Catalog Record")</f>
        <v>Catalog Record</v>
      </c>
      <c r="AW1054" s="6" t="str">
        <f>HYPERLINK("http://www.worldcat.org/oclc/814661650","WorldCat Record")</f>
        <v>WorldCat Record</v>
      </c>
      <c r="AX1054" s="3" t="s">
        <v>10903</v>
      </c>
      <c r="AY1054" s="3" t="s">
        <v>10904</v>
      </c>
      <c r="AZ1054" s="3" t="s">
        <v>10905</v>
      </c>
      <c r="BA1054" s="3" t="s">
        <v>10905</v>
      </c>
      <c r="BB1054" s="3" t="s">
        <v>10906</v>
      </c>
      <c r="BC1054" s="3" t="s">
        <v>78</v>
      </c>
      <c r="BD1054" s="3" t="s">
        <v>79</v>
      </c>
      <c r="BE1054" s="3" t="s">
        <v>10907</v>
      </c>
      <c r="BF1054" s="3" t="s">
        <v>10906</v>
      </c>
      <c r="BG1054" s="3" t="s">
        <v>10908</v>
      </c>
    </row>
    <row r="1055" spans="1:59" ht="58" x14ac:dyDescent="0.35">
      <c r="A1055" s="2" t="s">
        <v>59</v>
      </c>
      <c r="B1055" s="2" t="s">
        <v>94</v>
      </c>
      <c r="C1055" s="2" t="s">
        <v>10909</v>
      </c>
      <c r="D1055" s="2" t="s">
        <v>10910</v>
      </c>
      <c r="E1055" s="2" t="s">
        <v>10911</v>
      </c>
      <c r="G1055" s="3" t="s">
        <v>64</v>
      </c>
      <c r="I1055" s="3" t="s">
        <v>64</v>
      </c>
      <c r="J1055" s="3" t="s">
        <v>64</v>
      </c>
      <c r="K1055" s="3" t="s">
        <v>65</v>
      </c>
      <c r="L1055" s="2" t="s">
        <v>10912</v>
      </c>
      <c r="M1055" s="2" t="s">
        <v>10913</v>
      </c>
      <c r="N1055" s="3" t="s">
        <v>303</v>
      </c>
      <c r="P1055" s="3" t="s">
        <v>69</v>
      </c>
      <c r="Q1055" s="2" t="s">
        <v>10914</v>
      </c>
      <c r="R1055" s="3" t="s">
        <v>9228</v>
      </c>
      <c r="S1055" s="4">
        <v>10</v>
      </c>
      <c r="T1055" s="4">
        <v>10</v>
      </c>
      <c r="U1055" s="5" t="s">
        <v>2080</v>
      </c>
      <c r="V1055" s="5" t="s">
        <v>2080</v>
      </c>
      <c r="W1055" s="5" t="s">
        <v>72</v>
      </c>
      <c r="X1055" s="5" t="s">
        <v>72</v>
      </c>
      <c r="Y1055" s="4">
        <v>329</v>
      </c>
      <c r="Z1055" s="4">
        <v>22</v>
      </c>
      <c r="AA1055" s="4">
        <v>25</v>
      </c>
      <c r="AB1055" s="4">
        <v>1</v>
      </c>
      <c r="AC1055" s="4">
        <v>3</v>
      </c>
      <c r="AD1055" s="4">
        <v>103</v>
      </c>
      <c r="AE1055" s="4">
        <v>105</v>
      </c>
      <c r="AF1055" s="4">
        <v>0</v>
      </c>
      <c r="AG1055" s="4">
        <v>1</v>
      </c>
      <c r="AH1055" s="4">
        <v>92</v>
      </c>
      <c r="AI1055" s="4">
        <v>92</v>
      </c>
      <c r="AJ1055" s="4">
        <v>15</v>
      </c>
      <c r="AK1055" s="4">
        <v>17</v>
      </c>
      <c r="AL1055" s="4">
        <v>54</v>
      </c>
      <c r="AM1055" s="4">
        <v>54</v>
      </c>
      <c r="AN1055" s="4">
        <v>0</v>
      </c>
      <c r="AO1055" s="4">
        <v>0</v>
      </c>
      <c r="AP1055" s="4">
        <v>17</v>
      </c>
      <c r="AQ1055" s="4">
        <v>18</v>
      </c>
      <c r="AR1055" s="3" t="s">
        <v>64</v>
      </c>
      <c r="AS1055" s="3" t="s">
        <v>64</v>
      </c>
      <c r="AT1055" s="3" t="s">
        <v>64</v>
      </c>
      <c r="AV1055" s="6" t="str">
        <f>HYPERLINK("http://mcgill.on.worldcat.org/oclc/26402525","Catalog Record")</f>
        <v>Catalog Record</v>
      </c>
      <c r="AW1055" s="6" t="str">
        <f>HYPERLINK("http://www.worldcat.org/oclc/26402525","WorldCat Record")</f>
        <v>WorldCat Record</v>
      </c>
      <c r="AX1055" s="3" t="s">
        <v>10915</v>
      </c>
      <c r="AY1055" s="3" t="s">
        <v>10916</v>
      </c>
      <c r="AZ1055" s="3" t="s">
        <v>10917</v>
      </c>
      <c r="BA1055" s="3" t="s">
        <v>10917</v>
      </c>
      <c r="BB1055" s="3" t="s">
        <v>10918</v>
      </c>
      <c r="BC1055" s="3" t="s">
        <v>78</v>
      </c>
      <c r="BD1055" s="3" t="s">
        <v>79</v>
      </c>
      <c r="BE1055" s="3" t="s">
        <v>10919</v>
      </c>
      <c r="BF1055" s="3" t="s">
        <v>10918</v>
      </c>
      <c r="BG1055" s="3" t="s">
        <v>10920</v>
      </c>
    </row>
    <row r="1056" spans="1:59" ht="58" x14ac:dyDescent="0.35">
      <c r="A1056" s="2" t="s">
        <v>59</v>
      </c>
      <c r="B1056" s="2" t="s">
        <v>94</v>
      </c>
      <c r="C1056" s="2" t="s">
        <v>10921</v>
      </c>
      <c r="D1056" s="2" t="s">
        <v>10922</v>
      </c>
      <c r="E1056" s="2" t="s">
        <v>10923</v>
      </c>
      <c r="G1056" s="3" t="s">
        <v>64</v>
      </c>
      <c r="I1056" s="3" t="s">
        <v>64</v>
      </c>
      <c r="J1056" s="3" t="s">
        <v>64</v>
      </c>
      <c r="K1056" s="3" t="s">
        <v>65</v>
      </c>
      <c r="L1056" s="2" t="s">
        <v>10924</v>
      </c>
      <c r="M1056" s="2" t="s">
        <v>10925</v>
      </c>
      <c r="N1056" s="3" t="s">
        <v>214</v>
      </c>
      <c r="P1056" s="3" t="s">
        <v>69</v>
      </c>
      <c r="R1056" s="3" t="s">
        <v>9228</v>
      </c>
      <c r="S1056" s="4">
        <v>3</v>
      </c>
      <c r="T1056" s="4">
        <v>3</v>
      </c>
      <c r="U1056" s="5" t="s">
        <v>10926</v>
      </c>
      <c r="V1056" s="5" t="s">
        <v>10926</v>
      </c>
      <c r="W1056" s="5" t="s">
        <v>72</v>
      </c>
      <c r="X1056" s="5" t="s">
        <v>72</v>
      </c>
      <c r="Y1056" s="4">
        <v>1078</v>
      </c>
      <c r="Z1056" s="4">
        <v>37</v>
      </c>
      <c r="AA1056" s="4">
        <v>40</v>
      </c>
      <c r="AB1056" s="4">
        <v>4</v>
      </c>
      <c r="AC1056" s="4">
        <v>7</v>
      </c>
      <c r="AD1056" s="4">
        <v>98</v>
      </c>
      <c r="AE1056" s="4">
        <v>103</v>
      </c>
      <c r="AF1056" s="4">
        <v>1</v>
      </c>
      <c r="AG1056" s="4">
        <v>3</v>
      </c>
      <c r="AH1056" s="4">
        <v>83</v>
      </c>
      <c r="AI1056" s="4">
        <v>86</v>
      </c>
      <c r="AJ1056" s="4">
        <v>15</v>
      </c>
      <c r="AK1056" s="4">
        <v>16</v>
      </c>
      <c r="AL1056" s="4">
        <v>48</v>
      </c>
      <c r="AM1056" s="4">
        <v>49</v>
      </c>
      <c r="AN1056" s="4">
        <v>0</v>
      </c>
      <c r="AO1056" s="4">
        <v>0</v>
      </c>
      <c r="AP1056" s="4">
        <v>19</v>
      </c>
      <c r="AQ1056" s="4">
        <v>20</v>
      </c>
      <c r="AR1056" s="3" t="s">
        <v>64</v>
      </c>
      <c r="AS1056" s="3" t="s">
        <v>64</v>
      </c>
      <c r="AT1056" s="3" t="s">
        <v>73</v>
      </c>
      <c r="AU1056" s="6" t="str">
        <f>HYPERLINK("http://catalog.hathitrust.org/Record/007562974","HathiTrust Record")</f>
        <v>HathiTrust Record</v>
      </c>
      <c r="AV1056" s="6" t="str">
        <f>HYPERLINK("http://mcgill.on.worldcat.org/oclc/428731352","Catalog Record")</f>
        <v>Catalog Record</v>
      </c>
      <c r="AW1056" s="6" t="str">
        <f>HYPERLINK("http://www.worldcat.org/oclc/428731352","WorldCat Record")</f>
        <v>WorldCat Record</v>
      </c>
      <c r="AX1056" s="3" t="s">
        <v>10927</v>
      </c>
      <c r="AY1056" s="3" t="s">
        <v>10928</v>
      </c>
      <c r="AZ1056" s="3" t="s">
        <v>10929</v>
      </c>
      <c r="BA1056" s="3" t="s">
        <v>10929</v>
      </c>
      <c r="BB1056" s="3" t="s">
        <v>10930</v>
      </c>
      <c r="BC1056" s="3" t="s">
        <v>78</v>
      </c>
      <c r="BD1056" s="3" t="s">
        <v>79</v>
      </c>
      <c r="BE1056" s="3" t="s">
        <v>10931</v>
      </c>
      <c r="BF1056" s="3" t="s">
        <v>10930</v>
      </c>
      <c r="BG1056" s="3" t="s">
        <v>10932</v>
      </c>
    </row>
    <row r="1057" spans="1:59" ht="58" x14ac:dyDescent="0.35">
      <c r="A1057" s="2" t="s">
        <v>59</v>
      </c>
      <c r="B1057" s="2" t="s">
        <v>94</v>
      </c>
      <c r="C1057" s="2" t="s">
        <v>10933</v>
      </c>
      <c r="D1057" s="2" t="s">
        <v>10934</v>
      </c>
      <c r="E1057" s="2" t="s">
        <v>10935</v>
      </c>
      <c r="G1057" s="3" t="s">
        <v>64</v>
      </c>
      <c r="I1057" s="3" t="s">
        <v>64</v>
      </c>
      <c r="J1057" s="3" t="s">
        <v>64</v>
      </c>
      <c r="K1057" s="3" t="s">
        <v>65</v>
      </c>
      <c r="M1057" s="2" t="s">
        <v>10936</v>
      </c>
      <c r="N1057" s="3" t="s">
        <v>872</v>
      </c>
      <c r="P1057" s="3" t="s">
        <v>69</v>
      </c>
      <c r="R1057" s="3" t="s">
        <v>9228</v>
      </c>
      <c r="S1057" s="4">
        <v>12</v>
      </c>
      <c r="T1057" s="4">
        <v>12</v>
      </c>
      <c r="U1057" s="5" t="s">
        <v>2080</v>
      </c>
      <c r="V1057" s="5" t="s">
        <v>2080</v>
      </c>
      <c r="W1057" s="5" t="s">
        <v>72</v>
      </c>
      <c r="X1057" s="5" t="s">
        <v>72</v>
      </c>
      <c r="Y1057" s="4">
        <v>354</v>
      </c>
      <c r="Z1057" s="4">
        <v>15</v>
      </c>
      <c r="AA1057" s="4">
        <v>19</v>
      </c>
      <c r="AB1057" s="4">
        <v>1</v>
      </c>
      <c r="AC1057" s="4">
        <v>1</v>
      </c>
      <c r="AD1057" s="4">
        <v>95</v>
      </c>
      <c r="AE1057" s="4">
        <v>109</v>
      </c>
      <c r="AF1057" s="4">
        <v>0</v>
      </c>
      <c r="AG1057" s="4">
        <v>0</v>
      </c>
      <c r="AH1057" s="4">
        <v>86</v>
      </c>
      <c r="AI1057" s="4">
        <v>98</v>
      </c>
      <c r="AJ1057" s="4">
        <v>11</v>
      </c>
      <c r="AK1057" s="4">
        <v>13</v>
      </c>
      <c r="AL1057" s="4">
        <v>48</v>
      </c>
      <c r="AM1057" s="4">
        <v>56</v>
      </c>
      <c r="AN1057" s="4">
        <v>0</v>
      </c>
      <c r="AO1057" s="4">
        <v>0</v>
      </c>
      <c r="AP1057" s="4">
        <v>13</v>
      </c>
      <c r="AQ1057" s="4">
        <v>16</v>
      </c>
      <c r="AR1057" s="3" t="s">
        <v>64</v>
      </c>
      <c r="AS1057" s="3" t="s">
        <v>64</v>
      </c>
      <c r="AT1057" s="3" t="s">
        <v>73</v>
      </c>
      <c r="AU1057" s="6" t="str">
        <f>HYPERLINK("http://catalog.hathitrust.org/Record/002204356","HathiTrust Record")</f>
        <v>HathiTrust Record</v>
      </c>
      <c r="AV1057" s="6" t="str">
        <f>HYPERLINK("http://mcgill.on.worldcat.org/oclc/18948187","Catalog Record")</f>
        <v>Catalog Record</v>
      </c>
      <c r="AW1057" s="6" t="str">
        <f>HYPERLINK("http://www.worldcat.org/oclc/18948187","WorldCat Record")</f>
        <v>WorldCat Record</v>
      </c>
      <c r="AX1057" s="3" t="s">
        <v>10937</v>
      </c>
      <c r="AY1057" s="3" t="s">
        <v>10938</v>
      </c>
      <c r="AZ1057" s="3" t="s">
        <v>10939</v>
      </c>
      <c r="BA1057" s="3" t="s">
        <v>10939</v>
      </c>
      <c r="BB1057" s="3" t="s">
        <v>10940</v>
      </c>
      <c r="BC1057" s="3" t="s">
        <v>78</v>
      </c>
      <c r="BD1057" s="3" t="s">
        <v>79</v>
      </c>
      <c r="BE1057" s="3" t="s">
        <v>10941</v>
      </c>
      <c r="BF1057" s="3" t="s">
        <v>10940</v>
      </c>
      <c r="BG1057" s="3" t="s">
        <v>10942</v>
      </c>
    </row>
    <row r="1058" spans="1:59" ht="58" x14ac:dyDescent="0.35">
      <c r="A1058" s="2" t="s">
        <v>59</v>
      </c>
      <c r="B1058" s="2" t="s">
        <v>94</v>
      </c>
      <c r="C1058" s="2" t="s">
        <v>10943</v>
      </c>
      <c r="D1058" s="2" t="s">
        <v>10944</v>
      </c>
      <c r="E1058" s="2" t="s">
        <v>10945</v>
      </c>
      <c r="G1058" s="3" t="s">
        <v>64</v>
      </c>
      <c r="I1058" s="3" t="s">
        <v>64</v>
      </c>
      <c r="J1058" s="3" t="s">
        <v>64</v>
      </c>
      <c r="K1058" s="3" t="s">
        <v>65</v>
      </c>
      <c r="L1058" s="2" t="s">
        <v>10946</v>
      </c>
      <c r="M1058" s="2" t="s">
        <v>10947</v>
      </c>
      <c r="N1058" s="3" t="s">
        <v>214</v>
      </c>
      <c r="P1058" s="3" t="s">
        <v>69</v>
      </c>
      <c r="R1058" s="3" t="s">
        <v>9228</v>
      </c>
      <c r="S1058" s="4">
        <v>5</v>
      </c>
      <c r="T1058" s="4">
        <v>5</v>
      </c>
      <c r="U1058" s="5" t="s">
        <v>10948</v>
      </c>
      <c r="V1058" s="5" t="s">
        <v>10948</v>
      </c>
      <c r="W1058" s="5" t="s">
        <v>72</v>
      </c>
      <c r="X1058" s="5" t="s">
        <v>72</v>
      </c>
      <c r="Y1058" s="4">
        <v>279</v>
      </c>
      <c r="Z1058" s="4">
        <v>13</v>
      </c>
      <c r="AA1058" s="4">
        <v>25</v>
      </c>
      <c r="AB1058" s="4">
        <v>2</v>
      </c>
      <c r="AC1058" s="4">
        <v>4</v>
      </c>
      <c r="AD1058" s="4">
        <v>72</v>
      </c>
      <c r="AE1058" s="4">
        <v>83</v>
      </c>
      <c r="AF1058" s="4">
        <v>1</v>
      </c>
      <c r="AG1058" s="4">
        <v>3</v>
      </c>
      <c r="AH1058" s="4">
        <v>67</v>
      </c>
      <c r="AI1058" s="4">
        <v>72</v>
      </c>
      <c r="AJ1058" s="4">
        <v>7</v>
      </c>
      <c r="AK1058" s="4">
        <v>13</v>
      </c>
      <c r="AL1058" s="4">
        <v>41</v>
      </c>
      <c r="AM1058" s="4">
        <v>42</v>
      </c>
      <c r="AN1058" s="4">
        <v>0</v>
      </c>
      <c r="AO1058" s="4">
        <v>0</v>
      </c>
      <c r="AP1058" s="4">
        <v>8</v>
      </c>
      <c r="AQ1058" s="4">
        <v>16</v>
      </c>
      <c r="AR1058" s="3" t="s">
        <v>64</v>
      </c>
      <c r="AS1058" s="3" t="s">
        <v>64</v>
      </c>
      <c r="AT1058" s="3" t="s">
        <v>64</v>
      </c>
      <c r="AV1058" s="6" t="str">
        <f>HYPERLINK("http://mcgill.on.worldcat.org/oclc/421949881","Catalog Record")</f>
        <v>Catalog Record</v>
      </c>
      <c r="AW1058" s="6" t="str">
        <f>HYPERLINK("http://www.worldcat.org/oclc/421949881","WorldCat Record")</f>
        <v>WorldCat Record</v>
      </c>
      <c r="AX1058" s="3" t="s">
        <v>10949</v>
      </c>
      <c r="AY1058" s="3" t="s">
        <v>10950</v>
      </c>
      <c r="AZ1058" s="3" t="s">
        <v>10951</v>
      </c>
      <c r="BA1058" s="3" t="s">
        <v>10951</v>
      </c>
      <c r="BB1058" s="3" t="s">
        <v>10952</v>
      </c>
      <c r="BC1058" s="3" t="s">
        <v>78</v>
      </c>
      <c r="BD1058" s="3" t="s">
        <v>79</v>
      </c>
      <c r="BE1058" s="3" t="s">
        <v>10953</v>
      </c>
      <c r="BF1058" s="3" t="s">
        <v>10952</v>
      </c>
      <c r="BG1058" s="3" t="s">
        <v>10954</v>
      </c>
    </row>
    <row r="1059" spans="1:59" ht="58" x14ac:dyDescent="0.35">
      <c r="A1059" s="2" t="s">
        <v>59</v>
      </c>
      <c r="B1059" s="2" t="s">
        <v>94</v>
      </c>
      <c r="C1059" s="2" t="s">
        <v>10955</v>
      </c>
      <c r="D1059" s="2" t="s">
        <v>10956</v>
      </c>
      <c r="E1059" s="2" t="s">
        <v>10957</v>
      </c>
      <c r="G1059" s="3" t="s">
        <v>64</v>
      </c>
      <c r="I1059" s="3" t="s">
        <v>64</v>
      </c>
      <c r="J1059" s="3" t="s">
        <v>64</v>
      </c>
      <c r="K1059" s="3" t="s">
        <v>65</v>
      </c>
      <c r="L1059" s="2" t="s">
        <v>10958</v>
      </c>
      <c r="M1059" s="2" t="s">
        <v>10959</v>
      </c>
      <c r="N1059" s="3" t="s">
        <v>377</v>
      </c>
      <c r="O1059" s="2" t="s">
        <v>1294</v>
      </c>
      <c r="P1059" s="3" t="s">
        <v>69</v>
      </c>
      <c r="Q1059" s="2" t="s">
        <v>10960</v>
      </c>
      <c r="R1059" s="3" t="s">
        <v>9228</v>
      </c>
      <c r="S1059" s="4">
        <v>1</v>
      </c>
      <c r="T1059" s="4">
        <v>1</v>
      </c>
      <c r="U1059" s="5" t="s">
        <v>10961</v>
      </c>
      <c r="V1059" s="5" t="s">
        <v>10961</v>
      </c>
      <c r="W1059" s="5" t="s">
        <v>72</v>
      </c>
      <c r="X1059" s="5" t="s">
        <v>72</v>
      </c>
      <c r="Y1059" s="4">
        <v>144</v>
      </c>
      <c r="Z1059" s="4">
        <v>36</v>
      </c>
      <c r="AA1059" s="4">
        <v>55</v>
      </c>
      <c r="AB1059" s="4">
        <v>1</v>
      </c>
      <c r="AC1059" s="4">
        <v>3</v>
      </c>
      <c r="AD1059" s="4">
        <v>58</v>
      </c>
      <c r="AE1059" s="4">
        <v>87</v>
      </c>
      <c r="AF1059" s="4">
        <v>0</v>
      </c>
      <c r="AG1059" s="4">
        <v>1</v>
      </c>
      <c r="AH1059" s="4">
        <v>45</v>
      </c>
      <c r="AI1059" s="4">
        <v>64</v>
      </c>
      <c r="AJ1059" s="4">
        <v>7</v>
      </c>
      <c r="AK1059" s="4">
        <v>13</v>
      </c>
      <c r="AL1059" s="4">
        <v>29</v>
      </c>
      <c r="AM1059" s="4">
        <v>36</v>
      </c>
      <c r="AN1059" s="4">
        <v>0</v>
      </c>
      <c r="AO1059" s="4">
        <v>0</v>
      </c>
      <c r="AP1059" s="4">
        <v>12</v>
      </c>
      <c r="AQ1059" s="4">
        <v>25</v>
      </c>
      <c r="AR1059" s="3" t="s">
        <v>64</v>
      </c>
      <c r="AS1059" s="3" t="s">
        <v>64</v>
      </c>
      <c r="AT1059" s="3" t="s">
        <v>73</v>
      </c>
      <c r="AU1059" s="6" t="str">
        <f>HYPERLINK("http://catalog.hathitrust.org/Record/100715659","HathiTrust Record")</f>
        <v>HathiTrust Record</v>
      </c>
      <c r="AV1059" s="6" t="str">
        <f>HYPERLINK("http://mcgill.on.worldcat.org/oclc/723529703","Catalog Record")</f>
        <v>Catalog Record</v>
      </c>
      <c r="AW1059" s="6" t="str">
        <f>HYPERLINK("http://www.worldcat.org/oclc/723529703","WorldCat Record")</f>
        <v>WorldCat Record</v>
      </c>
      <c r="AX1059" s="3" t="s">
        <v>10962</v>
      </c>
      <c r="AY1059" s="3" t="s">
        <v>10963</v>
      </c>
      <c r="AZ1059" s="3" t="s">
        <v>10964</v>
      </c>
      <c r="BA1059" s="3" t="s">
        <v>10964</v>
      </c>
      <c r="BB1059" s="3" t="s">
        <v>10965</v>
      </c>
      <c r="BC1059" s="3" t="s">
        <v>78</v>
      </c>
      <c r="BD1059" s="3" t="s">
        <v>79</v>
      </c>
      <c r="BE1059" s="3" t="s">
        <v>10966</v>
      </c>
      <c r="BF1059" s="3" t="s">
        <v>10965</v>
      </c>
      <c r="BG1059" s="3" t="s">
        <v>10967</v>
      </c>
    </row>
    <row r="1060" spans="1:59" ht="58" x14ac:dyDescent="0.35">
      <c r="A1060" s="2" t="s">
        <v>59</v>
      </c>
      <c r="B1060" s="2" t="s">
        <v>94</v>
      </c>
      <c r="C1060" s="2" t="s">
        <v>10968</v>
      </c>
      <c r="D1060" s="2" t="s">
        <v>10969</v>
      </c>
      <c r="E1060" s="2" t="s">
        <v>10970</v>
      </c>
      <c r="G1060" s="3" t="s">
        <v>64</v>
      </c>
      <c r="I1060" s="3" t="s">
        <v>64</v>
      </c>
      <c r="J1060" s="3" t="s">
        <v>64</v>
      </c>
      <c r="K1060" s="3" t="s">
        <v>65</v>
      </c>
      <c r="L1060" s="2" t="s">
        <v>10971</v>
      </c>
      <c r="M1060" s="2" t="s">
        <v>10972</v>
      </c>
      <c r="N1060" s="3" t="s">
        <v>214</v>
      </c>
      <c r="P1060" s="3" t="s">
        <v>69</v>
      </c>
      <c r="R1060" s="3" t="s">
        <v>9228</v>
      </c>
      <c r="S1060" s="4">
        <v>3</v>
      </c>
      <c r="T1060" s="4">
        <v>3</v>
      </c>
      <c r="U1060" s="5" t="s">
        <v>10973</v>
      </c>
      <c r="V1060" s="5" t="s">
        <v>10973</v>
      </c>
      <c r="W1060" s="5" t="s">
        <v>72</v>
      </c>
      <c r="X1060" s="5" t="s">
        <v>72</v>
      </c>
      <c r="Y1060" s="4">
        <v>625</v>
      </c>
      <c r="Z1060" s="4">
        <v>24</v>
      </c>
      <c r="AA1060" s="4">
        <v>67</v>
      </c>
      <c r="AB1060" s="4">
        <v>1</v>
      </c>
      <c r="AC1060" s="4">
        <v>8</v>
      </c>
      <c r="AD1060" s="4">
        <v>87</v>
      </c>
      <c r="AE1060" s="4">
        <v>108</v>
      </c>
      <c r="AF1060" s="4">
        <v>0</v>
      </c>
      <c r="AG1060" s="4">
        <v>2</v>
      </c>
      <c r="AH1060" s="4">
        <v>80</v>
      </c>
      <c r="AI1060" s="4">
        <v>89</v>
      </c>
      <c r="AJ1060" s="4">
        <v>9</v>
      </c>
      <c r="AK1060" s="4">
        <v>13</v>
      </c>
      <c r="AL1060" s="4">
        <v>48</v>
      </c>
      <c r="AM1060" s="4">
        <v>52</v>
      </c>
      <c r="AN1060" s="4">
        <v>0</v>
      </c>
      <c r="AO1060" s="4">
        <v>0</v>
      </c>
      <c r="AP1060" s="4">
        <v>12</v>
      </c>
      <c r="AQ1060" s="4">
        <v>24</v>
      </c>
      <c r="AR1060" s="3" t="s">
        <v>64</v>
      </c>
      <c r="AS1060" s="3" t="s">
        <v>64</v>
      </c>
      <c r="AT1060" s="3" t="s">
        <v>64</v>
      </c>
      <c r="AV1060" s="6" t="str">
        <f>HYPERLINK("http://mcgill.on.worldcat.org/oclc/209637631","Catalog Record")</f>
        <v>Catalog Record</v>
      </c>
      <c r="AW1060" s="6" t="str">
        <f>HYPERLINK("http://www.worldcat.org/oclc/209637631","WorldCat Record")</f>
        <v>WorldCat Record</v>
      </c>
      <c r="AX1060" s="3" t="s">
        <v>10974</v>
      </c>
      <c r="AY1060" s="3" t="s">
        <v>10975</v>
      </c>
      <c r="AZ1060" s="3" t="s">
        <v>10976</v>
      </c>
      <c r="BA1060" s="3" t="s">
        <v>10976</v>
      </c>
      <c r="BB1060" s="3" t="s">
        <v>10977</v>
      </c>
      <c r="BC1060" s="3" t="s">
        <v>78</v>
      </c>
      <c r="BD1060" s="3" t="s">
        <v>79</v>
      </c>
      <c r="BE1060" s="3" t="s">
        <v>10978</v>
      </c>
      <c r="BF1060" s="3" t="s">
        <v>10977</v>
      </c>
      <c r="BG1060" s="3" t="s">
        <v>10979</v>
      </c>
    </row>
    <row r="1061" spans="1:59" ht="58" x14ac:dyDescent="0.35">
      <c r="A1061" s="2" t="s">
        <v>59</v>
      </c>
      <c r="B1061" s="2" t="s">
        <v>94</v>
      </c>
      <c r="C1061" s="2" t="s">
        <v>10980</v>
      </c>
      <c r="D1061" s="2" t="s">
        <v>10981</v>
      </c>
      <c r="E1061" s="2" t="s">
        <v>10982</v>
      </c>
      <c r="G1061" s="3" t="s">
        <v>64</v>
      </c>
      <c r="I1061" s="3" t="s">
        <v>64</v>
      </c>
      <c r="J1061" s="3" t="s">
        <v>64</v>
      </c>
      <c r="K1061" s="3" t="s">
        <v>65</v>
      </c>
      <c r="L1061" s="2" t="s">
        <v>10983</v>
      </c>
      <c r="M1061" s="2" t="s">
        <v>10984</v>
      </c>
      <c r="N1061" s="3" t="s">
        <v>214</v>
      </c>
      <c r="P1061" s="3" t="s">
        <v>69</v>
      </c>
      <c r="R1061" s="3" t="s">
        <v>9228</v>
      </c>
      <c r="S1061" s="4">
        <v>0</v>
      </c>
      <c r="T1061" s="4">
        <v>0</v>
      </c>
      <c r="W1061" s="5" t="s">
        <v>72</v>
      </c>
      <c r="X1061" s="5" t="s">
        <v>72</v>
      </c>
      <c r="Y1061" s="4">
        <v>192</v>
      </c>
      <c r="Z1061" s="4">
        <v>12</v>
      </c>
      <c r="AA1061" s="4">
        <v>76</v>
      </c>
      <c r="AB1061" s="4">
        <v>2</v>
      </c>
      <c r="AC1061" s="4">
        <v>14</v>
      </c>
      <c r="AD1061" s="4">
        <v>50</v>
      </c>
      <c r="AE1061" s="4">
        <v>114</v>
      </c>
      <c r="AF1061" s="4">
        <v>1</v>
      </c>
      <c r="AG1061" s="4">
        <v>8</v>
      </c>
      <c r="AH1061" s="4">
        <v>46</v>
      </c>
      <c r="AI1061" s="4">
        <v>83</v>
      </c>
      <c r="AJ1061" s="4">
        <v>6</v>
      </c>
      <c r="AK1061" s="4">
        <v>21</v>
      </c>
      <c r="AL1061" s="4">
        <v>32</v>
      </c>
      <c r="AM1061" s="4">
        <v>46</v>
      </c>
      <c r="AN1061" s="4">
        <v>0</v>
      </c>
      <c r="AO1061" s="4">
        <v>0</v>
      </c>
      <c r="AP1061" s="4">
        <v>7</v>
      </c>
      <c r="AQ1061" s="4">
        <v>37</v>
      </c>
      <c r="AR1061" s="3" t="s">
        <v>64</v>
      </c>
      <c r="AS1061" s="3" t="s">
        <v>64</v>
      </c>
      <c r="AT1061" s="3" t="s">
        <v>64</v>
      </c>
      <c r="AV1061" s="6" t="str">
        <f>HYPERLINK("http://mcgill.on.worldcat.org/oclc/642824466","Catalog Record")</f>
        <v>Catalog Record</v>
      </c>
      <c r="AW1061" s="6" t="str">
        <f>HYPERLINK("http://www.worldcat.org/oclc/642824466","WorldCat Record")</f>
        <v>WorldCat Record</v>
      </c>
      <c r="AX1061" s="3" t="s">
        <v>10985</v>
      </c>
      <c r="AY1061" s="3" t="s">
        <v>10986</v>
      </c>
      <c r="AZ1061" s="3" t="s">
        <v>10987</v>
      </c>
      <c r="BA1061" s="3" t="s">
        <v>10987</v>
      </c>
      <c r="BB1061" s="3" t="s">
        <v>10988</v>
      </c>
      <c r="BC1061" s="3" t="s">
        <v>78</v>
      </c>
      <c r="BD1061" s="3" t="s">
        <v>79</v>
      </c>
      <c r="BE1061" s="3" t="s">
        <v>10989</v>
      </c>
      <c r="BF1061" s="3" t="s">
        <v>10988</v>
      </c>
      <c r="BG1061" s="3" t="s">
        <v>10990</v>
      </c>
    </row>
    <row r="1062" spans="1:59" ht="58" x14ac:dyDescent="0.35">
      <c r="A1062" s="2" t="s">
        <v>59</v>
      </c>
      <c r="B1062" s="2" t="s">
        <v>94</v>
      </c>
      <c r="C1062" s="2" t="s">
        <v>10991</v>
      </c>
      <c r="D1062" s="2" t="s">
        <v>10992</v>
      </c>
      <c r="E1062" s="2" t="s">
        <v>10993</v>
      </c>
      <c r="G1062" s="3" t="s">
        <v>64</v>
      </c>
      <c r="I1062" s="3" t="s">
        <v>64</v>
      </c>
      <c r="J1062" s="3" t="s">
        <v>64</v>
      </c>
      <c r="K1062" s="3" t="s">
        <v>65</v>
      </c>
      <c r="L1062" s="2" t="s">
        <v>10994</v>
      </c>
      <c r="M1062" s="2" t="s">
        <v>10995</v>
      </c>
      <c r="N1062" s="3" t="s">
        <v>1029</v>
      </c>
      <c r="O1062" s="2" t="s">
        <v>1294</v>
      </c>
      <c r="P1062" s="3" t="s">
        <v>69</v>
      </c>
      <c r="Q1062" s="2" t="s">
        <v>10996</v>
      </c>
      <c r="R1062" s="3" t="s">
        <v>9228</v>
      </c>
      <c r="S1062" s="4">
        <v>7</v>
      </c>
      <c r="T1062" s="4">
        <v>7</v>
      </c>
      <c r="U1062" s="5" t="s">
        <v>5957</v>
      </c>
      <c r="V1062" s="5" t="s">
        <v>5957</v>
      </c>
      <c r="W1062" s="5" t="s">
        <v>72</v>
      </c>
      <c r="X1062" s="5" t="s">
        <v>72</v>
      </c>
      <c r="Y1062" s="4">
        <v>403</v>
      </c>
      <c r="Z1062" s="4">
        <v>14</v>
      </c>
      <c r="AA1062" s="4">
        <v>31</v>
      </c>
      <c r="AB1062" s="4">
        <v>3</v>
      </c>
      <c r="AC1062" s="4">
        <v>5</v>
      </c>
      <c r="AD1062" s="4">
        <v>79</v>
      </c>
      <c r="AE1062" s="4">
        <v>102</v>
      </c>
      <c r="AF1062" s="4">
        <v>1</v>
      </c>
      <c r="AG1062" s="4">
        <v>2</v>
      </c>
      <c r="AH1062" s="4">
        <v>75</v>
      </c>
      <c r="AI1062" s="4">
        <v>89</v>
      </c>
      <c r="AJ1062" s="4">
        <v>8</v>
      </c>
      <c r="AK1062" s="4">
        <v>13</v>
      </c>
      <c r="AL1062" s="4">
        <v>42</v>
      </c>
      <c r="AM1062" s="4">
        <v>47</v>
      </c>
      <c r="AN1062" s="4">
        <v>0</v>
      </c>
      <c r="AO1062" s="4">
        <v>0</v>
      </c>
      <c r="AP1062" s="4">
        <v>10</v>
      </c>
      <c r="AQ1062" s="4">
        <v>21</v>
      </c>
      <c r="AR1062" s="3" t="s">
        <v>64</v>
      </c>
      <c r="AS1062" s="3" t="s">
        <v>64</v>
      </c>
      <c r="AT1062" s="3" t="s">
        <v>64</v>
      </c>
      <c r="AV1062" s="6" t="str">
        <f>HYPERLINK("http://mcgill.on.worldcat.org/oclc/252918415","Catalog Record")</f>
        <v>Catalog Record</v>
      </c>
      <c r="AW1062" s="6" t="str">
        <f>HYPERLINK("http://www.worldcat.org/oclc/252918415","WorldCat Record")</f>
        <v>WorldCat Record</v>
      </c>
      <c r="AX1062" s="3" t="s">
        <v>10997</v>
      </c>
      <c r="AY1062" s="3" t="s">
        <v>10998</v>
      </c>
      <c r="AZ1062" s="3" t="s">
        <v>10999</v>
      </c>
      <c r="BA1062" s="3" t="s">
        <v>10999</v>
      </c>
      <c r="BB1062" s="3" t="s">
        <v>11000</v>
      </c>
      <c r="BC1062" s="3" t="s">
        <v>78</v>
      </c>
      <c r="BD1062" s="3" t="s">
        <v>79</v>
      </c>
      <c r="BE1062" s="3" t="s">
        <v>11001</v>
      </c>
      <c r="BF1062" s="3" t="s">
        <v>11000</v>
      </c>
      <c r="BG1062" s="3" t="s">
        <v>11002</v>
      </c>
    </row>
    <row r="1063" spans="1:59" ht="58" x14ac:dyDescent="0.35">
      <c r="A1063" s="2" t="s">
        <v>59</v>
      </c>
      <c r="B1063" s="2" t="s">
        <v>94</v>
      </c>
      <c r="C1063" s="2" t="s">
        <v>11003</v>
      </c>
      <c r="D1063" s="2" t="s">
        <v>11004</v>
      </c>
      <c r="E1063" s="2" t="s">
        <v>11005</v>
      </c>
      <c r="G1063" s="3" t="s">
        <v>64</v>
      </c>
      <c r="I1063" s="3" t="s">
        <v>64</v>
      </c>
      <c r="J1063" s="3" t="s">
        <v>64</v>
      </c>
      <c r="K1063" s="3" t="s">
        <v>65</v>
      </c>
      <c r="M1063" s="2" t="s">
        <v>11006</v>
      </c>
      <c r="N1063" s="3" t="s">
        <v>861</v>
      </c>
      <c r="P1063" s="3" t="s">
        <v>69</v>
      </c>
      <c r="R1063" s="3" t="s">
        <v>9228</v>
      </c>
      <c r="S1063" s="4">
        <v>15</v>
      </c>
      <c r="T1063" s="4">
        <v>15</v>
      </c>
      <c r="U1063" s="5" t="s">
        <v>4050</v>
      </c>
      <c r="V1063" s="5" t="s">
        <v>4050</v>
      </c>
      <c r="W1063" s="5" t="s">
        <v>72</v>
      </c>
      <c r="X1063" s="5" t="s">
        <v>72</v>
      </c>
      <c r="Y1063" s="4">
        <v>315</v>
      </c>
      <c r="Z1063" s="4">
        <v>17</v>
      </c>
      <c r="AA1063" s="4">
        <v>17</v>
      </c>
      <c r="AB1063" s="4">
        <v>2</v>
      </c>
      <c r="AC1063" s="4">
        <v>2</v>
      </c>
      <c r="AD1063" s="4">
        <v>76</v>
      </c>
      <c r="AE1063" s="4">
        <v>76</v>
      </c>
      <c r="AF1063" s="4">
        <v>1</v>
      </c>
      <c r="AG1063" s="4">
        <v>1</v>
      </c>
      <c r="AH1063" s="4">
        <v>66</v>
      </c>
      <c r="AI1063" s="4">
        <v>66</v>
      </c>
      <c r="AJ1063" s="4">
        <v>7</v>
      </c>
      <c r="AK1063" s="4">
        <v>7</v>
      </c>
      <c r="AL1063" s="4">
        <v>42</v>
      </c>
      <c r="AM1063" s="4">
        <v>42</v>
      </c>
      <c r="AN1063" s="4">
        <v>0</v>
      </c>
      <c r="AO1063" s="4">
        <v>0</v>
      </c>
      <c r="AP1063" s="4">
        <v>13</v>
      </c>
      <c r="AQ1063" s="4">
        <v>13</v>
      </c>
      <c r="AR1063" s="3" t="s">
        <v>64</v>
      </c>
      <c r="AS1063" s="3" t="s">
        <v>64</v>
      </c>
      <c r="AT1063" s="3" t="s">
        <v>64</v>
      </c>
      <c r="AV1063" s="6" t="str">
        <f>HYPERLINK("http://mcgill.on.worldcat.org/oclc/52334910","Catalog Record")</f>
        <v>Catalog Record</v>
      </c>
      <c r="AW1063" s="6" t="str">
        <f>HYPERLINK("http://www.worldcat.org/oclc/52334910","WorldCat Record")</f>
        <v>WorldCat Record</v>
      </c>
      <c r="AX1063" s="3" t="s">
        <v>11007</v>
      </c>
      <c r="AY1063" s="3" t="s">
        <v>11008</v>
      </c>
      <c r="AZ1063" s="3" t="s">
        <v>11009</v>
      </c>
      <c r="BA1063" s="3" t="s">
        <v>11009</v>
      </c>
      <c r="BB1063" s="3" t="s">
        <v>11010</v>
      </c>
      <c r="BC1063" s="3" t="s">
        <v>78</v>
      </c>
      <c r="BD1063" s="3" t="s">
        <v>79</v>
      </c>
      <c r="BE1063" s="3" t="s">
        <v>11011</v>
      </c>
      <c r="BF1063" s="3" t="s">
        <v>11010</v>
      </c>
      <c r="BG1063" s="3" t="s">
        <v>11012</v>
      </c>
    </row>
    <row r="1064" spans="1:59" ht="58" x14ac:dyDescent="0.35">
      <c r="A1064" s="2" t="s">
        <v>59</v>
      </c>
      <c r="B1064" s="2" t="s">
        <v>94</v>
      </c>
      <c r="C1064" s="2" t="s">
        <v>11013</v>
      </c>
      <c r="D1064" s="2" t="s">
        <v>11014</v>
      </c>
      <c r="E1064" s="2" t="s">
        <v>11015</v>
      </c>
      <c r="G1064" s="3" t="s">
        <v>64</v>
      </c>
      <c r="I1064" s="3" t="s">
        <v>64</v>
      </c>
      <c r="J1064" s="3" t="s">
        <v>64</v>
      </c>
      <c r="K1064" s="3" t="s">
        <v>65</v>
      </c>
      <c r="L1064" s="2" t="s">
        <v>11016</v>
      </c>
      <c r="M1064" s="2" t="s">
        <v>11017</v>
      </c>
      <c r="N1064" s="3" t="s">
        <v>689</v>
      </c>
      <c r="O1064" s="2" t="s">
        <v>1294</v>
      </c>
      <c r="P1064" s="3" t="s">
        <v>69</v>
      </c>
      <c r="R1064" s="3" t="s">
        <v>9228</v>
      </c>
      <c r="S1064" s="4">
        <v>27</v>
      </c>
      <c r="T1064" s="4">
        <v>27</v>
      </c>
      <c r="U1064" s="5" t="s">
        <v>9182</v>
      </c>
      <c r="V1064" s="5" t="s">
        <v>9182</v>
      </c>
      <c r="W1064" s="5" t="s">
        <v>72</v>
      </c>
      <c r="X1064" s="5" t="s">
        <v>72</v>
      </c>
      <c r="Y1064" s="4">
        <v>912</v>
      </c>
      <c r="Z1064" s="4">
        <v>31</v>
      </c>
      <c r="AA1064" s="4">
        <v>34</v>
      </c>
      <c r="AB1064" s="4">
        <v>3</v>
      </c>
      <c r="AC1064" s="4">
        <v>5</v>
      </c>
      <c r="AD1064" s="4">
        <v>117</v>
      </c>
      <c r="AE1064" s="4">
        <v>123</v>
      </c>
      <c r="AF1064" s="4">
        <v>1</v>
      </c>
      <c r="AG1064" s="4">
        <v>3</v>
      </c>
      <c r="AH1064" s="4">
        <v>103</v>
      </c>
      <c r="AI1064" s="4">
        <v>106</v>
      </c>
      <c r="AJ1064" s="4">
        <v>18</v>
      </c>
      <c r="AK1064" s="4">
        <v>21</v>
      </c>
      <c r="AL1064" s="4">
        <v>54</v>
      </c>
      <c r="AM1064" s="4">
        <v>56</v>
      </c>
      <c r="AN1064" s="4">
        <v>0</v>
      </c>
      <c r="AO1064" s="4">
        <v>0</v>
      </c>
      <c r="AP1064" s="4">
        <v>22</v>
      </c>
      <c r="AQ1064" s="4">
        <v>24</v>
      </c>
      <c r="AR1064" s="3" t="s">
        <v>64</v>
      </c>
      <c r="AS1064" s="3" t="s">
        <v>64</v>
      </c>
      <c r="AT1064" s="3" t="s">
        <v>73</v>
      </c>
      <c r="AU1064" s="6" t="str">
        <f>HYPERLINK("http://catalog.hathitrust.org/Record/002446738","HathiTrust Record")</f>
        <v>HathiTrust Record</v>
      </c>
      <c r="AV1064" s="6" t="str">
        <f>HYPERLINK("http://mcgill.on.worldcat.org/oclc/22906312","Catalog Record")</f>
        <v>Catalog Record</v>
      </c>
      <c r="AW1064" s="6" t="str">
        <f>HYPERLINK("http://www.worldcat.org/oclc/22906312","WorldCat Record")</f>
        <v>WorldCat Record</v>
      </c>
      <c r="AX1064" s="3" t="s">
        <v>11018</v>
      </c>
      <c r="AY1064" s="3" t="s">
        <v>11019</v>
      </c>
      <c r="AZ1064" s="3" t="s">
        <v>11020</v>
      </c>
      <c r="BA1064" s="3" t="s">
        <v>11020</v>
      </c>
      <c r="BB1064" s="3" t="s">
        <v>11021</v>
      </c>
      <c r="BC1064" s="3" t="s">
        <v>78</v>
      </c>
      <c r="BD1064" s="3" t="s">
        <v>79</v>
      </c>
      <c r="BE1064" s="3" t="s">
        <v>11022</v>
      </c>
      <c r="BF1064" s="3" t="s">
        <v>11021</v>
      </c>
      <c r="BG1064" s="3" t="s">
        <v>11023</v>
      </c>
    </row>
    <row r="1065" spans="1:59" ht="58" x14ac:dyDescent="0.35">
      <c r="A1065" s="2" t="s">
        <v>59</v>
      </c>
      <c r="B1065" s="2" t="s">
        <v>94</v>
      </c>
      <c r="C1065" s="2" t="s">
        <v>11024</v>
      </c>
      <c r="D1065" s="2" t="s">
        <v>11025</v>
      </c>
      <c r="E1065" s="2" t="s">
        <v>11026</v>
      </c>
      <c r="G1065" s="3" t="s">
        <v>64</v>
      </c>
      <c r="I1065" s="3" t="s">
        <v>64</v>
      </c>
      <c r="J1065" s="3" t="s">
        <v>64</v>
      </c>
      <c r="K1065" s="3" t="s">
        <v>65</v>
      </c>
      <c r="L1065" s="2" t="s">
        <v>11027</v>
      </c>
      <c r="M1065" s="2" t="s">
        <v>11028</v>
      </c>
      <c r="N1065" s="3" t="s">
        <v>499</v>
      </c>
      <c r="O1065" s="2" t="s">
        <v>1294</v>
      </c>
      <c r="P1065" s="3" t="s">
        <v>69</v>
      </c>
      <c r="R1065" s="3" t="s">
        <v>9228</v>
      </c>
      <c r="S1065" s="4">
        <v>10</v>
      </c>
      <c r="T1065" s="4">
        <v>10</v>
      </c>
      <c r="U1065" s="5" t="s">
        <v>5485</v>
      </c>
      <c r="V1065" s="5" t="s">
        <v>5485</v>
      </c>
      <c r="W1065" s="5" t="s">
        <v>72</v>
      </c>
      <c r="X1065" s="5" t="s">
        <v>72</v>
      </c>
      <c r="Y1065" s="4">
        <v>726</v>
      </c>
      <c r="Z1065" s="4">
        <v>31</v>
      </c>
      <c r="AA1065" s="4">
        <v>37</v>
      </c>
      <c r="AB1065" s="4">
        <v>1</v>
      </c>
      <c r="AC1065" s="4">
        <v>4</v>
      </c>
      <c r="AD1065" s="4">
        <v>109</v>
      </c>
      <c r="AE1065" s="4">
        <v>113</v>
      </c>
      <c r="AF1065" s="4">
        <v>0</v>
      </c>
      <c r="AG1065" s="4">
        <v>0</v>
      </c>
      <c r="AH1065" s="4">
        <v>97</v>
      </c>
      <c r="AI1065" s="4">
        <v>100</v>
      </c>
      <c r="AJ1065" s="4">
        <v>14</v>
      </c>
      <c r="AK1065" s="4">
        <v>15</v>
      </c>
      <c r="AL1065" s="4">
        <v>56</v>
      </c>
      <c r="AM1065" s="4">
        <v>57</v>
      </c>
      <c r="AN1065" s="4">
        <v>0</v>
      </c>
      <c r="AO1065" s="4">
        <v>0</v>
      </c>
      <c r="AP1065" s="4">
        <v>16</v>
      </c>
      <c r="AQ1065" s="4">
        <v>18</v>
      </c>
      <c r="AR1065" s="3" t="s">
        <v>64</v>
      </c>
      <c r="AS1065" s="3" t="s">
        <v>64</v>
      </c>
      <c r="AT1065" s="3" t="s">
        <v>64</v>
      </c>
      <c r="AV1065" s="6" t="str">
        <f>HYPERLINK("http://mcgill.on.worldcat.org/oclc/58546552","Catalog Record")</f>
        <v>Catalog Record</v>
      </c>
      <c r="AW1065" s="6" t="str">
        <f>HYPERLINK("http://www.worldcat.org/oclc/58546552","WorldCat Record")</f>
        <v>WorldCat Record</v>
      </c>
      <c r="AX1065" s="3" t="s">
        <v>11029</v>
      </c>
      <c r="AY1065" s="3" t="s">
        <v>11030</v>
      </c>
      <c r="AZ1065" s="3" t="s">
        <v>11031</v>
      </c>
      <c r="BA1065" s="3" t="s">
        <v>11031</v>
      </c>
      <c r="BB1065" s="3" t="s">
        <v>11032</v>
      </c>
      <c r="BC1065" s="3" t="s">
        <v>78</v>
      </c>
      <c r="BD1065" s="3" t="s">
        <v>79</v>
      </c>
      <c r="BE1065" s="3" t="s">
        <v>11033</v>
      </c>
      <c r="BF1065" s="3" t="s">
        <v>11032</v>
      </c>
      <c r="BG1065" s="3" t="s">
        <v>11034</v>
      </c>
    </row>
    <row r="1066" spans="1:59" ht="58" x14ac:dyDescent="0.35">
      <c r="A1066" s="2" t="s">
        <v>59</v>
      </c>
      <c r="B1066" s="2" t="s">
        <v>94</v>
      </c>
      <c r="C1066" s="2" t="s">
        <v>11035</v>
      </c>
      <c r="D1066" s="2" t="s">
        <v>11036</v>
      </c>
      <c r="E1066" s="2" t="s">
        <v>11037</v>
      </c>
      <c r="G1066" s="3" t="s">
        <v>64</v>
      </c>
      <c r="I1066" s="3" t="s">
        <v>64</v>
      </c>
      <c r="J1066" s="3" t="s">
        <v>64</v>
      </c>
      <c r="K1066" s="3" t="s">
        <v>65</v>
      </c>
      <c r="L1066" s="2" t="s">
        <v>11038</v>
      </c>
      <c r="M1066" s="2" t="s">
        <v>11039</v>
      </c>
      <c r="N1066" s="3" t="s">
        <v>689</v>
      </c>
      <c r="P1066" s="3" t="s">
        <v>69</v>
      </c>
      <c r="R1066" s="3" t="s">
        <v>9228</v>
      </c>
      <c r="S1066" s="4">
        <v>14</v>
      </c>
      <c r="T1066" s="4">
        <v>14</v>
      </c>
      <c r="U1066" s="5" t="s">
        <v>4050</v>
      </c>
      <c r="V1066" s="5" t="s">
        <v>4050</v>
      </c>
      <c r="W1066" s="5" t="s">
        <v>72</v>
      </c>
      <c r="X1066" s="5" t="s">
        <v>72</v>
      </c>
      <c r="Y1066" s="4">
        <v>311</v>
      </c>
      <c r="Z1066" s="4">
        <v>19</v>
      </c>
      <c r="AA1066" s="4">
        <v>23</v>
      </c>
      <c r="AB1066" s="4">
        <v>2</v>
      </c>
      <c r="AC1066" s="4">
        <v>5</v>
      </c>
      <c r="AD1066" s="4">
        <v>99</v>
      </c>
      <c r="AE1066" s="4">
        <v>100</v>
      </c>
      <c r="AF1066" s="4">
        <v>0</v>
      </c>
      <c r="AG1066" s="4">
        <v>0</v>
      </c>
      <c r="AH1066" s="4">
        <v>91</v>
      </c>
      <c r="AI1066" s="4">
        <v>92</v>
      </c>
      <c r="AJ1066" s="4">
        <v>15</v>
      </c>
      <c r="AK1066" s="4">
        <v>16</v>
      </c>
      <c r="AL1066" s="4">
        <v>49</v>
      </c>
      <c r="AM1066" s="4">
        <v>49</v>
      </c>
      <c r="AN1066" s="4">
        <v>0</v>
      </c>
      <c r="AO1066" s="4">
        <v>0</v>
      </c>
      <c r="AP1066" s="4">
        <v>16</v>
      </c>
      <c r="AQ1066" s="4">
        <v>17</v>
      </c>
      <c r="AR1066" s="3" t="s">
        <v>64</v>
      </c>
      <c r="AS1066" s="3" t="s">
        <v>64</v>
      </c>
      <c r="AT1066" s="3" t="s">
        <v>73</v>
      </c>
      <c r="AU1066" s="6" t="str">
        <f>HYPERLINK("http://catalog.hathitrust.org/Record/002430242","HathiTrust Record")</f>
        <v>HathiTrust Record</v>
      </c>
      <c r="AV1066" s="6" t="str">
        <f>HYPERLINK("http://mcgill.on.worldcat.org/oclc/21561339","Catalog Record")</f>
        <v>Catalog Record</v>
      </c>
      <c r="AW1066" s="6" t="str">
        <f>HYPERLINK("http://www.worldcat.org/oclc/21561339","WorldCat Record")</f>
        <v>WorldCat Record</v>
      </c>
      <c r="AX1066" s="3" t="s">
        <v>11040</v>
      </c>
      <c r="AY1066" s="3" t="s">
        <v>11041</v>
      </c>
      <c r="AZ1066" s="3" t="s">
        <v>11042</v>
      </c>
      <c r="BA1066" s="3" t="s">
        <v>11042</v>
      </c>
      <c r="BB1066" s="3" t="s">
        <v>11043</v>
      </c>
      <c r="BC1066" s="3" t="s">
        <v>78</v>
      </c>
      <c r="BD1066" s="3" t="s">
        <v>79</v>
      </c>
      <c r="BE1066" s="3" t="s">
        <v>11044</v>
      </c>
      <c r="BF1066" s="3" t="s">
        <v>11043</v>
      </c>
      <c r="BG1066" s="3" t="s">
        <v>11045</v>
      </c>
    </row>
    <row r="1067" spans="1:59" ht="72.5" x14ac:dyDescent="0.35">
      <c r="A1067" s="2" t="s">
        <v>59</v>
      </c>
      <c r="B1067" s="2" t="s">
        <v>94</v>
      </c>
      <c r="C1067" s="2" t="s">
        <v>11046</v>
      </c>
      <c r="D1067" s="2" t="s">
        <v>11047</v>
      </c>
      <c r="E1067" s="2" t="s">
        <v>11048</v>
      </c>
      <c r="G1067" s="3" t="s">
        <v>64</v>
      </c>
      <c r="I1067" s="3" t="s">
        <v>64</v>
      </c>
      <c r="J1067" s="3" t="s">
        <v>64</v>
      </c>
      <c r="K1067" s="3" t="s">
        <v>65</v>
      </c>
      <c r="M1067" s="2" t="s">
        <v>11049</v>
      </c>
      <c r="N1067" s="3" t="s">
        <v>214</v>
      </c>
      <c r="P1067" s="3" t="s">
        <v>69</v>
      </c>
      <c r="Q1067" s="2" t="s">
        <v>7005</v>
      </c>
      <c r="R1067" s="3" t="s">
        <v>9228</v>
      </c>
      <c r="S1067" s="4">
        <v>0</v>
      </c>
      <c r="T1067" s="4">
        <v>0</v>
      </c>
      <c r="W1067" s="5" t="s">
        <v>72</v>
      </c>
      <c r="X1067" s="5" t="s">
        <v>72</v>
      </c>
      <c r="Y1067" s="4">
        <v>107</v>
      </c>
      <c r="Z1067" s="4">
        <v>8</v>
      </c>
      <c r="AA1067" s="4">
        <v>11</v>
      </c>
      <c r="AB1067" s="4">
        <v>1</v>
      </c>
      <c r="AC1067" s="4">
        <v>1</v>
      </c>
      <c r="AD1067" s="4">
        <v>60</v>
      </c>
      <c r="AE1067" s="4">
        <v>65</v>
      </c>
      <c r="AF1067" s="4">
        <v>0</v>
      </c>
      <c r="AG1067" s="4">
        <v>0</v>
      </c>
      <c r="AH1067" s="4">
        <v>58</v>
      </c>
      <c r="AI1067" s="4">
        <v>62</v>
      </c>
      <c r="AJ1067" s="4">
        <v>5</v>
      </c>
      <c r="AK1067" s="4">
        <v>8</v>
      </c>
      <c r="AL1067" s="4">
        <v>31</v>
      </c>
      <c r="AM1067" s="4">
        <v>31</v>
      </c>
      <c r="AN1067" s="4">
        <v>0</v>
      </c>
      <c r="AO1067" s="4">
        <v>0</v>
      </c>
      <c r="AP1067" s="4">
        <v>6</v>
      </c>
      <c r="AQ1067" s="4">
        <v>9</v>
      </c>
      <c r="AR1067" s="3" t="s">
        <v>64</v>
      </c>
      <c r="AS1067" s="3" t="s">
        <v>64</v>
      </c>
      <c r="AT1067" s="3" t="s">
        <v>64</v>
      </c>
      <c r="AV1067" s="6" t="str">
        <f>HYPERLINK("http://mcgill.on.worldcat.org/oclc/655250818","Catalog Record")</f>
        <v>Catalog Record</v>
      </c>
      <c r="AW1067" s="6" t="str">
        <f>HYPERLINK("http://www.worldcat.org/oclc/655250818","WorldCat Record")</f>
        <v>WorldCat Record</v>
      </c>
      <c r="AX1067" s="3" t="s">
        <v>11050</v>
      </c>
      <c r="AY1067" s="3" t="s">
        <v>11051</v>
      </c>
      <c r="AZ1067" s="3" t="s">
        <v>11052</v>
      </c>
      <c r="BA1067" s="3" t="s">
        <v>11052</v>
      </c>
      <c r="BB1067" s="3" t="s">
        <v>11053</v>
      </c>
      <c r="BC1067" s="3" t="s">
        <v>78</v>
      </c>
      <c r="BD1067" s="3" t="s">
        <v>79</v>
      </c>
      <c r="BE1067" s="3" t="s">
        <v>11054</v>
      </c>
      <c r="BF1067" s="3" t="s">
        <v>11053</v>
      </c>
      <c r="BG1067" s="3" t="s">
        <v>11055</v>
      </c>
    </row>
    <row r="1068" spans="1:59" ht="58" x14ac:dyDescent="0.35">
      <c r="A1068" s="2" t="s">
        <v>59</v>
      </c>
      <c r="B1068" s="2" t="s">
        <v>94</v>
      </c>
      <c r="C1068" s="2" t="s">
        <v>11056</v>
      </c>
      <c r="D1068" s="2" t="s">
        <v>11057</v>
      </c>
      <c r="E1068" s="2" t="s">
        <v>11058</v>
      </c>
      <c r="G1068" s="3" t="s">
        <v>64</v>
      </c>
      <c r="I1068" s="3" t="s">
        <v>64</v>
      </c>
      <c r="J1068" s="3" t="s">
        <v>64</v>
      </c>
      <c r="K1068" s="3" t="s">
        <v>65</v>
      </c>
      <c r="M1068" s="2" t="s">
        <v>5089</v>
      </c>
      <c r="N1068" s="3" t="s">
        <v>214</v>
      </c>
      <c r="P1068" s="3" t="s">
        <v>69</v>
      </c>
      <c r="Q1068" s="2" t="s">
        <v>5134</v>
      </c>
      <c r="R1068" s="3" t="s">
        <v>9228</v>
      </c>
      <c r="S1068" s="4">
        <v>0</v>
      </c>
      <c r="T1068" s="4">
        <v>0</v>
      </c>
      <c r="W1068" s="5" t="s">
        <v>72</v>
      </c>
      <c r="X1068" s="5" t="s">
        <v>72</v>
      </c>
      <c r="Y1068" s="4">
        <v>103</v>
      </c>
      <c r="Z1068" s="4">
        <v>8</v>
      </c>
      <c r="AA1068" s="4">
        <v>11</v>
      </c>
      <c r="AB1068" s="4">
        <v>1</v>
      </c>
      <c r="AC1068" s="4">
        <v>1</v>
      </c>
      <c r="AD1068" s="4">
        <v>56</v>
      </c>
      <c r="AE1068" s="4">
        <v>62</v>
      </c>
      <c r="AF1068" s="4">
        <v>0</v>
      </c>
      <c r="AG1068" s="4">
        <v>0</v>
      </c>
      <c r="AH1068" s="4">
        <v>53</v>
      </c>
      <c r="AI1068" s="4">
        <v>58</v>
      </c>
      <c r="AJ1068" s="4">
        <v>5</v>
      </c>
      <c r="AK1068" s="4">
        <v>8</v>
      </c>
      <c r="AL1068" s="4">
        <v>29</v>
      </c>
      <c r="AM1068" s="4">
        <v>30</v>
      </c>
      <c r="AN1068" s="4">
        <v>0</v>
      </c>
      <c r="AO1068" s="4">
        <v>0</v>
      </c>
      <c r="AP1068" s="4">
        <v>6</v>
      </c>
      <c r="AQ1068" s="4">
        <v>9</v>
      </c>
      <c r="AR1068" s="3" t="s">
        <v>64</v>
      </c>
      <c r="AS1068" s="3" t="s">
        <v>64</v>
      </c>
      <c r="AT1068" s="3" t="s">
        <v>64</v>
      </c>
      <c r="AV1068" s="6" t="str">
        <f>HYPERLINK("http://mcgill.on.worldcat.org/oclc/519832778","Catalog Record")</f>
        <v>Catalog Record</v>
      </c>
      <c r="AW1068" s="6" t="str">
        <f>HYPERLINK("http://www.worldcat.org/oclc/519832778","WorldCat Record")</f>
        <v>WorldCat Record</v>
      </c>
      <c r="AX1068" s="3" t="s">
        <v>11059</v>
      </c>
      <c r="AY1068" s="3" t="s">
        <v>11060</v>
      </c>
      <c r="AZ1068" s="3" t="s">
        <v>11061</v>
      </c>
      <c r="BA1068" s="3" t="s">
        <v>11061</v>
      </c>
      <c r="BB1068" s="3" t="s">
        <v>11062</v>
      </c>
      <c r="BC1068" s="3" t="s">
        <v>78</v>
      </c>
      <c r="BD1068" s="3" t="s">
        <v>79</v>
      </c>
      <c r="BE1068" s="3" t="s">
        <v>11063</v>
      </c>
      <c r="BF1068" s="3" t="s">
        <v>11062</v>
      </c>
      <c r="BG1068" s="3" t="s">
        <v>11064</v>
      </c>
    </row>
    <row r="1069" spans="1:59" ht="58" x14ac:dyDescent="0.35">
      <c r="A1069" s="2" t="s">
        <v>59</v>
      </c>
      <c r="B1069" s="2" t="s">
        <v>94</v>
      </c>
      <c r="C1069" s="2" t="s">
        <v>11065</v>
      </c>
      <c r="D1069" s="2" t="s">
        <v>11066</v>
      </c>
      <c r="E1069" s="2" t="s">
        <v>11067</v>
      </c>
      <c r="G1069" s="3" t="s">
        <v>64</v>
      </c>
      <c r="I1069" s="3" t="s">
        <v>64</v>
      </c>
      <c r="J1069" s="3" t="s">
        <v>64</v>
      </c>
      <c r="K1069" s="3" t="s">
        <v>65</v>
      </c>
      <c r="L1069" s="2" t="s">
        <v>11068</v>
      </c>
      <c r="M1069" s="2" t="s">
        <v>11069</v>
      </c>
      <c r="N1069" s="3" t="s">
        <v>87</v>
      </c>
      <c r="O1069" s="2" t="s">
        <v>525</v>
      </c>
      <c r="P1069" s="3" t="s">
        <v>69</v>
      </c>
      <c r="R1069" s="3" t="s">
        <v>9228</v>
      </c>
      <c r="S1069" s="4">
        <v>0</v>
      </c>
      <c r="T1069" s="4">
        <v>0</v>
      </c>
      <c r="W1069" s="5" t="s">
        <v>72</v>
      </c>
      <c r="X1069" s="5" t="s">
        <v>72</v>
      </c>
      <c r="Y1069" s="4">
        <v>82</v>
      </c>
      <c r="Z1069" s="4">
        <v>7</v>
      </c>
      <c r="AA1069" s="4">
        <v>35</v>
      </c>
      <c r="AB1069" s="4">
        <v>1</v>
      </c>
      <c r="AC1069" s="4">
        <v>3</v>
      </c>
      <c r="AD1069" s="4">
        <v>13</v>
      </c>
      <c r="AE1069" s="4">
        <v>73</v>
      </c>
      <c r="AF1069" s="4">
        <v>0</v>
      </c>
      <c r="AG1069" s="4">
        <v>0</v>
      </c>
      <c r="AH1069" s="4">
        <v>12</v>
      </c>
      <c r="AI1069" s="4">
        <v>65</v>
      </c>
      <c r="AJ1069" s="4">
        <v>2</v>
      </c>
      <c r="AK1069" s="4">
        <v>6</v>
      </c>
      <c r="AL1069" s="4">
        <v>6</v>
      </c>
      <c r="AM1069" s="4">
        <v>37</v>
      </c>
      <c r="AN1069" s="4">
        <v>0</v>
      </c>
      <c r="AO1069" s="4">
        <v>0</v>
      </c>
      <c r="AP1069" s="4">
        <v>2</v>
      </c>
      <c r="AQ1069" s="4">
        <v>11</v>
      </c>
      <c r="AR1069" s="3" t="s">
        <v>64</v>
      </c>
      <c r="AS1069" s="3" t="s">
        <v>64</v>
      </c>
      <c r="AT1069" s="3" t="s">
        <v>64</v>
      </c>
      <c r="AV1069" s="6" t="str">
        <f>HYPERLINK("http://mcgill.on.worldcat.org/oclc/902618092","Catalog Record")</f>
        <v>Catalog Record</v>
      </c>
      <c r="AW1069" s="6" t="str">
        <f>HYPERLINK("http://www.worldcat.org/oclc/902618092","WorldCat Record")</f>
        <v>WorldCat Record</v>
      </c>
      <c r="AX1069" s="3" t="s">
        <v>11070</v>
      </c>
      <c r="AY1069" s="3" t="s">
        <v>11071</v>
      </c>
      <c r="AZ1069" s="3" t="s">
        <v>11072</v>
      </c>
      <c r="BA1069" s="3" t="s">
        <v>11072</v>
      </c>
      <c r="BB1069" s="3" t="s">
        <v>11073</v>
      </c>
      <c r="BC1069" s="3" t="s">
        <v>78</v>
      </c>
      <c r="BD1069" s="3" t="s">
        <v>79</v>
      </c>
      <c r="BE1069" s="3" t="s">
        <v>11074</v>
      </c>
      <c r="BF1069" s="3" t="s">
        <v>11073</v>
      </c>
      <c r="BG1069" s="3" t="s">
        <v>11075</v>
      </c>
    </row>
    <row r="1070" spans="1:59" ht="58" x14ac:dyDescent="0.35">
      <c r="A1070" s="2" t="s">
        <v>59</v>
      </c>
      <c r="B1070" s="2" t="s">
        <v>94</v>
      </c>
      <c r="C1070" s="2" t="s">
        <v>11076</v>
      </c>
      <c r="D1070" s="2" t="s">
        <v>11077</v>
      </c>
      <c r="E1070" s="2" t="s">
        <v>11078</v>
      </c>
      <c r="G1070" s="3" t="s">
        <v>64</v>
      </c>
      <c r="I1070" s="3" t="s">
        <v>64</v>
      </c>
      <c r="J1070" s="3" t="s">
        <v>64</v>
      </c>
      <c r="K1070" s="3" t="s">
        <v>65</v>
      </c>
      <c r="L1070" s="2" t="s">
        <v>11079</v>
      </c>
      <c r="M1070" s="2" t="s">
        <v>11080</v>
      </c>
      <c r="N1070" s="3" t="s">
        <v>68</v>
      </c>
      <c r="O1070" s="2" t="s">
        <v>1294</v>
      </c>
      <c r="P1070" s="3" t="s">
        <v>69</v>
      </c>
      <c r="R1070" s="3" t="s">
        <v>9228</v>
      </c>
      <c r="S1070" s="4">
        <v>3</v>
      </c>
      <c r="T1070" s="4">
        <v>3</v>
      </c>
      <c r="U1070" s="5" t="s">
        <v>11081</v>
      </c>
      <c r="V1070" s="5" t="s">
        <v>11081</v>
      </c>
      <c r="W1070" s="5" t="s">
        <v>72</v>
      </c>
      <c r="X1070" s="5" t="s">
        <v>72</v>
      </c>
      <c r="Y1070" s="4">
        <v>320</v>
      </c>
      <c r="Z1070" s="4">
        <v>6</v>
      </c>
      <c r="AA1070" s="4">
        <v>91</v>
      </c>
      <c r="AB1070" s="4">
        <v>1</v>
      </c>
      <c r="AC1070" s="4">
        <v>18</v>
      </c>
      <c r="AD1070" s="4">
        <v>71</v>
      </c>
      <c r="AE1070" s="4">
        <v>122</v>
      </c>
      <c r="AF1070" s="4">
        <v>0</v>
      </c>
      <c r="AG1070" s="4">
        <v>8</v>
      </c>
      <c r="AH1070" s="4">
        <v>69</v>
      </c>
      <c r="AI1070" s="4">
        <v>90</v>
      </c>
      <c r="AJ1070" s="4">
        <v>4</v>
      </c>
      <c r="AK1070" s="4">
        <v>18</v>
      </c>
      <c r="AL1070" s="4">
        <v>39</v>
      </c>
      <c r="AM1070" s="4">
        <v>46</v>
      </c>
      <c r="AN1070" s="4">
        <v>0</v>
      </c>
      <c r="AO1070" s="4">
        <v>0</v>
      </c>
      <c r="AP1070" s="4">
        <v>4</v>
      </c>
      <c r="AQ1070" s="4">
        <v>39</v>
      </c>
      <c r="AR1070" s="3" t="s">
        <v>64</v>
      </c>
      <c r="AS1070" s="3" t="s">
        <v>64</v>
      </c>
      <c r="AT1070" s="3" t="s">
        <v>73</v>
      </c>
      <c r="AU1070" s="6" t="str">
        <f>HYPERLINK("http://catalog.hathitrust.org/Record/005210377","HathiTrust Record")</f>
        <v>HathiTrust Record</v>
      </c>
      <c r="AV1070" s="6" t="str">
        <f>HYPERLINK("http://mcgill.on.worldcat.org/oclc/62084318","Catalog Record")</f>
        <v>Catalog Record</v>
      </c>
      <c r="AW1070" s="6" t="str">
        <f>HYPERLINK("http://www.worldcat.org/oclc/62084318","WorldCat Record")</f>
        <v>WorldCat Record</v>
      </c>
      <c r="AX1070" s="3" t="s">
        <v>11082</v>
      </c>
      <c r="AY1070" s="3" t="s">
        <v>11083</v>
      </c>
      <c r="AZ1070" s="3" t="s">
        <v>11084</v>
      </c>
      <c r="BA1070" s="3" t="s">
        <v>11084</v>
      </c>
      <c r="BB1070" s="3" t="s">
        <v>11085</v>
      </c>
      <c r="BC1070" s="3" t="s">
        <v>78</v>
      </c>
      <c r="BD1070" s="3" t="s">
        <v>79</v>
      </c>
      <c r="BE1070" s="3" t="s">
        <v>11086</v>
      </c>
      <c r="BF1070" s="3" t="s">
        <v>11085</v>
      </c>
      <c r="BG1070" s="3" t="s">
        <v>11087</v>
      </c>
    </row>
    <row r="1071" spans="1:59" ht="58" x14ac:dyDescent="0.35">
      <c r="A1071" s="2" t="s">
        <v>59</v>
      </c>
      <c r="B1071" s="2" t="s">
        <v>94</v>
      </c>
      <c r="C1071" s="2" t="s">
        <v>11088</v>
      </c>
      <c r="D1071" s="2" t="s">
        <v>11089</v>
      </c>
      <c r="E1071" s="2" t="s">
        <v>11090</v>
      </c>
      <c r="G1071" s="3" t="s">
        <v>64</v>
      </c>
      <c r="I1071" s="3" t="s">
        <v>64</v>
      </c>
      <c r="J1071" s="3" t="s">
        <v>64</v>
      </c>
      <c r="K1071" s="3" t="s">
        <v>65</v>
      </c>
      <c r="L1071" s="2" t="s">
        <v>11091</v>
      </c>
      <c r="M1071" s="2" t="s">
        <v>11092</v>
      </c>
      <c r="N1071" s="3" t="s">
        <v>1227</v>
      </c>
      <c r="P1071" s="3" t="s">
        <v>69</v>
      </c>
      <c r="R1071" s="3" t="s">
        <v>9228</v>
      </c>
      <c r="S1071" s="4">
        <v>3</v>
      </c>
      <c r="T1071" s="4">
        <v>3</v>
      </c>
      <c r="U1071" s="5" t="s">
        <v>228</v>
      </c>
      <c r="V1071" s="5" t="s">
        <v>228</v>
      </c>
      <c r="W1071" s="5" t="s">
        <v>72</v>
      </c>
      <c r="X1071" s="5" t="s">
        <v>72</v>
      </c>
      <c r="Y1071" s="4">
        <v>821</v>
      </c>
      <c r="Z1071" s="4">
        <v>34</v>
      </c>
      <c r="AA1071" s="4">
        <v>37</v>
      </c>
      <c r="AB1071" s="4">
        <v>1</v>
      </c>
      <c r="AC1071" s="4">
        <v>3</v>
      </c>
      <c r="AD1071" s="4">
        <v>111</v>
      </c>
      <c r="AE1071" s="4">
        <v>116</v>
      </c>
      <c r="AF1071" s="4">
        <v>0</v>
      </c>
      <c r="AG1071" s="4">
        <v>2</v>
      </c>
      <c r="AH1071" s="4">
        <v>92</v>
      </c>
      <c r="AI1071" s="4">
        <v>95</v>
      </c>
      <c r="AJ1071" s="4">
        <v>18</v>
      </c>
      <c r="AK1071" s="4">
        <v>21</v>
      </c>
      <c r="AL1071" s="4">
        <v>53</v>
      </c>
      <c r="AM1071" s="4">
        <v>54</v>
      </c>
      <c r="AN1071" s="4">
        <v>0</v>
      </c>
      <c r="AO1071" s="4">
        <v>0</v>
      </c>
      <c r="AP1071" s="4">
        <v>27</v>
      </c>
      <c r="AQ1071" s="4">
        <v>29</v>
      </c>
      <c r="AR1071" s="3" t="s">
        <v>64</v>
      </c>
      <c r="AS1071" s="3" t="s">
        <v>64</v>
      </c>
      <c r="AT1071" s="3" t="s">
        <v>64</v>
      </c>
      <c r="AV1071" s="6" t="str">
        <f>HYPERLINK("http://mcgill.on.worldcat.org/oclc/279118","Catalog Record")</f>
        <v>Catalog Record</v>
      </c>
      <c r="AW1071" s="6" t="str">
        <f>HYPERLINK("http://www.worldcat.org/oclc/279118","WorldCat Record")</f>
        <v>WorldCat Record</v>
      </c>
      <c r="AX1071" s="3" t="s">
        <v>11093</v>
      </c>
      <c r="AY1071" s="3" t="s">
        <v>11094</v>
      </c>
      <c r="AZ1071" s="3" t="s">
        <v>11095</v>
      </c>
      <c r="BA1071" s="3" t="s">
        <v>11095</v>
      </c>
      <c r="BB1071" s="3" t="s">
        <v>11096</v>
      </c>
      <c r="BC1071" s="3" t="s">
        <v>78</v>
      </c>
      <c r="BD1071" s="3" t="s">
        <v>79</v>
      </c>
      <c r="BF1071" s="3" t="s">
        <v>11096</v>
      </c>
      <c r="BG1071" s="3" t="s">
        <v>11097</v>
      </c>
    </row>
    <row r="1072" spans="1:59" ht="72.5" x14ac:dyDescent="0.35">
      <c r="A1072" s="2" t="s">
        <v>59</v>
      </c>
      <c r="B1072" s="2" t="s">
        <v>94</v>
      </c>
      <c r="C1072" s="2" t="s">
        <v>11098</v>
      </c>
      <c r="D1072" s="2" t="s">
        <v>11099</v>
      </c>
      <c r="E1072" s="2" t="s">
        <v>11100</v>
      </c>
      <c r="G1072" s="3" t="s">
        <v>64</v>
      </c>
      <c r="I1072" s="3" t="s">
        <v>64</v>
      </c>
      <c r="J1072" s="3" t="s">
        <v>64</v>
      </c>
      <c r="K1072" s="3" t="s">
        <v>65</v>
      </c>
      <c r="L1072" s="2" t="s">
        <v>11101</v>
      </c>
      <c r="M1072" s="2" t="s">
        <v>2030</v>
      </c>
      <c r="N1072" s="3" t="s">
        <v>524</v>
      </c>
      <c r="P1072" s="3" t="s">
        <v>69</v>
      </c>
      <c r="R1072" s="3" t="s">
        <v>9228</v>
      </c>
      <c r="S1072" s="4">
        <v>0</v>
      </c>
      <c r="T1072" s="4">
        <v>0</v>
      </c>
      <c r="W1072" s="5" t="s">
        <v>72</v>
      </c>
      <c r="X1072" s="5" t="s">
        <v>72</v>
      </c>
      <c r="Y1072" s="4">
        <v>66</v>
      </c>
      <c r="Z1072" s="4">
        <v>4</v>
      </c>
      <c r="AA1072" s="4">
        <v>6</v>
      </c>
      <c r="AB1072" s="4">
        <v>1</v>
      </c>
      <c r="AC1072" s="4">
        <v>1</v>
      </c>
      <c r="AD1072" s="4">
        <v>44</v>
      </c>
      <c r="AE1072" s="4">
        <v>49</v>
      </c>
      <c r="AF1072" s="4">
        <v>0</v>
      </c>
      <c r="AG1072" s="4">
        <v>0</v>
      </c>
      <c r="AH1072" s="4">
        <v>43</v>
      </c>
      <c r="AI1072" s="4">
        <v>46</v>
      </c>
      <c r="AJ1072" s="4">
        <v>3</v>
      </c>
      <c r="AK1072" s="4">
        <v>5</v>
      </c>
      <c r="AL1072" s="4">
        <v>22</v>
      </c>
      <c r="AM1072" s="4">
        <v>24</v>
      </c>
      <c r="AN1072" s="4">
        <v>0</v>
      </c>
      <c r="AO1072" s="4">
        <v>0</v>
      </c>
      <c r="AP1072" s="4">
        <v>3</v>
      </c>
      <c r="AQ1072" s="4">
        <v>5</v>
      </c>
      <c r="AR1072" s="3" t="s">
        <v>64</v>
      </c>
      <c r="AS1072" s="3" t="s">
        <v>64</v>
      </c>
      <c r="AT1072" s="3" t="s">
        <v>64</v>
      </c>
      <c r="AV1072" s="6" t="str">
        <f>HYPERLINK("http://mcgill.on.worldcat.org/oclc/858975689","Catalog Record")</f>
        <v>Catalog Record</v>
      </c>
      <c r="AW1072" s="6" t="str">
        <f>HYPERLINK("http://www.worldcat.org/oclc/858975689","WorldCat Record")</f>
        <v>WorldCat Record</v>
      </c>
      <c r="AX1072" s="3" t="s">
        <v>11102</v>
      </c>
      <c r="AY1072" s="3" t="s">
        <v>11103</v>
      </c>
      <c r="AZ1072" s="3" t="s">
        <v>11104</v>
      </c>
      <c r="BA1072" s="3" t="s">
        <v>11104</v>
      </c>
      <c r="BB1072" s="3" t="s">
        <v>11105</v>
      </c>
      <c r="BC1072" s="3" t="s">
        <v>78</v>
      </c>
      <c r="BD1072" s="3" t="s">
        <v>79</v>
      </c>
      <c r="BE1072" s="3" t="s">
        <v>11106</v>
      </c>
      <c r="BF1072" s="3" t="s">
        <v>11105</v>
      </c>
      <c r="BG1072" s="3" t="s">
        <v>11107</v>
      </c>
    </row>
    <row r="1073" spans="1:59" ht="58" x14ac:dyDescent="0.35">
      <c r="A1073" s="2" t="s">
        <v>59</v>
      </c>
      <c r="B1073" s="2" t="s">
        <v>94</v>
      </c>
      <c r="C1073" s="2" t="s">
        <v>11108</v>
      </c>
      <c r="D1073" s="2" t="s">
        <v>11109</v>
      </c>
      <c r="E1073" s="2" t="s">
        <v>11110</v>
      </c>
      <c r="G1073" s="3" t="s">
        <v>64</v>
      </c>
      <c r="I1073" s="3" t="s">
        <v>64</v>
      </c>
      <c r="J1073" s="3" t="s">
        <v>64</v>
      </c>
      <c r="K1073" s="3" t="s">
        <v>65</v>
      </c>
      <c r="M1073" s="2" t="s">
        <v>11111</v>
      </c>
      <c r="N1073" s="3" t="s">
        <v>328</v>
      </c>
      <c r="P1073" s="3" t="s">
        <v>69</v>
      </c>
      <c r="Q1073" s="2" t="s">
        <v>11112</v>
      </c>
      <c r="R1073" s="3" t="s">
        <v>9228</v>
      </c>
      <c r="S1073" s="4">
        <v>0</v>
      </c>
      <c r="T1073" s="4">
        <v>0</v>
      </c>
      <c r="W1073" s="5" t="s">
        <v>72</v>
      </c>
      <c r="X1073" s="5" t="s">
        <v>72</v>
      </c>
      <c r="Y1073" s="4">
        <v>92</v>
      </c>
      <c r="Z1073" s="4">
        <v>4</v>
      </c>
      <c r="AA1073" s="4">
        <v>6</v>
      </c>
      <c r="AB1073" s="4">
        <v>1</v>
      </c>
      <c r="AC1073" s="4">
        <v>1</v>
      </c>
      <c r="AD1073" s="4">
        <v>48</v>
      </c>
      <c r="AE1073" s="4">
        <v>53</v>
      </c>
      <c r="AF1073" s="4">
        <v>0</v>
      </c>
      <c r="AG1073" s="4">
        <v>0</v>
      </c>
      <c r="AH1073" s="4">
        <v>47</v>
      </c>
      <c r="AI1073" s="4">
        <v>52</v>
      </c>
      <c r="AJ1073" s="4">
        <v>2</v>
      </c>
      <c r="AK1073" s="4">
        <v>4</v>
      </c>
      <c r="AL1073" s="4">
        <v>27</v>
      </c>
      <c r="AM1073" s="4">
        <v>28</v>
      </c>
      <c r="AN1073" s="4">
        <v>0</v>
      </c>
      <c r="AO1073" s="4">
        <v>0</v>
      </c>
      <c r="AP1073" s="4">
        <v>2</v>
      </c>
      <c r="AQ1073" s="4">
        <v>4</v>
      </c>
      <c r="AR1073" s="3" t="s">
        <v>64</v>
      </c>
      <c r="AS1073" s="3" t="s">
        <v>64</v>
      </c>
      <c r="AT1073" s="3" t="s">
        <v>64</v>
      </c>
      <c r="AV1073" s="6" t="str">
        <f>HYPERLINK("http://mcgill.on.worldcat.org/oclc/761538191","Catalog Record")</f>
        <v>Catalog Record</v>
      </c>
      <c r="AW1073" s="6" t="str">
        <f>HYPERLINK("http://www.worldcat.org/oclc/761538191","WorldCat Record")</f>
        <v>WorldCat Record</v>
      </c>
      <c r="AX1073" s="3" t="s">
        <v>11113</v>
      </c>
      <c r="AY1073" s="3" t="s">
        <v>11114</v>
      </c>
      <c r="AZ1073" s="3" t="s">
        <v>11115</v>
      </c>
      <c r="BA1073" s="3" t="s">
        <v>11115</v>
      </c>
      <c r="BB1073" s="3" t="s">
        <v>11116</v>
      </c>
      <c r="BC1073" s="3" t="s">
        <v>78</v>
      </c>
      <c r="BD1073" s="3" t="s">
        <v>79</v>
      </c>
      <c r="BE1073" s="3" t="s">
        <v>11117</v>
      </c>
      <c r="BF1073" s="3" t="s">
        <v>11116</v>
      </c>
      <c r="BG1073" s="3" t="s">
        <v>11118</v>
      </c>
    </row>
    <row r="1074" spans="1:59" ht="58" x14ac:dyDescent="0.35">
      <c r="A1074" s="2" t="s">
        <v>59</v>
      </c>
      <c r="B1074" s="2" t="s">
        <v>94</v>
      </c>
      <c r="C1074" s="2" t="s">
        <v>11119</v>
      </c>
      <c r="D1074" s="2" t="s">
        <v>11120</v>
      </c>
      <c r="E1074" s="2" t="s">
        <v>11121</v>
      </c>
      <c r="G1074" s="3" t="s">
        <v>64</v>
      </c>
      <c r="I1074" s="3" t="s">
        <v>64</v>
      </c>
      <c r="J1074" s="3" t="s">
        <v>64</v>
      </c>
      <c r="K1074" s="3" t="s">
        <v>65</v>
      </c>
      <c r="M1074" s="2" t="s">
        <v>5077</v>
      </c>
      <c r="N1074" s="3" t="s">
        <v>328</v>
      </c>
      <c r="P1074" s="3" t="s">
        <v>69</v>
      </c>
      <c r="Q1074" s="2" t="s">
        <v>11122</v>
      </c>
      <c r="R1074" s="3" t="s">
        <v>9228</v>
      </c>
      <c r="S1074" s="4">
        <v>0</v>
      </c>
      <c r="T1074" s="4">
        <v>0</v>
      </c>
      <c r="W1074" s="5" t="s">
        <v>72</v>
      </c>
      <c r="X1074" s="5" t="s">
        <v>72</v>
      </c>
      <c r="Y1074" s="4">
        <v>90</v>
      </c>
      <c r="Z1074" s="4">
        <v>5</v>
      </c>
      <c r="AA1074" s="4">
        <v>6</v>
      </c>
      <c r="AB1074" s="4">
        <v>1</v>
      </c>
      <c r="AC1074" s="4">
        <v>1</v>
      </c>
      <c r="AD1074" s="4">
        <v>47</v>
      </c>
      <c r="AE1074" s="4">
        <v>51</v>
      </c>
      <c r="AF1074" s="4">
        <v>0</v>
      </c>
      <c r="AG1074" s="4">
        <v>0</v>
      </c>
      <c r="AH1074" s="4">
        <v>46</v>
      </c>
      <c r="AI1074" s="4">
        <v>50</v>
      </c>
      <c r="AJ1074" s="4">
        <v>3</v>
      </c>
      <c r="AK1074" s="4">
        <v>4</v>
      </c>
      <c r="AL1074" s="4">
        <v>26</v>
      </c>
      <c r="AM1074" s="4">
        <v>28</v>
      </c>
      <c r="AN1074" s="4">
        <v>0</v>
      </c>
      <c r="AO1074" s="4">
        <v>0</v>
      </c>
      <c r="AP1074" s="4">
        <v>3</v>
      </c>
      <c r="AQ1074" s="4">
        <v>4</v>
      </c>
      <c r="AR1074" s="3" t="s">
        <v>64</v>
      </c>
      <c r="AS1074" s="3" t="s">
        <v>64</v>
      </c>
      <c r="AT1074" s="3" t="s">
        <v>64</v>
      </c>
      <c r="AV1074" s="6" t="str">
        <f>HYPERLINK("http://mcgill.on.worldcat.org/oclc/729347950","Catalog Record")</f>
        <v>Catalog Record</v>
      </c>
      <c r="AW1074" s="6" t="str">
        <f>HYPERLINK("http://www.worldcat.org/oclc/729347950","WorldCat Record")</f>
        <v>WorldCat Record</v>
      </c>
      <c r="AX1074" s="3" t="s">
        <v>11123</v>
      </c>
      <c r="AY1074" s="3" t="s">
        <v>11124</v>
      </c>
      <c r="AZ1074" s="3" t="s">
        <v>11125</v>
      </c>
      <c r="BA1074" s="3" t="s">
        <v>11125</v>
      </c>
      <c r="BB1074" s="3" t="s">
        <v>11126</v>
      </c>
      <c r="BC1074" s="3" t="s">
        <v>78</v>
      </c>
      <c r="BD1074" s="3" t="s">
        <v>79</v>
      </c>
      <c r="BE1074" s="3" t="s">
        <v>11127</v>
      </c>
      <c r="BF1074" s="3" t="s">
        <v>11126</v>
      </c>
      <c r="BG1074" s="3" t="s">
        <v>11128</v>
      </c>
    </row>
    <row r="1075" spans="1:59" ht="58" x14ac:dyDescent="0.35">
      <c r="A1075" s="2" t="s">
        <v>59</v>
      </c>
      <c r="B1075" s="2" t="s">
        <v>94</v>
      </c>
      <c r="C1075" s="2" t="s">
        <v>11129</v>
      </c>
      <c r="D1075" s="2" t="s">
        <v>11130</v>
      </c>
      <c r="E1075" s="2" t="s">
        <v>11131</v>
      </c>
      <c r="G1075" s="3" t="s">
        <v>64</v>
      </c>
      <c r="I1075" s="3" t="s">
        <v>64</v>
      </c>
      <c r="J1075" s="3" t="s">
        <v>64</v>
      </c>
      <c r="K1075" s="3" t="s">
        <v>65</v>
      </c>
      <c r="L1075" s="2" t="s">
        <v>3529</v>
      </c>
      <c r="M1075" s="2" t="s">
        <v>11132</v>
      </c>
      <c r="N1075" s="3" t="s">
        <v>5739</v>
      </c>
      <c r="P1075" s="3" t="s">
        <v>69</v>
      </c>
      <c r="R1075" s="3" t="s">
        <v>9228</v>
      </c>
      <c r="S1075" s="4">
        <v>2</v>
      </c>
      <c r="T1075" s="4">
        <v>2</v>
      </c>
      <c r="U1075" s="5" t="s">
        <v>11133</v>
      </c>
      <c r="V1075" s="5" t="s">
        <v>11133</v>
      </c>
      <c r="W1075" s="5" t="s">
        <v>72</v>
      </c>
      <c r="X1075" s="5" t="s">
        <v>72</v>
      </c>
      <c r="Y1075" s="4">
        <v>585</v>
      </c>
      <c r="Z1075" s="4">
        <v>18</v>
      </c>
      <c r="AA1075" s="4">
        <v>25</v>
      </c>
      <c r="AB1075" s="4">
        <v>1</v>
      </c>
      <c r="AC1075" s="4">
        <v>3</v>
      </c>
      <c r="AD1075" s="4">
        <v>102</v>
      </c>
      <c r="AE1075" s="4">
        <v>113</v>
      </c>
      <c r="AF1075" s="4">
        <v>0</v>
      </c>
      <c r="AG1075" s="4">
        <v>0</v>
      </c>
      <c r="AH1075" s="4">
        <v>88</v>
      </c>
      <c r="AI1075" s="4">
        <v>96</v>
      </c>
      <c r="AJ1075" s="4">
        <v>12</v>
      </c>
      <c r="AK1075" s="4">
        <v>13</v>
      </c>
      <c r="AL1075" s="4">
        <v>52</v>
      </c>
      <c r="AM1075" s="4">
        <v>52</v>
      </c>
      <c r="AN1075" s="4">
        <v>0</v>
      </c>
      <c r="AO1075" s="4">
        <v>0</v>
      </c>
      <c r="AP1075" s="4">
        <v>14</v>
      </c>
      <c r="AQ1075" s="4">
        <v>19</v>
      </c>
      <c r="AR1075" s="3" t="s">
        <v>64</v>
      </c>
      <c r="AS1075" s="3" t="s">
        <v>64</v>
      </c>
      <c r="AT1075" s="3" t="s">
        <v>64</v>
      </c>
      <c r="AU1075" s="6" t="str">
        <f>HYPERLINK("http://catalog.hathitrust.org/Record/001047859","HathiTrust Record")</f>
        <v>HathiTrust Record</v>
      </c>
      <c r="AV1075" s="6" t="str">
        <f>HYPERLINK("http://mcgill.on.worldcat.org/oclc/569536","Catalog Record")</f>
        <v>Catalog Record</v>
      </c>
      <c r="AW1075" s="6" t="str">
        <f>HYPERLINK("http://www.worldcat.org/oclc/569536","WorldCat Record")</f>
        <v>WorldCat Record</v>
      </c>
      <c r="AX1075" s="3" t="s">
        <v>11134</v>
      </c>
      <c r="AY1075" s="3" t="s">
        <v>11135</v>
      </c>
      <c r="AZ1075" s="3" t="s">
        <v>11136</v>
      </c>
      <c r="BA1075" s="3" t="s">
        <v>11136</v>
      </c>
      <c r="BB1075" s="3" t="s">
        <v>11137</v>
      </c>
      <c r="BC1075" s="3" t="s">
        <v>78</v>
      </c>
      <c r="BD1075" s="3" t="s">
        <v>79</v>
      </c>
      <c r="BF1075" s="3" t="s">
        <v>11137</v>
      </c>
      <c r="BG1075" s="3" t="s">
        <v>11138</v>
      </c>
    </row>
    <row r="1076" spans="1:59" ht="58" x14ac:dyDescent="0.35">
      <c r="A1076" s="2" t="s">
        <v>59</v>
      </c>
      <c r="B1076" s="2" t="s">
        <v>94</v>
      </c>
      <c r="C1076" s="2" t="s">
        <v>11139</v>
      </c>
      <c r="D1076" s="2" t="s">
        <v>11140</v>
      </c>
      <c r="E1076" s="2" t="s">
        <v>11141</v>
      </c>
      <c r="G1076" s="3" t="s">
        <v>64</v>
      </c>
      <c r="I1076" s="3" t="s">
        <v>64</v>
      </c>
      <c r="J1076" s="3" t="s">
        <v>64</v>
      </c>
      <c r="K1076" s="3" t="s">
        <v>65</v>
      </c>
      <c r="M1076" s="2" t="s">
        <v>5100</v>
      </c>
      <c r="N1076" s="3" t="s">
        <v>328</v>
      </c>
      <c r="P1076" s="3" t="s">
        <v>69</v>
      </c>
      <c r="Q1076" s="2" t="s">
        <v>11142</v>
      </c>
      <c r="R1076" s="3" t="s">
        <v>9228</v>
      </c>
      <c r="S1076" s="4">
        <v>0</v>
      </c>
      <c r="T1076" s="4">
        <v>0</v>
      </c>
      <c r="W1076" s="5" t="s">
        <v>72</v>
      </c>
      <c r="X1076" s="5" t="s">
        <v>72</v>
      </c>
      <c r="Y1076" s="4">
        <v>75</v>
      </c>
      <c r="Z1076" s="4">
        <v>4</v>
      </c>
      <c r="AA1076" s="4">
        <v>4</v>
      </c>
      <c r="AB1076" s="4">
        <v>1</v>
      </c>
      <c r="AC1076" s="4">
        <v>1</v>
      </c>
      <c r="AD1076" s="4">
        <v>42</v>
      </c>
      <c r="AE1076" s="4">
        <v>43</v>
      </c>
      <c r="AF1076" s="4">
        <v>0</v>
      </c>
      <c r="AG1076" s="4">
        <v>0</v>
      </c>
      <c r="AH1076" s="4">
        <v>41</v>
      </c>
      <c r="AI1076" s="4">
        <v>42</v>
      </c>
      <c r="AJ1076" s="4">
        <v>2</v>
      </c>
      <c r="AK1076" s="4">
        <v>2</v>
      </c>
      <c r="AL1076" s="4">
        <v>23</v>
      </c>
      <c r="AM1076" s="4">
        <v>23</v>
      </c>
      <c r="AN1076" s="4">
        <v>0</v>
      </c>
      <c r="AO1076" s="4">
        <v>0</v>
      </c>
      <c r="AP1076" s="4">
        <v>2</v>
      </c>
      <c r="AQ1076" s="4">
        <v>2</v>
      </c>
      <c r="AR1076" s="3" t="s">
        <v>64</v>
      </c>
      <c r="AS1076" s="3" t="s">
        <v>64</v>
      </c>
      <c r="AT1076" s="3" t="s">
        <v>64</v>
      </c>
      <c r="AV1076" s="6" t="str">
        <f>HYPERLINK("http://mcgill.on.worldcat.org/oclc/758244216","Catalog Record")</f>
        <v>Catalog Record</v>
      </c>
      <c r="AW1076" s="6" t="str">
        <f>HYPERLINK("http://www.worldcat.org/oclc/758244216","WorldCat Record")</f>
        <v>WorldCat Record</v>
      </c>
      <c r="AX1076" s="3" t="s">
        <v>11143</v>
      </c>
      <c r="AY1076" s="3" t="s">
        <v>11144</v>
      </c>
      <c r="AZ1076" s="3" t="s">
        <v>11145</v>
      </c>
      <c r="BA1076" s="3" t="s">
        <v>11145</v>
      </c>
      <c r="BB1076" s="3" t="s">
        <v>11146</v>
      </c>
      <c r="BC1076" s="3" t="s">
        <v>78</v>
      </c>
      <c r="BD1076" s="3" t="s">
        <v>79</v>
      </c>
      <c r="BE1076" s="3" t="s">
        <v>11147</v>
      </c>
      <c r="BF1076" s="3" t="s">
        <v>11146</v>
      </c>
      <c r="BG1076" s="3" t="s">
        <v>11148</v>
      </c>
    </row>
    <row r="1077" spans="1:59" ht="58" x14ac:dyDescent="0.35">
      <c r="A1077" s="2" t="s">
        <v>59</v>
      </c>
      <c r="B1077" s="2" t="s">
        <v>94</v>
      </c>
      <c r="C1077" s="2" t="s">
        <v>11149</v>
      </c>
      <c r="D1077" s="2" t="s">
        <v>11150</v>
      </c>
      <c r="E1077" s="2" t="s">
        <v>11151</v>
      </c>
      <c r="G1077" s="3" t="s">
        <v>64</v>
      </c>
      <c r="I1077" s="3" t="s">
        <v>64</v>
      </c>
      <c r="J1077" s="3" t="s">
        <v>64</v>
      </c>
      <c r="K1077" s="3" t="s">
        <v>65</v>
      </c>
      <c r="L1077" s="2" t="s">
        <v>11152</v>
      </c>
      <c r="M1077" s="2" t="s">
        <v>11153</v>
      </c>
      <c r="N1077" s="3" t="s">
        <v>861</v>
      </c>
      <c r="P1077" s="3" t="s">
        <v>69</v>
      </c>
      <c r="Q1077" s="2" t="s">
        <v>11154</v>
      </c>
      <c r="R1077" s="3" t="s">
        <v>9228</v>
      </c>
      <c r="S1077" s="4">
        <v>10</v>
      </c>
      <c r="T1077" s="4">
        <v>10</v>
      </c>
      <c r="U1077" s="5" t="s">
        <v>9662</v>
      </c>
      <c r="V1077" s="5" t="s">
        <v>9662</v>
      </c>
      <c r="W1077" s="5" t="s">
        <v>72</v>
      </c>
      <c r="X1077" s="5" t="s">
        <v>72</v>
      </c>
      <c r="Y1077" s="4">
        <v>479</v>
      </c>
      <c r="Z1077" s="4">
        <v>13</v>
      </c>
      <c r="AA1077" s="4">
        <v>41</v>
      </c>
      <c r="AB1077" s="4">
        <v>1</v>
      </c>
      <c r="AC1077" s="4">
        <v>6</v>
      </c>
      <c r="AD1077" s="4">
        <v>92</v>
      </c>
      <c r="AE1077" s="4">
        <v>98</v>
      </c>
      <c r="AF1077" s="4">
        <v>0</v>
      </c>
      <c r="AG1077" s="4">
        <v>0</v>
      </c>
      <c r="AH1077" s="4">
        <v>85</v>
      </c>
      <c r="AI1077" s="4">
        <v>89</v>
      </c>
      <c r="AJ1077" s="4">
        <v>7</v>
      </c>
      <c r="AK1077" s="4">
        <v>8</v>
      </c>
      <c r="AL1077" s="4">
        <v>47</v>
      </c>
      <c r="AM1077" s="4">
        <v>49</v>
      </c>
      <c r="AN1077" s="4">
        <v>0</v>
      </c>
      <c r="AO1077" s="4">
        <v>0</v>
      </c>
      <c r="AP1077" s="4">
        <v>9</v>
      </c>
      <c r="AQ1077" s="4">
        <v>12</v>
      </c>
      <c r="AR1077" s="3" t="s">
        <v>64</v>
      </c>
      <c r="AS1077" s="3" t="s">
        <v>64</v>
      </c>
      <c r="AT1077" s="3" t="s">
        <v>64</v>
      </c>
      <c r="AV1077" s="6" t="str">
        <f>HYPERLINK("http://mcgill.on.worldcat.org/oclc/55700346","Catalog Record")</f>
        <v>Catalog Record</v>
      </c>
      <c r="AW1077" s="6" t="str">
        <f>HYPERLINK("http://www.worldcat.org/oclc/55700346","WorldCat Record")</f>
        <v>WorldCat Record</v>
      </c>
      <c r="AX1077" s="3" t="s">
        <v>11155</v>
      </c>
      <c r="AY1077" s="3" t="s">
        <v>11156</v>
      </c>
      <c r="AZ1077" s="3" t="s">
        <v>11157</v>
      </c>
      <c r="BA1077" s="3" t="s">
        <v>11157</v>
      </c>
      <c r="BB1077" s="3" t="s">
        <v>11158</v>
      </c>
      <c r="BC1077" s="3" t="s">
        <v>78</v>
      </c>
      <c r="BD1077" s="3" t="s">
        <v>414</v>
      </c>
      <c r="BE1077" s="3" t="s">
        <v>11159</v>
      </c>
      <c r="BF1077" s="3" t="s">
        <v>11158</v>
      </c>
      <c r="BG1077" s="3" t="s">
        <v>11160</v>
      </c>
    </row>
    <row r="1078" spans="1:59" ht="58" x14ac:dyDescent="0.35">
      <c r="A1078" s="2" t="s">
        <v>59</v>
      </c>
      <c r="B1078" s="2" t="s">
        <v>94</v>
      </c>
      <c r="C1078" s="2" t="s">
        <v>11161</v>
      </c>
      <c r="D1078" s="2" t="s">
        <v>11162</v>
      </c>
      <c r="E1078" s="2" t="s">
        <v>11163</v>
      </c>
      <c r="G1078" s="3" t="s">
        <v>64</v>
      </c>
      <c r="I1078" s="3" t="s">
        <v>64</v>
      </c>
      <c r="J1078" s="3" t="s">
        <v>64</v>
      </c>
      <c r="K1078" s="3" t="s">
        <v>65</v>
      </c>
      <c r="M1078" s="2" t="s">
        <v>11164</v>
      </c>
      <c r="N1078" s="3" t="s">
        <v>1029</v>
      </c>
      <c r="P1078" s="3" t="s">
        <v>69</v>
      </c>
      <c r="R1078" s="3" t="s">
        <v>9228</v>
      </c>
      <c r="S1078" s="4">
        <v>3</v>
      </c>
      <c r="T1078" s="4">
        <v>3</v>
      </c>
      <c r="U1078" s="5" t="s">
        <v>5821</v>
      </c>
      <c r="V1078" s="5" t="s">
        <v>5821</v>
      </c>
      <c r="W1078" s="5" t="s">
        <v>72</v>
      </c>
      <c r="X1078" s="5" t="s">
        <v>72</v>
      </c>
      <c r="Y1078" s="4">
        <v>224</v>
      </c>
      <c r="Z1078" s="4">
        <v>16</v>
      </c>
      <c r="AA1078" s="4">
        <v>53</v>
      </c>
      <c r="AB1078" s="4">
        <v>2</v>
      </c>
      <c r="AC1078" s="4">
        <v>9</v>
      </c>
      <c r="AD1078" s="4">
        <v>75</v>
      </c>
      <c r="AE1078" s="4">
        <v>93</v>
      </c>
      <c r="AF1078" s="4">
        <v>1</v>
      </c>
      <c r="AG1078" s="4">
        <v>2</v>
      </c>
      <c r="AH1078" s="4">
        <v>70</v>
      </c>
      <c r="AI1078" s="4">
        <v>84</v>
      </c>
      <c r="AJ1078" s="4">
        <v>9</v>
      </c>
      <c r="AK1078" s="4">
        <v>13</v>
      </c>
      <c r="AL1078" s="4">
        <v>42</v>
      </c>
      <c r="AM1078" s="4">
        <v>49</v>
      </c>
      <c r="AN1078" s="4">
        <v>0</v>
      </c>
      <c r="AO1078" s="4">
        <v>0</v>
      </c>
      <c r="AP1078" s="4">
        <v>11</v>
      </c>
      <c r="AQ1078" s="4">
        <v>18</v>
      </c>
      <c r="AR1078" s="3" t="s">
        <v>64</v>
      </c>
      <c r="AS1078" s="3" t="s">
        <v>64</v>
      </c>
      <c r="AT1078" s="3" t="s">
        <v>64</v>
      </c>
      <c r="AV1078" s="6" t="str">
        <f>HYPERLINK("http://mcgill.on.worldcat.org/oclc/237048416","Catalog Record")</f>
        <v>Catalog Record</v>
      </c>
      <c r="AW1078" s="6" t="str">
        <f>HYPERLINK("http://www.worldcat.org/oclc/237048416","WorldCat Record")</f>
        <v>WorldCat Record</v>
      </c>
      <c r="AX1078" s="3" t="s">
        <v>11165</v>
      </c>
      <c r="AY1078" s="3" t="s">
        <v>11166</v>
      </c>
      <c r="AZ1078" s="3" t="s">
        <v>11167</v>
      </c>
      <c r="BA1078" s="3" t="s">
        <v>11167</v>
      </c>
      <c r="BB1078" s="3" t="s">
        <v>11168</v>
      </c>
      <c r="BC1078" s="3" t="s">
        <v>78</v>
      </c>
      <c r="BD1078" s="3" t="s">
        <v>79</v>
      </c>
      <c r="BE1078" s="3" t="s">
        <v>11169</v>
      </c>
      <c r="BF1078" s="3" t="s">
        <v>11168</v>
      </c>
      <c r="BG1078" s="3" t="s">
        <v>11170</v>
      </c>
    </row>
    <row r="1079" spans="1:59" ht="58" x14ac:dyDescent="0.35">
      <c r="A1079" s="2" t="s">
        <v>59</v>
      </c>
      <c r="B1079" s="2" t="s">
        <v>94</v>
      </c>
      <c r="C1079" s="2" t="s">
        <v>11171</v>
      </c>
      <c r="D1079" s="2" t="s">
        <v>11172</v>
      </c>
      <c r="E1079" s="2" t="s">
        <v>11173</v>
      </c>
      <c r="G1079" s="3" t="s">
        <v>64</v>
      </c>
      <c r="I1079" s="3" t="s">
        <v>64</v>
      </c>
      <c r="J1079" s="3" t="s">
        <v>64</v>
      </c>
      <c r="K1079" s="3" t="s">
        <v>65</v>
      </c>
      <c r="L1079" s="2" t="s">
        <v>11174</v>
      </c>
      <c r="M1079" s="2" t="s">
        <v>448</v>
      </c>
      <c r="N1079" s="3" t="s">
        <v>449</v>
      </c>
      <c r="P1079" s="3" t="s">
        <v>69</v>
      </c>
      <c r="R1079" s="3" t="s">
        <v>9228</v>
      </c>
      <c r="S1079" s="4">
        <v>4</v>
      </c>
      <c r="T1079" s="4">
        <v>4</v>
      </c>
      <c r="U1079" s="5" t="s">
        <v>11175</v>
      </c>
      <c r="V1079" s="5" t="s">
        <v>11175</v>
      </c>
      <c r="W1079" s="5" t="s">
        <v>72</v>
      </c>
      <c r="X1079" s="5" t="s">
        <v>72</v>
      </c>
      <c r="Y1079" s="4">
        <v>259</v>
      </c>
      <c r="Z1079" s="4">
        <v>13</v>
      </c>
      <c r="AA1079" s="4">
        <v>105</v>
      </c>
      <c r="AB1079" s="4">
        <v>1</v>
      </c>
      <c r="AC1079" s="4">
        <v>18</v>
      </c>
      <c r="AD1079" s="4">
        <v>82</v>
      </c>
      <c r="AE1079" s="4">
        <v>137</v>
      </c>
      <c r="AF1079" s="4">
        <v>0</v>
      </c>
      <c r="AG1079" s="4">
        <v>8</v>
      </c>
      <c r="AH1079" s="4">
        <v>76</v>
      </c>
      <c r="AI1079" s="4">
        <v>99</v>
      </c>
      <c r="AJ1079" s="4">
        <v>10</v>
      </c>
      <c r="AK1079" s="4">
        <v>24</v>
      </c>
      <c r="AL1079" s="4">
        <v>45</v>
      </c>
      <c r="AM1079" s="4">
        <v>51</v>
      </c>
      <c r="AN1079" s="4">
        <v>0</v>
      </c>
      <c r="AO1079" s="4">
        <v>0</v>
      </c>
      <c r="AP1079" s="4">
        <v>11</v>
      </c>
      <c r="AQ1079" s="4">
        <v>46</v>
      </c>
      <c r="AR1079" s="3" t="s">
        <v>64</v>
      </c>
      <c r="AS1079" s="3" t="s">
        <v>64</v>
      </c>
      <c r="AT1079" s="3" t="s">
        <v>64</v>
      </c>
      <c r="AV1079" s="6" t="str">
        <f>HYPERLINK("http://mcgill.on.worldcat.org/oclc/174138973","Catalog Record")</f>
        <v>Catalog Record</v>
      </c>
      <c r="AW1079" s="6" t="str">
        <f>HYPERLINK("http://www.worldcat.org/oclc/174138973","WorldCat Record")</f>
        <v>WorldCat Record</v>
      </c>
      <c r="AX1079" s="3" t="s">
        <v>11176</v>
      </c>
      <c r="AY1079" s="3" t="s">
        <v>11177</v>
      </c>
      <c r="AZ1079" s="3" t="s">
        <v>11178</v>
      </c>
      <c r="BA1079" s="3" t="s">
        <v>11178</v>
      </c>
      <c r="BB1079" s="3" t="s">
        <v>11179</v>
      </c>
      <c r="BC1079" s="3" t="s">
        <v>78</v>
      </c>
      <c r="BD1079" s="3" t="s">
        <v>79</v>
      </c>
      <c r="BE1079" s="3" t="s">
        <v>11180</v>
      </c>
      <c r="BF1079" s="3" t="s">
        <v>11179</v>
      </c>
      <c r="BG1079" s="3" t="s">
        <v>11181</v>
      </c>
    </row>
    <row r="1080" spans="1:59" ht="116" x14ac:dyDescent="0.35">
      <c r="A1080" s="2" t="s">
        <v>59</v>
      </c>
      <c r="B1080" s="2" t="s">
        <v>94</v>
      </c>
      <c r="C1080" s="2" t="s">
        <v>11182</v>
      </c>
      <c r="D1080" s="2" t="s">
        <v>11183</v>
      </c>
      <c r="E1080" s="2" t="s">
        <v>11184</v>
      </c>
      <c r="G1080" s="3" t="s">
        <v>64</v>
      </c>
      <c r="I1080" s="3" t="s">
        <v>64</v>
      </c>
      <c r="J1080" s="3" t="s">
        <v>64</v>
      </c>
      <c r="K1080" s="3" t="s">
        <v>65</v>
      </c>
      <c r="L1080" s="2" t="s">
        <v>11185</v>
      </c>
      <c r="M1080" s="2" t="s">
        <v>8382</v>
      </c>
      <c r="N1080" s="3" t="s">
        <v>524</v>
      </c>
      <c r="P1080" s="3" t="s">
        <v>69</v>
      </c>
      <c r="R1080" s="3" t="s">
        <v>9228</v>
      </c>
      <c r="S1080" s="4">
        <v>0</v>
      </c>
      <c r="T1080" s="4">
        <v>0</v>
      </c>
      <c r="W1080" s="5" t="s">
        <v>72</v>
      </c>
      <c r="X1080" s="5" t="s">
        <v>72</v>
      </c>
      <c r="Y1080" s="4">
        <v>77</v>
      </c>
      <c r="Z1080" s="4">
        <v>6</v>
      </c>
      <c r="AA1080" s="4">
        <v>103</v>
      </c>
      <c r="AB1080" s="4">
        <v>1</v>
      </c>
      <c r="AC1080" s="4">
        <v>17</v>
      </c>
      <c r="AD1080" s="4">
        <v>43</v>
      </c>
      <c r="AE1080" s="4">
        <v>129</v>
      </c>
      <c r="AF1080" s="4">
        <v>0</v>
      </c>
      <c r="AG1080" s="4">
        <v>8</v>
      </c>
      <c r="AH1080" s="4">
        <v>42</v>
      </c>
      <c r="AI1080" s="4">
        <v>89</v>
      </c>
      <c r="AJ1080" s="4">
        <v>4</v>
      </c>
      <c r="AK1080" s="4">
        <v>22</v>
      </c>
      <c r="AL1080" s="4">
        <v>22</v>
      </c>
      <c r="AM1080" s="4">
        <v>47</v>
      </c>
      <c r="AN1080" s="4">
        <v>0</v>
      </c>
      <c r="AO1080" s="4">
        <v>0</v>
      </c>
      <c r="AP1080" s="4">
        <v>4</v>
      </c>
      <c r="AQ1080" s="4">
        <v>45</v>
      </c>
      <c r="AR1080" s="3" t="s">
        <v>64</v>
      </c>
      <c r="AS1080" s="3" t="s">
        <v>64</v>
      </c>
      <c r="AT1080" s="3" t="s">
        <v>64</v>
      </c>
      <c r="AV1080" s="6" t="str">
        <f>HYPERLINK("http://mcgill.on.worldcat.org/oclc/835118379","Catalog Record")</f>
        <v>Catalog Record</v>
      </c>
      <c r="AW1080" s="6" t="str">
        <f>HYPERLINK("http://www.worldcat.org/oclc/835118379","WorldCat Record")</f>
        <v>WorldCat Record</v>
      </c>
      <c r="AX1080" s="3" t="s">
        <v>11186</v>
      </c>
      <c r="AY1080" s="3" t="s">
        <v>11187</v>
      </c>
      <c r="AZ1080" s="3" t="s">
        <v>11188</v>
      </c>
      <c r="BA1080" s="3" t="s">
        <v>11188</v>
      </c>
      <c r="BB1080" s="3" t="s">
        <v>11189</v>
      </c>
      <c r="BC1080" s="3" t="s">
        <v>78</v>
      </c>
      <c r="BD1080" s="3" t="s">
        <v>79</v>
      </c>
      <c r="BE1080" s="3" t="s">
        <v>11190</v>
      </c>
      <c r="BF1080" s="3" t="s">
        <v>11189</v>
      </c>
      <c r="BG1080" s="3" t="s">
        <v>11191</v>
      </c>
    </row>
    <row r="1081" spans="1:59" ht="58" x14ac:dyDescent="0.35">
      <c r="A1081" s="2" t="s">
        <v>59</v>
      </c>
      <c r="B1081" s="2" t="s">
        <v>94</v>
      </c>
      <c r="C1081" s="2" t="s">
        <v>11192</v>
      </c>
      <c r="D1081" s="2" t="s">
        <v>11193</v>
      </c>
      <c r="E1081" s="2" t="s">
        <v>11194</v>
      </c>
      <c r="G1081" s="3" t="s">
        <v>64</v>
      </c>
      <c r="I1081" s="3" t="s">
        <v>64</v>
      </c>
      <c r="J1081" s="3" t="s">
        <v>64</v>
      </c>
      <c r="K1081" s="3" t="s">
        <v>65</v>
      </c>
      <c r="M1081" s="2" t="s">
        <v>11195</v>
      </c>
      <c r="N1081" s="3" t="s">
        <v>214</v>
      </c>
      <c r="P1081" s="3" t="s">
        <v>69</v>
      </c>
      <c r="R1081" s="3" t="s">
        <v>9228</v>
      </c>
      <c r="S1081" s="4">
        <v>7</v>
      </c>
      <c r="T1081" s="4">
        <v>7</v>
      </c>
      <c r="U1081" s="5" t="s">
        <v>11196</v>
      </c>
      <c r="V1081" s="5" t="s">
        <v>11196</v>
      </c>
      <c r="W1081" s="5" t="s">
        <v>72</v>
      </c>
      <c r="X1081" s="5" t="s">
        <v>72</v>
      </c>
      <c r="Y1081" s="4">
        <v>330</v>
      </c>
      <c r="Z1081" s="4">
        <v>18</v>
      </c>
      <c r="AA1081" s="4">
        <v>30</v>
      </c>
      <c r="AB1081" s="4">
        <v>2</v>
      </c>
      <c r="AC1081" s="4">
        <v>4</v>
      </c>
      <c r="AD1081" s="4">
        <v>83</v>
      </c>
      <c r="AE1081" s="4">
        <v>100</v>
      </c>
      <c r="AF1081" s="4">
        <v>1</v>
      </c>
      <c r="AG1081" s="4">
        <v>1</v>
      </c>
      <c r="AH1081" s="4">
        <v>76</v>
      </c>
      <c r="AI1081" s="4">
        <v>85</v>
      </c>
      <c r="AJ1081" s="4">
        <v>11</v>
      </c>
      <c r="AK1081" s="4">
        <v>17</v>
      </c>
      <c r="AL1081" s="4">
        <v>49</v>
      </c>
      <c r="AM1081" s="4">
        <v>51</v>
      </c>
      <c r="AN1081" s="4">
        <v>5</v>
      </c>
      <c r="AO1081" s="4">
        <v>5</v>
      </c>
      <c r="AP1081" s="4">
        <v>14</v>
      </c>
      <c r="AQ1081" s="4">
        <v>24</v>
      </c>
      <c r="AR1081" s="3" t="s">
        <v>64</v>
      </c>
      <c r="AS1081" s="3" t="s">
        <v>64</v>
      </c>
      <c r="AT1081" s="3" t="s">
        <v>73</v>
      </c>
      <c r="AU1081" s="6" t="str">
        <f>HYPERLINK("http://catalog.hathitrust.org/Record/011227838","HathiTrust Record")</f>
        <v>HathiTrust Record</v>
      </c>
      <c r="AV1081" s="6" t="str">
        <f>HYPERLINK("http://mcgill.on.worldcat.org/oclc/643082332","Catalog Record")</f>
        <v>Catalog Record</v>
      </c>
      <c r="AW1081" s="6" t="str">
        <f>HYPERLINK("http://www.worldcat.org/oclc/643082332","WorldCat Record")</f>
        <v>WorldCat Record</v>
      </c>
      <c r="AX1081" s="3" t="s">
        <v>11197</v>
      </c>
      <c r="AY1081" s="3" t="s">
        <v>11198</v>
      </c>
      <c r="AZ1081" s="3" t="s">
        <v>11199</v>
      </c>
      <c r="BA1081" s="3" t="s">
        <v>11199</v>
      </c>
      <c r="BB1081" s="3" t="s">
        <v>11200</v>
      </c>
      <c r="BC1081" s="3" t="s">
        <v>78</v>
      </c>
      <c r="BD1081" s="3" t="s">
        <v>79</v>
      </c>
      <c r="BE1081" s="3" t="s">
        <v>11201</v>
      </c>
      <c r="BF1081" s="3" t="s">
        <v>11200</v>
      </c>
      <c r="BG1081" s="3" t="s">
        <v>11202</v>
      </c>
    </row>
    <row r="1082" spans="1:59" ht="58" x14ac:dyDescent="0.35">
      <c r="A1082" s="2" t="s">
        <v>59</v>
      </c>
      <c r="B1082" s="2" t="s">
        <v>94</v>
      </c>
      <c r="C1082" s="2" t="s">
        <v>11203</v>
      </c>
      <c r="D1082" s="2" t="s">
        <v>11204</v>
      </c>
      <c r="E1082" s="2" t="s">
        <v>11205</v>
      </c>
      <c r="G1082" s="3" t="s">
        <v>64</v>
      </c>
      <c r="I1082" s="3" t="s">
        <v>64</v>
      </c>
      <c r="J1082" s="3" t="s">
        <v>64</v>
      </c>
      <c r="K1082" s="3" t="s">
        <v>65</v>
      </c>
      <c r="M1082" s="2" t="s">
        <v>6841</v>
      </c>
      <c r="N1082" s="3" t="s">
        <v>377</v>
      </c>
      <c r="P1082" s="3" t="s">
        <v>69</v>
      </c>
      <c r="R1082" s="3" t="s">
        <v>9228</v>
      </c>
      <c r="S1082" s="4">
        <v>0</v>
      </c>
      <c r="T1082" s="4">
        <v>0</v>
      </c>
      <c r="W1082" s="5" t="s">
        <v>72</v>
      </c>
      <c r="X1082" s="5" t="s">
        <v>72</v>
      </c>
      <c r="Y1082" s="4">
        <v>84</v>
      </c>
      <c r="Z1082" s="4">
        <v>6</v>
      </c>
      <c r="AA1082" s="4">
        <v>109</v>
      </c>
      <c r="AB1082" s="4">
        <v>1</v>
      </c>
      <c r="AC1082" s="4">
        <v>17</v>
      </c>
      <c r="AD1082" s="4">
        <v>47</v>
      </c>
      <c r="AE1082" s="4">
        <v>134</v>
      </c>
      <c r="AF1082" s="4">
        <v>0</v>
      </c>
      <c r="AG1082" s="4">
        <v>8</v>
      </c>
      <c r="AH1082" s="4">
        <v>46</v>
      </c>
      <c r="AI1082" s="4">
        <v>93</v>
      </c>
      <c r="AJ1082" s="4">
        <v>4</v>
      </c>
      <c r="AK1082" s="4">
        <v>22</v>
      </c>
      <c r="AL1082" s="4">
        <v>26</v>
      </c>
      <c r="AM1082" s="4">
        <v>51</v>
      </c>
      <c r="AN1082" s="4">
        <v>0</v>
      </c>
      <c r="AO1082" s="4">
        <v>0</v>
      </c>
      <c r="AP1082" s="4">
        <v>4</v>
      </c>
      <c r="AQ1082" s="4">
        <v>46</v>
      </c>
      <c r="AR1082" s="3" t="s">
        <v>64</v>
      </c>
      <c r="AS1082" s="3" t="s">
        <v>64</v>
      </c>
      <c r="AT1082" s="3" t="s">
        <v>64</v>
      </c>
      <c r="AV1082" s="6" t="str">
        <f>HYPERLINK("http://mcgill.on.worldcat.org/oclc/805701811","Catalog Record")</f>
        <v>Catalog Record</v>
      </c>
      <c r="AW1082" s="6" t="str">
        <f>HYPERLINK("http://www.worldcat.org/oclc/805701811","WorldCat Record")</f>
        <v>WorldCat Record</v>
      </c>
      <c r="AX1082" s="3" t="s">
        <v>11206</v>
      </c>
      <c r="AY1082" s="3" t="s">
        <v>11207</v>
      </c>
      <c r="AZ1082" s="3" t="s">
        <v>11208</v>
      </c>
      <c r="BA1082" s="3" t="s">
        <v>11208</v>
      </c>
      <c r="BB1082" s="3" t="s">
        <v>11209</v>
      </c>
      <c r="BC1082" s="3" t="s">
        <v>78</v>
      </c>
      <c r="BD1082" s="3" t="s">
        <v>79</v>
      </c>
      <c r="BE1082" s="3" t="s">
        <v>11210</v>
      </c>
      <c r="BF1082" s="3" t="s">
        <v>11209</v>
      </c>
      <c r="BG1082" s="3" t="s">
        <v>11211</v>
      </c>
    </row>
    <row r="1083" spans="1:59" ht="58" x14ac:dyDescent="0.35">
      <c r="A1083" s="2" t="s">
        <v>59</v>
      </c>
      <c r="B1083" s="2" t="s">
        <v>94</v>
      </c>
      <c r="C1083" s="2" t="s">
        <v>11212</v>
      </c>
      <c r="D1083" s="2" t="s">
        <v>11213</v>
      </c>
      <c r="E1083" s="2" t="s">
        <v>11214</v>
      </c>
      <c r="G1083" s="3" t="s">
        <v>64</v>
      </c>
      <c r="I1083" s="3" t="s">
        <v>64</v>
      </c>
      <c r="J1083" s="3" t="s">
        <v>64</v>
      </c>
      <c r="K1083" s="3" t="s">
        <v>65</v>
      </c>
      <c r="L1083" s="2" t="s">
        <v>11215</v>
      </c>
      <c r="M1083" s="2" t="s">
        <v>884</v>
      </c>
      <c r="N1083" s="3" t="s">
        <v>328</v>
      </c>
      <c r="P1083" s="3" t="s">
        <v>69</v>
      </c>
      <c r="Q1083" s="2" t="s">
        <v>11216</v>
      </c>
      <c r="R1083" s="3" t="s">
        <v>9228</v>
      </c>
      <c r="S1083" s="4">
        <v>1</v>
      </c>
      <c r="T1083" s="4">
        <v>1</v>
      </c>
      <c r="U1083" s="5" t="s">
        <v>11217</v>
      </c>
      <c r="V1083" s="5" t="s">
        <v>11217</v>
      </c>
      <c r="W1083" s="5" t="s">
        <v>72</v>
      </c>
      <c r="X1083" s="5" t="s">
        <v>72</v>
      </c>
      <c r="Y1083" s="4">
        <v>139</v>
      </c>
      <c r="Z1083" s="4">
        <v>8</v>
      </c>
      <c r="AA1083" s="4">
        <v>35</v>
      </c>
      <c r="AB1083" s="4">
        <v>1</v>
      </c>
      <c r="AC1083" s="4">
        <v>4</v>
      </c>
      <c r="AD1083" s="4">
        <v>49</v>
      </c>
      <c r="AE1083" s="4">
        <v>80</v>
      </c>
      <c r="AF1083" s="4">
        <v>0</v>
      </c>
      <c r="AG1083" s="4">
        <v>1</v>
      </c>
      <c r="AH1083" s="4">
        <v>48</v>
      </c>
      <c r="AI1083" s="4">
        <v>69</v>
      </c>
      <c r="AJ1083" s="4">
        <v>5</v>
      </c>
      <c r="AK1083" s="4">
        <v>10</v>
      </c>
      <c r="AL1083" s="4">
        <v>32</v>
      </c>
      <c r="AM1083" s="4">
        <v>42</v>
      </c>
      <c r="AN1083" s="4">
        <v>0</v>
      </c>
      <c r="AO1083" s="4">
        <v>0</v>
      </c>
      <c r="AP1083" s="4">
        <v>6</v>
      </c>
      <c r="AQ1083" s="4">
        <v>15</v>
      </c>
      <c r="AR1083" s="3" t="s">
        <v>64</v>
      </c>
      <c r="AS1083" s="3" t="s">
        <v>64</v>
      </c>
      <c r="AT1083" s="3" t="s">
        <v>64</v>
      </c>
      <c r="AV1083" s="6" t="str">
        <f>HYPERLINK("http://mcgill.on.worldcat.org/oclc/688559403","Catalog Record")</f>
        <v>Catalog Record</v>
      </c>
      <c r="AW1083" s="6" t="str">
        <f>HYPERLINK("http://www.worldcat.org/oclc/688559403","WorldCat Record")</f>
        <v>WorldCat Record</v>
      </c>
      <c r="AX1083" s="3" t="s">
        <v>11218</v>
      </c>
      <c r="AY1083" s="3" t="s">
        <v>11219</v>
      </c>
      <c r="AZ1083" s="3" t="s">
        <v>11220</v>
      </c>
      <c r="BA1083" s="3" t="s">
        <v>11220</v>
      </c>
      <c r="BB1083" s="3" t="s">
        <v>11221</v>
      </c>
      <c r="BC1083" s="3" t="s">
        <v>78</v>
      </c>
      <c r="BD1083" s="3" t="s">
        <v>79</v>
      </c>
      <c r="BE1083" s="3" t="s">
        <v>11222</v>
      </c>
      <c r="BF1083" s="3" t="s">
        <v>11221</v>
      </c>
      <c r="BG1083" s="3" t="s">
        <v>11223</v>
      </c>
    </row>
    <row r="1084" spans="1:59" ht="72.5" x14ac:dyDescent="0.35">
      <c r="A1084" s="2" t="s">
        <v>59</v>
      </c>
      <c r="B1084" s="2" t="s">
        <v>94</v>
      </c>
      <c r="C1084" s="2" t="s">
        <v>11224</v>
      </c>
      <c r="D1084" s="2" t="s">
        <v>11225</v>
      </c>
      <c r="E1084" s="2" t="s">
        <v>11226</v>
      </c>
      <c r="G1084" s="3" t="s">
        <v>64</v>
      </c>
      <c r="I1084" s="3" t="s">
        <v>64</v>
      </c>
      <c r="J1084" s="3" t="s">
        <v>64</v>
      </c>
      <c r="K1084" s="3" t="s">
        <v>65</v>
      </c>
      <c r="M1084" s="2" t="s">
        <v>11227</v>
      </c>
      <c r="N1084" s="3" t="s">
        <v>473</v>
      </c>
      <c r="P1084" s="3" t="s">
        <v>69</v>
      </c>
      <c r="R1084" s="3" t="s">
        <v>9228</v>
      </c>
      <c r="S1084" s="4">
        <v>6</v>
      </c>
      <c r="T1084" s="4">
        <v>6</v>
      </c>
      <c r="U1084" s="5" t="s">
        <v>4927</v>
      </c>
      <c r="V1084" s="5" t="s">
        <v>4927</v>
      </c>
      <c r="W1084" s="5" t="s">
        <v>72</v>
      </c>
      <c r="X1084" s="5" t="s">
        <v>72</v>
      </c>
      <c r="Y1084" s="4">
        <v>189</v>
      </c>
      <c r="Z1084" s="4">
        <v>12</v>
      </c>
      <c r="AA1084" s="4">
        <v>13</v>
      </c>
      <c r="AB1084" s="4">
        <v>1</v>
      </c>
      <c r="AC1084" s="4">
        <v>2</v>
      </c>
      <c r="AD1084" s="4">
        <v>85</v>
      </c>
      <c r="AE1084" s="4">
        <v>86</v>
      </c>
      <c r="AF1084" s="4">
        <v>0</v>
      </c>
      <c r="AG1084" s="4">
        <v>1</v>
      </c>
      <c r="AH1084" s="4">
        <v>80</v>
      </c>
      <c r="AI1084" s="4">
        <v>80</v>
      </c>
      <c r="AJ1084" s="4">
        <v>10</v>
      </c>
      <c r="AK1084" s="4">
        <v>11</v>
      </c>
      <c r="AL1084" s="4">
        <v>43</v>
      </c>
      <c r="AM1084" s="4">
        <v>43</v>
      </c>
      <c r="AN1084" s="4">
        <v>0</v>
      </c>
      <c r="AO1084" s="4">
        <v>0</v>
      </c>
      <c r="AP1084" s="4">
        <v>10</v>
      </c>
      <c r="AQ1084" s="4">
        <v>11</v>
      </c>
      <c r="AR1084" s="3" t="s">
        <v>64</v>
      </c>
      <c r="AS1084" s="3" t="s">
        <v>64</v>
      </c>
      <c r="AT1084" s="3" t="s">
        <v>73</v>
      </c>
      <c r="AU1084" s="6" t="str">
        <f>HYPERLINK("http://catalog.hathitrust.org/Record/002208572","HathiTrust Record")</f>
        <v>HathiTrust Record</v>
      </c>
      <c r="AV1084" s="6" t="str">
        <f>HYPERLINK("http://mcgill.on.worldcat.org/oclc/20932925","Catalog Record")</f>
        <v>Catalog Record</v>
      </c>
      <c r="AW1084" s="6" t="str">
        <f>HYPERLINK("http://www.worldcat.org/oclc/20932925","WorldCat Record")</f>
        <v>WorldCat Record</v>
      </c>
      <c r="AX1084" s="3" t="s">
        <v>11228</v>
      </c>
      <c r="AY1084" s="3" t="s">
        <v>11229</v>
      </c>
      <c r="AZ1084" s="3" t="s">
        <v>11230</v>
      </c>
      <c r="BA1084" s="3" t="s">
        <v>11230</v>
      </c>
      <c r="BB1084" s="3" t="s">
        <v>11231</v>
      </c>
      <c r="BC1084" s="3" t="s">
        <v>78</v>
      </c>
      <c r="BD1084" s="3" t="s">
        <v>79</v>
      </c>
      <c r="BE1084" s="3" t="s">
        <v>11232</v>
      </c>
      <c r="BF1084" s="3" t="s">
        <v>11231</v>
      </c>
      <c r="BG1084" s="3" t="s">
        <v>11233</v>
      </c>
    </row>
    <row r="1085" spans="1:59" ht="58" x14ac:dyDescent="0.35">
      <c r="A1085" s="2" t="s">
        <v>59</v>
      </c>
      <c r="B1085" s="2" t="s">
        <v>94</v>
      </c>
      <c r="C1085" s="2" t="s">
        <v>11234</v>
      </c>
      <c r="D1085" s="2" t="s">
        <v>11235</v>
      </c>
      <c r="E1085" s="2" t="s">
        <v>11236</v>
      </c>
      <c r="G1085" s="3" t="s">
        <v>64</v>
      </c>
      <c r="I1085" s="3" t="s">
        <v>64</v>
      </c>
      <c r="J1085" s="3" t="s">
        <v>64</v>
      </c>
      <c r="K1085" s="3" t="s">
        <v>65</v>
      </c>
      <c r="L1085" s="2" t="s">
        <v>11237</v>
      </c>
      <c r="M1085" s="2" t="s">
        <v>11238</v>
      </c>
      <c r="N1085" s="3" t="s">
        <v>264</v>
      </c>
      <c r="P1085" s="3" t="s">
        <v>69</v>
      </c>
      <c r="Q1085" s="2" t="s">
        <v>11239</v>
      </c>
      <c r="R1085" s="3" t="s">
        <v>9228</v>
      </c>
      <c r="S1085" s="4">
        <v>4</v>
      </c>
      <c r="T1085" s="4">
        <v>4</v>
      </c>
      <c r="U1085" s="5" t="s">
        <v>11240</v>
      </c>
      <c r="V1085" s="5" t="s">
        <v>11240</v>
      </c>
      <c r="W1085" s="5" t="s">
        <v>72</v>
      </c>
      <c r="X1085" s="5" t="s">
        <v>72</v>
      </c>
      <c r="Y1085" s="4">
        <v>256</v>
      </c>
      <c r="Z1085" s="4">
        <v>18</v>
      </c>
      <c r="AA1085" s="4">
        <v>19</v>
      </c>
      <c r="AB1085" s="4">
        <v>2</v>
      </c>
      <c r="AC1085" s="4">
        <v>3</v>
      </c>
      <c r="AD1085" s="4">
        <v>86</v>
      </c>
      <c r="AE1085" s="4">
        <v>87</v>
      </c>
      <c r="AF1085" s="4">
        <v>1</v>
      </c>
      <c r="AG1085" s="4">
        <v>2</v>
      </c>
      <c r="AH1085" s="4">
        <v>80</v>
      </c>
      <c r="AI1085" s="4">
        <v>81</v>
      </c>
      <c r="AJ1085" s="4">
        <v>12</v>
      </c>
      <c r="AK1085" s="4">
        <v>13</v>
      </c>
      <c r="AL1085" s="4">
        <v>47</v>
      </c>
      <c r="AM1085" s="4">
        <v>47</v>
      </c>
      <c r="AN1085" s="4">
        <v>0</v>
      </c>
      <c r="AO1085" s="4">
        <v>0</v>
      </c>
      <c r="AP1085" s="4">
        <v>13</v>
      </c>
      <c r="AQ1085" s="4">
        <v>14</v>
      </c>
      <c r="AR1085" s="3" t="s">
        <v>64</v>
      </c>
      <c r="AS1085" s="3" t="s">
        <v>64</v>
      </c>
      <c r="AT1085" s="3" t="s">
        <v>73</v>
      </c>
      <c r="AU1085" s="6" t="str">
        <f>HYPERLINK("http://catalog.hathitrust.org/Record/000089898","HathiTrust Record")</f>
        <v>HathiTrust Record</v>
      </c>
      <c r="AV1085" s="6" t="str">
        <f>HYPERLINK("http://mcgill.on.worldcat.org/oclc/3547296","Catalog Record")</f>
        <v>Catalog Record</v>
      </c>
      <c r="AW1085" s="6" t="str">
        <f>HYPERLINK("http://www.worldcat.org/oclc/3547296","WorldCat Record")</f>
        <v>WorldCat Record</v>
      </c>
      <c r="AX1085" s="3" t="s">
        <v>11241</v>
      </c>
      <c r="AY1085" s="3" t="s">
        <v>11242</v>
      </c>
      <c r="AZ1085" s="3" t="s">
        <v>11243</v>
      </c>
      <c r="BA1085" s="3" t="s">
        <v>11243</v>
      </c>
      <c r="BB1085" s="3" t="s">
        <v>11244</v>
      </c>
      <c r="BC1085" s="3" t="s">
        <v>78</v>
      </c>
      <c r="BD1085" s="3" t="s">
        <v>79</v>
      </c>
      <c r="BE1085" s="3" t="s">
        <v>11245</v>
      </c>
      <c r="BF1085" s="3" t="s">
        <v>11244</v>
      </c>
      <c r="BG1085" s="3" t="s">
        <v>11246</v>
      </c>
    </row>
    <row r="1086" spans="1:59" ht="72.5" x14ac:dyDescent="0.35">
      <c r="A1086" s="2" t="s">
        <v>59</v>
      </c>
      <c r="B1086" s="2" t="s">
        <v>94</v>
      </c>
      <c r="C1086" s="2" t="s">
        <v>11247</v>
      </c>
      <c r="D1086" s="2" t="s">
        <v>11248</v>
      </c>
      <c r="E1086" s="2" t="s">
        <v>11249</v>
      </c>
      <c r="G1086" s="3" t="s">
        <v>64</v>
      </c>
      <c r="I1086" s="3" t="s">
        <v>64</v>
      </c>
      <c r="J1086" s="3" t="s">
        <v>64</v>
      </c>
      <c r="K1086" s="3" t="s">
        <v>65</v>
      </c>
      <c r="L1086" s="2" t="s">
        <v>11250</v>
      </c>
      <c r="M1086" s="2" t="s">
        <v>11251</v>
      </c>
      <c r="N1086" s="3" t="s">
        <v>538</v>
      </c>
      <c r="O1086" s="2" t="s">
        <v>1294</v>
      </c>
      <c r="P1086" s="3" t="s">
        <v>69</v>
      </c>
      <c r="R1086" s="3" t="s">
        <v>9228</v>
      </c>
      <c r="S1086" s="4">
        <v>3</v>
      </c>
      <c r="T1086" s="4">
        <v>3</v>
      </c>
      <c r="U1086" s="5" t="s">
        <v>5786</v>
      </c>
      <c r="V1086" s="5" t="s">
        <v>5786</v>
      </c>
      <c r="W1086" s="5" t="s">
        <v>72</v>
      </c>
      <c r="X1086" s="5" t="s">
        <v>72</v>
      </c>
      <c r="Y1086" s="4">
        <v>1112</v>
      </c>
      <c r="Z1086" s="4">
        <v>17</v>
      </c>
      <c r="AA1086" s="4">
        <v>18</v>
      </c>
      <c r="AB1086" s="4">
        <v>3</v>
      </c>
      <c r="AC1086" s="4">
        <v>4</v>
      </c>
      <c r="AD1086" s="4">
        <v>79</v>
      </c>
      <c r="AE1086" s="4">
        <v>80</v>
      </c>
      <c r="AF1086" s="4">
        <v>0</v>
      </c>
      <c r="AG1086" s="4">
        <v>0</v>
      </c>
      <c r="AH1086" s="4">
        <v>75</v>
      </c>
      <c r="AI1086" s="4">
        <v>76</v>
      </c>
      <c r="AJ1086" s="4">
        <v>6</v>
      </c>
      <c r="AK1086" s="4">
        <v>6</v>
      </c>
      <c r="AL1086" s="4">
        <v>39</v>
      </c>
      <c r="AM1086" s="4">
        <v>40</v>
      </c>
      <c r="AN1086" s="4">
        <v>0</v>
      </c>
      <c r="AO1086" s="4">
        <v>0</v>
      </c>
      <c r="AP1086" s="4">
        <v>7</v>
      </c>
      <c r="AQ1086" s="4">
        <v>7</v>
      </c>
      <c r="AR1086" s="3" t="s">
        <v>64</v>
      </c>
      <c r="AS1086" s="3" t="s">
        <v>64</v>
      </c>
      <c r="AT1086" s="3" t="s">
        <v>73</v>
      </c>
      <c r="AU1086" s="6" t="str">
        <f>HYPERLINK("http://catalog.hathitrust.org/Record/005579708","HathiTrust Record")</f>
        <v>HathiTrust Record</v>
      </c>
      <c r="AV1086" s="6" t="str">
        <f>HYPERLINK("http://mcgill.on.worldcat.org/oclc/74354090","Catalog Record")</f>
        <v>Catalog Record</v>
      </c>
      <c r="AW1086" s="6" t="str">
        <f>HYPERLINK("http://www.worldcat.org/oclc/74354090","WorldCat Record")</f>
        <v>WorldCat Record</v>
      </c>
      <c r="AX1086" s="3" t="s">
        <v>11252</v>
      </c>
      <c r="AY1086" s="3" t="s">
        <v>11253</v>
      </c>
      <c r="AZ1086" s="3" t="s">
        <v>11254</v>
      </c>
      <c r="BA1086" s="3" t="s">
        <v>11254</v>
      </c>
      <c r="BB1086" s="3" t="s">
        <v>11255</v>
      </c>
      <c r="BC1086" s="3" t="s">
        <v>78</v>
      </c>
      <c r="BD1086" s="3" t="s">
        <v>79</v>
      </c>
      <c r="BE1086" s="3" t="s">
        <v>11256</v>
      </c>
      <c r="BF1086" s="3" t="s">
        <v>11255</v>
      </c>
      <c r="BG1086" s="3" t="s">
        <v>11257</v>
      </c>
    </row>
    <row r="1087" spans="1:59" ht="58" x14ac:dyDescent="0.35">
      <c r="A1087" s="2" t="s">
        <v>59</v>
      </c>
      <c r="B1087" s="2" t="s">
        <v>94</v>
      </c>
      <c r="C1087" s="2" t="s">
        <v>11258</v>
      </c>
      <c r="D1087" s="2" t="s">
        <v>11259</v>
      </c>
      <c r="E1087" s="2" t="s">
        <v>11260</v>
      </c>
      <c r="G1087" s="3" t="s">
        <v>64</v>
      </c>
      <c r="I1087" s="3" t="s">
        <v>64</v>
      </c>
      <c r="J1087" s="3" t="s">
        <v>64</v>
      </c>
      <c r="K1087" s="3" t="s">
        <v>65</v>
      </c>
      <c r="L1087" s="2" t="s">
        <v>11261</v>
      </c>
      <c r="M1087" s="2" t="s">
        <v>9661</v>
      </c>
      <c r="N1087" s="3" t="s">
        <v>872</v>
      </c>
      <c r="P1087" s="3" t="s">
        <v>69</v>
      </c>
      <c r="R1087" s="3" t="s">
        <v>9228</v>
      </c>
      <c r="S1087" s="4">
        <v>8</v>
      </c>
      <c r="T1087" s="4">
        <v>8</v>
      </c>
      <c r="U1087" s="5" t="s">
        <v>10562</v>
      </c>
      <c r="V1087" s="5" t="s">
        <v>10562</v>
      </c>
      <c r="W1087" s="5" t="s">
        <v>72</v>
      </c>
      <c r="X1087" s="5" t="s">
        <v>72</v>
      </c>
      <c r="Y1087" s="4">
        <v>273</v>
      </c>
      <c r="Z1087" s="4">
        <v>14</v>
      </c>
      <c r="AA1087" s="4">
        <v>17</v>
      </c>
      <c r="AB1087" s="4">
        <v>1</v>
      </c>
      <c r="AC1087" s="4">
        <v>4</v>
      </c>
      <c r="AD1087" s="4">
        <v>89</v>
      </c>
      <c r="AE1087" s="4">
        <v>93</v>
      </c>
      <c r="AF1087" s="4">
        <v>0</v>
      </c>
      <c r="AG1087" s="4">
        <v>3</v>
      </c>
      <c r="AH1087" s="4">
        <v>82</v>
      </c>
      <c r="AI1087" s="4">
        <v>84</v>
      </c>
      <c r="AJ1087" s="4">
        <v>12</v>
      </c>
      <c r="AK1087" s="4">
        <v>15</v>
      </c>
      <c r="AL1087" s="4">
        <v>49</v>
      </c>
      <c r="AM1087" s="4">
        <v>50</v>
      </c>
      <c r="AN1087" s="4">
        <v>0</v>
      </c>
      <c r="AO1087" s="4">
        <v>0</v>
      </c>
      <c r="AP1087" s="4">
        <v>12</v>
      </c>
      <c r="AQ1087" s="4">
        <v>14</v>
      </c>
      <c r="AR1087" s="3" t="s">
        <v>64</v>
      </c>
      <c r="AS1087" s="3" t="s">
        <v>64</v>
      </c>
      <c r="AT1087" s="3" t="s">
        <v>64</v>
      </c>
      <c r="AV1087" s="6" t="str">
        <f>HYPERLINK("http://mcgill.on.worldcat.org/oclc/20090314","Catalog Record")</f>
        <v>Catalog Record</v>
      </c>
      <c r="AW1087" s="6" t="str">
        <f>HYPERLINK("http://www.worldcat.org/oclc/20090314","WorldCat Record")</f>
        <v>WorldCat Record</v>
      </c>
      <c r="AX1087" s="3" t="s">
        <v>11262</v>
      </c>
      <c r="AY1087" s="3" t="s">
        <v>11263</v>
      </c>
      <c r="AZ1087" s="3" t="s">
        <v>11264</v>
      </c>
      <c r="BA1087" s="3" t="s">
        <v>11264</v>
      </c>
      <c r="BB1087" s="3" t="s">
        <v>11265</v>
      </c>
      <c r="BC1087" s="3" t="s">
        <v>78</v>
      </c>
      <c r="BD1087" s="3" t="s">
        <v>79</v>
      </c>
      <c r="BE1087" s="3" t="s">
        <v>11266</v>
      </c>
      <c r="BF1087" s="3" t="s">
        <v>11265</v>
      </c>
      <c r="BG1087" s="3" t="s">
        <v>11267</v>
      </c>
    </row>
    <row r="1088" spans="1:59" ht="58" x14ac:dyDescent="0.35">
      <c r="A1088" s="2" t="s">
        <v>59</v>
      </c>
      <c r="B1088" s="2" t="s">
        <v>94</v>
      </c>
      <c r="C1088" s="2" t="s">
        <v>11268</v>
      </c>
      <c r="D1088" s="2" t="s">
        <v>11269</v>
      </c>
      <c r="E1088" s="2" t="s">
        <v>11270</v>
      </c>
      <c r="G1088" s="3" t="s">
        <v>64</v>
      </c>
      <c r="I1088" s="3" t="s">
        <v>64</v>
      </c>
      <c r="J1088" s="3" t="s">
        <v>64</v>
      </c>
      <c r="K1088" s="3" t="s">
        <v>65</v>
      </c>
      <c r="M1088" s="2" t="s">
        <v>11271</v>
      </c>
      <c r="N1088" s="3" t="s">
        <v>473</v>
      </c>
      <c r="P1088" s="3" t="s">
        <v>69</v>
      </c>
      <c r="Q1088" s="2" t="s">
        <v>11272</v>
      </c>
      <c r="R1088" s="3" t="s">
        <v>9228</v>
      </c>
      <c r="S1088" s="4">
        <v>7</v>
      </c>
      <c r="T1088" s="4">
        <v>7</v>
      </c>
      <c r="U1088" s="5" t="s">
        <v>11273</v>
      </c>
      <c r="V1088" s="5" t="s">
        <v>11273</v>
      </c>
      <c r="W1088" s="5" t="s">
        <v>72</v>
      </c>
      <c r="X1088" s="5" t="s">
        <v>72</v>
      </c>
      <c r="Y1088" s="4">
        <v>300</v>
      </c>
      <c r="Z1088" s="4">
        <v>16</v>
      </c>
      <c r="AA1088" s="4">
        <v>18</v>
      </c>
      <c r="AB1088" s="4">
        <v>1</v>
      </c>
      <c r="AC1088" s="4">
        <v>3</v>
      </c>
      <c r="AD1088" s="4">
        <v>99</v>
      </c>
      <c r="AE1088" s="4">
        <v>101</v>
      </c>
      <c r="AF1088" s="4">
        <v>0</v>
      </c>
      <c r="AG1088" s="4">
        <v>2</v>
      </c>
      <c r="AH1088" s="4">
        <v>90</v>
      </c>
      <c r="AI1088" s="4">
        <v>90</v>
      </c>
      <c r="AJ1088" s="4">
        <v>12</v>
      </c>
      <c r="AK1088" s="4">
        <v>14</v>
      </c>
      <c r="AL1088" s="4">
        <v>55</v>
      </c>
      <c r="AM1088" s="4">
        <v>55</v>
      </c>
      <c r="AN1088" s="4">
        <v>5</v>
      </c>
      <c r="AO1088" s="4">
        <v>5</v>
      </c>
      <c r="AP1088" s="4">
        <v>13</v>
      </c>
      <c r="AQ1088" s="4">
        <v>14</v>
      </c>
      <c r="AR1088" s="3" t="s">
        <v>64</v>
      </c>
      <c r="AS1088" s="3" t="s">
        <v>64</v>
      </c>
      <c r="AT1088" s="3" t="s">
        <v>73</v>
      </c>
      <c r="AU1088" s="6" t="str">
        <f>HYPERLINK("http://catalog.hathitrust.org/Record/002236869","HathiTrust Record")</f>
        <v>HathiTrust Record</v>
      </c>
      <c r="AV1088" s="6" t="str">
        <f>HYPERLINK("http://mcgill.on.worldcat.org/oclc/25247824","Catalog Record")</f>
        <v>Catalog Record</v>
      </c>
      <c r="AW1088" s="6" t="str">
        <f>HYPERLINK("http://www.worldcat.org/oclc/25247824","WorldCat Record")</f>
        <v>WorldCat Record</v>
      </c>
      <c r="AX1088" s="3" t="s">
        <v>11274</v>
      </c>
      <c r="AY1088" s="3" t="s">
        <v>11275</v>
      </c>
      <c r="AZ1088" s="3" t="s">
        <v>11276</v>
      </c>
      <c r="BA1088" s="3" t="s">
        <v>11276</v>
      </c>
      <c r="BB1088" s="3" t="s">
        <v>11277</v>
      </c>
      <c r="BC1088" s="3" t="s">
        <v>78</v>
      </c>
      <c r="BD1088" s="3" t="s">
        <v>79</v>
      </c>
      <c r="BE1088" s="3" t="s">
        <v>11278</v>
      </c>
      <c r="BF1088" s="3" t="s">
        <v>11277</v>
      </c>
      <c r="BG1088" s="3" t="s">
        <v>11279</v>
      </c>
    </row>
    <row r="1089" spans="1:59" ht="58" x14ac:dyDescent="0.35">
      <c r="A1089" s="2" t="s">
        <v>59</v>
      </c>
      <c r="B1089" s="2" t="s">
        <v>94</v>
      </c>
      <c r="C1089" s="2" t="s">
        <v>11280</v>
      </c>
      <c r="D1089" s="2" t="s">
        <v>11281</v>
      </c>
      <c r="E1089" s="2" t="s">
        <v>11282</v>
      </c>
      <c r="G1089" s="3" t="s">
        <v>64</v>
      </c>
      <c r="I1089" s="3" t="s">
        <v>64</v>
      </c>
      <c r="J1089" s="3" t="s">
        <v>64</v>
      </c>
      <c r="K1089" s="3" t="s">
        <v>65</v>
      </c>
      <c r="L1089" s="2" t="s">
        <v>11283</v>
      </c>
      <c r="M1089" s="2" t="s">
        <v>11284</v>
      </c>
      <c r="N1089" s="3" t="s">
        <v>449</v>
      </c>
      <c r="P1089" s="3" t="s">
        <v>69</v>
      </c>
      <c r="Q1089" s="2" t="s">
        <v>1996</v>
      </c>
      <c r="R1089" s="3" t="s">
        <v>9228</v>
      </c>
      <c r="S1089" s="4">
        <v>7</v>
      </c>
      <c r="T1089" s="4">
        <v>7</v>
      </c>
      <c r="U1089" s="5" t="s">
        <v>5645</v>
      </c>
      <c r="V1089" s="5" t="s">
        <v>5645</v>
      </c>
      <c r="W1089" s="5" t="s">
        <v>72</v>
      </c>
      <c r="X1089" s="5" t="s">
        <v>72</v>
      </c>
      <c r="Y1089" s="4">
        <v>389</v>
      </c>
      <c r="Z1089" s="4">
        <v>16</v>
      </c>
      <c r="AA1089" s="4">
        <v>16</v>
      </c>
      <c r="AB1089" s="4">
        <v>1</v>
      </c>
      <c r="AC1089" s="4">
        <v>1</v>
      </c>
      <c r="AD1089" s="4">
        <v>80</v>
      </c>
      <c r="AE1089" s="4">
        <v>80</v>
      </c>
      <c r="AF1089" s="4">
        <v>0</v>
      </c>
      <c r="AG1089" s="4">
        <v>0</v>
      </c>
      <c r="AH1089" s="4">
        <v>73</v>
      </c>
      <c r="AI1089" s="4">
        <v>73</v>
      </c>
      <c r="AJ1089" s="4">
        <v>7</v>
      </c>
      <c r="AK1089" s="4">
        <v>7</v>
      </c>
      <c r="AL1089" s="4">
        <v>42</v>
      </c>
      <c r="AM1089" s="4">
        <v>42</v>
      </c>
      <c r="AN1089" s="4">
        <v>0</v>
      </c>
      <c r="AO1089" s="4">
        <v>0</v>
      </c>
      <c r="AP1089" s="4">
        <v>9</v>
      </c>
      <c r="AQ1089" s="4">
        <v>9</v>
      </c>
      <c r="AR1089" s="3" t="s">
        <v>64</v>
      </c>
      <c r="AS1089" s="3" t="s">
        <v>64</v>
      </c>
      <c r="AT1089" s="3" t="s">
        <v>64</v>
      </c>
      <c r="AV1089" s="6" t="str">
        <f>HYPERLINK("http://mcgill.on.worldcat.org/oclc/180756981","Catalog Record")</f>
        <v>Catalog Record</v>
      </c>
      <c r="AW1089" s="6" t="str">
        <f>HYPERLINK("http://www.worldcat.org/oclc/180756981","WorldCat Record")</f>
        <v>WorldCat Record</v>
      </c>
      <c r="AX1089" s="3" t="s">
        <v>11285</v>
      </c>
      <c r="AY1089" s="3" t="s">
        <v>11286</v>
      </c>
      <c r="AZ1089" s="3" t="s">
        <v>11287</v>
      </c>
      <c r="BA1089" s="3" t="s">
        <v>11287</v>
      </c>
      <c r="BB1089" s="3" t="s">
        <v>11288</v>
      </c>
      <c r="BC1089" s="3" t="s">
        <v>78</v>
      </c>
      <c r="BD1089" s="3" t="s">
        <v>414</v>
      </c>
      <c r="BE1089" s="3" t="s">
        <v>11289</v>
      </c>
      <c r="BF1089" s="3" t="s">
        <v>11288</v>
      </c>
      <c r="BG1089" s="3" t="s">
        <v>11290</v>
      </c>
    </row>
    <row r="1090" spans="1:59" ht="58" x14ac:dyDescent="0.35">
      <c r="A1090" s="2" t="s">
        <v>59</v>
      </c>
      <c r="B1090" s="2" t="s">
        <v>94</v>
      </c>
      <c r="C1090" s="2" t="s">
        <v>11291</v>
      </c>
      <c r="D1090" s="2" t="s">
        <v>11292</v>
      </c>
      <c r="E1090" s="2" t="s">
        <v>11293</v>
      </c>
      <c r="G1090" s="3" t="s">
        <v>64</v>
      </c>
      <c r="I1090" s="3" t="s">
        <v>64</v>
      </c>
      <c r="J1090" s="3" t="s">
        <v>64</v>
      </c>
      <c r="K1090" s="3" t="s">
        <v>65</v>
      </c>
      <c r="L1090" s="2" t="s">
        <v>11294</v>
      </c>
      <c r="M1090" s="2" t="s">
        <v>11295</v>
      </c>
      <c r="N1090" s="3" t="s">
        <v>315</v>
      </c>
      <c r="P1090" s="3" t="s">
        <v>69</v>
      </c>
      <c r="Q1090" s="2" t="s">
        <v>11296</v>
      </c>
      <c r="R1090" s="3" t="s">
        <v>9228</v>
      </c>
      <c r="S1090" s="4">
        <v>3</v>
      </c>
      <c r="T1090" s="4">
        <v>3</v>
      </c>
      <c r="U1090" s="5" t="s">
        <v>8700</v>
      </c>
      <c r="V1090" s="5" t="s">
        <v>8700</v>
      </c>
      <c r="W1090" s="5" t="s">
        <v>72</v>
      </c>
      <c r="X1090" s="5" t="s">
        <v>72</v>
      </c>
      <c r="Y1090" s="4">
        <v>295</v>
      </c>
      <c r="Z1090" s="4">
        <v>12</v>
      </c>
      <c r="AA1090" s="4">
        <v>19</v>
      </c>
      <c r="AB1090" s="4">
        <v>2</v>
      </c>
      <c r="AC1090" s="4">
        <v>5</v>
      </c>
      <c r="AD1090" s="4">
        <v>90</v>
      </c>
      <c r="AE1090" s="4">
        <v>102</v>
      </c>
      <c r="AF1090" s="4">
        <v>0</v>
      </c>
      <c r="AG1090" s="4">
        <v>0</v>
      </c>
      <c r="AH1090" s="4">
        <v>85</v>
      </c>
      <c r="AI1090" s="4">
        <v>95</v>
      </c>
      <c r="AJ1090" s="4">
        <v>8</v>
      </c>
      <c r="AK1090" s="4">
        <v>12</v>
      </c>
      <c r="AL1090" s="4">
        <v>48</v>
      </c>
      <c r="AM1090" s="4">
        <v>51</v>
      </c>
      <c r="AN1090" s="4">
        <v>0</v>
      </c>
      <c r="AO1090" s="4">
        <v>0</v>
      </c>
      <c r="AP1090" s="4">
        <v>9</v>
      </c>
      <c r="AQ1090" s="4">
        <v>13</v>
      </c>
      <c r="AR1090" s="3" t="s">
        <v>64</v>
      </c>
      <c r="AS1090" s="3" t="s">
        <v>64</v>
      </c>
      <c r="AT1090" s="3" t="s">
        <v>73</v>
      </c>
      <c r="AU1090" s="6" t="str">
        <f>HYPERLINK("http://catalog.hathitrust.org/Record/000595373","HathiTrust Record")</f>
        <v>HathiTrust Record</v>
      </c>
      <c r="AV1090" s="6" t="str">
        <f>HYPERLINK("http://mcgill.on.worldcat.org/oclc/14212730","Catalog Record")</f>
        <v>Catalog Record</v>
      </c>
      <c r="AW1090" s="6" t="str">
        <f>HYPERLINK("http://www.worldcat.org/oclc/14212730","WorldCat Record")</f>
        <v>WorldCat Record</v>
      </c>
      <c r="AX1090" s="3" t="s">
        <v>11297</v>
      </c>
      <c r="AY1090" s="3" t="s">
        <v>11298</v>
      </c>
      <c r="AZ1090" s="3" t="s">
        <v>11299</v>
      </c>
      <c r="BA1090" s="3" t="s">
        <v>11299</v>
      </c>
      <c r="BB1090" s="3" t="s">
        <v>11300</v>
      </c>
      <c r="BC1090" s="3" t="s">
        <v>78</v>
      </c>
      <c r="BD1090" s="3" t="s">
        <v>79</v>
      </c>
      <c r="BE1090" s="3" t="s">
        <v>11301</v>
      </c>
      <c r="BF1090" s="3" t="s">
        <v>11300</v>
      </c>
      <c r="BG1090" s="3" t="s">
        <v>11302</v>
      </c>
    </row>
    <row r="1091" spans="1:59" ht="116" x14ac:dyDescent="0.35">
      <c r="A1091" s="2" t="s">
        <v>59</v>
      </c>
      <c r="B1091" s="2" t="s">
        <v>3778</v>
      </c>
      <c r="C1091" s="2" t="s">
        <v>11303</v>
      </c>
      <c r="D1091" s="2" t="s">
        <v>11304</v>
      </c>
      <c r="E1091" s="2" t="s">
        <v>11305</v>
      </c>
      <c r="G1091" s="3" t="s">
        <v>64</v>
      </c>
      <c r="I1091" s="3" t="s">
        <v>64</v>
      </c>
      <c r="J1091" s="3" t="s">
        <v>64</v>
      </c>
      <c r="K1091" s="3" t="s">
        <v>65</v>
      </c>
      <c r="L1091" s="2" t="s">
        <v>11306</v>
      </c>
      <c r="M1091" s="2" t="s">
        <v>11307</v>
      </c>
      <c r="N1091" s="3" t="s">
        <v>214</v>
      </c>
      <c r="P1091" s="3" t="s">
        <v>9045</v>
      </c>
      <c r="R1091" s="3" t="s">
        <v>9228</v>
      </c>
      <c r="S1091" s="4">
        <v>0</v>
      </c>
      <c r="T1091" s="4">
        <v>0</v>
      </c>
      <c r="W1091" s="5" t="s">
        <v>72</v>
      </c>
      <c r="X1091" s="5" t="s">
        <v>72</v>
      </c>
      <c r="Y1091" s="4">
        <v>19</v>
      </c>
      <c r="Z1091" s="4">
        <v>4</v>
      </c>
      <c r="AA1091" s="4">
        <v>4</v>
      </c>
      <c r="AB1091" s="4">
        <v>1</v>
      </c>
      <c r="AC1091" s="4">
        <v>1</v>
      </c>
      <c r="AD1091" s="4">
        <v>14</v>
      </c>
      <c r="AE1091" s="4">
        <v>16</v>
      </c>
      <c r="AF1091" s="4">
        <v>0</v>
      </c>
      <c r="AG1091" s="4">
        <v>0</v>
      </c>
      <c r="AH1091" s="4">
        <v>13</v>
      </c>
      <c r="AI1091" s="4">
        <v>15</v>
      </c>
      <c r="AJ1091" s="4">
        <v>2</v>
      </c>
      <c r="AK1091" s="4">
        <v>2</v>
      </c>
      <c r="AL1091" s="4">
        <v>9</v>
      </c>
      <c r="AM1091" s="4">
        <v>11</v>
      </c>
      <c r="AN1091" s="4">
        <v>0</v>
      </c>
      <c r="AO1091" s="4">
        <v>0</v>
      </c>
      <c r="AP1091" s="4">
        <v>2</v>
      </c>
      <c r="AQ1091" s="4">
        <v>2</v>
      </c>
      <c r="AR1091" s="3" t="s">
        <v>64</v>
      </c>
      <c r="AS1091" s="3" t="s">
        <v>64</v>
      </c>
      <c r="AT1091" s="3" t="s">
        <v>64</v>
      </c>
      <c r="AV1091" s="6" t="str">
        <f>HYPERLINK("http://mcgill.on.worldcat.org/oclc/704371319","Catalog Record")</f>
        <v>Catalog Record</v>
      </c>
      <c r="AW1091" s="6" t="str">
        <f>HYPERLINK("http://www.worldcat.org/oclc/704371319","WorldCat Record")</f>
        <v>WorldCat Record</v>
      </c>
      <c r="AX1091" s="3" t="s">
        <v>11308</v>
      </c>
      <c r="AY1091" s="3" t="s">
        <v>11309</v>
      </c>
      <c r="AZ1091" s="3" t="s">
        <v>11310</v>
      </c>
      <c r="BA1091" s="3" t="s">
        <v>11310</v>
      </c>
      <c r="BB1091" s="3" t="s">
        <v>11311</v>
      </c>
      <c r="BC1091" s="3" t="s">
        <v>78</v>
      </c>
      <c r="BD1091" s="3" t="s">
        <v>79</v>
      </c>
      <c r="BE1091" s="3" t="s">
        <v>11312</v>
      </c>
      <c r="BF1091" s="3" t="s">
        <v>11311</v>
      </c>
      <c r="BG1091" s="3" t="s">
        <v>11313</v>
      </c>
    </row>
    <row r="1092" spans="1:59" ht="58" x14ac:dyDescent="0.35">
      <c r="A1092" s="2" t="s">
        <v>59</v>
      </c>
      <c r="B1092" s="2" t="s">
        <v>94</v>
      </c>
      <c r="C1092" s="2" t="s">
        <v>11314</v>
      </c>
      <c r="D1092" s="2" t="s">
        <v>11315</v>
      </c>
      <c r="E1092" s="2" t="s">
        <v>11316</v>
      </c>
      <c r="G1092" s="3" t="s">
        <v>64</v>
      </c>
      <c r="I1092" s="3" t="s">
        <v>64</v>
      </c>
      <c r="J1092" s="3" t="s">
        <v>64</v>
      </c>
      <c r="K1092" s="3" t="s">
        <v>65</v>
      </c>
      <c r="L1092" s="2" t="s">
        <v>11317</v>
      </c>
      <c r="M1092" s="2" t="s">
        <v>11318</v>
      </c>
      <c r="N1092" s="3" t="s">
        <v>214</v>
      </c>
      <c r="P1092" s="3" t="s">
        <v>69</v>
      </c>
      <c r="Q1092" s="2" t="s">
        <v>1996</v>
      </c>
      <c r="R1092" s="3" t="s">
        <v>9228</v>
      </c>
      <c r="S1092" s="4">
        <v>0</v>
      </c>
      <c r="T1092" s="4">
        <v>0</v>
      </c>
      <c r="W1092" s="5" t="s">
        <v>72</v>
      </c>
      <c r="X1092" s="5" t="s">
        <v>72</v>
      </c>
      <c r="Y1092" s="4">
        <v>183</v>
      </c>
      <c r="Z1092" s="4">
        <v>7</v>
      </c>
      <c r="AA1092" s="4">
        <v>7</v>
      </c>
      <c r="AB1092" s="4">
        <v>1</v>
      </c>
      <c r="AC1092" s="4">
        <v>1</v>
      </c>
      <c r="AD1092" s="4">
        <v>62</v>
      </c>
      <c r="AE1092" s="4">
        <v>62</v>
      </c>
      <c r="AF1092" s="4">
        <v>0</v>
      </c>
      <c r="AG1092" s="4">
        <v>0</v>
      </c>
      <c r="AH1092" s="4">
        <v>59</v>
      </c>
      <c r="AI1092" s="4">
        <v>59</v>
      </c>
      <c r="AJ1092" s="4">
        <v>5</v>
      </c>
      <c r="AK1092" s="4">
        <v>5</v>
      </c>
      <c r="AL1092" s="4">
        <v>35</v>
      </c>
      <c r="AM1092" s="4">
        <v>35</v>
      </c>
      <c r="AN1092" s="4">
        <v>0</v>
      </c>
      <c r="AO1092" s="4">
        <v>0</v>
      </c>
      <c r="AP1092" s="4">
        <v>5</v>
      </c>
      <c r="AQ1092" s="4">
        <v>5</v>
      </c>
      <c r="AR1092" s="3" t="s">
        <v>64</v>
      </c>
      <c r="AS1092" s="3" t="s">
        <v>64</v>
      </c>
      <c r="AT1092" s="3" t="s">
        <v>64</v>
      </c>
      <c r="AV1092" s="6" t="str">
        <f>HYPERLINK("http://mcgill.on.worldcat.org/oclc/461324087","Catalog Record")</f>
        <v>Catalog Record</v>
      </c>
      <c r="AW1092" s="6" t="str">
        <f>HYPERLINK("http://www.worldcat.org/oclc/461324087","WorldCat Record")</f>
        <v>WorldCat Record</v>
      </c>
      <c r="AX1092" s="3" t="s">
        <v>11319</v>
      </c>
      <c r="AY1092" s="3" t="s">
        <v>11320</v>
      </c>
      <c r="AZ1092" s="3" t="s">
        <v>11321</v>
      </c>
      <c r="BA1092" s="3" t="s">
        <v>11321</v>
      </c>
      <c r="BB1092" s="3" t="s">
        <v>11322</v>
      </c>
      <c r="BC1092" s="3" t="s">
        <v>78</v>
      </c>
      <c r="BD1092" s="3" t="s">
        <v>79</v>
      </c>
      <c r="BE1092" s="3" t="s">
        <v>11323</v>
      </c>
      <c r="BF1092" s="3" t="s">
        <v>11322</v>
      </c>
      <c r="BG1092" s="3" t="s">
        <v>11324</v>
      </c>
    </row>
    <row r="1093" spans="1:59" ht="58" x14ac:dyDescent="0.35">
      <c r="A1093" s="2" t="s">
        <v>59</v>
      </c>
      <c r="B1093" s="2" t="s">
        <v>94</v>
      </c>
      <c r="C1093" s="2" t="s">
        <v>11325</v>
      </c>
      <c r="D1093" s="2" t="s">
        <v>11326</v>
      </c>
      <c r="E1093" s="2" t="s">
        <v>11327</v>
      </c>
      <c r="G1093" s="3" t="s">
        <v>64</v>
      </c>
      <c r="I1093" s="3" t="s">
        <v>64</v>
      </c>
      <c r="J1093" s="3" t="s">
        <v>64</v>
      </c>
      <c r="K1093" s="3" t="s">
        <v>65</v>
      </c>
      <c r="L1093" s="2" t="s">
        <v>11328</v>
      </c>
      <c r="M1093" s="2" t="s">
        <v>4682</v>
      </c>
      <c r="N1093" s="3" t="s">
        <v>538</v>
      </c>
      <c r="P1093" s="3" t="s">
        <v>69</v>
      </c>
      <c r="R1093" s="3" t="s">
        <v>9228</v>
      </c>
      <c r="S1093" s="4">
        <v>12</v>
      </c>
      <c r="T1093" s="4">
        <v>12</v>
      </c>
      <c r="U1093" s="5" t="s">
        <v>2687</v>
      </c>
      <c r="V1093" s="5" t="s">
        <v>2687</v>
      </c>
      <c r="W1093" s="5" t="s">
        <v>72</v>
      </c>
      <c r="X1093" s="5" t="s">
        <v>72</v>
      </c>
      <c r="Y1093" s="4">
        <v>240</v>
      </c>
      <c r="Z1093" s="4">
        <v>11</v>
      </c>
      <c r="AA1093" s="4">
        <v>29</v>
      </c>
      <c r="AB1093" s="4">
        <v>1</v>
      </c>
      <c r="AC1093" s="4">
        <v>5</v>
      </c>
      <c r="AD1093" s="4">
        <v>76</v>
      </c>
      <c r="AE1093" s="4">
        <v>97</v>
      </c>
      <c r="AF1093" s="4">
        <v>0</v>
      </c>
      <c r="AG1093" s="4">
        <v>1</v>
      </c>
      <c r="AH1093" s="4">
        <v>71</v>
      </c>
      <c r="AI1093" s="4">
        <v>85</v>
      </c>
      <c r="AJ1093" s="4">
        <v>5</v>
      </c>
      <c r="AK1093" s="4">
        <v>10</v>
      </c>
      <c r="AL1093" s="4">
        <v>41</v>
      </c>
      <c r="AM1093" s="4">
        <v>43</v>
      </c>
      <c r="AN1093" s="4">
        <v>0</v>
      </c>
      <c r="AO1093" s="4">
        <v>0</v>
      </c>
      <c r="AP1093" s="4">
        <v>8</v>
      </c>
      <c r="AQ1093" s="4">
        <v>16</v>
      </c>
      <c r="AR1093" s="3" t="s">
        <v>64</v>
      </c>
      <c r="AS1093" s="3" t="s">
        <v>64</v>
      </c>
      <c r="AT1093" s="3" t="s">
        <v>64</v>
      </c>
      <c r="AV1093" s="6" t="str">
        <f>HYPERLINK("http://mcgill.on.worldcat.org/oclc/68693981","Catalog Record")</f>
        <v>Catalog Record</v>
      </c>
      <c r="AW1093" s="6" t="str">
        <f>HYPERLINK("http://www.worldcat.org/oclc/68693981","WorldCat Record")</f>
        <v>WorldCat Record</v>
      </c>
      <c r="AX1093" s="3" t="s">
        <v>11329</v>
      </c>
      <c r="AY1093" s="3" t="s">
        <v>11330</v>
      </c>
      <c r="AZ1093" s="3" t="s">
        <v>11331</v>
      </c>
      <c r="BA1093" s="3" t="s">
        <v>11331</v>
      </c>
      <c r="BB1093" s="3" t="s">
        <v>11332</v>
      </c>
      <c r="BC1093" s="3" t="s">
        <v>78</v>
      </c>
      <c r="BD1093" s="3" t="s">
        <v>79</v>
      </c>
      <c r="BE1093" s="3" t="s">
        <v>11333</v>
      </c>
      <c r="BF1093" s="3" t="s">
        <v>11332</v>
      </c>
      <c r="BG1093" s="3" t="s">
        <v>11334</v>
      </c>
    </row>
    <row r="1094" spans="1:59" ht="116" x14ac:dyDescent="0.35">
      <c r="A1094" s="2" t="s">
        <v>59</v>
      </c>
      <c r="B1094" s="2" t="s">
        <v>3778</v>
      </c>
      <c r="C1094" s="2" t="s">
        <v>11335</v>
      </c>
      <c r="D1094" s="2" t="s">
        <v>11336</v>
      </c>
      <c r="E1094" s="2" t="s">
        <v>11337</v>
      </c>
      <c r="G1094" s="3" t="s">
        <v>64</v>
      </c>
      <c r="I1094" s="3" t="s">
        <v>64</v>
      </c>
      <c r="J1094" s="3" t="s">
        <v>64</v>
      </c>
      <c r="K1094" s="3" t="s">
        <v>65</v>
      </c>
      <c r="L1094" s="2" t="s">
        <v>11338</v>
      </c>
      <c r="M1094" s="2" t="s">
        <v>11339</v>
      </c>
      <c r="N1094" s="3" t="s">
        <v>214</v>
      </c>
      <c r="P1094" s="3" t="s">
        <v>9045</v>
      </c>
      <c r="R1094" s="3" t="s">
        <v>9228</v>
      </c>
      <c r="S1094" s="4">
        <v>1</v>
      </c>
      <c r="T1094" s="4">
        <v>1</v>
      </c>
      <c r="U1094" s="5" t="s">
        <v>5049</v>
      </c>
      <c r="V1094" s="5" t="s">
        <v>5049</v>
      </c>
      <c r="W1094" s="5" t="s">
        <v>72</v>
      </c>
      <c r="X1094" s="5" t="s">
        <v>72</v>
      </c>
      <c r="Y1094" s="4">
        <v>20</v>
      </c>
      <c r="Z1094" s="4">
        <v>4</v>
      </c>
      <c r="AA1094" s="4">
        <v>4</v>
      </c>
      <c r="AB1094" s="4">
        <v>1</v>
      </c>
      <c r="AC1094" s="4">
        <v>1</v>
      </c>
      <c r="AD1094" s="4">
        <v>13</v>
      </c>
      <c r="AE1094" s="4">
        <v>13</v>
      </c>
      <c r="AF1094" s="4">
        <v>0</v>
      </c>
      <c r="AG1094" s="4">
        <v>0</v>
      </c>
      <c r="AH1094" s="4">
        <v>12</v>
      </c>
      <c r="AI1094" s="4">
        <v>12</v>
      </c>
      <c r="AJ1094" s="4">
        <v>2</v>
      </c>
      <c r="AK1094" s="4">
        <v>2</v>
      </c>
      <c r="AL1094" s="4">
        <v>8</v>
      </c>
      <c r="AM1094" s="4">
        <v>8</v>
      </c>
      <c r="AN1094" s="4">
        <v>0</v>
      </c>
      <c r="AO1094" s="4">
        <v>0</v>
      </c>
      <c r="AP1094" s="4">
        <v>2</v>
      </c>
      <c r="AQ1094" s="4">
        <v>2</v>
      </c>
      <c r="AR1094" s="3" t="s">
        <v>64</v>
      </c>
      <c r="AS1094" s="3" t="s">
        <v>64</v>
      </c>
      <c r="AT1094" s="3" t="s">
        <v>64</v>
      </c>
      <c r="AV1094" s="6" t="str">
        <f>HYPERLINK("http://mcgill.on.worldcat.org/oclc/606746630","Catalog Record")</f>
        <v>Catalog Record</v>
      </c>
      <c r="AW1094" s="6" t="str">
        <f>HYPERLINK("http://www.worldcat.org/oclc/606746630","WorldCat Record")</f>
        <v>WorldCat Record</v>
      </c>
      <c r="AX1094" s="3" t="s">
        <v>11340</v>
      </c>
      <c r="AY1094" s="3" t="s">
        <v>11341</v>
      </c>
      <c r="AZ1094" s="3" t="s">
        <v>11342</v>
      </c>
      <c r="BA1094" s="3" t="s">
        <v>11342</v>
      </c>
      <c r="BB1094" s="3" t="s">
        <v>11343</v>
      </c>
      <c r="BC1094" s="3" t="s">
        <v>78</v>
      </c>
      <c r="BD1094" s="3" t="s">
        <v>79</v>
      </c>
      <c r="BE1094" s="3" t="s">
        <v>11344</v>
      </c>
      <c r="BF1094" s="3" t="s">
        <v>11343</v>
      </c>
      <c r="BG1094" s="3" t="s">
        <v>11345</v>
      </c>
    </row>
    <row r="1095" spans="1:59" ht="58" x14ac:dyDescent="0.35">
      <c r="A1095" s="2" t="s">
        <v>59</v>
      </c>
      <c r="B1095" s="2" t="s">
        <v>94</v>
      </c>
      <c r="C1095" s="2" t="s">
        <v>11346</v>
      </c>
      <c r="D1095" s="2" t="s">
        <v>11347</v>
      </c>
      <c r="E1095" s="2" t="s">
        <v>11348</v>
      </c>
      <c r="G1095" s="3" t="s">
        <v>64</v>
      </c>
      <c r="I1095" s="3" t="s">
        <v>64</v>
      </c>
      <c r="J1095" s="3" t="s">
        <v>64</v>
      </c>
      <c r="K1095" s="3" t="s">
        <v>65</v>
      </c>
      <c r="L1095" s="2" t="s">
        <v>11349</v>
      </c>
      <c r="M1095" s="2" t="s">
        <v>5100</v>
      </c>
      <c r="N1095" s="3" t="s">
        <v>328</v>
      </c>
      <c r="P1095" s="3" t="s">
        <v>69</v>
      </c>
      <c r="Q1095" s="2" t="s">
        <v>11350</v>
      </c>
      <c r="R1095" s="3" t="s">
        <v>9228</v>
      </c>
      <c r="S1095" s="4">
        <v>0</v>
      </c>
      <c r="T1095" s="4">
        <v>0</v>
      </c>
      <c r="W1095" s="5" t="s">
        <v>72</v>
      </c>
      <c r="X1095" s="5" t="s">
        <v>72</v>
      </c>
      <c r="Y1095" s="4">
        <v>62</v>
      </c>
      <c r="Z1095" s="4">
        <v>4</v>
      </c>
      <c r="AA1095" s="4">
        <v>4</v>
      </c>
      <c r="AB1095" s="4">
        <v>1</v>
      </c>
      <c r="AC1095" s="4">
        <v>1</v>
      </c>
      <c r="AD1095" s="4">
        <v>36</v>
      </c>
      <c r="AE1095" s="4">
        <v>38</v>
      </c>
      <c r="AF1095" s="4">
        <v>0</v>
      </c>
      <c r="AG1095" s="4">
        <v>0</v>
      </c>
      <c r="AH1095" s="4">
        <v>35</v>
      </c>
      <c r="AI1095" s="4">
        <v>37</v>
      </c>
      <c r="AJ1095" s="4">
        <v>2</v>
      </c>
      <c r="AK1095" s="4">
        <v>2</v>
      </c>
      <c r="AL1095" s="4">
        <v>22</v>
      </c>
      <c r="AM1095" s="4">
        <v>23</v>
      </c>
      <c r="AN1095" s="4">
        <v>0</v>
      </c>
      <c r="AO1095" s="4">
        <v>0</v>
      </c>
      <c r="AP1095" s="4">
        <v>2</v>
      </c>
      <c r="AQ1095" s="4">
        <v>2</v>
      </c>
      <c r="AR1095" s="3" t="s">
        <v>64</v>
      </c>
      <c r="AS1095" s="3" t="s">
        <v>64</v>
      </c>
      <c r="AT1095" s="3" t="s">
        <v>64</v>
      </c>
      <c r="AV1095" s="6" t="str">
        <f>HYPERLINK("http://mcgill.on.worldcat.org/oclc/765410045","Catalog Record")</f>
        <v>Catalog Record</v>
      </c>
      <c r="AW1095" s="6" t="str">
        <f>HYPERLINK("http://www.worldcat.org/oclc/765410045","WorldCat Record")</f>
        <v>WorldCat Record</v>
      </c>
      <c r="AX1095" s="3" t="s">
        <v>11351</v>
      </c>
      <c r="AY1095" s="3" t="s">
        <v>11352</v>
      </c>
      <c r="AZ1095" s="3" t="s">
        <v>11353</v>
      </c>
      <c r="BA1095" s="3" t="s">
        <v>11353</v>
      </c>
      <c r="BB1095" s="3" t="s">
        <v>11354</v>
      </c>
      <c r="BC1095" s="3" t="s">
        <v>78</v>
      </c>
      <c r="BD1095" s="3" t="s">
        <v>79</v>
      </c>
      <c r="BE1095" s="3" t="s">
        <v>11355</v>
      </c>
      <c r="BF1095" s="3" t="s">
        <v>11354</v>
      </c>
      <c r="BG1095" s="3" t="s">
        <v>11356</v>
      </c>
    </row>
    <row r="1096" spans="1:59" ht="58" x14ac:dyDescent="0.35">
      <c r="A1096" s="2" t="s">
        <v>59</v>
      </c>
      <c r="B1096" s="2" t="s">
        <v>94</v>
      </c>
      <c r="C1096" s="2" t="s">
        <v>11357</v>
      </c>
      <c r="D1096" s="2" t="s">
        <v>11358</v>
      </c>
      <c r="E1096" s="2" t="s">
        <v>11359</v>
      </c>
      <c r="G1096" s="3" t="s">
        <v>64</v>
      </c>
      <c r="I1096" s="3" t="s">
        <v>64</v>
      </c>
      <c r="J1096" s="3" t="s">
        <v>64</v>
      </c>
      <c r="K1096" s="3" t="s">
        <v>65</v>
      </c>
      <c r="L1096" s="2" t="s">
        <v>11360</v>
      </c>
      <c r="M1096" s="2" t="s">
        <v>11361</v>
      </c>
      <c r="N1096" s="3" t="s">
        <v>328</v>
      </c>
      <c r="P1096" s="3" t="s">
        <v>69</v>
      </c>
      <c r="Q1096" s="2" t="s">
        <v>11362</v>
      </c>
      <c r="R1096" s="3" t="s">
        <v>9228</v>
      </c>
      <c r="S1096" s="4">
        <v>1</v>
      </c>
      <c r="T1096" s="4">
        <v>1</v>
      </c>
      <c r="U1096" s="5" t="s">
        <v>11363</v>
      </c>
      <c r="V1096" s="5" t="s">
        <v>11363</v>
      </c>
      <c r="W1096" s="5" t="s">
        <v>72</v>
      </c>
      <c r="X1096" s="5" t="s">
        <v>72</v>
      </c>
      <c r="Y1096" s="4">
        <v>137</v>
      </c>
      <c r="Z1096" s="4">
        <v>5</v>
      </c>
      <c r="AA1096" s="4">
        <v>35</v>
      </c>
      <c r="AB1096" s="4">
        <v>1</v>
      </c>
      <c r="AC1096" s="4">
        <v>8</v>
      </c>
      <c r="AD1096" s="4">
        <v>32</v>
      </c>
      <c r="AE1096" s="4">
        <v>60</v>
      </c>
      <c r="AF1096" s="4">
        <v>0</v>
      </c>
      <c r="AG1096" s="4">
        <v>1</v>
      </c>
      <c r="AH1096" s="4">
        <v>31</v>
      </c>
      <c r="AI1096" s="4">
        <v>54</v>
      </c>
      <c r="AJ1096" s="4">
        <v>1</v>
      </c>
      <c r="AK1096" s="4">
        <v>4</v>
      </c>
      <c r="AL1096" s="4">
        <v>19</v>
      </c>
      <c r="AM1096" s="4">
        <v>31</v>
      </c>
      <c r="AN1096" s="4">
        <v>0</v>
      </c>
      <c r="AO1096" s="4">
        <v>0</v>
      </c>
      <c r="AP1096" s="4">
        <v>1</v>
      </c>
      <c r="AQ1096" s="4">
        <v>7</v>
      </c>
      <c r="AR1096" s="3" t="s">
        <v>64</v>
      </c>
      <c r="AS1096" s="3" t="s">
        <v>64</v>
      </c>
      <c r="AT1096" s="3" t="s">
        <v>64</v>
      </c>
      <c r="AV1096" s="6" t="str">
        <f>HYPERLINK("http://mcgill.on.worldcat.org/oclc/724674517","Catalog Record")</f>
        <v>Catalog Record</v>
      </c>
      <c r="AW1096" s="6" t="str">
        <f>HYPERLINK("http://www.worldcat.org/oclc/724674517","WorldCat Record")</f>
        <v>WorldCat Record</v>
      </c>
      <c r="AX1096" s="3" t="s">
        <v>11364</v>
      </c>
      <c r="AY1096" s="3" t="s">
        <v>11365</v>
      </c>
      <c r="AZ1096" s="3" t="s">
        <v>11366</v>
      </c>
      <c r="BA1096" s="3" t="s">
        <v>11366</v>
      </c>
      <c r="BB1096" s="3" t="s">
        <v>11367</v>
      </c>
      <c r="BC1096" s="3" t="s">
        <v>78</v>
      </c>
      <c r="BD1096" s="3" t="s">
        <v>79</v>
      </c>
      <c r="BE1096" s="3" t="s">
        <v>11368</v>
      </c>
      <c r="BF1096" s="3" t="s">
        <v>11367</v>
      </c>
      <c r="BG1096" s="3" t="s">
        <v>11369</v>
      </c>
    </row>
    <row r="1097" spans="1:59" ht="87" x14ac:dyDescent="0.35">
      <c r="A1097" s="2" t="s">
        <v>59</v>
      </c>
      <c r="B1097" s="2" t="s">
        <v>94</v>
      </c>
      <c r="C1097" s="2" t="s">
        <v>11370</v>
      </c>
      <c r="D1097" s="2" t="s">
        <v>11371</v>
      </c>
      <c r="E1097" s="2" t="s">
        <v>11372</v>
      </c>
      <c r="G1097" s="3" t="s">
        <v>64</v>
      </c>
      <c r="I1097" s="3" t="s">
        <v>64</v>
      </c>
      <c r="J1097" s="3" t="s">
        <v>64</v>
      </c>
      <c r="K1097" s="3" t="s">
        <v>65</v>
      </c>
      <c r="L1097" s="2" t="s">
        <v>11373</v>
      </c>
      <c r="M1097" s="2" t="s">
        <v>10496</v>
      </c>
      <c r="N1097" s="3" t="s">
        <v>524</v>
      </c>
      <c r="P1097" s="3" t="s">
        <v>69</v>
      </c>
      <c r="Q1097" s="2" t="s">
        <v>11374</v>
      </c>
      <c r="R1097" s="3" t="s">
        <v>9228</v>
      </c>
      <c r="S1097" s="4">
        <v>0</v>
      </c>
      <c r="T1097" s="4">
        <v>0</v>
      </c>
      <c r="W1097" s="5" t="s">
        <v>72</v>
      </c>
      <c r="X1097" s="5" t="s">
        <v>72</v>
      </c>
      <c r="Y1097" s="4">
        <v>67</v>
      </c>
      <c r="Z1097" s="4">
        <v>4</v>
      </c>
      <c r="AA1097" s="4">
        <v>32</v>
      </c>
      <c r="AB1097" s="4">
        <v>1</v>
      </c>
      <c r="AC1097" s="4">
        <v>6</v>
      </c>
      <c r="AD1097" s="4">
        <v>41</v>
      </c>
      <c r="AE1097" s="4">
        <v>92</v>
      </c>
      <c r="AF1097" s="4">
        <v>0</v>
      </c>
      <c r="AG1097" s="4">
        <v>2</v>
      </c>
      <c r="AH1097" s="4">
        <v>40</v>
      </c>
      <c r="AI1097" s="4">
        <v>75</v>
      </c>
      <c r="AJ1097" s="4">
        <v>3</v>
      </c>
      <c r="AK1097" s="4">
        <v>13</v>
      </c>
      <c r="AL1097" s="4">
        <v>21</v>
      </c>
      <c r="AM1097" s="4">
        <v>40</v>
      </c>
      <c r="AN1097" s="4">
        <v>0</v>
      </c>
      <c r="AO1097" s="4">
        <v>0</v>
      </c>
      <c r="AP1097" s="4">
        <v>3</v>
      </c>
      <c r="AQ1097" s="4">
        <v>23</v>
      </c>
      <c r="AR1097" s="3" t="s">
        <v>64</v>
      </c>
      <c r="AS1097" s="3" t="s">
        <v>64</v>
      </c>
      <c r="AT1097" s="3" t="s">
        <v>64</v>
      </c>
      <c r="AV1097" s="6" t="str">
        <f>HYPERLINK("http://mcgill.on.worldcat.org/oclc/843228800","Catalog Record")</f>
        <v>Catalog Record</v>
      </c>
      <c r="AW1097" s="6" t="str">
        <f>HYPERLINK("http://www.worldcat.org/oclc/843228800","WorldCat Record")</f>
        <v>WorldCat Record</v>
      </c>
      <c r="AX1097" s="3" t="s">
        <v>11375</v>
      </c>
      <c r="AY1097" s="3" t="s">
        <v>11376</v>
      </c>
      <c r="AZ1097" s="3" t="s">
        <v>11377</v>
      </c>
      <c r="BA1097" s="3" t="s">
        <v>11377</v>
      </c>
      <c r="BB1097" s="3" t="s">
        <v>11378</v>
      </c>
      <c r="BC1097" s="3" t="s">
        <v>78</v>
      </c>
      <c r="BD1097" s="3" t="s">
        <v>79</v>
      </c>
      <c r="BE1097" s="3" t="s">
        <v>11379</v>
      </c>
      <c r="BF1097" s="3" t="s">
        <v>11378</v>
      </c>
      <c r="BG1097" s="3" t="s">
        <v>11380</v>
      </c>
    </row>
    <row r="1098" spans="1:59" ht="58" x14ac:dyDescent="0.35">
      <c r="A1098" s="2" t="s">
        <v>59</v>
      </c>
      <c r="B1098" s="2" t="s">
        <v>94</v>
      </c>
      <c r="C1098" s="2" t="s">
        <v>11381</v>
      </c>
      <c r="D1098" s="2" t="s">
        <v>11382</v>
      </c>
      <c r="E1098" s="2" t="s">
        <v>11383</v>
      </c>
      <c r="G1098" s="3" t="s">
        <v>64</v>
      </c>
      <c r="I1098" s="3" t="s">
        <v>64</v>
      </c>
      <c r="J1098" s="3" t="s">
        <v>64</v>
      </c>
      <c r="K1098" s="3" t="s">
        <v>65</v>
      </c>
      <c r="L1098" s="2" t="s">
        <v>11384</v>
      </c>
      <c r="M1098" s="2" t="s">
        <v>11385</v>
      </c>
      <c r="N1098" s="3" t="s">
        <v>524</v>
      </c>
      <c r="P1098" s="3" t="s">
        <v>69</v>
      </c>
      <c r="Q1098" s="2" t="s">
        <v>5134</v>
      </c>
      <c r="R1098" s="3" t="s">
        <v>9228</v>
      </c>
      <c r="S1098" s="4">
        <v>0</v>
      </c>
      <c r="T1098" s="4">
        <v>0</v>
      </c>
      <c r="W1098" s="5" t="s">
        <v>72</v>
      </c>
      <c r="X1098" s="5" t="s">
        <v>72</v>
      </c>
      <c r="Y1098" s="4">
        <v>72</v>
      </c>
      <c r="Z1098" s="4">
        <v>3</v>
      </c>
      <c r="AA1098" s="4">
        <v>105</v>
      </c>
      <c r="AB1098" s="4">
        <v>1</v>
      </c>
      <c r="AC1098" s="4">
        <v>17</v>
      </c>
      <c r="AD1098" s="4">
        <v>44</v>
      </c>
      <c r="AE1098" s="4">
        <v>133</v>
      </c>
      <c r="AF1098" s="4">
        <v>0</v>
      </c>
      <c r="AG1098" s="4">
        <v>8</v>
      </c>
      <c r="AH1098" s="4">
        <v>43</v>
      </c>
      <c r="AI1098" s="4">
        <v>93</v>
      </c>
      <c r="AJ1098" s="4">
        <v>2</v>
      </c>
      <c r="AK1098" s="4">
        <v>21</v>
      </c>
      <c r="AL1098" s="4">
        <v>23</v>
      </c>
      <c r="AM1098" s="4">
        <v>48</v>
      </c>
      <c r="AN1098" s="4">
        <v>0</v>
      </c>
      <c r="AO1098" s="4">
        <v>0</v>
      </c>
      <c r="AP1098" s="4">
        <v>2</v>
      </c>
      <c r="AQ1098" s="4">
        <v>44</v>
      </c>
      <c r="AR1098" s="3" t="s">
        <v>64</v>
      </c>
      <c r="AS1098" s="3" t="s">
        <v>64</v>
      </c>
      <c r="AT1098" s="3" t="s">
        <v>64</v>
      </c>
      <c r="AV1098" s="6" t="str">
        <f>HYPERLINK("http://mcgill.on.worldcat.org/oclc/824610054","Catalog Record")</f>
        <v>Catalog Record</v>
      </c>
      <c r="AW1098" s="6" t="str">
        <f>HYPERLINK("http://www.worldcat.org/oclc/824610054","WorldCat Record")</f>
        <v>WorldCat Record</v>
      </c>
      <c r="AX1098" s="3" t="s">
        <v>11386</v>
      </c>
      <c r="AY1098" s="3" t="s">
        <v>11387</v>
      </c>
      <c r="AZ1098" s="3" t="s">
        <v>11388</v>
      </c>
      <c r="BA1098" s="3" t="s">
        <v>11388</v>
      </c>
      <c r="BB1098" s="3" t="s">
        <v>11389</v>
      </c>
      <c r="BC1098" s="3" t="s">
        <v>78</v>
      </c>
      <c r="BD1098" s="3" t="s">
        <v>79</v>
      </c>
      <c r="BE1098" s="3" t="s">
        <v>11390</v>
      </c>
      <c r="BF1098" s="3" t="s">
        <v>11389</v>
      </c>
      <c r="BG1098" s="3" t="s">
        <v>11391</v>
      </c>
    </row>
    <row r="1099" spans="1:59" ht="58" x14ac:dyDescent="0.35">
      <c r="A1099" s="2" t="s">
        <v>59</v>
      </c>
      <c r="B1099" s="2" t="s">
        <v>94</v>
      </c>
      <c r="C1099" s="2" t="s">
        <v>11392</v>
      </c>
      <c r="D1099" s="2" t="s">
        <v>11393</v>
      </c>
      <c r="E1099" s="2" t="s">
        <v>11394</v>
      </c>
      <c r="G1099" s="3" t="s">
        <v>64</v>
      </c>
      <c r="I1099" s="3" t="s">
        <v>64</v>
      </c>
      <c r="J1099" s="3" t="s">
        <v>64</v>
      </c>
      <c r="K1099" s="3" t="s">
        <v>65</v>
      </c>
      <c r="M1099" s="2" t="s">
        <v>6841</v>
      </c>
      <c r="N1099" s="3" t="s">
        <v>377</v>
      </c>
      <c r="P1099" s="3" t="s">
        <v>69</v>
      </c>
      <c r="Q1099" s="2" t="s">
        <v>11395</v>
      </c>
      <c r="R1099" s="3" t="s">
        <v>9228</v>
      </c>
      <c r="S1099" s="4">
        <v>0</v>
      </c>
      <c r="T1099" s="4">
        <v>0</v>
      </c>
      <c r="W1099" s="5" t="s">
        <v>72</v>
      </c>
      <c r="X1099" s="5" t="s">
        <v>72</v>
      </c>
      <c r="Y1099" s="4">
        <v>72</v>
      </c>
      <c r="Z1099" s="4">
        <v>4</v>
      </c>
      <c r="AA1099" s="4">
        <v>7</v>
      </c>
      <c r="AB1099" s="4">
        <v>1</v>
      </c>
      <c r="AC1099" s="4">
        <v>1</v>
      </c>
      <c r="AD1099" s="4">
        <v>43</v>
      </c>
      <c r="AE1099" s="4">
        <v>48</v>
      </c>
      <c r="AF1099" s="4">
        <v>0</v>
      </c>
      <c r="AG1099" s="4">
        <v>0</v>
      </c>
      <c r="AH1099" s="4">
        <v>42</v>
      </c>
      <c r="AI1099" s="4">
        <v>45</v>
      </c>
      <c r="AJ1099" s="4">
        <v>2</v>
      </c>
      <c r="AK1099" s="4">
        <v>5</v>
      </c>
      <c r="AL1099" s="4">
        <v>25</v>
      </c>
      <c r="AM1099" s="4">
        <v>25</v>
      </c>
      <c r="AN1099" s="4">
        <v>0</v>
      </c>
      <c r="AO1099" s="4">
        <v>0</v>
      </c>
      <c r="AP1099" s="4">
        <v>2</v>
      </c>
      <c r="AQ1099" s="4">
        <v>5</v>
      </c>
      <c r="AR1099" s="3" t="s">
        <v>64</v>
      </c>
      <c r="AS1099" s="3" t="s">
        <v>64</v>
      </c>
      <c r="AT1099" s="3" t="s">
        <v>64</v>
      </c>
      <c r="AV1099" s="6" t="str">
        <f>HYPERLINK("http://mcgill.on.worldcat.org/oclc/777251279","Catalog Record")</f>
        <v>Catalog Record</v>
      </c>
      <c r="AW1099" s="6" t="str">
        <f>HYPERLINK("http://www.worldcat.org/oclc/777251279","WorldCat Record")</f>
        <v>WorldCat Record</v>
      </c>
      <c r="AX1099" s="3" t="s">
        <v>11396</v>
      </c>
      <c r="AY1099" s="3" t="s">
        <v>11397</v>
      </c>
      <c r="AZ1099" s="3" t="s">
        <v>11398</v>
      </c>
      <c r="BA1099" s="3" t="s">
        <v>11398</v>
      </c>
      <c r="BB1099" s="3" t="s">
        <v>11399</v>
      </c>
      <c r="BC1099" s="3" t="s">
        <v>78</v>
      </c>
      <c r="BD1099" s="3" t="s">
        <v>79</v>
      </c>
      <c r="BE1099" s="3" t="s">
        <v>11400</v>
      </c>
      <c r="BF1099" s="3" t="s">
        <v>11399</v>
      </c>
      <c r="BG1099" s="3" t="s">
        <v>11401</v>
      </c>
    </row>
    <row r="1100" spans="1:59" ht="58" x14ac:dyDescent="0.35">
      <c r="A1100" s="2" t="s">
        <v>59</v>
      </c>
      <c r="B1100" s="2" t="s">
        <v>94</v>
      </c>
      <c r="C1100" s="2" t="s">
        <v>11402</v>
      </c>
      <c r="D1100" s="2" t="s">
        <v>11403</v>
      </c>
      <c r="E1100" s="2" t="s">
        <v>11404</v>
      </c>
      <c r="G1100" s="3" t="s">
        <v>64</v>
      </c>
      <c r="I1100" s="3" t="s">
        <v>64</v>
      </c>
      <c r="J1100" s="3" t="s">
        <v>64</v>
      </c>
      <c r="K1100" s="3" t="s">
        <v>65</v>
      </c>
      <c r="L1100" s="2" t="s">
        <v>11405</v>
      </c>
      <c r="M1100" s="2" t="s">
        <v>5089</v>
      </c>
      <c r="N1100" s="3" t="s">
        <v>214</v>
      </c>
      <c r="P1100" s="3" t="s">
        <v>69</v>
      </c>
      <c r="Q1100" s="2" t="s">
        <v>5134</v>
      </c>
      <c r="R1100" s="3" t="s">
        <v>9228</v>
      </c>
      <c r="S1100" s="4">
        <v>0</v>
      </c>
      <c r="T1100" s="4">
        <v>0</v>
      </c>
      <c r="W1100" s="5" t="s">
        <v>72</v>
      </c>
      <c r="X1100" s="5" t="s">
        <v>72</v>
      </c>
      <c r="Y1100" s="4">
        <v>98</v>
      </c>
      <c r="Z1100" s="4">
        <v>8</v>
      </c>
      <c r="AA1100" s="4">
        <v>11</v>
      </c>
      <c r="AB1100" s="4">
        <v>1</v>
      </c>
      <c r="AC1100" s="4">
        <v>1</v>
      </c>
      <c r="AD1100" s="4">
        <v>53</v>
      </c>
      <c r="AE1100" s="4">
        <v>60</v>
      </c>
      <c r="AF1100" s="4">
        <v>0</v>
      </c>
      <c r="AG1100" s="4">
        <v>0</v>
      </c>
      <c r="AH1100" s="4">
        <v>50</v>
      </c>
      <c r="AI1100" s="4">
        <v>56</v>
      </c>
      <c r="AJ1100" s="4">
        <v>5</v>
      </c>
      <c r="AK1100" s="4">
        <v>8</v>
      </c>
      <c r="AL1100" s="4">
        <v>28</v>
      </c>
      <c r="AM1100" s="4">
        <v>29</v>
      </c>
      <c r="AN1100" s="4">
        <v>0</v>
      </c>
      <c r="AO1100" s="4">
        <v>0</v>
      </c>
      <c r="AP1100" s="4">
        <v>6</v>
      </c>
      <c r="AQ1100" s="4">
        <v>9</v>
      </c>
      <c r="AR1100" s="3" t="s">
        <v>64</v>
      </c>
      <c r="AS1100" s="3" t="s">
        <v>64</v>
      </c>
      <c r="AT1100" s="3" t="s">
        <v>64</v>
      </c>
      <c r="AV1100" s="6" t="str">
        <f>HYPERLINK("http://mcgill.on.worldcat.org/oclc/645790031","Catalog Record")</f>
        <v>Catalog Record</v>
      </c>
      <c r="AW1100" s="6" t="str">
        <f>HYPERLINK("http://www.worldcat.org/oclc/645790031","WorldCat Record")</f>
        <v>WorldCat Record</v>
      </c>
      <c r="AX1100" s="3" t="s">
        <v>11406</v>
      </c>
      <c r="AY1100" s="3" t="s">
        <v>11407</v>
      </c>
      <c r="AZ1100" s="3" t="s">
        <v>11408</v>
      </c>
      <c r="BA1100" s="3" t="s">
        <v>11408</v>
      </c>
      <c r="BB1100" s="3" t="s">
        <v>11409</v>
      </c>
      <c r="BC1100" s="3" t="s">
        <v>78</v>
      </c>
      <c r="BD1100" s="3" t="s">
        <v>79</v>
      </c>
      <c r="BE1100" s="3" t="s">
        <v>11410</v>
      </c>
      <c r="BF1100" s="3" t="s">
        <v>11409</v>
      </c>
      <c r="BG1100" s="3" t="s">
        <v>11411</v>
      </c>
    </row>
    <row r="1101" spans="1:59" ht="72.5" x14ac:dyDescent="0.35">
      <c r="A1101" s="2" t="s">
        <v>59</v>
      </c>
      <c r="B1101" s="2" t="s">
        <v>94</v>
      </c>
      <c r="C1101" s="2" t="s">
        <v>11412</v>
      </c>
      <c r="D1101" s="2" t="s">
        <v>11413</v>
      </c>
      <c r="E1101" s="2" t="s">
        <v>11414</v>
      </c>
      <c r="G1101" s="3" t="s">
        <v>64</v>
      </c>
      <c r="I1101" s="3" t="s">
        <v>64</v>
      </c>
      <c r="J1101" s="3" t="s">
        <v>64</v>
      </c>
      <c r="K1101" s="3" t="s">
        <v>65</v>
      </c>
      <c r="L1101" s="2" t="s">
        <v>11415</v>
      </c>
      <c r="M1101" s="2" t="s">
        <v>11416</v>
      </c>
      <c r="N1101" s="3" t="s">
        <v>377</v>
      </c>
      <c r="P1101" s="3" t="s">
        <v>69</v>
      </c>
      <c r="Q1101" s="2" t="s">
        <v>5134</v>
      </c>
      <c r="R1101" s="3" t="s">
        <v>9228</v>
      </c>
      <c r="S1101" s="4">
        <v>0</v>
      </c>
      <c r="T1101" s="4">
        <v>0</v>
      </c>
      <c r="W1101" s="5" t="s">
        <v>72</v>
      </c>
      <c r="X1101" s="5" t="s">
        <v>72</v>
      </c>
      <c r="Y1101" s="4">
        <v>90</v>
      </c>
      <c r="Z1101" s="4">
        <v>7</v>
      </c>
      <c r="AA1101" s="4">
        <v>8</v>
      </c>
      <c r="AB1101" s="4">
        <v>1</v>
      </c>
      <c r="AC1101" s="4">
        <v>1</v>
      </c>
      <c r="AD1101" s="4">
        <v>49</v>
      </c>
      <c r="AE1101" s="4">
        <v>55</v>
      </c>
      <c r="AF1101" s="4">
        <v>0</v>
      </c>
      <c r="AG1101" s="4">
        <v>0</v>
      </c>
      <c r="AH1101" s="4">
        <v>47</v>
      </c>
      <c r="AI1101" s="4">
        <v>52</v>
      </c>
      <c r="AJ1101" s="4">
        <v>5</v>
      </c>
      <c r="AK1101" s="4">
        <v>6</v>
      </c>
      <c r="AL1101" s="4">
        <v>27</v>
      </c>
      <c r="AM1101" s="4">
        <v>30</v>
      </c>
      <c r="AN1101" s="4">
        <v>0</v>
      </c>
      <c r="AO1101" s="4">
        <v>0</v>
      </c>
      <c r="AP1101" s="4">
        <v>5</v>
      </c>
      <c r="AQ1101" s="4">
        <v>6</v>
      </c>
      <c r="AR1101" s="3" t="s">
        <v>64</v>
      </c>
      <c r="AS1101" s="3" t="s">
        <v>64</v>
      </c>
      <c r="AT1101" s="3" t="s">
        <v>64</v>
      </c>
      <c r="AV1101" s="6" t="str">
        <f>HYPERLINK("http://mcgill.on.worldcat.org/oclc/800042990","Catalog Record")</f>
        <v>Catalog Record</v>
      </c>
      <c r="AW1101" s="6" t="str">
        <f>HYPERLINK("http://www.worldcat.org/oclc/800042990","WorldCat Record")</f>
        <v>WorldCat Record</v>
      </c>
      <c r="AX1101" s="3" t="s">
        <v>11417</v>
      </c>
      <c r="AY1101" s="3" t="s">
        <v>11418</v>
      </c>
      <c r="AZ1101" s="3" t="s">
        <v>11419</v>
      </c>
      <c r="BA1101" s="3" t="s">
        <v>11419</v>
      </c>
      <c r="BB1101" s="3" t="s">
        <v>11420</v>
      </c>
      <c r="BC1101" s="3" t="s">
        <v>78</v>
      </c>
      <c r="BD1101" s="3" t="s">
        <v>79</v>
      </c>
      <c r="BE1101" s="3" t="s">
        <v>11421</v>
      </c>
      <c r="BF1101" s="3" t="s">
        <v>11420</v>
      </c>
      <c r="BG1101" s="3" t="s">
        <v>11422</v>
      </c>
    </row>
    <row r="1102" spans="1:59" ht="58" x14ac:dyDescent="0.35">
      <c r="A1102" s="2" t="s">
        <v>59</v>
      </c>
      <c r="B1102" s="2" t="s">
        <v>94</v>
      </c>
      <c r="C1102" s="2" t="s">
        <v>11423</v>
      </c>
      <c r="D1102" s="2" t="s">
        <v>11424</v>
      </c>
      <c r="E1102" s="2" t="s">
        <v>11425</v>
      </c>
      <c r="G1102" s="3" t="s">
        <v>64</v>
      </c>
      <c r="I1102" s="3" t="s">
        <v>64</v>
      </c>
      <c r="J1102" s="3" t="s">
        <v>64</v>
      </c>
      <c r="K1102" s="3" t="s">
        <v>65</v>
      </c>
      <c r="L1102" s="2" t="s">
        <v>11426</v>
      </c>
      <c r="M1102" s="2" t="s">
        <v>8339</v>
      </c>
      <c r="N1102" s="3" t="s">
        <v>377</v>
      </c>
      <c r="P1102" s="3" t="s">
        <v>69</v>
      </c>
      <c r="Q1102" s="2" t="s">
        <v>11427</v>
      </c>
      <c r="R1102" s="3" t="s">
        <v>9228</v>
      </c>
      <c r="S1102" s="4">
        <v>0</v>
      </c>
      <c r="T1102" s="4">
        <v>0</v>
      </c>
      <c r="W1102" s="5" t="s">
        <v>72</v>
      </c>
      <c r="X1102" s="5" t="s">
        <v>72</v>
      </c>
      <c r="Y1102" s="4">
        <v>83</v>
      </c>
      <c r="Z1102" s="4">
        <v>3</v>
      </c>
      <c r="AA1102" s="4">
        <v>32</v>
      </c>
      <c r="AB1102" s="4">
        <v>1</v>
      </c>
      <c r="AC1102" s="4">
        <v>6</v>
      </c>
      <c r="AD1102" s="4">
        <v>46</v>
      </c>
      <c r="AE1102" s="4">
        <v>96</v>
      </c>
      <c r="AF1102" s="4">
        <v>0</v>
      </c>
      <c r="AG1102" s="4">
        <v>2</v>
      </c>
      <c r="AH1102" s="4">
        <v>45</v>
      </c>
      <c r="AI1102" s="4">
        <v>79</v>
      </c>
      <c r="AJ1102" s="4">
        <v>2</v>
      </c>
      <c r="AK1102" s="4">
        <v>13</v>
      </c>
      <c r="AL1102" s="4">
        <v>26</v>
      </c>
      <c r="AM1102" s="4">
        <v>43</v>
      </c>
      <c r="AN1102" s="4">
        <v>0</v>
      </c>
      <c r="AO1102" s="4">
        <v>0</v>
      </c>
      <c r="AP1102" s="4">
        <v>2</v>
      </c>
      <c r="AQ1102" s="4">
        <v>23</v>
      </c>
      <c r="AR1102" s="3" t="s">
        <v>64</v>
      </c>
      <c r="AS1102" s="3" t="s">
        <v>64</v>
      </c>
      <c r="AT1102" s="3" t="s">
        <v>64</v>
      </c>
      <c r="AV1102" s="6" t="str">
        <f>HYPERLINK("http://mcgill.on.worldcat.org/oclc/809250639","Catalog Record")</f>
        <v>Catalog Record</v>
      </c>
      <c r="AW1102" s="6" t="str">
        <f>HYPERLINK("http://www.worldcat.org/oclc/809250639","WorldCat Record")</f>
        <v>WorldCat Record</v>
      </c>
      <c r="AX1102" s="3" t="s">
        <v>11428</v>
      </c>
      <c r="AY1102" s="3" t="s">
        <v>11429</v>
      </c>
      <c r="AZ1102" s="3" t="s">
        <v>11430</v>
      </c>
      <c r="BA1102" s="3" t="s">
        <v>11430</v>
      </c>
      <c r="BB1102" s="3" t="s">
        <v>11431</v>
      </c>
      <c r="BC1102" s="3" t="s">
        <v>78</v>
      </c>
      <c r="BD1102" s="3" t="s">
        <v>79</v>
      </c>
      <c r="BE1102" s="3" t="s">
        <v>11432</v>
      </c>
      <c r="BF1102" s="3" t="s">
        <v>11431</v>
      </c>
      <c r="BG1102" s="3" t="s">
        <v>11433</v>
      </c>
    </row>
    <row r="1103" spans="1:59" ht="58" x14ac:dyDescent="0.35">
      <c r="A1103" s="2" t="s">
        <v>59</v>
      </c>
      <c r="B1103" s="2" t="s">
        <v>94</v>
      </c>
      <c r="C1103" s="2" t="s">
        <v>11434</v>
      </c>
      <c r="D1103" s="2" t="s">
        <v>11435</v>
      </c>
      <c r="E1103" s="2" t="s">
        <v>11436</v>
      </c>
      <c r="G1103" s="3" t="s">
        <v>64</v>
      </c>
      <c r="I1103" s="3" t="s">
        <v>64</v>
      </c>
      <c r="J1103" s="3" t="s">
        <v>64</v>
      </c>
      <c r="K1103" s="3" t="s">
        <v>65</v>
      </c>
      <c r="L1103" s="2" t="s">
        <v>11437</v>
      </c>
      <c r="M1103" s="2" t="s">
        <v>11438</v>
      </c>
      <c r="N1103" s="3" t="s">
        <v>1764</v>
      </c>
      <c r="P1103" s="3" t="s">
        <v>69</v>
      </c>
      <c r="Q1103" s="2" t="s">
        <v>11439</v>
      </c>
      <c r="R1103" s="3" t="s">
        <v>9228</v>
      </c>
      <c r="S1103" s="4">
        <v>17</v>
      </c>
      <c r="T1103" s="4">
        <v>17</v>
      </c>
      <c r="U1103" s="5" t="s">
        <v>3364</v>
      </c>
      <c r="V1103" s="5" t="s">
        <v>3364</v>
      </c>
      <c r="W1103" s="5" t="s">
        <v>72</v>
      </c>
      <c r="X1103" s="5" t="s">
        <v>72</v>
      </c>
      <c r="Y1103" s="4">
        <v>274</v>
      </c>
      <c r="Z1103" s="4">
        <v>21</v>
      </c>
      <c r="AA1103" s="4">
        <v>21</v>
      </c>
      <c r="AB1103" s="4">
        <v>4</v>
      </c>
      <c r="AC1103" s="4">
        <v>4</v>
      </c>
      <c r="AD1103" s="4">
        <v>99</v>
      </c>
      <c r="AE1103" s="4">
        <v>99</v>
      </c>
      <c r="AF1103" s="4">
        <v>2</v>
      </c>
      <c r="AG1103" s="4">
        <v>2</v>
      </c>
      <c r="AH1103" s="4">
        <v>89</v>
      </c>
      <c r="AI1103" s="4">
        <v>89</v>
      </c>
      <c r="AJ1103" s="4">
        <v>15</v>
      </c>
      <c r="AK1103" s="4">
        <v>15</v>
      </c>
      <c r="AL1103" s="4">
        <v>49</v>
      </c>
      <c r="AM1103" s="4">
        <v>49</v>
      </c>
      <c r="AN1103" s="4">
        <v>0</v>
      </c>
      <c r="AO1103" s="4">
        <v>0</v>
      </c>
      <c r="AP1103" s="4">
        <v>17</v>
      </c>
      <c r="AQ1103" s="4">
        <v>17</v>
      </c>
      <c r="AR1103" s="3" t="s">
        <v>64</v>
      </c>
      <c r="AS1103" s="3" t="s">
        <v>64</v>
      </c>
      <c r="AT1103" s="3" t="s">
        <v>73</v>
      </c>
      <c r="AU1103" s="6" t="str">
        <f>HYPERLINK("http://catalog.hathitrust.org/Record/007478817","HathiTrust Record")</f>
        <v>HathiTrust Record</v>
      </c>
      <c r="AV1103" s="6" t="str">
        <f>HYPERLINK("http://mcgill.on.worldcat.org/oclc/8727283","Catalog Record")</f>
        <v>Catalog Record</v>
      </c>
      <c r="AW1103" s="6" t="str">
        <f>HYPERLINK("http://www.worldcat.org/oclc/8727283","WorldCat Record")</f>
        <v>WorldCat Record</v>
      </c>
      <c r="AX1103" s="3" t="s">
        <v>11440</v>
      </c>
      <c r="AY1103" s="3" t="s">
        <v>11441</v>
      </c>
      <c r="AZ1103" s="3" t="s">
        <v>11442</v>
      </c>
      <c r="BA1103" s="3" t="s">
        <v>11442</v>
      </c>
      <c r="BB1103" s="3" t="s">
        <v>11443</v>
      </c>
      <c r="BC1103" s="3" t="s">
        <v>78</v>
      </c>
      <c r="BD1103" s="3" t="s">
        <v>79</v>
      </c>
      <c r="BE1103" s="3" t="s">
        <v>11444</v>
      </c>
      <c r="BF1103" s="3" t="s">
        <v>11443</v>
      </c>
      <c r="BG1103" s="3" t="s">
        <v>11445</v>
      </c>
    </row>
    <row r="1104" spans="1:59" ht="72.5" x14ac:dyDescent="0.35">
      <c r="A1104" s="2" t="s">
        <v>59</v>
      </c>
      <c r="B1104" s="2" t="s">
        <v>94</v>
      </c>
      <c r="C1104" s="2" t="s">
        <v>11446</v>
      </c>
      <c r="D1104" s="2" t="s">
        <v>11447</v>
      </c>
      <c r="E1104" s="2" t="s">
        <v>11448</v>
      </c>
      <c r="G1104" s="3" t="s">
        <v>64</v>
      </c>
      <c r="I1104" s="3" t="s">
        <v>64</v>
      </c>
      <c r="J1104" s="3" t="s">
        <v>64</v>
      </c>
      <c r="K1104" s="3" t="s">
        <v>2292</v>
      </c>
      <c r="L1104" s="2" t="s">
        <v>11449</v>
      </c>
      <c r="M1104" s="2" t="s">
        <v>11450</v>
      </c>
      <c r="N1104" s="3" t="s">
        <v>473</v>
      </c>
      <c r="P1104" s="3" t="s">
        <v>69</v>
      </c>
      <c r="Q1104" s="2" t="s">
        <v>11451</v>
      </c>
      <c r="R1104" s="3" t="s">
        <v>9228</v>
      </c>
      <c r="S1104" s="4">
        <v>5</v>
      </c>
      <c r="T1104" s="4">
        <v>5</v>
      </c>
      <c r="U1104" s="5" t="s">
        <v>11452</v>
      </c>
      <c r="V1104" s="5" t="s">
        <v>11452</v>
      </c>
      <c r="W1104" s="5" t="s">
        <v>72</v>
      </c>
      <c r="X1104" s="5" t="s">
        <v>72</v>
      </c>
      <c r="Y1104" s="4">
        <v>862</v>
      </c>
      <c r="Z1104" s="4">
        <v>10</v>
      </c>
      <c r="AA1104" s="4">
        <v>20</v>
      </c>
      <c r="AB1104" s="4">
        <v>2</v>
      </c>
      <c r="AC1104" s="4">
        <v>5</v>
      </c>
      <c r="AD1104" s="4">
        <v>95</v>
      </c>
      <c r="AE1104" s="4">
        <v>111</v>
      </c>
      <c r="AF1104" s="4">
        <v>0</v>
      </c>
      <c r="AG1104" s="4">
        <v>2</v>
      </c>
      <c r="AH1104" s="4">
        <v>91</v>
      </c>
      <c r="AI1104" s="4">
        <v>105</v>
      </c>
      <c r="AJ1104" s="4">
        <v>6</v>
      </c>
      <c r="AK1104" s="4">
        <v>11</v>
      </c>
      <c r="AL1104" s="4">
        <v>49</v>
      </c>
      <c r="AM1104" s="4">
        <v>55</v>
      </c>
      <c r="AN1104" s="4">
        <v>0</v>
      </c>
      <c r="AO1104" s="4">
        <v>0</v>
      </c>
      <c r="AP1104" s="4">
        <v>7</v>
      </c>
      <c r="AQ1104" s="4">
        <v>13</v>
      </c>
      <c r="AR1104" s="3" t="s">
        <v>64</v>
      </c>
      <c r="AS1104" s="3" t="s">
        <v>73</v>
      </c>
      <c r="AT1104" s="3" t="s">
        <v>64</v>
      </c>
      <c r="AU1104" s="6" t="str">
        <f>HYPERLINK("http://catalog.hathitrust.org/Record/002233139","HathiTrust Record")</f>
        <v>HathiTrust Record</v>
      </c>
      <c r="AV1104" s="6" t="str">
        <f>HYPERLINK("http://mcgill.on.worldcat.org/oclc/20055841","Catalog Record")</f>
        <v>Catalog Record</v>
      </c>
      <c r="AW1104" s="6" t="str">
        <f>HYPERLINK("http://www.worldcat.org/oclc/20055841","WorldCat Record")</f>
        <v>WorldCat Record</v>
      </c>
      <c r="AX1104" s="3" t="s">
        <v>11453</v>
      </c>
      <c r="AY1104" s="3" t="s">
        <v>11454</v>
      </c>
      <c r="AZ1104" s="3" t="s">
        <v>11455</v>
      </c>
      <c r="BA1104" s="3" t="s">
        <v>11455</v>
      </c>
      <c r="BB1104" s="3" t="s">
        <v>11456</v>
      </c>
      <c r="BC1104" s="3" t="s">
        <v>78</v>
      </c>
      <c r="BD1104" s="3" t="s">
        <v>79</v>
      </c>
      <c r="BE1104" s="3" t="s">
        <v>11457</v>
      </c>
      <c r="BF1104" s="3" t="s">
        <v>11456</v>
      </c>
      <c r="BG1104" s="3" t="s">
        <v>11458</v>
      </c>
    </row>
    <row r="1105" spans="1:59" ht="58" x14ac:dyDescent="0.35">
      <c r="A1105" s="2" t="s">
        <v>59</v>
      </c>
      <c r="B1105" s="2" t="s">
        <v>94</v>
      </c>
      <c r="C1105" s="2" t="s">
        <v>11459</v>
      </c>
      <c r="D1105" s="2" t="s">
        <v>11460</v>
      </c>
      <c r="E1105" s="2" t="s">
        <v>11461</v>
      </c>
      <c r="G1105" s="3" t="s">
        <v>64</v>
      </c>
      <c r="I1105" s="3" t="s">
        <v>64</v>
      </c>
      <c r="J1105" s="3" t="s">
        <v>64</v>
      </c>
      <c r="K1105" s="3" t="s">
        <v>65</v>
      </c>
      <c r="M1105" s="2" t="s">
        <v>11462</v>
      </c>
      <c r="N1105" s="3" t="s">
        <v>340</v>
      </c>
      <c r="P1105" s="3" t="s">
        <v>69</v>
      </c>
      <c r="Q1105" s="2" t="s">
        <v>11463</v>
      </c>
      <c r="R1105" s="3" t="s">
        <v>9228</v>
      </c>
      <c r="S1105" s="4">
        <v>10</v>
      </c>
      <c r="T1105" s="4">
        <v>10</v>
      </c>
      <c r="U1105" s="5" t="s">
        <v>5934</v>
      </c>
      <c r="V1105" s="5" t="s">
        <v>5934</v>
      </c>
      <c r="W1105" s="5" t="s">
        <v>72</v>
      </c>
      <c r="X1105" s="5" t="s">
        <v>72</v>
      </c>
      <c r="Y1105" s="4">
        <v>120</v>
      </c>
      <c r="Z1105" s="4">
        <v>2</v>
      </c>
      <c r="AA1105" s="4">
        <v>4</v>
      </c>
      <c r="AB1105" s="4">
        <v>1</v>
      </c>
      <c r="AC1105" s="4">
        <v>1</v>
      </c>
      <c r="AD1105" s="4">
        <v>55</v>
      </c>
      <c r="AE1105" s="4">
        <v>56</v>
      </c>
      <c r="AF1105" s="4">
        <v>0</v>
      </c>
      <c r="AG1105" s="4">
        <v>0</v>
      </c>
      <c r="AH1105" s="4">
        <v>53</v>
      </c>
      <c r="AI1105" s="4">
        <v>54</v>
      </c>
      <c r="AJ1105" s="4">
        <v>1</v>
      </c>
      <c r="AK1105" s="4">
        <v>2</v>
      </c>
      <c r="AL1105" s="4">
        <v>36</v>
      </c>
      <c r="AM1105" s="4">
        <v>37</v>
      </c>
      <c r="AN1105" s="4">
        <v>0</v>
      </c>
      <c r="AO1105" s="4">
        <v>0</v>
      </c>
      <c r="AP1105" s="4">
        <v>1</v>
      </c>
      <c r="AQ1105" s="4">
        <v>2</v>
      </c>
      <c r="AR1105" s="3" t="s">
        <v>64</v>
      </c>
      <c r="AS1105" s="3" t="s">
        <v>64</v>
      </c>
      <c r="AT1105" s="3" t="s">
        <v>64</v>
      </c>
      <c r="AV1105" s="6" t="str">
        <f>HYPERLINK("http://mcgill.on.worldcat.org/oclc/40589249","Catalog Record")</f>
        <v>Catalog Record</v>
      </c>
      <c r="AW1105" s="6" t="str">
        <f>HYPERLINK("http://www.worldcat.org/oclc/40589249","WorldCat Record")</f>
        <v>WorldCat Record</v>
      </c>
      <c r="AX1105" s="3" t="s">
        <v>11464</v>
      </c>
      <c r="AY1105" s="3" t="s">
        <v>11465</v>
      </c>
      <c r="AZ1105" s="3" t="s">
        <v>11466</v>
      </c>
      <c r="BA1105" s="3" t="s">
        <v>11466</v>
      </c>
      <c r="BB1105" s="3" t="s">
        <v>11467</v>
      </c>
      <c r="BC1105" s="3" t="s">
        <v>78</v>
      </c>
      <c r="BD1105" s="3" t="s">
        <v>79</v>
      </c>
      <c r="BE1105" s="3" t="s">
        <v>11468</v>
      </c>
      <c r="BF1105" s="3" t="s">
        <v>11467</v>
      </c>
      <c r="BG1105" s="3" t="s">
        <v>11469</v>
      </c>
    </row>
    <row r="1106" spans="1:59" ht="58" x14ac:dyDescent="0.35">
      <c r="A1106" s="2" t="s">
        <v>59</v>
      </c>
      <c r="B1106" s="2" t="s">
        <v>94</v>
      </c>
      <c r="C1106" s="2" t="s">
        <v>11470</v>
      </c>
      <c r="D1106" s="2" t="s">
        <v>11471</v>
      </c>
      <c r="E1106" s="2" t="s">
        <v>11472</v>
      </c>
      <c r="G1106" s="3" t="s">
        <v>64</v>
      </c>
      <c r="I1106" s="3" t="s">
        <v>64</v>
      </c>
      <c r="J1106" s="3" t="s">
        <v>64</v>
      </c>
      <c r="K1106" s="3" t="s">
        <v>65</v>
      </c>
      <c r="L1106" s="2" t="s">
        <v>11473</v>
      </c>
      <c r="M1106" s="2" t="s">
        <v>11474</v>
      </c>
      <c r="N1106" s="3" t="s">
        <v>499</v>
      </c>
      <c r="P1106" s="3" t="s">
        <v>69</v>
      </c>
      <c r="R1106" s="3" t="s">
        <v>9228</v>
      </c>
      <c r="S1106" s="4">
        <v>5</v>
      </c>
      <c r="T1106" s="4">
        <v>5</v>
      </c>
      <c r="U1106" s="5" t="s">
        <v>228</v>
      </c>
      <c r="V1106" s="5" t="s">
        <v>228</v>
      </c>
      <c r="W1106" s="5" t="s">
        <v>72</v>
      </c>
      <c r="X1106" s="5" t="s">
        <v>72</v>
      </c>
      <c r="Y1106" s="4">
        <v>32</v>
      </c>
      <c r="Z1106" s="4">
        <v>18</v>
      </c>
      <c r="AA1106" s="4">
        <v>20</v>
      </c>
      <c r="AB1106" s="4">
        <v>2</v>
      </c>
      <c r="AC1106" s="4">
        <v>2</v>
      </c>
      <c r="AD1106" s="4">
        <v>17</v>
      </c>
      <c r="AE1106" s="4">
        <v>19</v>
      </c>
      <c r="AF1106" s="4">
        <v>0</v>
      </c>
      <c r="AG1106" s="4">
        <v>0</v>
      </c>
      <c r="AH1106" s="4">
        <v>11</v>
      </c>
      <c r="AI1106" s="4">
        <v>11</v>
      </c>
      <c r="AJ1106" s="4">
        <v>10</v>
      </c>
      <c r="AK1106" s="4">
        <v>11</v>
      </c>
      <c r="AL1106" s="4">
        <v>5</v>
      </c>
      <c r="AM1106" s="4">
        <v>5</v>
      </c>
      <c r="AN1106" s="4">
        <v>0</v>
      </c>
      <c r="AO1106" s="4">
        <v>0</v>
      </c>
      <c r="AP1106" s="4">
        <v>10</v>
      </c>
      <c r="AQ1106" s="4">
        <v>12</v>
      </c>
      <c r="AR1106" s="3" t="s">
        <v>73</v>
      </c>
      <c r="AS1106" s="3" t="s">
        <v>64</v>
      </c>
      <c r="AT1106" s="3" t="s">
        <v>64</v>
      </c>
      <c r="AV1106" s="6" t="str">
        <f>HYPERLINK("http://mcgill.on.worldcat.org/oclc/58728962","Catalog Record")</f>
        <v>Catalog Record</v>
      </c>
      <c r="AW1106" s="6" t="str">
        <f>HYPERLINK("http://www.worldcat.org/oclc/58728962","WorldCat Record")</f>
        <v>WorldCat Record</v>
      </c>
      <c r="AX1106" s="3" t="s">
        <v>11475</v>
      </c>
      <c r="AY1106" s="3" t="s">
        <v>11476</v>
      </c>
      <c r="AZ1106" s="3" t="s">
        <v>11477</v>
      </c>
      <c r="BA1106" s="3" t="s">
        <v>11477</v>
      </c>
      <c r="BB1106" s="3" t="s">
        <v>11478</v>
      </c>
      <c r="BC1106" s="3" t="s">
        <v>78</v>
      </c>
      <c r="BD1106" s="3" t="s">
        <v>79</v>
      </c>
      <c r="BE1106" s="3" t="s">
        <v>11479</v>
      </c>
      <c r="BF1106" s="3" t="s">
        <v>11478</v>
      </c>
      <c r="BG1106" s="3" t="s">
        <v>11480</v>
      </c>
    </row>
    <row r="1107" spans="1:59" ht="58" x14ac:dyDescent="0.35">
      <c r="A1107" s="2" t="s">
        <v>59</v>
      </c>
      <c r="B1107" s="2" t="s">
        <v>94</v>
      </c>
      <c r="C1107" s="2" t="s">
        <v>11481</v>
      </c>
      <c r="D1107" s="2" t="s">
        <v>11482</v>
      </c>
      <c r="E1107" s="2" t="s">
        <v>11483</v>
      </c>
      <c r="G1107" s="3" t="s">
        <v>64</v>
      </c>
      <c r="I1107" s="3" t="s">
        <v>64</v>
      </c>
      <c r="J1107" s="3" t="s">
        <v>64</v>
      </c>
      <c r="K1107" s="3" t="s">
        <v>65</v>
      </c>
      <c r="L1107" s="2" t="s">
        <v>11484</v>
      </c>
      <c r="M1107" s="2" t="s">
        <v>11485</v>
      </c>
      <c r="N1107" s="3" t="s">
        <v>705</v>
      </c>
      <c r="P1107" s="3" t="s">
        <v>69</v>
      </c>
      <c r="R1107" s="3" t="s">
        <v>9228</v>
      </c>
      <c r="S1107" s="4">
        <v>29</v>
      </c>
      <c r="T1107" s="4">
        <v>29</v>
      </c>
      <c r="U1107" s="5" t="s">
        <v>2167</v>
      </c>
      <c r="V1107" s="5" t="s">
        <v>2167</v>
      </c>
      <c r="W1107" s="5" t="s">
        <v>72</v>
      </c>
      <c r="X1107" s="5" t="s">
        <v>72</v>
      </c>
      <c r="Y1107" s="4">
        <v>86</v>
      </c>
      <c r="Z1107" s="4">
        <v>70</v>
      </c>
      <c r="AA1107" s="4">
        <v>102</v>
      </c>
      <c r="AB1107" s="4">
        <v>2</v>
      </c>
      <c r="AC1107" s="4">
        <v>5</v>
      </c>
      <c r="AD1107" s="4">
        <v>39</v>
      </c>
      <c r="AE1107" s="4">
        <v>64</v>
      </c>
      <c r="AF1107" s="4">
        <v>1</v>
      </c>
      <c r="AG1107" s="4">
        <v>3</v>
      </c>
      <c r="AH1107" s="4">
        <v>21</v>
      </c>
      <c r="AI1107" s="4">
        <v>33</v>
      </c>
      <c r="AJ1107" s="4">
        <v>20</v>
      </c>
      <c r="AK1107" s="4">
        <v>26</v>
      </c>
      <c r="AL1107" s="4">
        <v>5</v>
      </c>
      <c r="AM1107" s="4">
        <v>12</v>
      </c>
      <c r="AN1107" s="4">
        <v>0</v>
      </c>
      <c r="AO1107" s="4">
        <v>0</v>
      </c>
      <c r="AP1107" s="4">
        <v>29</v>
      </c>
      <c r="AQ1107" s="4">
        <v>42</v>
      </c>
      <c r="AR1107" s="3" t="s">
        <v>73</v>
      </c>
      <c r="AS1107" s="3" t="s">
        <v>64</v>
      </c>
      <c r="AT1107" s="3" t="s">
        <v>64</v>
      </c>
      <c r="AV1107" s="6" t="str">
        <f>HYPERLINK("http://mcgill.on.worldcat.org/oclc/35978181","Catalog Record")</f>
        <v>Catalog Record</v>
      </c>
      <c r="AW1107" s="6" t="str">
        <f>HYPERLINK("http://www.worldcat.org/oclc/35978181","WorldCat Record")</f>
        <v>WorldCat Record</v>
      </c>
      <c r="AX1107" s="3" t="s">
        <v>11486</v>
      </c>
      <c r="AY1107" s="3" t="s">
        <v>11487</v>
      </c>
      <c r="AZ1107" s="3" t="s">
        <v>11488</v>
      </c>
      <c r="BA1107" s="3" t="s">
        <v>11488</v>
      </c>
      <c r="BB1107" s="3" t="s">
        <v>11489</v>
      </c>
      <c r="BC1107" s="3" t="s">
        <v>78</v>
      </c>
      <c r="BD1107" s="3" t="s">
        <v>79</v>
      </c>
      <c r="BE1107" s="3" t="s">
        <v>11490</v>
      </c>
      <c r="BF1107" s="3" t="s">
        <v>11489</v>
      </c>
      <c r="BG1107" s="3" t="s">
        <v>11491</v>
      </c>
    </row>
    <row r="1108" spans="1:59" ht="58" x14ac:dyDescent="0.35">
      <c r="A1108" s="2" t="s">
        <v>59</v>
      </c>
      <c r="B1108" s="2" t="s">
        <v>94</v>
      </c>
      <c r="C1108" s="2" t="s">
        <v>11492</v>
      </c>
      <c r="D1108" s="2" t="s">
        <v>11493</v>
      </c>
      <c r="E1108" s="2" t="s">
        <v>11494</v>
      </c>
      <c r="G1108" s="3" t="s">
        <v>64</v>
      </c>
      <c r="I1108" s="3" t="s">
        <v>64</v>
      </c>
      <c r="J1108" s="3" t="s">
        <v>64</v>
      </c>
      <c r="K1108" s="3" t="s">
        <v>65</v>
      </c>
      <c r="M1108" s="2" t="s">
        <v>4286</v>
      </c>
      <c r="N1108" s="3" t="s">
        <v>1813</v>
      </c>
      <c r="P1108" s="3" t="s">
        <v>69</v>
      </c>
      <c r="R1108" s="3" t="s">
        <v>9228</v>
      </c>
      <c r="S1108" s="4">
        <v>2</v>
      </c>
      <c r="T1108" s="4">
        <v>2</v>
      </c>
      <c r="U1108" s="5" t="s">
        <v>11495</v>
      </c>
      <c r="V1108" s="5" t="s">
        <v>11495</v>
      </c>
      <c r="W1108" s="5" t="s">
        <v>72</v>
      </c>
      <c r="X1108" s="5" t="s">
        <v>72</v>
      </c>
      <c r="Y1108" s="4">
        <v>57</v>
      </c>
      <c r="Z1108" s="4">
        <v>28</v>
      </c>
      <c r="AA1108" s="4">
        <v>48</v>
      </c>
      <c r="AB1108" s="4">
        <v>2</v>
      </c>
      <c r="AC1108" s="4">
        <v>10</v>
      </c>
      <c r="AD1108" s="4">
        <v>31</v>
      </c>
      <c r="AE1108" s="4">
        <v>49</v>
      </c>
      <c r="AF1108" s="4">
        <v>1</v>
      </c>
      <c r="AG1108" s="4">
        <v>6</v>
      </c>
      <c r="AH1108" s="4">
        <v>21</v>
      </c>
      <c r="AI1108" s="4">
        <v>28</v>
      </c>
      <c r="AJ1108" s="4">
        <v>11</v>
      </c>
      <c r="AK1108" s="4">
        <v>22</v>
      </c>
      <c r="AL1108" s="4">
        <v>12</v>
      </c>
      <c r="AM1108" s="4">
        <v>12</v>
      </c>
      <c r="AN1108" s="4">
        <v>0</v>
      </c>
      <c r="AO1108" s="4">
        <v>0</v>
      </c>
      <c r="AP1108" s="4">
        <v>13</v>
      </c>
      <c r="AQ1108" s="4">
        <v>28</v>
      </c>
      <c r="AR1108" s="3" t="s">
        <v>73</v>
      </c>
      <c r="AS1108" s="3" t="s">
        <v>64</v>
      </c>
      <c r="AT1108" s="3" t="s">
        <v>64</v>
      </c>
      <c r="AV1108" s="6" t="str">
        <f>HYPERLINK("http://mcgill.on.worldcat.org/oclc/933273547","Catalog Record")</f>
        <v>Catalog Record</v>
      </c>
      <c r="AW1108" s="6" t="str">
        <f>HYPERLINK("http://www.worldcat.org/oclc/933273547","WorldCat Record")</f>
        <v>WorldCat Record</v>
      </c>
      <c r="AX1108" s="3" t="s">
        <v>11496</v>
      </c>
      <c r="AY1108" s="3" t="s">
        <v>11497</v>
      </c>
      <c r="AZ1108" s="3" t="s">
        <v>11498</v>
      </c>
      <c r="BA1108" s="3" t="s">
        <v>11498</v>
      </c>
      <c r="BB1108" s="3" t="s">
        <v>11499</v>
      </c>
      <c r="BC1108" s="3" t="s">
        <v>78</v>
      </c>
      <c r="BD1108" s="3" t="s">
        <v>79</v>
      </c>
      <c r="BE1108" s="3" t="s">
        <v>11500</v>
      </c>
      <c r="BF1108" s="3" t="s">
        <v>11499</v>
      </c>
      <c r="BG1108" s="3" t="s">
        <v>11501</v>
      </c>
    </row>
    <row r="1109" spans="1:59" ht="58" x14ac:dyDescent="0.35">
      <c r="A1109" s="2" t="s">
        <v>59</v>
      </c>
      <c r="B1109" s="2" t="s">
        <v>94</v>
      </c>
      <c r="C1109" s="2" t="s">
        <v>11502</v>
      </c>
      <c r="D1109" s="2" t="s">
        <v>11503</v>
      </c>
      <c r="E1109" s="2" t="s">
        <v>11504</v>
      </c>
      <c r="G1109" s="3" t="s">
        <v>64</v>
      </c>
      <c r="I1109" s="3" t="s">
        <v>64</v>
      </c>
      <c r="J1109" s="3" t="s">
        <v>64</v>
      </c>
      <c r="K1109" s="3" t="s">
        <v>65</v>
      </c>
      <c r="L1109" s="2" t="s">
        <v>11505</v>
      </c>
      <c r="M1109" s="2" t="s">
        <v>11506</v>
      </c>
      <c r="N1109" s="3" t="s">
        <v>328</v>
      </c>
      <c r="P1109" s="3" t="s">
        <v>69</v>
      </c>
      <c r="Q1109" s="2" t="s">
        <v>11507</v>
      </c>
      <c r="R1109" s="3" t="s">
        <v>9228</v>
      </c>
      <c r="S1109" s="4">
        <v>0</v>
      </c>
      <c r="T1109" s="4">
        <v>0</v>
      </c>
      <c r="W1109" s="5" t="s">
        <v>72</v>
      </c>
      <c r="X1109" s="5" t="s">
        <v>72</v>
      </c>
      <c r="Y1109" s="4">
        <v>20</v>
      </c>
      <c r="Z1109" s="4">
        <v>16</v>
      </c>
      <c r="AA1109" s="4">
        <v>16</v>
      </c>
      <c r="AB1109" s="4">
        <v>1</v>
      </c>
      <c r="AC1109" s="4">
        <v>1</v>
      </c>
      <c r="AD1109" s="4">
        <v>14</v>
      </c>
      <c r="AE1109" s="4">
        <v>14</v>
      </c>
      <c r="AF1109" s="4">
        <v>0</v>
      </c>
      <c r="AG1109" s="4">
        <v>0</v>
      </c>
      <c r="AH1109" s="4">
        <v>8</v>
      </c>
      <c r="AI1109" s="4">
        <v>8</v>
      </c>
      <c r="AJ1109" s="4">
        <v>12</v>
      </c>
      <c r="AK1109" s="4">
        <v>12</v>
      </c>
      <c r="AL1109" s="4">
        <v>2</v>
      </c>
      <c r="AM1109" s="4">
        <v>2</v>
      </c>
      <c r="AN1109" s="4">
        <v>0</v>
      </c>
      <c r="AO1109" s="4">
        <v>0</v>
      </c>
      <c r="AP1109" s="4">
        <v>10</v>
      </c>
      <c r="AQ1109" s="4">
        <v>10</v>
      </c>
      <c r="AR1109" s="3" t="s">
        <v>73</v>
      </c>
      <c r="AS1109" s="3" t="s">
        <v>64</v>
      </c>
      <c r="AT1109" s="3" t="s">
        <v>64</v>
      </c>
      <c r="AV1109" s="6" t="str">
        <f>HYPERLINK("http://mcgill.on.worldcat.org/oclc/726556386","Catalog Record")</f>
        <v>Catalog Record</v>
      </c>
      <c r="AW1109" s="6" t="str">
        <f>HYPERLINK("http://www.worldcat.org/oclc/726556386","WorldCat Record")</f>
        <v>WorldCat Record</v>
      </c>
      <c r="AX1109" s="3" t="s">
        <v>11508</v>
      </c>
      <c r="AY1109" s="3" t="s">
        <v>11509</v>
      </c>
      <c r="AZ1109" s="3" t="s">
        <v>11510</v>
      </c>
      <c r="BA1109" s="3" t="s">
        <v>11510</v>
      </c>
      <c r="BB1109" s="3" t="s">
        <v>11511</v>
      </c>
      <c r="BC1109" s="3" t="s">
        <v>78</v>
      </c>
      <c r="BD1109" s="3" t="s">
        <v>79</v>
      </c>
      <c r="BE1109" s="3" t="s">
        <v>11512</v>
      </c>
      <c r="BF1109" s="3" t="s">
        <v>11511</v>
      </c>
      <c r="BG1109" s="3" t="s">
        <v>11513</v>
      </c>
    </row>
    <row r="1110" spans="1:59" ht="58" x14ac:dyDescent="0.35">
      <c r="A1110" s="2" t="s">
        <v>59</v>
      </c>
      <c r="B1110" s="2" t="s">
        <v>94</v>
      </c>
      <c r="C1110" s="2" t="s">
        <v>11514</v>
      </c>
      <c r="D1110" s="2" t="s">
        <v>11515</v>
      </c>
      <c r="E1110" s="2" t="s">
        <v>11516</v>
      </c>
      <c r="G1110" s="3" t="s">
        <v>64</v>
      </c>
      <c r="I1110" s="3" t="s">
        <v>64</v>
      </c>
      <c r="J1110" s="3" t="s">
        <v>64</v>
      </c>
      <c r="K1110" s="3" t="s">
        <v>65</v>
      </c>
      <c r="L1110" s="2" t="s">
        <v>11517</v>
      </c>
      <c r="M1110" s="2" t="s">
        <v>9461</v>
      </c>
      <c r="N1110" s="3" t="s">
        <v>473</v>
      </c>
      <c r="P1110" s="3" t="s">
        <v>69</v>
      </c>
      <c r="R1110" s="3" t="s">
        <v>9228</v>
      </c>
      <c r="S1110" s="4">
        <v>40</v>
      </c>
      <c r="T1110" s="4">
        <v>40</v>
      </c>
      <c r="U1110" s="5" t="s">
        <v>5993</v>
      </c>
      <c r="V1110" s="5" t="s">
        <v>5993</v>
      </c>
      <c r="W1110" s="5" t="s">
        <v>72</v>
      </c>
      <c r="X1110" s="5" t="s">
        <v>72</v>
      </c>
      <c r="Y1110" s="4">
        <v>180</v>
      </c>
      <c r="Z1110" s="4">
        <v>34</v>
      </c>
      <c r="AA1110" s="4">
        <v>35</v>
      </c>
      <c r="AB1110" s="4">
        <v>2</v>
      </c>
      <c r="AC1110" s="4">
        <v>3</v>
      </c>
      <c r="AD1110" s="4">
        <v>101</v>
      </c>
      <c r="AE1110" s="4">
        <v>102</v>
      </c>
      <c r="AF1110" s="4">
        <v>1</v>
      </c>
      <c r="AG1110" s="4">
        <v>2</v>
      </c>
      <c r="AH1110" s="4">
        <v>81</v>
      </c>
      <c r="AI1110" s="4">
        <v>81</v>
      </c>
      <c r="AJ1110" s="4">
        <v>21</v>
      </c>
      <c r="AK1110" s="4">
        <v>22</v>
      </c>
      <c r="AL1110" s="4">
        <v>44</v>
      </c>
      <c r="AM1110" s="4">
        <v>44</v>
      </c>
      <c r="AN1110" s="4">
        <v>0</v>
      </c>
      <c r="AO1110" s="4">
        <v>0</v>
      </c>
      <c r="AP1110" s="4">
        <v>28</v>
      </c>
      <c r="AQ1110" s="4">
        <v>29</v>
      </c>
      <c r="AR1110" s="3" t="s">
        <v>64</v>
      </c>
      <c r="AS1110" s="3" t="s">
        <v>64</v>
      </c>
      <c r="AT1110" s="3" t="s">
        <v>73</v>
      </c>
      <c r="AU1110" s="6" t="str">
        <f>HYPERLINK("http://catalog.hathitrust.org/Record/002228299","HathiTrust Record")</f>
        <v>HathiTrust Record</v>
      </c>
      <c r="AV1110" s="6" t="str">
        <f>HYPERLINK("http://mcgill.on.worldcat.org/oclc/21081102","Catalog Record")</f>
        <v>Catalog Record</v>
      </c>
      <c r="AW1110" s="6" t="str">
        <f>HYPERLINK("http://www.worldcat.org/oclc/21081102","WorldCat Record")</f>
        <v>WorldCat Record</v>
      </c>
      <c r="AX1110" s="3" t="s">
        <v>11518</v>
      </c>
      <c r="AY1110" s="3" t="s">
        <v>11519</v>
      </c>
      <c r="AZ1110" s="3" t="s">
        <v>11520</v>
      </c>
      <c r="BA1110" s="3" t="s">
        <v>11520</v>
      </c>
      <c r="BB1110" s="3" t="s">
        <v>11521</v>
      </c>
      <c r="BC1110" s="3" t="s">
        <v>78</v>
      </c>
      <c r="BD1110" s="3" t="s">
        <v>79</v>
      </c>
      <c r="BE1110" s="3" t="s">
        <v>11522</v>
      </c>
      <c r="BF1110" s="3" t="s">
        <v>11521</v>
      </c>
      <c r="BG1110" s="3" t="s">
        <v>11523</v>
      </c>
    </row>
    <row r="1111" spans="1:59" ht="58" x14ac:dyDescent="0.35">
      <c r="A1111" s="2" t="s">
        <v>59</v>
      </c>
      <c r="B1111" s="2" t="s">
        <v>94</v>
      </c>
      <c r="C1111" s="2" t="s">
        <v>11524</v>
      </c>
      <c r="D1111" s="2" t="s">
        <v>11525</v>
      </c>
      <c r="E1111" s="2" t="s">
        <v>11526</v>
      </c>
      <c r="G1111" s="3" t="s">
        <v>64</v>
      </c>
      <c r="I1111" s="3" t="s">
        <v>64</v>
      </c>
      <c r="J1111" s="3" t="s">
        <v>64</v>
      </c>
      <c r="K1111" s="3" t="s">
        <v>65</v>
      </c>
      <c r="L1111" s="2" t="s">
        <v>11527</v>
      </c>
      <c r="M1111" s="2" t="s">
        <v>11528</v>
      </c>
      <c r="N1111" s="3" t="s">
        <v>524</v>
      </c>
      <c r="P1111" s="3" t="s">
        <v>69</v>
      </c>
      <c r="Q1111" s="2" t="s">
        <v>4287</v>
      </c>
      <c r="R1111" s="3" t="s">
        <v>9228</v>
      </c>
      <c r="S1111" s="4">
        <v>3</v>
      </c>
      <c r="T1111" s="4">
        <v>3</v>
      </c>
      <c r="U1111" s="5" t="s">
        <v>8636</v>
      </c>
      <c r="V1111" s="5" t="s">
        <v>8636</v>
      </c>
      <c r="W1111" s="5" t="s">
        <v>72</v>
      </c>
      <c r="X1111" s="5" t="s">
        <v>72</v>
      </c>
      <c r="Y1111" s="4">
        <v>82</v>
      </c>
      <c r="Z1111" s="4">
        <v>33</v>
      </c>
      <c r="AA1111" s="4">
        <v>96</v>
      </c>
      <c r="AB1111" s="4">
        <v>2</v>
      </c>
      <c r="AC1111" s="4">
        <v>16</v>
      </c>
      <c r="AD1111" s="4">
        <v>49</v>
      </c>
      <c r="AE1111" s="4">
        <v>114</v>
      </c>
      <c r="AF1111" s="4">
        <v>1</v>
      </c>
      <c r="AG1111" s="4">
        <v>8</v>
      </c>
      <c r="AH1111" s="4">
        <v>35</v>
      </c>
      <c r="AI1111" s="4">
        <v>71</v>
      </c>
      <c r="AJ1111" s="4">
        <v>21</v>
      </c>
      <c r="AK1111" s="4">
        <v>28</v>
      </c>
      <c r="AL1111" s="4">
        <v>18</v>
      </c>
      <c r="AM1111" s="4">
        <v>37</v>
      </c>
      <c r="AN1111" s="4">
        <v>0</v>
      </c>
      <c r="AO1111" s="4">
        <v>0</v>
      </c>
      <c r="AP1111" s="4">
        <v>22</v>
      </c>
      <c r="AQ1111" s="4">
        <v>51</v>
      </c>
      <c r="AR1111" s="3" t="s">
        <v>73</v>
      </c>
      <c r="AS1111" s="3" t="s">
        <v>64</v>
      </c>
      <c r="AT1111" s="3" t="s">
        <v>64</v>
      </c>
      <c r="AV1111" s="6" t="str">
        <f>HYPERLINK("http://mcgill.on.worldcat.org/oclc/858117357","Catalog Record")</f>
        <v>Catalog Record</v>
      </c>
      <c r="AW1111" s="6" t="str">
        <f>HYPERLINK("http://www.worldcat.org/oclc/858117357","WorldCat Record")</f>
        <v>WorldCat Record</v>
      </c>
      <c r="AX1111" s="3" t="s">
        <v>11529</v>
      </c>
      <c r="AY1111" s="3" t="s">
        <v>11530</v>
      </c>
      <c r="AZ1111" s="3" t="s">
        <v>11531</v>
      </c>
      <c r="BA1111" s="3" t="s">
        <v>11531</v>
      </c>
      <c r="BB1111" s="3" t="s">
        <v>11532</v>
      </c>
      <c r="BC1111" s="3" t="s">
        <v>78</v>
      </c>
      <c r="BD1111" s="3" t="s">
        <v>79</v>
      </c>
      <c r="BE1111" s="3" t="s">
        <v>11533</v>
      </c>
      <c r="BF1111" s="3" t="s">
        <v>11532</v>
      </c>
      <c r="BG1111" s="3" t="s">
        <v>11534</v>
      </c>
    </row>
    <row r="1112" spans="1:59" ht="58" x14ac:dyDescent="0.35">
      <c r="A1112" s="2" t="s">
        <v>59</v>
      </c>
      <c r="B1112" s="2" t="s">
        <v>94</v>
      </c>
      <c r="C1112" s="2" t="s">
        <v>11535</v>
      </c>
      <c r="D1112" s="2" t="s">
        <v>11536</v>
      </c>
      <c r="E1112" s="2" t="s">
        <v>11537</v>
      </c>
      <c r="G1112" s="3" t="s">
        <v>64</v>
      </c>
      <c r="I1112" s="3" t="s">
        <v>64</v>
      </c>
      <c r="J1112" s="3" t="s">
        <v>64</v>
      </c>
      <c r="K1112" s="3" t="s">
        <v>65</v>
      </c>
      <c r="M1112" s="2" t="s">
        <v>11538</v>
      </c>
      <c r="N1112" s="3" t="s">
        <v>861</v>
      </c>
      <c r="P1112" s="3" t="s">
        <v>69</v>
      </c>
      <c r="Q1112" s="2" t="s">
        <v>11539</v>
      </c>
      <c r="R1112" s="3" t="s">
        <v>9228</v>
      </c>
      <c r="S1112" s="4">
        <v>11</v>
      </c>
      <c r="T1112" s="4">
        <v>11</v>
      </c>
      <c r="U1112" s="5" t="s">
        <v>11540</v>
      </c>
      <c r="V1112" s="5" t="s">
        <v>11540</v>
      </c>
      <c r="W1112" s="5" t="s">
        <v>72</v>
      </c>
      <c r="X1112" s="5" t="s">
        <v>72</v>
      </c>
      <c r="Y1112" s="4">
        <v>142</v>
      </c>
      <c r="Z1112" s="4">
        <v>64</v>
      </c>
      <c r="AA1112" s="4">
        <v>73</v>
      </c>
      <c r="AB1112" s="4">
        <v>4</v>
      </c>
      <c r="AC1112" s="4">
        <v>9</v>
      </c>
      <c r="AD1112" s="4">
        <v>66</v>
      </c>
      <c r="AE1112" s="4">
        <v>74</v>
      </c>
      <c r="AF1112" s="4">
        <v>1</v>
      </c>
      <c r="AG1112" s="4">
        <v>5</v>
      </c>
      <c r="AH1112" s="4">
        <v>42</v>
      </c>
      <c r="AI1112" s="4">
        <v>45</v>
      </c>
      <c r="AJ1112" s="4">
        <v>20</v>
      </c>
      <c r="AK1112" s="4">
        <v>24</v>
      </c>
      <c r="AL1112" s="4">
        <v>21</v>
      </c>
      <c r="AM1112" s="4">
        <v>22</v>
      </c>
      <c r="AN1112" s="4">
        <v>0</v>
      </c>
      <c r="AO1112" s="4">
        <v>0</v>
      </c>
      <c r="AP1112" s="4">
        <v>31</v>
      </c>
      <c r="AQ1112" s="4">
        <v>36</v>
      </c>
      <c r="AR1112" s="3" t="s">
        <v>73</v>
      </c>
      <c r="AS1112" s="3" t="s">
        <v>64</v>
      </c>
      <c r="AT1112" s="3" t="s">
        <v>73</v>
      </c>
      <c r="AU1112" s="6" t="str">
        <f>HYPERLINK("http://catalog.hathitrust.org/Record/004743249","HathiTrust Record")</f>
        <v>HathiTrust Record</v>
      </c>
      <c r="AV1112" s="6" t="str">
        <f>HYPERLINK("http://mcgill.on.worldcat.org/oclc/54415688","Catalog Record")</f>
        <v>Catalog Record</v>
      </c>
      <c r="AW1112" s="6" t="str">
        <f>HYPERLINK("http://www.worldcat.org/oclc/54415688","WorldCat Record")</f>
        <v>WorldCat Record</v>
      </c>
      <c r="AX1112" s="3" t="s">
        <v>11541</v>
      </c>
      <c r="AY1112" s="3" t="s">
        <v>11542</v>
      </c>
      <c r="AZ1112" s="3" t="s">
        <v>11543</v>
      </c>
      <c r="BA1112" s="3" t="s">
        <v>11543</v>
      </c>
      <c r="BB1112" s="3" t="s">
        <v>11544</v>
      </c>
      <c r="BC1112" s="3" t="s">
        <v>78</v>
      </c>
      <c r="BD1112" s="3" t="s">
        <v>79</v>
      </c>
      <c r="BE1112" s="3" t="s">
        <v>11545</v>
      </c>
      <c r="BF1112" s="3" t="s">
        <v>11544</v>
      </c>
      <c r="BG1112" s="3" t="s">
        <v>11546</v>
      </c>
    </row>
    <row r="1113" spans="1:59" ht="58" x14ac:dyDescent="0.35">
      <c r="A1113" s="2" t="s">
        <v>59</v>
      </c>
      <c r="B1113" s="2" t="s">
        <v>94</v>
      </c>
      <c r="C1113" s="2" t="s">
        <v>11547</v>
      </c>
      <c r="D1113" s="2" t="s">
        <v>11548</v>
      </c>
      <c r="E1113" s="2" t="s">
        <v>11549</v>
      </c>
      <c r="G1113" s="3" t="s">
        <v>64</v>
      </c>
      <c r="I1113" s="3" t="s">
        <v>64</v>
      </c>
      <c r="J1113" s="3" t="s">
        <v>64</v>
      </c>
      <c r="K1113" s="3" t="s">
        <v>65</v>
      </c>
      <c r="M1113" s="2" t="s">
        <v>11550</v>
      </c>
      <c r="N1113" s="3" t="s">
        <v>377</v>
      </c>
      <c r="P1113" s="3" t="s">
        <v>69</v>
      </c>
      <c r="R1113" s="3" t="s">
        <v>9228</v>
      </c>
      <c r="S1113" s="4">
        <v>7</v>
      </c>
      <c r="T1113" s="4">
        <v>7</v>
      </c>
      <c r="U1113" s="5" t="s">
        <v>9292</v>
      </c>
      <c r="V1113" s="5" t="s">
        <v>9292</v>
      </c>
      <c r="W1113" s="5" t="s">
        <v>72</v>
      </c>
      <c r="X1113" s="5" t="s">
        <v>72</v>
      </c>
      <c r="Y1113" s="4">
        <v>115</v>
      </c>
      <c r="Z1113" s="4">
        <v>52</v>
      </c>
      <c r="AA1113" s="4">
        <v>117</v>
      </c>
      <c r="AB1113" s="4">
        <v>3</v>
      </c>
      <c r="AC1113" s="4">
        <v>19</v>
      </c>
      <c r="AD1113" s="4">
        <v>63</v>
      </c>
      <c r="AE1113" s="4">
        <v>117</v>
      </c>
      <c r="AF1113" s="4">
        <v>1</v>
      </c>
      <c r="AG1113" s="4">
        <v>8</v>
      </c>
      <c r="AH1113" s="4">
        <v>42</v>
      </c>
      <c r="AI1113" s="4">
        <v>74</v>
      </c>
      <c r="AJ1113" s="4">
        <v>22</v>
      </c>
      <c r="AK1113" s="4">
        <v>28</v>
      </c>
      <c r="AL1113" s="4">
        <v>21</v>
      </c>
      <c r="AM1113" s="4">
        <v>36</v>
      </c>
      <c r="AN1113" s="4">
        <v>0</v>
      </c>
      <c r="AO1113" s="4">
        <v>0</v>
      </c>
      <c r="AP1113" s="4">
        <v>30</v>
      </c>
      <c r="AQ1113" s="4">
        <v>53</v>
      </c>
      <c r="AR1113" s="3" t="s">
        <v>73</v>
      </c>
      <c r="AS1113" s="3" t="s">
        <v>64</v>
      </c>
      <c r="AT1113" s="3" t="s">
        <v>64</v>
      </c>
      <c r="AV1113" s="6" t="str">
        <f>HYPERLINK("http://mcgill.on.worldcat.org/oclc/762958654","Catalog Record")</f>
        <v>Catalog Record</v>
      </c>
      <c r="AW1113" s="6" t="str">
        <f>HYPERLINK("http://www.worldcat.org/oclc/762958654","WorldCat Record")</f>
        <v>WorldCat Record</v>
      </c>
      <c r="AX1113" s="3" t="s">
        <v>11551</v>
      </c>
      <c r="AY1113" s="3" t="s">
        <v>11552</v>
      </c>
      <c r="AZ1113" s="3" t="s">
        <v>11553</v>
      </c>
      <c r="BA1113" s="3" t="s">
        <v>11553</v>
      </c>
      <c r="BB1113" s="3" t="s">
        <v>11554</v>
      </c>
      <c r="BC1113" s="3" t="s">
        <v>78</v>
      </c>
      <c r="BD1113" s="3" t="s">
        <v>79</v>
      </c>
      <c r="BE1113" s="3" t="s">
        <v>11555</v>
      </c>
      <c r="BF1113" s="3" t="s">
        <v>11554</v>
      </c>
      <c r="BG1113" s="3" t="s">
        <v>11556</v>
      </c>
    </row>
    <row r="1114" spans="1:59" ht="58" x14ac:dyDescent="0.35">
      <c r="A1114" s="2" t="s">
        <v>59</v>
      </c>
      <c r="B1114" s="2" t="s">
        <v>94</v>
      </c>
      <c r="C1114" s="2" t="s">
        <v>11557</v>
      </c>
      <c r="D1114" s="2" t="s">
        <v>11558</v>
      </c>
      <c r="E1114" s="2" t="s">
        <v>11559</v>
      </c>
      <c r="G1114" s="3" t="s">
        <v>64</v>
      </c>
      <c r="I1114" s="3" t="s">
        <v>64</v>
      </c>
      <c r="J1114" s="3" t="s">
        <v>64</v>
      </c>
      <c r="K1114" s="3" t="s">
        <v>65</v>
      </c>
      <c r="M1114" s="2" t="s">
        <v>11560</v>
      </c>
      <c r="N1114" s="3" t="s">
        <v>1530</v>
      </c>
      <c r="P1114" s="3" t="s">
        <v>69</v>
      </c>
      <c r="R1114" s="3" t="s">
        <v>9228</v>
      </c>
      <c r="S1114" s="4">
        <v>9</v>
      </c>
      <c r="T1114" s="4">
        <v>9</v>
      </c>
      <c r="U1114" s="5" t="s">
        <v>11561</v>
      </c>
      <c r="V1114" s="5" t="s">
        <v>11561</v>
      </c>
      <c r="W1114" s="5" t="s">
        <v>72</v>
      </c>
      <c r="X1114" s="5" t="s">
        <v>72</v>
      </c>
      <c r="Y1114" s="4">
        <v>39</v>
      </c>
      <c r="Z1114" s="4">
        <v>24</v>
      </c>
      <c r="AA1114" s="4">
        <v>26</v>
      </c>
      <c r="AB1114" s="4">
        <v>1</v>
      </c>
      <c r="AC1114" s="4">
        <v>3</v>
      </c>
      <c r="AD1114" s="4">
        <v>24</v>
      </c>
      <c r="AE1114" s="4">
        <v>26</v>
      </c>
      <c r="AF1114" s="4">
        <v>0</v>
      </c>
      <c r="AG1114" s="4">
        <v>1</v>
      </c>
      <c r="AH1114" s="4">
        <v>14</v>
      </c>
      <c r="AI1114" s="4">
        <v>16</v>
      </c>
      <c r="AJ1114" s="4">
        <v>18</v>
      </c>
      <c r="AK1114" s="4">
        <v>19</v>
      </c>
      <c r="AL1114" s="4">
        <v>5</v>
      </c>
      <c r="AM1114" s="4">
        <v>6</v>
      </c>
      <c r="AN1114" s="4">
        <v>0</v>
      </c>
      <c r="AO1114" s="4">
        <v>0</v>
      </c>
      <c r="AP1114" s="4">
        <v>17</v>
      </c>
      <c r="AQ1114" s="4">
        <v>18</v>
      </c>
      <c r="AR1114" s="3" t="s">
        <v>73</v>
      </c>
      <c r="AS1114" s="3" t="s">
        <v>64</v>
      </c>
      <c r="AT1114" s="3" t="s">
        <v>64</v>
      </c>
      <c r="AV1114" s="6" t="str">
        <f>HYPERLINK("http://mcgill.on.worldcat.org/oclc/51203462","Catalog Record")</f>
        <v>Catalog Record</v>
      </c>
      <c r="AW1114" s="6" t="str">
        <f>HYPERLINK("http://www.worldcat.org/oclc/51203462","WorldCat Record")</f>
        <v>WorldCat Record</v>
      </c>
      <c r="AX1114" s="3" t="s">
        <v>11562</v>
      </c>
      <c r="AY1114" s="3" t="s">
        <v>11563</v>
      </c>
      <c r="AZ1114" s="3" t="s">
        <v>11564</v>
      </c>
      <c r="BA1114" s="3" t="s">
        <v>11564</v>
      </c>
      <c r="BB1114" s="3" t="s">
        <v>11565</v>
      </c>
      <c r="BC1114" s="3" t="s">
        <v>78</v>
      </c>
      <c r="BD1114" s="3" t="s">
        <v>79</v>
      </c>
      <c r="BE1114" s="3" t="s">
        <v>11566</v>
      </c>
      <c r="BF1114" s="3" t="s">
        <v>11565</v>
      </c>
      <c r="BG1114" s="3" t="s">
        <v>11567</v>
      </c>
    </row>
    <row r="1115" spans="1:59" ht="58" x14ac:dyDescent="0.35">
      <c r="A1115" s="2" t="s">
        <v>59</v>
      </c>
      <c r="B1115" s="2" t="s">
        <v>94</v>
      </c>
      <c r="C1115" s="2" t="s">
        <v>11568</v>
      </c>
      <c r="D1115" s="2" t="s">
        <v>11569</v>
      </c>
      <c r="E1115" s="2" t="s">
        <v>11570</v>
      </c>
      <c r="G1115" s="3" t="s">
        <v>64</v>
      </c>
      <c r="I1115" s="3" t="s">
        <v>64</v>
      </c>
      <c r="J1115" s="3" t="s">
        <v>64</v>
      </c>
      <c r="K1115" s="3" t="s">
        <v>65</v>
      </c>
      <c r="M1115" s="2" t="s">
        <v>11571</v>
      </c>
      <c r="N1115" s="3" t="s">
        <v>68</v>
      </c>
      <c r="P1115" s="3" t="s">
        <v>69</v>
      </c>
      <c r="R1115" s="3" t="s">
        <v>9228</v>
      </c>
      <c r="S1115" s="4">
        <v>14</v>
      </c>
      <c r="T1115" s="4">
        <v>14</v>
      </c>
      <c r="U1115" s="5" t="s">
        <v>8283</v>
      </c>
      <c r="V1115" s="5" t="s">
        <v>8283</v>
      </c>
      <c r="W1115" s="5" t="s">
        <v>72</v>
      </c>
      <c r="X1115" s="5" t="s">
        <v>72</v>
      </c>
      <c r="Y1115" s="4">
        <v>121</v>
      </c>
      <c r="Z1115" s="4">
        <v>67</v>
      </c>
      <c r="AA1115" s="4">
        <v>114</v>
      </c>
      <c r="AB1115" s="4">
        <v>3</v>
      </c>
      <c r="AC1115" s="4">
        <v>20</v>
      </c>
      <c r="AD1115" s="4">
        <v>63</v>
      </c>
      <c r="AE1115" s="4">
        <v>89</v>
      </c>
      <c r="AF1115" s="4">
        <v>1</v>
      </c>
      <c r="AG1115" s="4">
        <v>9</v>
      </c>
      <c r="AH1115" s="4">
        <v>42</v>
      </c>
      <c r="AI1115" s="4">
        <v>43</v>
      </c>
      <c r="AJ1115" s="4">
        <v>23</v>
      </c>
      <c r="AK1115" s="4">
        <v>30</v>
      </c>
      <c r="AL1115" s="4">
        <v>14</v>
      </c>
      <c r="AM1115" s="4">
        <v>14</v>
      </c>
      <c r="AN1115" s="4">
        <v>0</v>
      </c>
      <c r="AO1115" s="4">
        <v>0</v>
      </c>
      <c r="AP1115" s="4">
        <v>32</v>
      </c>
      <c r="AQ1115" s="4">
        <v>56</v>
      </c>
      <c r="AR1115" s="3" t="s">
        <v>73</v>
      </c>
      <c r="AS1115" s="3" t="s">
        <v>64</v>
      </c>
      <c r="AT1115" s="3" t="s">
        <v>64</v>
      </c>
      <c r="AV1115" s="6" t="str">
        <f>HYPERLINK("http://mcgill.on.worldcat.org/oclc/71243517","Catalog Record")</f>
        <v>Catalog Record</v>
      </c>
      <c r="AW1115" s="6" t="str">
        <f>HYPERLINK("http://www.worldcat.org/oclc/71243517","WorldCat Record")</f>
        <v>WorldCat Record</v>
      </c>
      <c r="AX1115" s="3" t="s">
        <v>11572</v>
      </c>
      <c r="AY1115" s="3" t="s">
        <v>11573</v>
      </c>
      <c r="AZ1115" s="3" t="s">
        <v>11574</v>
      </c>
      <c r="BA1115" s="3" t="s">
        <v>11574</v>
      </c>
      <c r="BB1115" s="3" t="s">
        <v>11575</v>
      </c>
      <c r="BC1115" s="3" t="s">
        <v>78</v>
      </c>
      <c r="BD1115" s="3" t="s">
        <v>79</v>
      </c>
      <c r="BE1115" s="3" t="s">
        <v>11576</v>
      </c>
      <c r="BF1115" s="3" t="s">
        <v>11575</v>
      </c>
      <c r="BG1115" s="3" t="s">
        <v>11577</v>
      </c>
    </row>
    <row r="1116" spans="1:59" ht="58" x14ac:dyDescent="0.35">
      <c r="A1116" s="2" t="s">
        <v>59</v>
      </c>
      <c r="B1116" s="2" t="s">
        <v>94</v>
      </c>
      <c r="C1116" s="2" t="s">
        <v>11578</v>
      </c>
      <c r="D1116" s="2" t="s">
        <v>11579</v>
      </c>
      <c r="E1116" s="2" t="s">
        <v>11580</v>
      </c>
      <c r="G1116" s="3" t="s">
        <v>64</v>
      </c>
      <c r="I1116" s="3" t="s">
        <v>73</v>
      </c>
      <c r="J1116" s="3" t="s">
        <v>64</v>
      </c>
      <c r="K1116" s="3" t="s">
        <v>65</v>
      </c>
      <c r="L1116" s="2" t="s">
        <v>11581</v>
      </c>
      <c r="M1116" s="2" t="s">
        <v>11582</v>
      </c>
      <c r="N1116" s="3" t="s">
        <v>148</v>
      </c>
      <c r="P1116" s="3" t="s">
        <v>69</v>
      </c>
      <c r="R1116" s="3" t="s">
        <v>9228</v>
      </c>
      <c r="S1116" s="4">
        <v>26</v>
      </c>
      <c r="T1116" s="4">
        <v>26</v>
      </c>
      <c r="U1116" s="5" t="s">
        <v>11583</v>
      </c>
      <c r="V1116" s="5" t="s">
        <v>11583</v>
      </c>
      <c r="W1116" s="5" t="s">
        <v>72</v>
      </c>
      <c r="X1116" s="5" t="s">
        <v>72</v>
      </c>
      <c r="Y1116" s="4">
        <v>76</v>
      </c>
      <c r="Z1116" s="4">
        <v>37</v>
      </c>
      <c r="AA1116" s="4">
        <v>40</v>
      </c>
      <c r="AB1116" s="4">
        <v>2</v>
      </c>
      <c r="AC1116" s="4">
        <v>4</v>
      </c>
      <c r="AD1116" s="4">
        <v>47</v>
      </c>
      <c r="AE1116" s="4">
        <v>49</v>
      </c>
      <c r="AF1116" s="4">
        <v>1</v>
      </c>
      <c r="AG1116" s="4">
        <v>3</v>
      </c>
      <c r="AH1116" s="4">
        <v>29</v>
      </c>
      <c r="AI1116" s="4">
        <v>30</v>
      </c>
      <c r="AJ1116" s="4">
        <v>21</v>
      </c>
      <c r="AK1116" s="4">
        <v>23</v>
      </c>
      <c r="AL1116" s="4">
        <v>14</v>
      </c>
      <c r="AM1116" s="4">
        <v>14</v>
      </c>
      <c r="AN1116" s="4">
        <v>0</v>
      </c>
      <c r="AO1116" s="4">
        <v>0</v>
      </c>
      <c r="AP1116" s="4">
        <v>27</v>
      </c>
      <c r="AQ1116" s="4">
        <v>28</v>
      </c>
      <c r="AR1116" s="3" t="s">
        <v>73</v>
      </c>
      <c r="AS1116" s="3" t="s">
        <v>64</v>
      </c>
      <c r="AT1116" s="3" t="s">
        <v>73</v>
      </c>
      <c r="AU1116" s="6" t="str">
        <f>HYPERLINK("http://catalog.hathitrust.org/Record/001047907","HathiTrust Record")</f>
        <v>HathiTrust Record</v>
      </c>
      <c r="AV1116" s="6" t="str">
        <f>HYPERLINK("http://mcgill.on.worldcat.org/oclc/4558023","Catalog Record")</f>
        <v>Catalog Record</v>
      </c>
      <c r="AW1116" s="6" t="str">
        <f>HYPERLINK("http://www.worldcat.org/oclc/4558023","WorldCat Record")</f>
        <v>WorldCat Record</v>
      </c>
      <c r="AX1116" s="3" t="s">
        <v>11584</v>
      </c>
      <c r="AY1116" s="3" t="s">
        <v>11585</v>
      </c>
      <c r="AZ1116" s="3" t="s">
        <v>11586</v>
      </c>
      <c r="BA1116" s="3" t="s">
        <v>11586</v>
      </c>
      <c r="BB1116" s="3" t="s">
        <v>11587</v>
      </c>
      <c r="BC1116" s="3" t="s">
        <v>78</v>
      </c>
      <c r="BD1116" s="3" t="s">
        <v>79</v>
      </c>
      <c r="BF1116" s="3" t="s">
        <v>11587</v>
      </c>
      <c r="BG1116" s="3" t="s">
        <v>11588</v>
      </c>
    </row>
    <row r="1117" spans="1:59" ht="58" x14ac:dyDescent="0.35">
      <c r="A1117" s="2" t="s">
        <v>59</v>
      </c>
      <c r="B1117" s="2" t="s">
        <v>94</v>
      </c>
      <c r="C1117" s="2" t="s">
        <v>11578</v>
      </c>
      <c r="D1117" s="2" t="s">
        <v>11579</v>
      </c>
      <c r="E1117" s="2" t="s">
        <v>11580</v>
      </c>
      <c r="G1117" s="3" t="s">
        <v>64</v>
      </c>
      <c r="I1117" s="3" t="s">
        <v>73</v>
      </c>
      <c r="J1117" s="3" t="s">
        <v>64</v>
      </c>
      <c r="K1117" s="3" t="s">
        <v>65</v>
      </c>
      <c r="L1117" s="2" t="s">
        <v>11581</v>
      </c>
      <c r="M1117" s="2" t="s">
        <v>11582</v>
      </c>
      <c r="N1117" s="3" t="s">
        <v>148</v>
      </c>
      <c r="P1117" s="3" t="s">
        <v>69</v>
      </c>
      <c r="R1117" s="3" t="s">
        <v>9228</v>
      </c>
      <c r="S1117" s="4">
        <v>0</v>
      </c>
      <c r="T1117" s="4">
        <v>26</v>
      </c>
      <c r="V1117" s="5" t="s">
        <v>11583</v>
      </c>
      <c r="W1117" s="5" t="s">
        <v>72</v>
      </c>
      <c r="X1117" s="5" t="s">
        <v>72</v>
      </c>
      <c r="Y1117" s="4">
        <v>76</v>
      </c>
      <c r="Z1117" s="4">
        <v>37</v>
      </c>
      <c r="AA1117" s="4">
        <v>40</v>
      </c>
      <c r="AB1117" s="4">
        <v>2</v>
      </c>
      <c r="AC1117" s="4">
        <v>4</v>
      </c>
      <c r="AD1117" s="4">
        <v>47</v>
      </c>
      <c r="AE1117" s="4">
        <v>49</v>
      </c>
      <c r="AF1117" s="4">
        <v>1</v>
      </c>
      <c r="AG1117" s="4">
        <v>3</v>
      </c>
      <c r="AH1117" s="4">
        <v>29</v>
      </c>
      <c r="AI1117" s="4">
        <v>30</v>
      </c>
      <c r="AJ1117" s="4">
        <v>21</v>
      </c>
      <c r="AK1117" s="4">
        <v>23</v>
      </c>
      <c r="AL1117" s="4">
        <v>14</v>
      </c>
      <c r="AM1117" s="4">
        <v>14</v>
      </c>
      <c r="AN1117" s="4">
        <v>0</v>
      </c>
      <c r="AO1117" s="4">
        <v>0</v>
      </c>
      <c r="AP1117" s="4">
        <v>27</v>
      </c>
      <c r="AQ1117" s="4">
        <v>28</v>
      </c>
      <c r="AR1117" s="3" t="s">
        <v>73</v>
      </c>
      <c r="AS1117" s="3" t="s">
        <v>64</v>
      </c>
      <c r="AT1117" s="3" t="s">
        <v>73</v>
      </c>
      <c r="AU1117" s="6" t="str">
        <f>HYPERLINK("http://catalog.hathitrust.org/Record/001047907","HathiTrust Record")</f>
        <v>HathiTrust Record</v>
      </c>
      <c r="AV1117" s="6" t="str">
        <f>HYPERLINK("http://mcgill.on.worldcat.org/oclc/4558023","Catalog Record")</f>
        <v>Catalog Record</v>
      </c>
      <c r="AW1117" s="6" t="str">
        <f>HYPERLINK("http://www.worldcat.org/oclc/4558023","WorldCat Record")</f>
        <v>WorldCat Record</v>
      </c>
      <c r="AX1117" s="3" t="s">
        <v>11584</v>
      </c>
      <c r="AY1117" s="3" t="s">
        <v>11585</v>
      </c>
      <c r="AZ1117" s="3" t="s">
        <v>11586</v>
      </c>
      <c r="BA1117" s="3" t="s">
        <v>11586</v>
      </c>
      <c r="BB1117" s="3" t="s">
        <v>11589</v>
      </c>
      <c r="BC1117" s="3" t="s">
        <v>78</v>
      </c>
      <c r="BD1117" s="3" t="s">
        <v>79</v>
      </c>
      <c r="BF1117" s="3" t="s">
        <v>11589</v>
      </c>
      <c r="BG1117" s="3" t="s">
        <v>11590</v>
      </c>
    </row>
    <row r="1118" spans="1:59" ht="58" x14ac:dyDescent="0.35">
      <c r="A1118" s="2" t="s">
        <v>59</v>
      </c>
      <c r="B1118" s="2" t="s">
        <v>94</v>
      </c>
      <c r="C1118" s="2" t="s">
        <v>11591</v>
      </c>
      <c r="D1118" s="2" t="s">
        <v>11592</v>
      </c>
      <c r="E1118" s="2" t="s">
        <v>11593</v>
      </c>
      <c r="G1118" s="3" t="s">
        <v>64</v>
      </c>
      <c r="I1118" s="3" t="s">
        <v>64</v>
      </c>
      <c r="J1118" s="3" t="s">
        <v>64</v>
      </c>
      <c r="K1118" s="3" t="s">
        <v>65</v>
      </c>
      <c r="L1118" s="2" t="s">
        <v>11594</v>
      </c>
      <c r="M1118" s="2" t="s">
        <v>11595</v>
      </c>
      <c r="N1118" s="3" t="s">
        <v>340</v>
      </c>
      <c r="P1118" s="3" t="s">
        <v>69</v>
      </c>
      <c r="Q1118" s="2" t="s">
        <v>11596</v>
      </c>
      <c r="R1118" s="3" t="s">
        <v>9228</v>
      </c>
      <c r="S1118" s="4">
        <v>37</v>
      </c>
      <c r="T1118" s="4">
        <v>37</v>
      </c>
      <c r="U1118" s="5" t="s">
        <v>11561</v>
      </c>
      <c r="V1118" s="5" t="s">
        <v>11561</v>
      </c>
      <c r="W1118" s="5" t="s">
        <v>72</v>
      </c>
      <c r="X1118" s="5" t="s">
        <v>72</v>
      </c>
      <c r="Y1118" s="4">
        <v>26</v>
      </c>
      <c r="Z1118" s="4">
        <v>6</v>
      </c>
      <c r="AA1118" s="4">
        <v>36</v>
      </c>
      <c r="AB1118" s="4">
        <v>1</v>
      </c>
      <c r="AC1118" s="4">
        <v>7</v>
      </c>
      <c r="AD1118" s="4">
        <v>12</v>
      </c>
      <c r="AE1118" s="4">
        <v>72</v>
      </c>
      <c r="AF1118" s="4">
        <v>0</v>
      </c>
      <c r="AG1118" s="4">
        <v>3</v>
      </c>
      <c r="AH1118" s="4">
        <v>11</v>
      </c>
      <c r="AI1118" s="4">
        <v>58</v>
      </c>
      <c r="AJ1118" s="4">
        <v>4</v>
      </c>
      <c r="AK1118" s="4">
        <v>19</v>
      </c>
      <c r="AL1118" s="4">
        <v>6</v>
      </c>
      <c r="AM1118" s="4">
        <v>33</v>
      </c>
      <c r="AN1118" s="4">
        <v>0</v>
      </c>
      <c r="AO1118" s="4">
        <v>0</v>
      </c>
      <c r="AP1118" s="4">
        <v>3</v>
      </c>
      <c r="AQ1118" s="4">
        <v>21</v>
      </c>
      <c r="AR1118" s="3" t="s">
        <v>64</v>
      </c>
      <c r="AS1118" s="3" t="s">
        <v>64</v>
      </c>
      <c r="AT1118" s="3" t="s">
        <v>64</v>
      </c>
      <c r="AV1118" s="6" t="str">
        <f>HYPERLINK("http://mcgill.on.worldcat.org/oclc/145428662","Catalog Record")</f>
        <v>Catalog Record</v>
      </c>
      <c r="AW1118" s="6" t="str">
        <f>HYPERLINK("http://www.worldcat.org/oclc/145428662","WorldCat Record")</f>
        <v>WorldCat Record</v>
      </c>
      <c r="AX1118" s="3" t="s">
        <v>11597</v>
      </c>
      <c r="AY1118" s="3" t="s">
        <v>11598</v>
      </c>
      <c r="AZ1118" s="3" t="s">
        <v>11599</v>
      </c>
      <c r="BA1118" s="3" t="s">
        <v>11599</v>
      </c>
      <c r="BB1118" s="3" t="s">
        <v>11600</v>
      </c>
      <c r="BC1118" s="3" t="s">
        <v>78</v>
      </c>
      <c r="BD1118" s="3" t="s">
        <v>79</v>
      </c>
      <c r="BE1118" s="3" t="s">
        <v>11601</v>
      </c>
      <c r="BF1118" s="3" t="s">
        <v>11600</v>
      </c>
      <c r="BG1118" s="3" t="s">
        <v>11602</v>
      </c>
    </row>
    <row r="1119" spans="1:59" ht="58" x14ac:dyDescent="0.35">
      <c r="A1119" s="2" t="s">
        <v>59</v>
      </c>
      <c r="B1119" s="2" t="s">
        <v>94</v>
      </c>
      <c r="C1119" s="2" t="s">
        <v>11603</v>
      </c>
      <c r="D1119" s="2" t="s">
        <v>11604</v>
      </c>
      <c r="E1119" s="2" t="s">
        <v>11605</v>
      </c>
      <c r="G1119" s="3" t="s">
        <v>64</v>
      </c>
      <c r="I1119" s="3" t="s">
        <v>64</v>
      </c>
      <c r="J1119" s="3" t="s">
        <v>64</v>
      </c>
      <c r="K1119" s="3" t="s">
        <v>65</v>
      </c>
      <c r="L1119" s="2" t="s">
        <v>11606</v>
      </c>
      <c r="M1119" s="2" t="s">
        <v>11607</v>
      </c>
      <c r="N1119" s="3" t="s">
        <v>1167</v>
      </c>
      <c r="P1119" s="3" t="s">
        <v>69</v>
      </c>
      <c r="Q1119" s="2" t="s">
        <v>11608</v>
      </c>
      <c r="R1119" s="3" t="s">
        <v>9228</v>
      </c>
      <c r="S1119" s="4">
        <v>29</v>
      </c>
      <c r="T1119" s="4">
        <v>29</v>
      </c>
      <c r="U1119" s="5" t="s">
        <v>11609</v>
      </c>
      <c r="V1119" s="5" t="s">
        <v>11609</v>
      </c>
      <c r="W1119" s="5" t="s">
        <v>72</v>
      </c>
      <c r="X1119" s="5" t="s">
        <v>72</v>
      </c>
      <c r="Y1119" s="4">
        <v>20</v>
      </c>
      <c r="Z1119" s="4">
        <v>18</v>
      </c>
      <c r="AA1119" s="4">
        <v>24</v>
      </c>
      <c r="AB1119" s="4">
        <v>3</v>
      </c>
      <c r="AC1119" s="4">
        <v>5</v>
      </c>
      <c r="AD1119" s="4">
        <v>16</v>
      </c>
      <c r="AE1119" s="4">
        <v>21</v>
      </c>
      <c r="AF1119" s="4">
        <v>2</v>
      </c>
      <c r="AG1119" s="4">
        <v>4</v>
      </c>
      <c r="AH1119" s="4">
        <v>3</v>
      </c>
      <c r="AI1119" s="4">
        <v>5</v>
      </c>
      <c r="AJ1119" s="4">
        <v>7</v>
      </c>
      <c r="AK1119" s="4">
        <v>12</v>
      </c>
      <c r="AL1119" s="4">
        <v>1</v>
      </c>
      <c r="AM1119" s="4">
        <v>2</v>
      </c>
      <c r="AN1119" s="4">
        <v>0</v>
      </c>
      <c r="AO1119" s="4">
        <v>0</v>
      </c>
      <c r="AP1119" s="4">
        <v>13</v>
      </c>
      <c r="AQ1119" s="4">
        <v>17</v>
      </c>
      <c r="AR1119" s="3" t="s">
        <v>73</v>
      </c>
      <c r="AS1119" s="3" t="s">
        <v>64</v>
      </c>
      <c r="AT1119" s="3" t="s">
        <v>64</v>
      </c>
      <c r="AV1119" s="6" t="str">
        <f>HYPERLINK("http://mcgill.on.worldcat.org/oclc/10245416","Catalog Record")</f>
        <v>Catalog Record</v>
      </c>
      <c r="AW1119" s="6" t="str">
        <f>HYPERLINK("http://www.worldcat.org/oclc/10245416","WorldCat Record")</f>
        <v>WorldCat Record</v>
      </c>
      <c r="AX1119" s="3" t="s">
        <v>11610</v>
      </c>
      <c r="AY1119" s="3" t="s">
        <v>11611</v>
      </c>
      <c r="AZ1119" s="3" t="s">
        <v>11612</v>
      </c>
      <c r="BA1119" s="3" t="s">
        <v>11612</v>
      </c>
      <c r="BB1119" s="3" t="s">
        <v>11613</v>
      </c>
      <c r="BC1119" s="3" t="s">
        <v>78</v>
      </c>
      <c r="BD1119" s="3" t="s">
        <v>79</v>
      </c>
      <c r="BF1119" s="3" t="s">
        <v>11613</v>
      </c>
      <c r="BG1119" s="3" t="s">
        <v>11614</v>
      </c>
    </row>
    <row r="1120" spans="1:59" ht="58" x14ac:dyDescent="0.35">
      <c r="A1120" s="2" t="s">
        <v>59</v>
      </c>
      <c r="B1120" s="2" t="s">
        <v>94</v>
      </c>
      <c r="C1120" s="2" t="s">
        <v>11615</v>
      </c>
      <c r="D1120" s="2" t="s">
        <v>11616</v>
      </c>
      <c r="E1120" s="2" t="s">
        <v>11617</v>
      </c>
      <c r="G1120" s="3" t="s">
        <v>64</v>
      </c>
      <c r="I1120" s="3" t="s">
        <v>64</v>
      </c>
      <c r="J1120" s="3" t="s">
        <v>64</v>
      </c>
      <c r="K1120" s="3" t="s">
        <v>65</v>
      </c>
      <c r="L1120" s="2" t="s">
        <v>11618</v>
      </c>
      <c r="M1120" s="2" t="s">
        <v>11619</v>
      </c>
      <c r="N1120" s="3" t="s">
        <v>861</v>
      </c>
      <c r="P1120" s="3" t="s">
        <v>69</v>
      </c>
      <c r="R1120" s="3" t="s">
        <v>9228</v>
      </c>
      <c r="S1120" s="4">
        <v>23</v>
      </c>
      <c r="T1120" s="4">
        <v>23</v>
      </c>
      <c r="U1120" s="5" t="s">
        <v>11620</v>
      </c>
      <c r="V1120" s="5" t="s">
        <v>11620</v>
      </c>
      <c r="W1120" s="5" t="s">
        <v>72</v>
      </c>
      <c r="X1120" s="5" t="s">
        <v>72</v>
      </c>
      <c r="Y1120" s="4">
        <v>161</v>
      </c>
      <c r="Z1120" s="4">
        <v>62</v>
      </c>
      <c r="AA1120" s="4">
        <v>152</v>
      </c>
      <c r="AB1120" s="4">
        <v>3</v>
      </c>
      <c r="AC1120" s="4">
        <v>25</v>
      </c>
      <c r="AD1120" s="4">
        <v>84</v>
      </c>
      <c r="AE1120" s="4">
        <v>142</v>
      </c>
      <c r="AF1120" s="4">
        <v>1</v>
      </c>
      <c r="AG1120" s="4">
        <v>9</v>
      </c>
      <c r="AH1120" s="4">
        <v>55</v>
      </c>
      <c r="AI1120" s="4">
        <v>90</v>
      </c>
      <c r="AJ1120" s="4">
        <v>24</v>
      </c>
      <c r="AK1120" s="4">
        <v>30</v>
      </c>
      <c r="AL1120" s="4">
        <v>29</v>
      </c>
      <c r="AM1120" s="4">
        <v>43</v>
      </c>
      <c r="AN1120" s="4">
        <v>0</v>
      </c>
      <c r="AO1120" s="4">
        <v>0</v>
      </c>
      <c r="AP1120" s="4">
        <v>37</v>
      </c>
      <c r="AQ1120" s="4">
        <v>60</v>
      </c>
      <c r="AR1120" s="3" t="s">
        <v>73</v>
      </c>
      <c r="AS1120" s="3" t="s">
        <v>64</v>
      </c>
      <c r="AT1120" s="3" t="s">
        <v>64</v>
      </c>
      <c r="AV1120" s="6" t="str">
        <f>HYPERLINK("http://mcgill.on.worldcat.org/oclc/52920276","Catalog Record")</f>
        <v>Catalog Record</v>
      </c>
      <c r="AW1120" s="6" t="str">
        <f>HYPERLINK("http://www.worldcat.org/oclc/52920276","WorldCat Record")</f>
        <v>WorldCat Record</v>
      </c>
      <c r="AX1120" s="3" t="s">
        <v>11621</v>
      </c>
      <c r="AY1120" s="3" t="s">
        <v>11622</v>
      </c>
      <c r="AZ1120" s="3" t="s">
        <v>11623</v>
      </c>
      <c r="BA1120" s="3" t="s">
        <v>11623</v>
      </c>
      <c r="BB1120" s="3" t="s">
        <v>11624</v>
      </c>
      <c r="BC1120" s="3" t="s">
        <v>78</v>
      </c>
      <c r="BD1120" s="3" t="s">
        <v>79</v>
      </c>
      <c r="BE1120" s="3" t="s">
        <v>11625</v>
      </c>
      <c r="BF1120" s="3" t="s">
        <v>11624</v>
      </c>
      <c r="BG1120" s="3" t="s">
        <v>11626</v>
      </c>
    </row>
    <row r="1121" spans="1:59" ht="58" x14ac:dyDescent="0.35">
      <c r="A1121" s="2" t="s">
        <v>59</v>
      </c>
      <c r="B1121" s="2" t="s">
        <v>94</v>
      </c>
      <c r="C1121" s="2" t="s">
        <v>11627</v>
      </c>
      <c r="D1121" s="2" t="s">
        <v>11628</v>
      </c>
      <c r="E1121" s="2" t="s">
        <v>11629</v>
      </c>
      <c r="G1121" s="3" t="s">
        <v>64</v>
      </c>
      <c r="I1121" s="3" t="s">
        <v>64</v>
      </c>
      <c r="J1121" s="3" t="s">
        <v>64</v>
      </c>
      <c r="K1121" s="3" t="s">
        <v>65</v>
      </c>
      <c r="M1121" s="2" t="s">
        <v>11630</v>
      </c>
      <c r="N1121" s="3" t="s">
        <v>328</v>
      </c>
      <c r="P1121" s="3" t="s">
        <v>69</v>
      </c>
      <c r="Q1121" s="2" t="s">
        <v>11631</v>
      </c>
      <c r="R1121" s="3" t="s">
        <v>9228</v>
      </c>
      <c r="S1121" s="4">
        <v>0</v>
      </c>
      <c r="T1121" s="4">
        <v>0</v>
      </c>
      <c r="W1121" s="5" t="s">
        <v>72</v>
      </c>
      <c r="X1121" s="5" t="s">
        <v>72</v>
      </c>
      <c r="Y1121" s="4">
        <v>3</v>
      </c>
      <c r="Z1121" s="4">
        <v>2</v>
      </c>
      <c r="AA1121" s="4">
        <v>11</v>
      </c>
      <c r="AB1121" s="4">
        <v>2</v>
      </c>
      <c r="AC1121" s="4">
        <v>2</v>
      </c>
      <c r="AD1121" s="4">
        <v>2</v>
      </c>
      <c r="AE1121" s="4">
        <v>9</v>
      </c>
      <c r="AF1121" s="4">
        <v>1</v>
      </c>
      <c r="AG1121" s="4">
        <v>1</v>
      </c>
      <c r="AH1121" s="4">
        <v>1</v>
      </c>
      <c r="AI1121" s="4">
        <v>4</v>
      </c>
      <c r="AJ1121" s="4">
        <v>1</v>
      </c>
      <c r="AK1121" s="4">
        <v>8</v>
      </c>
      <c r="AL1121" s="4">
        <v>0</v>
      </c>
      <c r="AM1121" s="4">
        <v>1</v>
      </c>
      <c r="AN1121" s="4">
        <v>0</v>
      </c>
      <c r="AO1121" s="4">
        <v>0</v>
      </c>
      <c r="AP1121" s="4">
        <v>1</v>
      </c>
      <c r="AQ1121" s="4">
        <v>7</v>
      </c>
      <c r="AR1121" s="3" t="s">
        <v>73</v>
      </c>
      <c r="AS1121" s="3" t="s">
        <v>64</v>
      </c>
      <c r="AT1121" s="3" t="s">
        <v>64</v>
      </c>
      <c r="AV1121" s="6" t="str">
        <f>HYPERLINK("http://mcgill.on.worldcat.org/oclc/781556156","Catalog Record")</f>
        <v>Catalog Record</v>
      </c>
      <c r="AW1121" s="6" t="str">
        <f>HYPERLINK("http://www.worldcat.org/oclc/781556156","WorldCat Record")</f>
        <v>WorldCat Record</v>
      </c>
      <c r="AX1121" s="3" t="s">
        <v>11632</v>
      </c>
      <c r="AY1121" s="3" t="s">
        <v>11633</v>
      </c>
      <c r="AZ1121" s="3" t="s">
        <v>11634</v>
      </c>
      <c r="BA1121" s="3" t="s">
        <v>11634</v>
      </c>
      <c r="BB1121" s="3" t="s">
        <v>11635</v>
      </c>
      <c r="BC1121" s="3" t="s">
        <v>78</v>
      </c>
      <c r="BD1121" s="3" t="s">
        <v>79</v>
      </c>
      <c r="BE1121" s="3" t="s">
        <v>11636</v>
      </c>
      <c r="BF1121" s="3" t="s">
        <v>11635</v>
      </c>
      <c r="BG1121" s="3" t="s">
        <v>11637</v>
      </c>
    </row>
    <row r="1122" spans="1:59" ht="58" x14ac:dyDescent="0.35">
      <c r="A1122" s="2" t="s">
        <v>59</v>
      </c>
      <c r="B1122" s="2" t="s">
        <v>94</v>
      </c>
      <c r="C1122" s="2" t="s">
        <v>11638</v>
      </c>
      <c r="D1122" s="2" t="s">
        <v>11639</v>
      </c>
      <c r="E1122" s="2" t="s">
        <v>11640</v>
      </c>
      <c r="G1122" s="3" t="s">
        <v>64</v>
      </c>
      <c r="I1122" s="3" t="s">
        <v>64</v>
      </c>
      <c r="J1122" s="3" t="s">
        <v>64</v>
      </c>
      <c r="K1122" s="3" t="s">
        <v>65</v>
      </c>
      <c r="L1122" s="2" t="s">
        <v>11641</v>
      </c>
      <c r="M1122" s="2" t="s">
        <v>11642</v>
      </c>
      <c r="N1122" s="3" t="s">
        <v>287</v>
      </c>
      <c r="P1122" s="3" t="s">
        <v>69</v>
      </c>
      <c r="R1122" s="3" t="s">
        <v>9228</v>
      </c>
      <c r="S1122" s="4">
        <v>16</v>
      </c>
      <c r="T1122" s="4">
        <v>16</v>
      </c>
      <c r="U1122" s="5" t="s">
        <v>11643</v>
      </c>
      <c r="V1122" s="5" t="s">
        <v>11643</v>
      </c>
      <c r="W1122" s="5" t="s">
        <v>72</v>
      </c>
      <c r="X1122" s="5" t="s">
        <v>72</v>
      </c>
      <c r="Y1122" s="4">
        <v>1</v>
      </c>
      <c r="Z1122" s="4">
        <v>1</v>
      </c>
      <c r="AA1122" s="4">
        <v>4</v>
      </c>
      <c r="AB1122" s="4">
        <v>1</v>
      </c>
      <c r="AC1122" s="4">
        <v>1</v>
      </c>
      <c r="AD1122" s="4">
        <v>0</v>
      </c>
      <c r="AE1122" s="4">
        <v>2</v>
      </c>
      <c r="AF1122" s="4">
        <v>0</v>
      </c>
      <c r="AG1122" s="4">
        <v>0</v>
      </c>
      <c r="AH1122" s="4">
        <v>0</v>
      </c>
      <c r="AI1122" s="4">
        <v>0</v>
      </c>
      <c r="AJ1122" s="4">
        <v>0</v>
      </c>
      <c r="AK1122" s="4">
        <v>2</v>
      </c>
      <c r="AL1122" s="4">
        <v>0</v>
      </c>
      <c r="AM1122" s="4">
        <v>0</v>
      </c>
      <c r="AN1122" s="4">
        <v>0</v>
      </c>
      <c r="AO1122" s="4">
        <v>0</v>
      </c>
      <c r="AP1122" s="4">
        <v>0</v>
      </c>
      <c r="AQ1122" s="4">
        <v>1</v>
      </c>
      <c r="AR1122" s="3" t="s">
        <v>64</v>
      </c>
      <c r="AS1122" s="3" t="s">
        <v>64</v>
      </c>
      <c r="AT1122" s="3" t="s">
        <v>64</v>
      </c>
      <c r="AV1122" s="6" t="str">
        <f>HYPERLINK("http://mcgill.on.worldcat.org/oclc/61592586","Catalog Record")</f>
        <v>Catalog Record</v>
      </c>
      <c r="AW1122" s="6" t="str">
        <f>HYPERLINK("http://www.worldcat.org/oclc/61592586","WorldCat Record")</f>
        <v>WorldCat Record</v>
      </c>
      <c r="AX1122" s="3" t="s">
        <v>11644</v>
      </c>
      <c r="AY1122" s="3" t="s">
        <v>11645</v>
      </c>
      <c r="AZ1122" s="3" t="s">
        <v>11646</v>
      </c>
      <c r="BA1122" s="3" t="s">
        <v>11646</v>
      </c>
      <c r="BB1122" s="3" t="s">
        <v>11647</v>
      </c>
      <c r="BC1122" s="3" t="s">
        <v>11648</v>
      </c>
      <c r="BD1122" s="3" t="s">
        <v>79</v>
      </c>
      <c r="BF1122" s="3" t="s">
        <v>11647</v>
      </c>
      <c r="BG1122" s="3" t="s">
        <v>11649</v>
      </c>
    </row>
    <row r="1123" spans="1:59" ht="58" x14ac:dyDescent="0.35">
      <c r="A1123" s="2" t="s">
        <v>59</v>
      </c>
      <c r="B1123" s="2" t="s">
        <v>94</v>
      </c>
      <c r="C1123" s="2" t="s">
        <v>11650</v>
      </c>
      <c r="D1123" s="2" t="s">
        <v>11651</v>
      </c>
      <c r="E1123" s="2" t="s">
        <v>11652</v>
      </c>
      <c r="G1123" s="3" t="s">
        <v>64</v>
      </c>
      <c r="I1123" s="3" t="s">
        <v>64</v>
      </c>
      <c r="J1123" s="3" t="s">
        <v>64</v>
      </c>
      <c r="K1123" s="3" t="s">
        <v>65</v>
      </c>
      <c r="L1123" s="2" t="s">
        <v>11653</v>
      </c>
      <c r="M1123" s="2" t="s">
        <v>11654</v>
      </c>
      <c r="N1123" s="3" t="s">
        <v>87</v>
      </c>
      <c r="P1123" s="3" t="s">
        <v>162</v>
      </c>
      <c r="Q1123" s="2" t="s">
        <v>11655</v>
      </c>
      <c r="R1123" s="3" t="s">
        <v>9228</v>
      </c>
      <c r="S1123" s="4">
        <v>0</v>
      </c>
      <c r="T1123" s="4">
        <v>0</v>
      </c>
      <c r="W1123" s="5" t="s">
        <v>72</v>
      </c>
      <c r="X1123" s="5" t="s">
        <v>72</v>
      </c>
      <c r="Y1123" s="4">
        <v>7</v>
      </c>
      <c r="Z1123" s="4">
        <v>5</v>
      </c>
      <c r="AA1123" s="4">
        <v>6</v>
      </c>
      <c r="AB1123" s="4">
        <v>1</v>
      </c>
      <c r="AC1123" s="4">
        <v>1</v>
      </c>
      <c r="AD1123" s="4">
        <v>4</v>
      </c>
      <c r="AE1123" s="4">
        <v>5</v>
      </c>
      <c r="AF1123" s="4">
        <v>0</v>
      </c>
      <c r="AG1123" s="4">
        <v>0</v>
      </c>
      <c r="AH1123" s="4">
        <v>3</v>
      </c>
      <c r="AI1123" s="4">
        <v>3</v>
      </c>
      <c r="AJ1123" s="4">
        <v>3</v>
      </c>
      <c r="AK1123" s="4">
        <v>4</v>
      </c>
      <c r="AL1123" s="4">
        <v>1</v>
      </c>
      <c r="AM1123" s="4">
        <v>1</v>
      </c>
      <c r="AN1123" s="4">
        <v>0</v>
      </c>
      <c r="AO1123" s="4">
        <v>0</v>
      </c>
      <c r="AP1123" s="4">
        <v>2</v>
      </c>
      <c r="AQ1123" s="4">
        <v>2</v>
      </c>
      <c r="AR1123" s="3" t="s">
        <v>73</v>
      </c>
      <c r="AS1123" s="3" t="s">
        <v>64</v>
      </c>
      <c r="AT1123" s="3" t="s">
        <v>64</v>
      </c>
      <c r="AV1123" s="6" t="str">
        <f>HYPERLINK("http://mcgill.on.worldcat.org/oclc/928986401","Catalog Record")</f>
        <v>Catalog Record</v>
      </c>
      <c r="AW1123" s="6" t="str">
        <f>HYPERLINK("http://www.worldcat.org/oclc/928986401","WorldCat Record")</f>
        <v>WorldCat Record</v>
      </c>
      <c r="AX1123" s="3" t="s">
        <v>11656</v>
      </c>
      <c r="AY1123" s="3" t="s">
        <v>11657</v>
      </c>
      <c r="AZ1123" s="3" t="s">
        <v>11658</v>
      </c>
      <c r="BA1123" s="3" t="s">
        <v>11658</v>
      </c>
      <c r="BB1123" s="3" t="s">
        <v>11659</v>
      </c>
      <c r="BC1123" s="3" t="s">
        <v>78</v>
      </c>
      <c r="BD1123" s="3" t="s">
        <v>79</v>
      </c>
      <c r="BE1123" s="3" t="s">
        <v>11660</v>
      </c>
      <c r="BF1123" s="3" t="s">
        <v>11659</v>
      </c>
      <c r="BG1123" s="3" t="s">
        <v>11661</v>
      </c>
    </row>
    <row r="1124" spans="1:59" ht="58" x14ac:dyDescent="0.35">
      <c r="A1124" s="2" t="s">
        <v>59</v>
      </c>
      <c r="B1124" s="2" t="s">
        <v>94</v>
      </c>
      <c r="C1124" s="2" t="s">
        <v>11662</v>
      </c>
      <c r="D1124" s="2" t="s">
        <v>11663</v>
      </c>
      <c r="E1124" s="2" t="s">
        <v>11664</v>
      </c>
      <c r="G1124" s="3" t="s">
        <v>64</v>
      </c>
      <c r="I1124" s="3" t="s">
        <v>64</v>
      </c>
      <c r="J1124" s="3" t="s">
        <v>64</v>
      </c>
      <c r="K1124" s="3" t="s">
        <v>65</v>
      </c>
      <c r="L1124" s="2" t="s">
        <v>11665</v>
      </c>
      <c r="M1124" s="2" t="s">
        <v>11666</v>
      </c>
      <c r="N1124" s="3" t="s">
        <v>175</v>
      </c>
      <c r="P1124" s="3" t="s">
        <v>69</v>
      </c>
      <c r="Q1124" s="2" t="s">
        <v>4287</v>
      </c>
      <c r="R1124" s="3" t="s">
        <v>9228</v>
      </c>
      <c r="S1124" s="4">
        <v>2</v>
      </c>
      <c r="T1124" s="4">
        <v>2</v>
      </c>
      <c r="U1124" s="5" t="s">
        <v>8636</v>
      </c>
      <c r="V1124" s="5" t="s">
        <v>8636</v>
      </c>
      <c r="W1124" s="5" t="s">
        <v>72</v>
      </c>
      <c r="X1124" s="5" t="s">
        <v>72</v>
      </c>
      <c r="Y1124" s="4">
        <v>78</v>
      </c>
      <c r="Z1124" s="4">
        <v>33</v>
      </c>
      <c r="AA1124" s="4">
        <v>101</v>
      </c>
      <c r="AB1124" s="4">
        <v>1</v>
      </c>
      <c r="AC1124" s="4">
        <v>15</v>
      </c>
      <c r="AD1124" s="4">
        <v>45</v>
      </c>
      <c r="AE1124" s="4">
        <v>111</v>
      </c>
      <c r="AF1124" s="4">
        <v>0</v>
      </c>
      <c r="AG1124" s="4">
        <v>8</v>
      </c>
      <c r="AH1124" s="4">
        <v>33</v>
      </c>
      <c r="AI1124" s="4">
        <v>66</v>
      </c>
      <c r="AJ1124" s="4">
        <v>16</v>
      </c>
      <c r="AK1124" s="4">
        <v>28</v>
      </c>
      <c r="AL1124" s="4">
        <v>15</v>
      </c>
      <c r="AM1124" s="4">
        <v>31</v>
      </c>
      <c r="AN1124" s="4">
        <v>0</v>
      </c>
      <c r="AO1124" s="4">
        <v>0</v>
      </c>
      <c r="AP1124" s="4">
        <v>18</v>
      </c>
      <c r="AQ1124" s="4">
        <v>54</v>
      </c>
      <c r="AR1124" s="3" t="s">
        <v>73</v>
      </c>
      <c r="AS1124" s="3" t="s">
        <v>64</v>
      </c>
      <c r="AT1124" s="3" t="s">
        <v>64</v>
      </c>
      <c r="AV1124" s="6" t="str">
        <f>HYPERLINK("http://mcgill.on.worldcat.org/oclc/862781681","Catalog Record")</f>
        <v>Catalog Record</v>
      </c>
      <c r="AW1124" s="6" t="str">
        <f>HYPERLINK("http://www.worldcat.org/oclc/862781681","WorldCat Record")</f>
        <v>WorldCat Record</v>
      </c>
      <c r="AX1124" s="3" t="s">
        <v>11667</v>
      </c>
      <c r="AY1124" s="3" t="s">
        <v>11668</v>
      </c>
      <c r="AZ1124" s="3" t="s">
        <v>11669</v>
      </c>
      <c r="BA1124" s="3" t="s">
        <v>11669</v>
      </c>
      <c r="BB1124" s="3" t="s">
        <v>11670</v>
      </c>
      <c r="BC1124" s="3" t="s">
        <v>78</v>
      </c>
      <c r="BD1124" s="3" t="s">
        <v>79</v>
      </c>
      <c r="BE1124" s="3" t="s">
        <v>11671</v>
      </c>
      <c r="BF1124" s="3" t="s">
        <v>11670</v>
      </c>
      <c r="BG1124" s="3" t="s">
        <v>11672</v>
      </c>
    </row>
    <row r="1125" spans="1:59" ht="58" x14ac:dyDescent="0.35">
      <c r="A1125" s="2" t="s">
        <v>59</v>
      </c>
      <c r="B1125" s="2" t="s">
        <v>94</v>
      </c>
      <c r="C1125" s="2" t="s">
        <v>11673</v>
      </c>
      <c r="D1125" s="2" t="s">
        <v>11674</v>
      </c>
      <c r="E1125" s="2" t="s">
        <v>11675</v>
      </c>
      <c r="G1125" s="3" t="s">
        <v>64</v>
      </c>
      <c r="I1125" s="3" t="s">
        <v>64</v>
      </c>
      <c r="J1125" s="3" t="s">
        <v>73</v>
      </c>
      <c r="K1125" s="3" t="s">
        <v>65</v>
      </c>
      <c r="L1125" s="2" t="s">
        <v>11676</v>
      </c>
      <c r="M1125" s="2" t="s">
        <v>11677</v>
      </c>
      <c r="N1125" s="3" t="s">
        <v>328</v>
      </c>
      <c r="O1125" s="2" t="s">
        <v>638</v>
      </c>
      <c r="P1125" s="3" t="s">
        <v>69</v>
      </c>
      <c r="R1125" s="3" t="s">
        <v>9228</v>
      </c>
      <c r="S1125" s="4">
        <v>13</v>
      </c>
      <c r="T1125" s="4">
        <v>13</v>
      </c>
      <c r="U1125" s="5" t="s">
        <v>11609</v>
      </c>
      <c r="V1125" s="5" t="s">
        <v>11609</v>
      </c>
      <c r="W1125" s="5" t="s">
        <v>72</v>
      </c>
      <c r="X1125" s="5" t="s">
        <v>72</v>
      </c>
      <c r="Y1125" s="4">
        <v>124</v>
      </c>
      <c r="Z1125" s="4">
        <v>65</v>
      </c>
      <c r="AA1125" s="4">
        <v>153</v>
      </c>
      <c r="AB1125" s="4">
        <v>2</v>
      </c>
      <c r="AC1125" s="4">
        <v>16</v>
      </c>
      <c r="AD1125" s="4">
        <v>59</v>
      </c>
      <c r="AE1125" s="4">
        <v>131</v>
      </c>
      <c r="AF1125" s="4">
        <v>1</v>
      </c>
      <c r="AG1125" s="4">
        <v>7</v>
      </c>
      <c r="AH1125" s="4">
        <v>37</v>
      </c>
      <c r="AI1125" s="4">
        <v>88</v>
      </c>
      <c r="AJ1125" s="4">
        <v>23</v>
      </c>
      <c r="AK1125" s="4">
        <v>29</v>
      </c>
      <c r="AL1125" s="4">
        <v>15</v>
      </c>
      <c r="AM1125" s="4">
        <v>45</v>
      </c>
      <c r="AN1125" s="4">
        <v>0</v>
      </c>
      <c r="AO1125" s="4">
        <v>0</v>
      </c>
      <c r="AP1125" s="4">
        <v>31</v>
      </c>
      <c r="AQ1125" s="4">
        <v>53</v>
      </c>
      <c r="AR1125" s="3" t="s">
        <v>73</v>
      </c>
      <c r="AS1125" s="3" t="s">
        <v>64</v>
      </c>
      <c r="AT1125" s="3" t="s">
        <v>64</v>
      </c>
      <c r="AV1125" s="6" t="str">
        <f>HYPERLINK("http://mcgill.on.worldcat.org/oclc/687885926","Catalog Record")</f>
        <v>Catalog Record</v>
      </c>
      <c r="AW1125" s="6" t="str">
        <f>HYPERLINK("http://www.worldcat.org/oclc/687885926","WorldCat Record")</f>
        <v>WorldCat Record</v>
      </c>
      <c r="AX1125" s="3" t="s">
        <v>11678</v>
      </c>
      <c r="AY1125" s="3" t="s">
        <v>11679</v>
      </c>
      <c r="AZ1125" s="3" t="s">
        <v>11680</v>
      </c>
      <c r="BA1125" s="3" t="s">
        <v>11680</v>
      </c>
      <c r="BB1125" s="3" t="s">
        <v>11681</v>
      </c>
      <c r="BC1125" s="3" t="s">
        <v>78</v>
      </c>
      <c r="BD1125" s="3" t="s">
        <v>79</v>
      </c>
      <c r="BE1125" s="3" t="s">
        <v>11682</v>
      </c>
      <c r="BF1125" s="3" t="s">
        <v>11681</v>
      </c>
      <c r="BG1125" s="3" t="s">
        <v>11683</v>
      </c>
    </row>
    <row r="1126" spans="1:59" ht="58" x14ac:dyDescent="0.35">
      <c r="A1126" s="2" t="s">
        <v>59</v>
      </c>
      <c r="B1126" s="2" t="s">
        <v>94</v>
      </c>
      <c r="C1126" s="2" t="s">
        <v>11684</v>
      </c>
      <c r="D1126" s="2" t="s">
        <v>11685</v>
      </c>
      <c r="E1126" s="2" t="s">
        <v>11686</v>
      </c>
      <c r="G1126" s="3" t="s">
        <v>64</v>
      </c>
      <c r="I1126" s="3" t="s">
        <v>64</v>
      </c>
      <c r="J1126" s="3" t="s">
        <v>73</v>
      </c>
      <c r="K1126" s="3" t="s">
        <v>65</v>
      </c>
      <c r="L1126" s="2" t="s">
        <v>11676</v>
      </c>
      <c r="M1126" s="2" t="s">
        <v>11687</v>
      </c>
      <c r="N1126" s="3" t="s">
        <v>861</v>
      </c>
      <c r="P1126" s="3" t="s">
        <v>69</v>
      </c>
      <c r="R1126" s="3" t="s">
        <v>9228</v>
      </c>
      <c r="S1126" s="4">
        <v>28</v>
      </c>
      <c r="T1126" s="4">
        <v>28</v>
      </c>
      <c r="U1126" s="5" t="s">
        <v>11688</v>
      </c>
      <c r="V1126" s="5" t="s">
        <v>11688</v>
      </c>
      <c r="W1126" s="5" t="s">
        <v>72</v>
      </c>
      <c r="X1126" s="5" t="s">
        <v>72</v>
      </c>
      <c r="Y1126" s="4">
        <v>41</v>
      </c>
      <c r="Z1126" s="4">
        <v>18</v>
      </c>
      <c r="AA1126" s="4">
        <v>153</v>
      </c>
      <c r="AB1126" s="4">
        <v>2</v>
      </c>
      <c r="AC1126" s="4">
        <v>16</v>
      </c>
      <c r="AD1126" s="4">
        <v>15</v>
      </c>
      <c r="AE1126" s="4">
        <v>131</v>
      </c>
      <c r="AF1126" s="4">
        <v>1</v>
      </c>
      <c r="AG1126" s="4">
        <v>7</v>
      </c>
      <c r="AH1126" s="4">
        <v>8</v>
      </c>
      <c r="AI1126" s="4">
        <v>88</v>
      </c>
      <c r="AJ1126" s="4">
        <v>7</v>
      </c>
      <c r="AK1126" s="4">
        <v>29</v>
      </c>
      <c r="AL1126" s="4">
        <v>4</v>
      </c>
      <c r="AM1126" s="4">
        <v>45</v>
      </c>
      <c r="AN1126" s="4">
        <v>0</v>
      </c>
      <c r="AO1126" s="4">
        <v>0</v>
      </c>
      <c r="AP1126" s="4">
        <v>10</v>
      </c>
      <c r="AQ1126" s="4">
        <v>53</v>
      </c>
      <c r="AR1126" s="3" t="s">
        <v>73</v>
      </c>
      <c r="AS1126" s="3" t="s">
        <v>64</v>
      </c>
      <c r="AT1126" s="3" t="s">
        <v>64</v>
      </c>
      <c r="AV1126" s="6" t="str">
        <f>HYPERLINK("http://mcgill.on.worldcat.org/oclc/56011480","Catalog Record")</f>
        <v>Catalog Record</v>
      </c>
      <c r="AW1126" s="6" t="str">
        <f>HYPERLINK("http://www.worldcat.org/oclc/56011480","WorldCat Record")</f>
        <v>WorldCat Record</v>
      </c>
      <c r="AX1126" s="3" t="s">
        <v>11678</v>
      </c>
      <c r="AY1126" s="3" t="s">
        <v>11689</v>
      </c>
      <c r="AZ1126" s="3" t="s">
        <v>11690</v>
      </c>
      <c r="BA1126" s="3" t="s">
        <v>11690</v>
      </c>
      <c r="BB1126" s="3" t="s">
        <v>11691</v>
      </c>
      <c r="BC1126" s="3" t="s">
        <v>78</v>
      </c>
      <c r="BD1126" s="3" t="s">
        <v>79</v>
      </c>
      <c r="BE1126" s="3" t="s">
        <v>11692</v>
      </c>
      <c r="BF1126" s="3" t="s">
        <v>11691</v>
      </c>
      <c r="BG1126" s="3" t="s">
        <v>11693</v>
      </c>
    </row>
    <row r="1127" spans="1:59" ht="58" x14ac:dyDescent="0.35">
      <c r="A1127" s="2" t="s">
        <v>59</v>
      </c>
      <c r="B1127" s="2" t="s">
        <v>94</v>
      </c>
      <c r="C1127" s="2" t="s">
        <v>11694</v>
      </c>
      <c r="D1127" s="2" t="s">
        <v>11695</v>
      </c>
      <c r="E1127" s="2" t="s">
        <v>11696</v>
      </c>
      <c r="G1127" s="3" t="s">
        <v>64</v>
      </c>
      <c r="I1127" s="3" t="s">
        <v>73</v>
      </c>
      <c r="J1127" s="3" t="s">
        <v>64</v>
      </c>
      <c r="K1127" s="3" t="s">
        <v>65</v>
      </c>
      <c r="L1127" s="2" t="s">
        <v>11676</v>
      </c>
      <c r="M1127" s="2" t="s">
        <v>11697</v>
      </c>
      <c r="N1127" s="3" t="s">
        <v>861</v>
      </c>
      <c r="O1127" s="2" t="s">
        <v>1294</v>
      </c>
      <c r="P1127" s="3" t="s">
        <v>69</v>
      </c>
      <c r="R1127" s="3" t="s">
        <v>9228</v>
      </c>
      <c r="S1127" s="4">
        <v>20</v>
      </c>
      <c r="T1127" s="4">
        <v>44</v>
      </c>
      <c r="U1127" s="5" t="s">
        <v>11698</v>
      </c>
      <c r="V1127" s="5" t="s">
        <v>11698</v>
      </c>
      <c r="W1127" s="5" t="s">
        <v>72</v>
      </c>
      <c r="X1127" s="5" t="s">
        <v>72</v>
      </c>
      <c r="Y1127" s="4">
        <v>138</v>
      </c>
      <c r="Z1127" s="4">
        <v>104</v>
      </c>
      <c r="AA1127" s="4">
        <v>126</v>
      </c>
      <c r="AB1127" s="4">
        <v>8</v>
      </c>
      <c r="AC1127" s="4">
        <v>12</v>
      </c>
      <c r="AD1127" s="4">
        <v>52</v>
      </c>
      <c r="AE1127" s="4">
        <v>60</v>
      </c>
      <c r="AF1127" s="4">
        <v>2</v>
      </c>
      <c r="AG1127" s="4">
        <v>5</v>
      </c>
      <c r="AH1127" s="4">
        <v>24</v>
      </c>
      <c r="AI1127" s="4">
        <v>27</v>
      </c>
      <c r="AJ1127" s="4">
        <v>22</v>
      </c>
      <c r="AK1127" s="4">
        <v>24</v>
      </c>
      <c r="AL1127" s="4">
        <v>10</v>
      </c>
      <c r="AM1127" s="4">
        <v>11</v>
      </c>
      <c r="AN1127" s="4">
        <v>5</v>
      </c>
      <c r="AO1127" s="4">
        <v>5</v>
      </c>
      <c r="AP1127" s="4">
        <v>39</v>
      </c>
      <c r="AQ1127" s="4">
        <v>44</v>
      </c>
      <c r="AR1127" s="3" t="s">
        <v>73</v>
      </c>
      <c r="AS1127" s="3" t="s">
        <v>64</v>
      </c>
      <c r="AT1127" s="3" t="s">
        <v>73</v>
      </c>
      <c r="AU1127" s="6" t="str">
        <f>HYPERLINK("http://catalog.hathitrust.org/Record/011227914","HathiTrust Record")</f>
        <v>HathiTrust Record</v>
      </c>
      <c r="AV1127" s="6" t="str">
        <f>HYPERLINK("http://mcgill.on.worldcat.org/oclc/53162897","Catalog Record")</f>
        <v>Catalog Record</v>
      </c>
      <c r="AW1127" s="6" t="str">
        <f>HYPERLINK("http://www.worldcat.org/oclc/53162897","WorldCat Record")</f>
        <v>WorldCat Record</v>
      </c>
      <c r="AX1127" s="3" t="s">
        <v>11699</v>
      </c>
      <c r="AY1127" s="3" t="s">
        <v>11700</v>
      </c>
      <c r="AZ1127" s="3" t="s">
        <v>11701</v>
      </c>
      <c r="BA1127" s="3" t="s">
        <v>11701</v>
      </c>
      <c r="BB1127" s="3" t="s">
        <v>11702</v>
      </c>
      <c r="BC1127" s="3" t="s">
        <v>78</v>
      </c>
      <c r="BD1127" s="3" t="s">
        <v>79</v>
      </c>
      <c r="BE1127" s="3" t="s">
        <v>11703</v>
      </c>
      <c r="BF1127" s="3" t="s">
        <v>11702</v>
      </c>
      <c r="BG1127" s="3" t="s">
        <v>11704</v>
      </c>
    </row>
    <row r="1128" spans="1:59" ht="58" x14ac:dyDescent="0.35">
      <c r="A1128" s="2" t="s">
        <v>59</v>
      </c>
      <c r="B1128" s="2" t="s">
        <v>94</v>
      </c>
      <c r="C1128" s="2" t="s">
        <v>11694</v>
      </c>
      <c r="D1128" s="2" t="s">
        <v>11695</v>
      </c>
      <c r="E1128" s="2" t="s">
        <v>11696</v>
      </c>
      <c r="G1128" s="3" t="s">
        <v>64</v>
      </c>
      <c r="I1128" s="3" t="s">
        <v>73</v>
      </c>
      <c r="J1128" s="3" t="s">
        <v>64</v>
      </c>
      <c r="K1128" s="3" t="s">
        <v>65</v>
      </c>
      <c r="L1128" s="2" t="s">
        <v>11676</v>
      </c>
      <c r="M1128" s="2" t="s">
        <v>11697</v>
      </c>
      <c r="N1128" s="3" t="s">
        <v>861</v>
      </c>
      <c r="O1128" s="2" t="s">
        <v>1294</v>
      </c>
      <c r="P1128" s="3" t="s">
        <v>69</v>
      </c>
      <c r="R1128" s="3" t="s">
        <v>9228</v>
      </c>
      <c r="S1128" s="4">
        <v>24</v>
      </c>
      <c r="T1128" s="4">
        <v>44</v>
      </c>
      <c r="U1128" s="5" t="s">
        <v>11705</v>
      </c>
      <c r="V1128" s="5" t="s">
        <v>11698</v>
      </c>
      <c r="W1128" s="5" t="s">
        <v>72</v>
      </c>
      <c r="X1128" s="5" t="s">
        <v>72</v>
      </c>
      <c r="Y1128" s="4">
        <v>138</v>
      </c>
      <c r="Z1128" s="4">
        <v>104</v>
      </c>
      <c r="AA1128" s="4">
        <v>126</v>
      </c>
      <c r="AB1128" s="4">
        <v>8</v>
      </c>
      <c r="AC1128" s="4">
        <v>12</v>
      </c>
      <c r="AD1128" s="4">
        <v>52</v>
      </c>
      <c r="AE1128" s="4">
        <v>60</v>
      </c>
      <c r="AF1128" s="4">
        <v>2</v>
      </c>
      <c r="AG1128" s="4">
        <v>5</v>
      </c>
      <c r="AH1128" s="4">
        <v>24</v>
      </c>
      <c r="AI1128" s="4">
        <v>27</v>
      </c>
      <c r="AJ1128" s="4">
        <v>22</v>
      </c>
      <c r="AK1128" s="4">
        <v>24</v>
      </c>
      <c r="AL1128" s="4">
        <v>10</v>
      </c>
      <c r="AM1128" s="4">
        <v>11</v>
      </c>
      <c r="AN1128" s="4">
        <v>5</v>
      </c>
      <c r="AO1128" s="4">
        <v>5</v>
      </c>
      <c r="AP1128" s="4">
        <v>39</v>
      </c>
      <c r="AQ1128" s="4">
        <v>44</v>
      </c>
      <c r="AR1128" s="3" t="s">
        <v>73</v>
      </c>
      <c r="AS1128" s="3" t="s">
        <v>64</v>
      </c>
      <c r="AT1128" s="3" t="s">
        <v>73</v>
      </c>
      <c r="AU1128" s="6" t="str">
        <f>HYPERLINK("http://catalog.hathitrust.org/Record/011227914","HathiTrust Record")</f>
        <v>HathiTrust Record</v>
      </c>
      <c r="AV1128" s="6" t="str">
        <f>HYPERLINK("http://mcgill.on.worldcat.org/oclc/53162897","Catalog Record")</f>
        <v>Catalog Record</v>
      </c>
      <c r="AW1128" s="6" t="str">
        <f>HYPERLINK("http://www.worldcat.org/oclc/53162897","WorldCat Record")</f>
        <v>WorldCat Record</v>
      </c>
      <c r="AX1128" s="3" t="s">
        <v>11699</v>
      </c>
      <c r="AY1128" s="3" t="s">
        <v>11700</v>
      </c>
      <c r="AZ1128" s="3" t="s">
        <v>11701</v>
      </c>
      <c r="BA1128" s="3" t="s">
        <v>11701</v>
      </c>
      <c r="BB1128" s="3" t="s">
        <v>11706</v>
      </c>
      <c r="BC1128" s="3" t="s">
        <v>78</v>
      </c>
      <c r="BD1128" s="3" t="s">
        <v>79</v>
      </c>
      <c r="BE1128" s="3" t="s">
        <v>11703</v>
      </c>
      <c r="BF1128" s="3" t="s">
        <v>11706</v>
      </c>
      <c r="BG1128" s="3" t="s">
        <v>11707</v>
      </c>
    </row>
    <row r="1129" spans="1:59" ht="58" x14ac:dyDescent="0.35">
      <c r="A1129" s="2" t="s">
        <v>59</v>
      </c>
      <c r="B1129" s="2" t="s">
        <v>94</v>
      </c>
      <c r="C1129" s="2" t="s">
        <v>11708</v>
      </c>
      <c r="D1129" s="2" t="s">
        <v>11709</v>
      </c>
      <c r="E1129" s="2" t="s">
        <v>11710</v>
      </c>
      <c r="G1129" s="3" t="s">
        <v>64</v>
      </c>
      <c r="I1129" s="3" t="s">
        <v>64</v>
      </c>
      <c r="J1129" s="3" t="s">
        <v>64</v>
      </c>
      <c r="K1129" s="3" t="s">
        <v>65</v>
      </c>
      <c r="M1129" s="2" t="s">
        <v>11711</v>
      </c>
      <c r="N1129" s="3" t="s">
        <v>719</v>
      </c>
      <c r="P1129" s="3" t="s">
        <v>69</v>
      </c>
      <c r="Q1129" s="2" t="s">
        <v>11712</v>
      </c>
      <c r="R1129" s="3" t="s">
        <v>9228</v>
      </c>
      <c r="S1129" s="4">
        <v>34</v>
      </c>
      <c r="T1129" s="4">
        <v>34</v>
      </c>
      <c r="U1129" s="5" t="s">
        <v>11583</v>
      </c>
      <c r="V1129" s="5" t="s">
        <v>11583</v>
      </c>
      <c r="W1129" s="5" t="s">
        <v>72</v>
      </c>
      <c r="X1129" s="5" t="s">
        <v>72</v>
      </c>
      <c r="Y1129" s="4">
        <v>113</v>
      </c>
      <c r="Z1129" s="4">
        <v>59</v>
      </c>
      <c r="AA1129" s="4">
        <v>63</v>
      </c>
      <c r="AB1129" s="4">
        <v>3</v>
      </c>
      <c r="AC1129" s="4">
        <v>5</v>
      </c>
      <c r="AD1129" s="4">
        <v>66</v>
      </c>
      <c r="AE1129" s="4">
        <v>69</v>
      </c>
      <c r="AF1129" s="4">
        <v>1</v>
      </c>
      <c r="AG1129" s="4">
        <v>3</v>
      </c>
      <c r="AH1129" s="4">
        <v>40</v>
      </c>
      <c r="AI1129" s="4">
        <v>41</v>
      </c>
      <c r="AJ1129" s="4">
        <v>25</v>
      </c>
      <c r="AK1129" s="4">
        <v>27</v>
      </c>
      <c r="AL1129" s="4">
        <v>19</v>
      </c>
      <c r="AM1129" s="4">
        <v>19</v>
      </c>
      <c r="AN1129" s="4">
        <v>0</v>
      </c>
      <c r="AO1129" s="4">
        <v>0</v>
      </c>
      <c r="AP1129" s="4">
        <v>36</v>
      </c>
      <c r="AQ1129" s="4">
        <v>38</v>
      </c>
      <c r="AR1129" s="3" t="s">
        <v>73</v>
      </c>
      <c r="AS1129" s="3" t="s">
        <v>64</v>
      </c>
      <c r="AT1129" s="3" t="s">
        <v>73</v>
      </c>
      <c r="AU1129" s="6" t="str">
        <f>HYPERLINK("http://catalog.hathitrust.org/Record/000650602","HathiTrust Record")</f>
        <v>HathiTrust Record</v>
      </c>
      <c r="AV1129" s="6" t="str">
        <f>HYPERLINK("http://mcgill.on.worldcat.org/oclc/11930402","Catalog Record")</f>
        <v>Catalog Record</v>
      </c>
      <c r="AW1129" s="6" t="str">
        <f>HYPERLINK("http://www.worldcat.org/oclc/11930402","WorldCat Record")</f>
        <v>WorldCat Record</v>
      </c>
      <c r="AX1129" s="3" t="s">
        <v>11713</v>
      </c>
      <c r="AY1129" s="3" t="s">
        <v>11714</v>
      </c>
      <c r="AZ1129" s="3" t="s">
        <v>11715</v>
      </c>
      <c r="BA1129" s="3" t="s">
        <v>11715</v>
      </c>
      <c r="BB1129" s="3" t="s">
        <v>11716</v>
      </c>
      <c r="BC1129" s="3" t="s">
        <v>78</v>
      </c>
      <c r="BD1129" s="3" t="s">
        <v>79</v>
      </c>
      <c r="BE1129" s="3" t="s">
        <v>11717</v>
      </c>
      <c r="BF1129" s="3" t="s">
        <v>11716</v>
      </c>
      <c r="BG1129" s="3" t="s">
        <v>11718</v>
      </c>
    </row>
    <row r="1130" spans="1:59" ht="58" x14ac:dyDescent="0.35">
      <c r="A1130" s="2" t="s">
        <v>59</v>
      </c>
      <c r="B1130" s="2" t="s">
        <v>94</v>
      </c>
      <c r="C1130" s="2" t="s">
        <v>11719</v>
      </c>
      <c r="D1130" s="2" t="s">
        <v>11720</v>
      </c>
      <c r="E1130" s="2" t="s">
        <v>11721</v>
      </c>
      <c r="G1130" s="3" t="s">
        <v>64</v>
      </c>
      <c r="I1130" s="3" t="s">
        <v>64</v>
      </c>
      <c r="J1130" s="3" t="s">
        <v>64</v>
      </c>
      <c r="K1130" s="3" t="s">
        <v>65</v>
      </c>
      <c r="L1130" s="2" t="s">
        <v>11722</v>
      </c>
      <c r="M1130" s="2" t="s">
        <v>11723</v>
      </c>
      <c r="N1130" s="3" t="s">
        <v>87</v>
      </c>
      <c r="P1130" s="3" t="s">
        <v>69</v>
      </c>
      <c r="R1130" s="3" t="s">
        <v>9228</v>
      </c>
      <c r="S1130" s="4">
        <v>1</v>
      </c>
      <c r="T1130" s="4">
        <v>1</v>
      </c>
      <c r="U1130" s="5" t="s">
        <v>2167</v>
      </c>
      <c r="V1130" s="5" t="s">
        <v>2167</v>
      </c>
      <c r="W1130" s="5" t="s">
        <v>72</v>
      </c>
      <c r="X1130" s="5" t="s">
        <v>72</v>
      </c>
      <c r="Y1130" s="4">
        <v>57</v>
      </c>
      <c r="Z1130" s="4">
        <v>33</v>
      </c>
      <c r="AA1130" s="4">
        <v>83</v>
      </c>
      <c r="AB1130" s="4">
        <v>1</v>
      </c>
      <c r="AC1130" s="4">
        <v>7</v>
      </c>
      <c r="AD1130" s="4">
        <v>26</v>
      </c>
      <c r="AE1130" s="4">
        <v>49</v>
      </c>
      <c r="AF1130" s="4">
        <v>0</v>
      </c>
      <c r="AG1130" s="4">
        <v>3</v>
      </c>
      <c r="AH1130" s="4">
        <v>16</v>
      </c>
      <c r="AI1130" s="4">
        <v>22</v>
      </c>
      <c r="AJ1130" s="4">
        <v>14</v>
      </c>
      <c r="AK1130" s="4">
        <v>21</v>
      </c>
      <c r="AL1130" s="4">
        <v>7</v>
      </c>
      <c r="AM1130" s="4">
        <v>9</v>
      </c>
      <c r="AN1130" s="4">
        <v>0</v>
      </c>
      <c r="AO1130" s="4">
        <v>0</v>
      </c>
      <c r="AP1130" s="4">
        <v>15</v>
      </c>
      <c r="AQ1130" s="4">
        <v>33</v>
      </c>
      <c r="AR1130" s="3" t="s">
        <v>73</v>
      </c>
      <c r="AS1130" s="3" t="s">
        <v>64</v>
      </c>
      <c r="AT1130" s="3" t="s">
        <v>64</v>
      </c>
      <c r="AV1130" s="6" t="str">
        <f>HYPERLINK("http://mcgill.on.worldcat.org/oclc/879246396","Catalog Record")</f>
        <v>Catalog Record</v>
      </c>
      <c r="AW1130" s="6" t="str">
        <f>HYPERLINK("http://www.worldcat.org/oclc/879246396","WorldCat Record")</f>
        <v>WorldCat Record</v>
      </c>
      <c r="AX1130" s="3" t="s">
        <v>11724</v>
      </c>
      <c r="AY1130" s="3" t="s">
        <v>11725</v>
      </c>
      <c r="AZ1130" s="3" t="s">
        <v>11726</v>
      </c>
      <c r="BA1130" s="3" t="s">
        <v>11726</v>
      </c>
      <c r="BB1130" s="3" t="s">
        <v>11727</v>
      </c>
      <c r="BC1130" s="3" t="s">
        <v>78</v>
      </c>
      <c r="BD1130" s="3" t="s">
        <v>79</v>
      </c>
      <c r="BE1130" s="3" t="s">
        <v>11728</v>
      </c>
      <c r="BF1130" s="3" t="s">
        <v>11727</v>
      </c>
      <c r="BG1130" s="3" t="s">
        <v>11729</v>
      </c>
    </row>
    <row r="1131" spans="1:59" ht="58" x14ac:dyDescent="0.35">
      <c r="A1131" s="2" t="s">
        <v>59</v>
      </c>
      <c r="B1131" s="2" t="s">
        <v>94</v>
      </c>
      <c r="C1131" s="2" t="s">
        <v>11730</v>
      </c>
      <c r="D1131" s="2" t="s">
        <v>11731</v>
      </c>
      <c r="E1131" s="2" t="s">
        <v>11732</v>
      </c>
      <c r="G1131" s="3" t="s">
        <v>64</v>
      </c>
      <c r="I1131" s="3" t="s">
        <v>64</v>
      </c>
      <c r="J1131" s="3" t="s">
        <v>64</v>
      </c>
      <c r="K1131" s="3" t="s">
        <v>65</v>
      </c>
      <c r="M1131" s="2" t="s">
        <v>11733</v>
      </c>
      <c r="N1131" s="3" t="s">
        <v>214</v>
      </c>
      <c r="P1131" s="3" t="s">
        <v>69</v>
      </c>
      <c r="R1131" s="3" t="s">
        <v>9228</v>
      </c>
      <c r="S1131" s="4">
        <v>0</v>
      </c>
      <c r="T1131" s="4">
        <v>0</v>
      </c>
      <c r="W1131" s="5" t="s">
        <v>72</v>
      </c>
      <c r="X1131" s="5" t="s">
        <v>72</v>
      </c>
      <c r="Y1131" s="4">
        <v>41</v>
      </c>
      <c r="Z1131" s="4">
        <v>31</v>
      </c>
      <c r="AA1131" s="4">
        <v>33</v>
      </c>
      <c r="AB1131" s="4">
        <v>2</v>
      </c>
      <c r="AC1131" s="4">
        <v>3</v>
      </c>
      <c r="AD1131" s="4">
        <v>27</v>
      </c>
      <c r="AE1131" s="4">
        <v>27</v>
      </c>
      <c r="AF1131" s="4">
        <v>1</v>
      </c>
      <c r="AG1131" s="4">
        <v>1</v>
      </c>
      <c r="AH1131" s="4">
        <v>14</v>
      </c>
      <c r="AI1131" s="4">
        <v>14</v>
      </c>
      <c r="AJ1131" s="4">
        <v>21</v>
      </c>
      <c r="AK1131" s="4">
        <v>21</v>
      </c>
      <c r="AL1131" s="4">
        <v>1</v>
      </c>
      <c r="AM1131" s="4">
        <v>1</v>
      </c>
      <c r="AN1131" s="4">
        <v>0</v>
      </c>
      <c r="AO1131" s="4">
        <v>0</v>
      </c>
      <c r="AP1131" s="4">
        <v>24</v>
      </c>
      <c r="AQ1131" s="4">
        <v>24</v>
      </c>
      <c r="AR1131" s="3" t="s">
        <v>73</v>
      </c>
      <c r="AS1131" s="3" t="s">
        <v>64</v>
      </c>
      <c r="AT1131" s="3" t="s">
        <v>64</v>
      </c>
      <c r="AV1131" s="6" t="str">
        <f>HYPERLINK("http://mcgill.on.worldcat.org/oclc/699809626","Catalog Record")</f>
        <v>Catalog Record</v>
      </c>
      <c r="AW1131" s="6" t="str">
        <f>HYPERLINK("http://www.worldcat.org/oclc/699809626","WorldCat Record")</f>
        <v>WorldCat Record</v>
      </c>
      <c r="AX1131" s="3" t="s">
        <v>11734</v>
      </c>
      <c r="AY1131" s="3" t="s">
        <v>11735</v>
      </c>
      <c r="AZ1131" s="3" t="s">
        <v>11736</v>
      </c>
      <c r="BA1131" s="3" t="s">
        <v>11736</v>
      </c>
      <c r="BB1131" s="3" t="s">
        <v>11737</v>
      </c>
      <c r="BC1131" s="3" t="s">
        <v>78</v>
      </c>
      <c r="BD1131" s="3" t="s">
        <v>79</v>
      </c>
      <c r="BE1131" s="3" t="s">
        <v>11738</v>
      </c>
      <c r="BF1131" s="3" t="s">
        <v>11737</v>
      </c>
      <c r="BG1131" s="3" t="s">
        <v>11739</v>
      </c>
    </row>
    <row r="1132" spans="1:59" ht="58" x14ac:dyDescent="0.35">
      <c r="A1132" s="2" t="s">
        <v>59</v>
      </c>
      <c r="B1132" s="2" t="s">
        <v>94</v>
      </c>
      <c r="C1132" s="2" t="s">
        <v>11740</v>
      </c>
      <c r="D1132" s="2" t="s">
        <v>11741</v>
      </c>
      <c r="E1132" s="2" t="s">
        <v>11742</v>
      </c>
      <c r="G1132" s="3" t="s">
        <v>64</v>
      </c>
      <c r="I1132" s="3" t="s">
        <v>64</v>
      </c>
      <c r="J1132" s="3" t="s">
        <v>64</v>
      </c>
      <c r="K1132" s="3" t="s">
        <v>65</v>
      </c>
      <c r="M1132" s="2" t="s">
        <v>11743</v>
      </c>
      <c r="N1132" s="3" t="s">
        <v>328</v>
      </c>
      <c r="P1132" s="3" t="s">
        <v>69</v>
      </c>
      <c r="R1132" s="3" t="s">
        <v>9228</v>
      </c>
      <c r="S1132" s="4">
        <v>3</v>
      </c>
      <c r="T1132" s="4">
        <v>3</v>
      </c>
      <c r="U1132" s="5" t="s">
        <v>11688</v>
      </c>
      <c r="V1132" s="5" t="s">
        <v>11688</v>
      </c>
      <c r="W1132" s="5" t="s">
        <v>72</v>
      </c>
      <c r="X1132" s="5" t="s">
        <v>72</v>
      </c>
      <c r="Y1132" s="4">
        <v>26</v>
      </c>
      <c r="Z1132" s="4">
        <v>20</v>
      </c>
      <c r="AA1132" s="4">
        <v>20</v>
      </c>
      <c r="AB1132" s="4">
        <v>1</v>
      </c>
      <c r="AC1132" s="4">
        <v>1</v>
      </c>
      <c r="AD1132" s="4">
        <v>19</v>
      </c>
      <c r="AE1132" s="4">
        <v>19</v>
      </c>
      <c r="AF1132" s="4">
        <v>0</v>
      </c>
      <c r="AG1132" s="4">
        <v>0</v>
      </c>
      <c r="AH1132" s="4">
        <v>10</v>
      </c>
      <c r="AI1132" s="4">
        <v>10</v>
      </c>
      <c r="AJ1132" s="4">
        <v>15</v>
      </c>
      <c r="AK1132" s="4">
        <v>15</v>
      </c>
      <c r="AL1132" s="4">
        <v>3</v>
      </c>
      <c r="AM1132" s="4">
        <v>3</v>
      </c>
      <c r="AN1132" s="4">
        <v>0</v>
      </c>
      <c r="AO1132" s="4">
        <v>0</v>
      </c>
      <c r="AP1132" s="4">
        <v>14</v>
      </c>
      <c r="AQ1132" s="4">
        <v>14</v>
      </c>
      <c r="AR1132" s="3" t="s">
        <v>73</v>
      </c>
      <c r="AS1132" s="3" t="s">
        <v>64</v>
      </c>
      <c r="AT1132" s="3" t="s">
        <v>64</v>
      </c>
      <c r="AV1132" s="6" t="str">
        <f>HYPERLINK("http://mcgill.on.worldcat.org/oclc/720811187","Catalog Record")</f>
        <v>Catalog Record</v>
      </c>
      <c r="AW1132" s="6" t="str">
        <f>HYPERLINK("http://www.worldcat.org/oclc/720811187","WorldCat Record")</f>
        <v>WorldCat Record</v>
      </c>
      <c r="AX1132" s="3" t="s">
        <v>11744</v>
      </c>
      <c r="AY1132" s="3" t="s">
        <v>11745</v>
      </c>
      <c r="AZ1132" s="3" t="s">
        <v>11746</v>
      </c>
      <c r="BA1132" s="3" t="s">
        <v>11746</v>
      </c>
      <c r="BB1132" s="3" t="s">
        <v>11747</v>
      </c>
      <c r="BC1132" s="3" t="s">
        <v>78</v>
      </c>
      <c r="BD1132" s="3" t="s">
        <v>79</v>
      </c>
      <c r="BE1132" s="3" t="s">
        <v>11748</v>
      </c>
      <c r="BF1132" s="3" t="s">
        <v>11747</v>
      </c>
      <c r="BG1132" s="3" t="s">
        <v>11749</v>
      </c>
    </row>
    <row r="1133" spans="1:59" ht="58" x14ac:dyDescent="0.35">
      <c r="A1133" s="2" t="s">
        <v>59</v>
      </c>
      <c r="B1133" s="2" t="s">
        <v>94</v>
      </c>
      <c r="C1133" s="2" t="s">
        <v>11750</v>
      </c>
      <c r="D1133" s="2" t="s">
        <v>11751</v>
      </c>
      <c r="E1133" s="2" t="s">
        <v>11752</v>
      </c>
      <c r="G1133" s="3" t="s">
        <v>64</v>
      </c>
      <c r="I1133" s="3" t="s">
        <v>64</v>
      </c>
      <c r="J1133" s="3" t="s">
        <v>64</v>
      </c>
      <c r="K1133" s="3" t="s">
        <v>65</v>
      </c>
      <c r="L1133" s="2" t="s">
        <v>11753</v>
      </c>
      <c r="M1133" s="2" t="s">
        <v>11754</v>
      </c>
      <c r="N1133" s="3" t="s">
        <v>87</v>
      </c>
      <c r="P1133" s="3" t="s">
        <v>69</v>
      </c>
      <c r="R1133" s="3" t="s">
        <v>9228</v>
      </c>
      <c r="S1133" s="4">
        <v>1</v>
      </c>
      <c r="T1133" s="4">
        <v>1</v>
      </c>
      <c r="U1133" s="5" t="s">
        <v>11688</v>
      </c>
      <c r="V1133" s="5" t="s">
        <v>11688</v>
      </c>
      <c r="W1133" s="5" t="s">
        <v>72</v>
      </c>
      <c r="X1133" s="5" t="s">
        <v>72</v>
      </c>
      <c r="Y1133" s="4">
        <v>24</v>
      </c>
      <c r="Z1133" s="4">
        <v>15</v>
      </c>
      <c r="AA1133" s="4">
        <v>31</v>
      </c>
      <c r="AB1133" s="4">
        <v>3</v>
      </c>
      <c r="AC1133" s="4">
        <v>7</v>
      </c>
      <c r="AD1133" s="4">
        <v>13</v>
      </c>
      <c r="AE1133" s="4">
        <v>19</v>
      </c>
      <c r="AF1133" s="4">
        <v>1</v>
      </c>
      <c r="AG1133" s="4">
        <v>2</v>
      </c>
      <c r="AH1133" s="4">
        <v>9</v>
      </c>
      <c r="AI1133" s="4">
        <v>10</v>
      </c>
      <c r="AJ1133" s="4">
        <v>9</v>
      </c>
      <c r="AK1133" s="4">
        <v>10</v>
      </c>
      <c r="AL1133" s="4">
        <v>3</v>
      </c>
      <c r="AM1133" s="4">
        <v>3</v>
      </c>
      <c r="AN1133" s="4">
        <v>0</v>
      </c>
      <c r="AO1133" s="4">
        <v>0</v>
      </c>
      <c r="AP1133" s="4">
        <v>7</v>
      </c>
      <c r="AQ1133" s="4">
        <v>13</v>
      </c>
      <c r="AR1133" s="3" t="s">
        <v>73</v>
      </c>
      <c r="AS1133" s="3" t="s">
        <v>64</v>
      </c>
      <c r="AT1133" s="3" t="s">
        <v>64</v>
      </c>
      <c r="AV1133" s="6" t="str">
        <f>HYPERLINK("http://mcgill.on.worldcat.org/oclc/910531025","Catalog Record")</f>
        <v>Catalog Record</v>
      </c>
      <c r="AW1133" s="6" t="str">
        <f>HYPERLINK("http://www.worldcat.org/oclc/910531025","WorldCat Record")</f>
        <v>WorldCat Record</v>
      </c>
      <c r="AX1133" s="3" t="s">
        <v>11755</v>
      </c>
      <c r="AY1133" s="3" t="s">
        <v>11756</v>
      </c>
      <c r="AZ1133" s="3" t="s">
        <v>11757</v>
      </c>
      <c r="BA1133" s="3" t="s">
        <v>11757</v>
      </c>
      <c r="BB1133" s="3" t="s">
        <v>11758</v>
      </c>
      <c r="BC1133" s="3" t="s">
        <v>78</v>
      </c>
      <c r="BD1133" s="3" t="s">
        <v>79</v>
      </c>
      <c r="BE1133" s="3" t="s">
        <v>11759</v>
      </c>
      <c r="BF1133" s="3" t="s">
        <v>11758</v>
      </c>
      <c r="BG1133" s="3" t="s">
        <v>11760</v>
      </c>
    </row>
    <row r="1134" spans="1:59" ht="72.5" x14ac:dyDescent="0.35">
      <c r="A1134" s="2" t="s">
        <v>59</v>
      </c>
      <c r="B1134" s="2" t="s">
        <v>94</v>
      </c>
      <c r="C1134" s="2" t="s">
        <v>11761</v>
      </c>
      <c r="D1134" s="2" t="s">
        <v>11762</v>
      </c>
      <c r="E1134" s="2" t="s">
        <v>11763</v>
      </c>
      <c r="G1134" s="3" t="s">
        <v>64</v>
      </c>
      <c r="I1134" s="3" t="s">
        <v>64</v>
      </c>
      <c r="J1134" s="3" t="s">
        <v>64</v>
      </c>
      <c r="K1134" s="3" t="s">
        <v>65</v>
      </c>
      <c r="L1134" s="2" t="s">
        <v>11764</v>
      </c>
      <c r="M1134" s="2" t="s">
        <v>11765</v>
      </c>
      <c r="N1134" s="3" t="s">
        <v>538</v>
      </c>
      <c r="P1134" s="3" t="s">
        <v>69</v>
      </c>
      <c r="Q1134" s="2" t="s">
        <v>11539</v>
      </c>
      <c r="R1134" s="3" t="s">
        <v>9228</v>
      </c>
      <c r="S1134" s="4">
        <v>16</v>
      </c>
      <c r="T1134" s="4">
        <v>16</v>
      </c>
      <c r="U1134" s="5" t="s">
        <v>8283</v>
      </c>
      <c r="V1134" s="5" t="s">
        <v>8283</v>
      </c>
      <c r="W1134" s="5" t="s">
        <v>72</v>
      </c>
      <c r="X1134" s="5" t="s">
        <v>72</v>
      </c>
      <c r="Y1134" s="4">
        <v>138</v>
      </c>
      <c r="Z1134" s="4">
        <v>60</v>
      </c>
      <c r="AA1134" s="4">
        <v>81</v>
      </c>
      <c r="AB1134" s="4">
        <v>2</v>
      </c>
      <c r="AC1134" s="4">
        <v>8</v>
      </c>
      <c r="AD1134" s="4">
        <v>67</v>
      </c>
      <c r="AE1134" s="4">
        <v>85</v>
      </c>
      <c r="AF1134" s="4">
        <v>1</v>
      </c>
      <c r="AG1134" s="4">
        <v>7</v>
      </c>
      <c r="AH1134" s="4">
        <v>45</v>
      </c>
      <c r="AI1134" s="4">
        <v>49</v>
      </c>
      <c r="AJ1134" s="4">
        <v>16</v>
      </c>
      <c r="AK1134" s="4">
        <v>26</v>
      </c>
      <c r="AL1134" s="4">
        <v>19</v>
      </c>
      <c r="AM1134" s="4">
        <v>20</v>
      </c>
      <c r="AN1134" s="4">
        <v>0</v>
      </c>
      <c r="AO1134" s="4">
        <v>0</v>
      </c>
      <c r="AP1134" s="4">
        <v>30</v>
      </c>
      <c r="AQ1134" s="4">
        <v>46</v>
      </c>
      <c r="AR1134" s="3" t="s">
        <v>73</v>
      </c>
      <c r="AS1134" s="3" t="s">
        <v>64</v>
      </c>
      <c r="AT1134" s="3" t="s">
        <v>73</v>
      </c>
      <c r="AU1134" s="6" t="str">
        <f>HYPERLINK("http://catalog.hathitrust.org/Record/005668203","HathiTrust Record")</f>
        <v>HathiTrust Record</v>
      </c>
      <c r="AV1134" s="6" t="str">
        <f>HYPERLINK("http://mcgill.on.worldcat.org/oclc/166687888","Catalog Record")</f>
        <v>Catalog Record</v>
      </c>
      <c r="AW1134" s="6" t="str">
        <f>HYPERLINK("http://www.worldcat.org/oclc/166687888","WorldCat Record")</f>
        <v>WorldCat Record</v>
      </c>
      <c r="AX1134" s="3" t="s">
        <v>11766</v>
      </c>
      <c r="AY1134" s="3" t="s">
        <v>11767</v>
      </c>
      <c r="AZ1134" s="3" t="s">
        <v>11768</v>
      </c>
      <c r="BA1134" s="3" t="s">
        <v>11768</v>
      </c>
      <c r="BB1134" s="3" t="s">
        <v>11769</v>
      </c>
      <c r="BC1134" s="3" t="s">
        <v>78</v>
      </c>
      <c r="BD1134" s="3" t="s">
        <v>79</v>
      </c>
      <c r="BE1134" s="3" t="s">
        <v>11770</v>
      </c>
      <c r="BF1134" s="3" t="s">
        <v>11769</v>
      </c>
      <c r="BG1134" s="3" t="s">
        <v>11771</v>
      </c>
    </row>
    <row r="1135" spans="1:59" ht="58" x14ac:dyDescent="0.35">
      <c r="A1135" s="2" t="s">
        <v>59</v>
      </c>
      <c r="B1135" s="2" t="s">
        <v>94</v>
      </c>
      <c r="C1135" s="2" t="s">
        <v>11772</v>
      </c>
      <c r="D1135" s="2" t="s">
        <v>11773</v>
      </c>
      <c r="E1135" s="2" t="s">
        <v>11774</v>
      </c>
      <c r="G1135" s="3" t="s">
        <v>64</v>
      </c>
      <c r="I1135" s="3" t="s">
        <v>64</v>
      </c>
      <c r="J1135" s="3" t="s">
        <v>64</v>
      </c>
      <c r="K1135" s="3" t="s">
        <v>65</v>
      </c>
      <c r="L1135" s="2" t="s">
        <v>11775</v>
      </c>
      <c r="M1135" s="2" t="s">
        <v>11776</v>
      </c>
      <c r="N1135" s="3" t="s">
        <v>473</v>
      </c>
      <c r="P1135" s="3" t="s">
        <v>69</v>
      </c>
      <c r="R1135" s="3" t="s">
        <v>9228</v>
      </c>
      <c r="S1135" s="4">
        <v>13</v>
      </c>
      <c r="T1135" s="4">
        <v>13</v>
      </c>
      <c r="U1135" s="5" t="s">
        <v>8283</v>
      </c>
      <c r="V1135" s="5" t="s">
        <v>8283</v>
      </c>
      <c r="W1135" s="5" t="s">
        <v>72</v>
      </c>
      <c r="X1135" s="5" t="s">
        <v>72</v>
      </c>
      <c r="Y1135" s="4">
        <v>239</v>
      </c>
      <c r="Z1135" s="4">
        <v>59</v>
      </c>
      <c r="AA1135" s="4">
        <v>67</v>
      </c>
      <c r="AB1135" s="4">
        <v>3</v>
      </c>
      <c r="AC1135" s="4">
        <v>7</v>
      </c>
      <c r="AD1135" s="4">
        <v>110</v>
      </c>
      <c r="AE1135" s="4">
        <v>117</v>
      </c>
      <c r="AF1135" s="4">
        <v>2</v>
      </c>
      <c r="AG1135" s="4">
        <v>5</v>
      </c>
      <c r="AH1135" s="4">
        <v>84</v>
      </c>
      <c r="AI1135" s="4">
        <v>85</v>
      </c>
      <c r="AJ1135" s="4">
        <v>21</v>
      </c>
      <c r="AK1135" s="4">
        <v>25</v>
      </c>
      <c r="AL1135" s="4">
        <v>46</v>
      </c>
      <c r="AM1135" s="4">
        <v>46</v>
      </c>
      <c r="AN1135" s="4">
        <v>0</v>
      </c>
      <c r="AO1135" s="4">
        <v>0</v>
      </c>
      <c r="AP1135" s="4">
        <v>34</v>
      </c>
      <c r="AQ1135" s="4">
        <v>39</v>
      </c>
      <c r="AR1135" s="3" t="s">
        <v>73</v>
      </c>
      <c r="AS1135" s="3" t="s">
        <v>64</v>
      </c>
      <c r="AT1135" s="3" t="s">
        <v>73</v>
      </c>
      <c r="AU1135" s="6" t="str">
        <f>HYPERLINK("http://catalog.hathitrust.org/Record/002233542","HathiTrust Record")</f>
        <v>HathiTrust Record</v>
      </c>
      <c r="AV1135" s="6" t="str">
        <f>HYPERLINK("http://mcgill.on.worldcat.org/oclc/21910985","Catalog Record")</f>
        <v>Catalog Record</v>
      </c>
      <c r="AW1135" s="6" t="str">
        <f>HYPERLINK("http://www.worldcat.org/oclc/21910985","WorldCat Record")</f>
        <v>WorldCat Record</v>
      </c>
      <c r="AX1135" s="3" t="s">
        <v>11777</v>
      </c>
      <c r="AY1135" s="3" t="s">
        <v>11778</v>
      </c>
      <c r="AZ1135" s="3" t="s">
        <v>11779</v>
      </c>
      <c r="BA1135" s="3" t="s">
        <v>11779</v>
      </c>
      <c r="BB1135" s="3" t="s">
        <v>11780</v>
      </c>
      <c r="BC1135" s="3" t="s">
        <v>78</v>
      </c>
      <c r="BD1135" s="3" t="s">
        <v>79</v>
      </c>
      <c r="BE1135" s="3" t="s">
        <v>11781</v>
      </c>
      <c r="BF1135" s="3" t="s">
        <v>11780</v>
      </c>
      <c r="BG1135" s="3" t="s">
        <v>11782</v>
      </c>
    </row>
    <row r="1136" spans="1:59" ht="58" x14ac:dyDescent="0.35">
      <c r="A1136" s="2" t="s">
        <v>59</v>
      </c>
      <c r="B1136" s="2" t="s">
        <v>94</v>
      </c>
      <c r="C1136" s="2" t="s">
        <v>11783</v>
      </c>
      <c r="D1136" s="2" t="s">
        <v>11784</v>
      </c>
      <c r="E1136" s="2" t="s">
        <v>11785</v>
      </c>
      <c r="G1136" s="3" t="s">
        <v>64</v>
      </c>
      <c r="I1136" s="3" t="s">
        <v>64</v>
      </c>
      <c r="J1136" s="3" t="s">
        <v>64</v>
      </c>
      <c r="K1136" s="3" t="s">
        <v>65</v>
      </c>
      <c r="L1136" s="2" t="s">
        <v>11786</v>
      </c>
      <c r="M1136" s="2" t="s">
        <v>11787</v>
      </c>
      <c r="N1136" s="3" t="s">
        <v>1064</v>
      </c>
      <c r="P1136" s="3" t="s">
        <v>69</v>
      </c>
      <c r="R1136" s="3" t="s">
        <v>9228</v>
      </c>
      <c r="S1136" s="4">
        <v>8</v>
      </c>
      <c r="T1136" s="4">
        <v>8</v>
      </c>
      <c r="U1136" s="5" t="s">
        <v>11583</v>
      </c>
      <c r="V1136" s="5" t="s">
        <v>11583</v>
      </c>
      <c r="W1136" s="5" t="s">
        <v>72</v>
      </c>
      <c r="X1136" s="5" t="s">
        <v>72</v>
      </c>
      <c r="Y1136" s="4">
        <v>44</v>
      </c>
      <c r="Z1136" s="4">
        <v>30</v>
      </c>
      <c r="AA1136" s="4">
        <v>30</v>
      </c>
      <c r="AB1136" s="4">
        <v>1</v>
      </c>
      <c r="AC1136" s="4">
        <v>1</v>
      </c>
      <c r="AD1136" s="4">
        <v>23</v>
      </c>
      <c r="AE1136" s="4">
        <v>23</v>
      </c>
      <c r="AF1136" s="4">
        <v>0</v>
      </c>
      <c r="AG1136" s="4">
        <v>0</v>
      </c>
      <c r="AH1136" s="4">
        <v>15</v>
      </c>
      <c r="AI1136" s="4">
        <v>15</v>
      </c>
      <c r="AJ1136" s="4">
        <v>12</v>
      </c>
      <c r="AK1136" s="4">
        <v>12</v>
      </c>
      <c r="AL1136" s="4">
        <v>6</v>
      </c>
      <c r="AM1136" s="4">
        <v>6</v>
      </c>
      <c r="AN1136" s="4">
        <v>0</v>
      </c>
      <c r="AO1136" s="4">
        <v>0</v>
      </c>
      <c r="AP1136" s="4">
        <v>14</v>
      </c>
      <c r="AQ1136" s="4">
        <v>14</v>
      </c>
      <c r="AR1136" s="3" t="s">
        <v>73</v>
      </c>
      <c r="AS1136" s="3" t="s">
        <v>64</v>
      </c>
      <c r="AT1136" s="3" t="s">
        <v>64</v>
      </c>
      <c r="AV1136" s="6" t="str">
        <f>HYPERLINK("http://mcgill.on.worldcat.org/oclc/46769775","Catalog Record")</f>
        <v>Catalog Record</v>
      </c>
      <c r="AW1136" s="6" t="str">
        <f>HYPERLINK("http://www.worldcat.org/oclc/46769775","WorldCat Record")</f>
        <v>WorldCat Record</v>
      </c>
      <c r="AX1136" s="3" t="s">
        <v>11788</v>
      </c>
      <c r="AY1136" s="3" t="s">
        <v>11789</v>
      </c>
      <c r="AZ1136" s="3" t="s">
        <v>11790</v>
      </c>
      <c r="BA1136" s="3" t="s">
        <v>11790</v>
      </c>
      <c r="BB1136" s="3" t="s">
        <v>11791</v>
      </c>
      <c r="BC1136" s="3" t="s">
        <v>78</v>
      </c>
      <c r="BD1136" s="3" t="s">
        <v>79</v>
      </c>
      <c r="BE1136" s="3" t="s">
        <v>11792</v>
      </c>
      <c r="BF1136" s="3" t="s">
        <v>11791</v>
      </c>
      <c r="BG1136" s="3" t="s">
        <v>11793</v>
      </c>
    </row>
    <row r="1137" spans="1:59" ht="58" x14ac:dyDescent="0.35">
      <c r="A1137" s="2" t="s">
        <v>59</v>
      </c>
      <c r="B1137" s="2" t="s">
        <v>94</v>
      </c>
      <c r="C1137" s="2" t="s">
        <v>11794</v>
      </c>
      <c r="D1137" s="2" t="s">
        <v>11795</v>
      </c>
      <c r="E1137" s="2" t="s">
        <v>11796</v>
      </c>
      <c r="F1137" s="3" t="s">
        <v>399</v>
      </c>
      <c r="G1137" s="3" t="s">
        <v>73</v>
      </c>
      <c r="I1137" s="3" t="s">
        <v>64</v>
      </c>
      <c r="J1137" s="3" t="s">
        <v>64</v>
      </c>
      <c r="K1137" s="3" t="s">
        <v>65</v>
      </c>
      <c r="L1137" s="2" t="s">
        <v>11786</v>
      </c>
      <c r="M1137" s="2" t="s">
        <v>11797</v>
      </c>
      <c r="N1137" s="3" t="s">
        <v>377</v>
      </c>
      <c r="P1137" s="3" t="s">
        <v>69</v>
      </c>
      <c r="R1137" s="3" t="s">
        <v>9228</v>
      </c>
      <c r="S1137" s="4">
        <v>0</v>
      </c>
      <c r="T1137" s="4">
        <v>0</v>
      </c>
      <c r="W1137" s="5" t="s">
        <v>72</v>
      </c>
      <c r="X1137" s="5" t="s">
        <v>72</v>
      </c>
      <c r="Y1137" s="4">
        <v>20</v>
      </c>
      <c r="Z1137" s="4">
        <v>15</v>
      </c>
      <c r="AA1137" s="4">
        <v>16</v>
      </c>
      <c r="AB1137" s="4">
        <v>2</v>
      </c>
      <c r="AC1137" s="4">
        <v>2</v>
      </c>
      <c r="AD1137" s="4">
        <v>13</v>
      </c>
      <c r="AE1137" s="4">
        <v>13</v>
      </c>
      <c r="AF1137" s="4">
        <v>1</v>
      </c>
      <c r="AG1137" s="4">
        <v>1</v>
      </c>
      <c r="AH1137" s="4">
        <v>7</v>
      </c>
      <c r="AI1137" s="4">
        <v>7</v>
      </c>
      <c r="AJ1137" s="4">
        <v>10</v>
      </c>
      <c r="AK1137" s="4">
        <v>10</v>
      </c>
      <c r="AL1137" s="4">
        <v>2</v>
      </c>
      <c r="AM1137" s="4">
        <v>2</v>
      </c>
      <c r="AN1137" s="4">
        <v>0</v>
      </c>
      <c r="AO1137" s="4">
        <v>0</v>
      </c>
      <c r="AP1137" s="4">
        <v>10</v>
      </c>
      <c r="AQ1137" s="4">
        <v>10</v>
      </c>
      <c r="AR1137" s="3" t="s">
        <v>73</v>
      </c>
      <c r="AS1137" s="3" t="s">
        <v>64</v>
      </c>
      <c r="AT1137" s="3" t="s">
        <v>64</v>
      </c>
      <c r="AV1137" s="6" t="str">
        <f>HYPERLINK("http://mcgill.on.worldcat.org/oclc/700677991","Catalog Record")</f>
        <v>Catalog Record</v>
      </c>
      <c r="AW1137" s="6" t="str">
        <f>HYPERLINK("http://www.worldcat.org/oclc/700677991","WorldCat Record")</f>
        <v>WorldCat Record</v>
      </c>
      <c r="AX1137" s="3" t="s">
        <v>11798</v>
      </c>
      <c r="AY1137" s="3" t="s">
        <v>11799</v>
      </c>
      <c r="AZ1137" s="3" t="s">
        <v>11800</v>
      </c>
      <c r="BA1137" s="3" t="s">
        <v>11800</v>
      </c>
      <c r="BB1137" s="3" t="s">
        <v>11801</v>
      </c>
      <c r="BC1137" s="3" t="s">
        <v>78</v>
      </c>
      <c r="BD1137" s="3" t="s">
        <v>79</v>
      </c>
      <c r="BE1137" s="3" t="s">
        <v>11802</v>
      </c>
      <c r="BF1137" s="3" t="s">
        <v>11801</v>
      </c>
      <c r="BG1137" s="3" t="s">
        <v>11803</v>
      </c>
    </row>
    <row r="1138" spans="1:59" ht="58" x14ac:dyDescent="0.35">
      <c r="A1138" s="2" t="s">
        <v>59</v>
      </c>
      <c r="B1138" s="2" t="s">
        <v>94</v>
      </c>
      <c r="C1138" s="2" t="s">
        <v>11794</v>
      </c>
      <c r="D1138" s="2" t="s">
        <v>11795</v>
      </c>
      <c r="E1138" s="2" t="s">
        <v>11796</v>
      </c>
      <c r="F1138" s="3" t="s">
        <v>388</v>
      </c>
      <c r="G1138" s="3" t="s">
        <v>73</v>
      </c>
      <c r="I1138" s="3" t="s">
        <v>64</v>
      </c>
      <c r="J1138" s="3" t="s">
        <v>64</v>
      </c>
      <c r="K1138" s="3" t="s">
        <v>65</v>
      </c>
      <c r="L1138" s="2" t="s">
        <v>11786</v>
      </c>
      <c r="M1138" s="2" t="s">
        <v>11797</v>
      </c>
      <c r="N1138" s="3" t="s">
        <v>377</v>
      </c>
      <c r="P1138" s="3" t="s">
        <v>69</v>
      </c>
      <c r="R1138" s="3" t="s">
        <v>9228</v>
      </c>
      <c r="S1138" s="4">
        <v>0</v>
      </c>
      <c r="T1138" s="4">
        <v>0</v>
      </c>
      <c r="W1138" s="5" t="s">
        <v>72</v>
      </c>
      <c r="X1138" s="5" t="s">
        <v>72</v>
      </c>
      <c r="Y1138" s="4">
        <v>20</v>
      </c>
      <c r="Z1138" s="4">
        <v>15</v>
      </c>
      <c r="AA1138" s="4">
        <v>16</v>
      </c>
      <c r="AB1138" s="4">
        <v>2</v>
      </c>
      <c r="AC1138" s="4">
        <v>2</v>
      </c>
      <c r="AD1138" s="4">
        <v>13</v>
      </c>
      <c r="AE1138" s="4">
        <v>13</v>
      </c>
      <c r="AF1138" s="4">
        <v>1</v>
      </c>
      <c r="AG1138" s="4">
        <v>1</v>
      </c>
      <c r="AH1138" s="4">
        <v>7</v>
      </c>
      <c r="AI1138" s="4">
        <v>7</v>
      </c>
      <c r="AJ1138" s="4">
        <v>10</v>
      </c>
      <c r="AK1138" s="4">
        <v>10</v>
      </c>
      <c r="AL1138" s="4">
        <v>2</v>
      </c>
      <c r="AM1138" s="4">
        <v>2</v>
      </c>
      <c r="AN1138" s="4">
        <v>0</v>
      </c>
      <c r="AO1138" s="4">
        <v>0</v>
      </c>
      <c r="AP1138" s="4">
        <v>10</v>
      </c>
      <c r="AQ1138" s="4">
        <v>10</v>
      </c>
      <c r="AR1138" s="3" t="s">
        <v>73</v>
      </c>
      <c r="AS1138" s="3" t="s">
        <v>64</v>
      </c>
      <c r="AT1138" s="3" t="s">
        <v>64</v>
      </c>
      <c r="AV1138" s="6" t="str">
        <f>HYPERLINK("http://mcgill.on.worldcat.org/oclc/700677991","Catalog Record")</f>
        <v>Catalog Record</v>
      </c>
      <c r="AW1138" s="6" t="str">
        <f>HYPERLINK("http://www.worldcat.org/oclc/700677991","WorldCat Record")</f>
        <v>WorldCat Record</v>
      </c>
      <c r="AX1138" s="3" t="s">
        <v>11798</v>
      </c>
      <c r="AY1138" s="3" t="s">
        <v>11799</v>
      </c>
      <c r="AZ1138" s="3" t="s">
        <v>11800</v>
      </c>
      <c r="BA1138" s="3" t="s">
        <v>11800</v>
      </c>
      <c r="BB1138" s="3" t="s">
        <v>11804</v>
      </c>
      <c r="BC1138" s="3" t="s">
        <v>78</v>
      </c>
      <c r="BD1138" s="3" t="s">
        <v>79</v>
      </c>
      <c r="BE1138" s="3" t="s">
        <v>11802</v>
      </c>
      <c r="BF1138" s="3" t="s">
        <v>11804</v>
      </c>
      <c r="BG1138" s="3" t="s">
        <v>11805</v>
      </c>
    </row>
    <row r="1139" spans="1:59" ht="58" x14ac:dyDescent="0.35">
      <c r="A1139" s="2" t="s">
        <v>59</v>
      </c>
      <c r="B1139" s="2" t="s">
        <v>94</v>
      </c>
      <c r="C1139" s="2" t="s">
        <v>11806</v>
      </c>
      <c r="D1139" s="2" t="s">
        <v>11807</v>
      </c>
      <c r="E1139" s="2" t="s">
        <v>11808</v>
      </c>
      <c r="G1139" s="3" t="s">
        <v>64</v>
      </c>
      <c r="I1139" s="3" t="s">
        <v>73</v>
      </c>
      <c r="J1139" s="3" t="s">
        <v>64</v>
      </c>
      <c r="K1139" s="3" t="s">
        <v>65</v>
      </c>
      <c r="L1139" s="2" t="s">
        <v>11809</v>
      </c>
      <c r="M1139" s="2" t="s">
        <v>11810</v>
      </c>
      <c r="N1139" s="3" t="s">
        <v>499</v>
      </c>
      <c r="P1139" s="3" t="s">
        <v>69</v>
      </c>
      <c r="Q1139" s="2" t="s">
        <v>11811</v>
      </c>
      <c r="R1139" s="3" t="s">
        <v>9228</v>
      </c>
      <c r="S1139" s="4">
        <v>6</v>
      </c>
      <c r="T1139" s="4">
        <v>12</v>
      </c>
      <c r="U1139" s="5" t="s">
        <v>11812</v>
      </c>
      <c r="V1139" s="5" t="s">
        <v>11812</v>
      </c>
      <c r="W1139" s="5" t="s">
        <v>72</v>
      </c>
      <c r="X1139" s="5" t="s">
        <v>72</v>
      </c>
      <c r="Y1139" s="4">
        <v>31</v>
      </c>
      <c r="Z1139" s="4">
        <v>19</v>
      </c>
      <c r="AA1139" s="4">
        <v>19</v>
      </c>
      <c r="AB1139" s="4">
        <v>1</v>
      </c>
      <c r="AC1139" s="4">
        <v>1</v>
      </c>
      <c r="AD1139" s="4">
        <v>18</v>
      </c>
      <c r="AE1139" s="4">
        <v>18</v>
      </c>
      <c r="AF1139" s="4">
        <v>0</v>
      </c>
      <c r="AG1139" s="4">
        <v>0</v>
      </c>
      <c r="AH1139" s="4">
        <v>12</v>
      </c>
      <c r="AI1139" s="4">
        <v>12</v>
      </c>
      <c r="AJ1139" s="4">
        <v>12</v>
      </c>
      <c r="AK1139" s="4">
        <v>12</v>
      </c>
      <c r="AL1139" s="4">
        <v>4</v>
      </c>
      <c r="AM1139" s="4">
        <v>4</v>
      </c>
      <c r="AN1139" s="4">
        <v>0</v>
      </c>
      <c r="AO1139" s="4">
        <v>0</v>
      </c>
      <c r="AP1139" s="4">
        <v>10</v>
      </c>
      <c r="AQ1139" s="4">
        <v>10</v>
      </c>
      <c r="AR1139" s="3" t="s">
        <v>73</v>
      </c>
      <c r="AS1139" s="3" t="s">
        <v>64</v>
      </c>
      <c r="AT1139" s="3" t="s">
        <v>64</v>
      </c>
      <c r="AV1139" s="6" t="str">
        <f>HYPERLINK("http://mcgill.on.worldcat.org/oclc/59338839","Catalog Record")</f>
        <v>Catalog Record</v>
      </c>
      <c r="AW1139" s="6" t="str">
        <f>HYPERLINK("http://www.worldcat.org/oclc/59338839","WorldCat Record")</f>
        <v>WorldCat Record</v>
      </c>
      <c r="AX1139" s="3" t="s">
        <v>11813</v>
      </c>
      <c r="AY1139" s="3" t="s">
        <v>11814</v>
      </c>
      <c r="AZ1139" s="3" t="s">
        <v>11815</v>
      </c>
      <c r="BA1139" s="3" t="s">
        <v>11815</v>
      </c>
      <c r="BB1139" s="3" t="s">
        <v>11816</v>
      </c>
      <c r="BC1139" s="3" t="s">
        <v>78</v>
      </c>
      <c r="BD1139" s="3" t="s">
        <v>79</v>
      </c>
      <c r="BE1139" s="3" t="s">
        <v>11817</v>
      </c>
      <c r="BF1139" s="3" t="s">
        <v>11816</v>
      </c>
      <c r="BG1139" s="3" t="s">
        <v>11818</v>
      </c>
    </row>
    <row r="1140" spans="1:59" ht="58" x14ac:dyDescent="0.35">
      <c r="A1140" s="2" t="s">
        <v>59</v>
      </c>
      <c r="B1140" s="2" t="s">
        <v>94</v>
      </c>
      <c r="C1140" s="2" t="s">
        <v>11806</v>
      </c>
      <c r="D1140" s="2" t="s">
        <v>11807</v>
      </c>
      <c r="E1140" s="2" t="s">
        <v>11808</v>
      </c>
      <c r="G1140" s="3" t="s">
        <v>64</v>
      </c>
      <c r="I1140" s="3" t="s">
        <v>73</v>
      </c>
      <c r="J1140" s="3" t="s">
        <v>64</v>
      </c>
      <c r="K1140" s="3" t="s">
        <v>65</v>
      </c>
      <c r="L1140" s="2" t="s">
        <v>11809</v>
      </c>
      <c r="M1140" s="2" t="s">
        <v>11810</v>
      </c>
      <c r="N1140" s="3" t="s">
        <v>499</v>
      </c>
      <c r="P1140" s="3" t="s">
        <v>69</v>
      </c>
      <c r="Q1140" s="2" t="s">
        <v>11811</v>
      </c>
      <c r="R1140" s="3" t="s">
        <v>9228</v>
      </c>
      <c r="S1140" s="4">
        <v>6</v>
      </c>
      <c r="T1140" s="4">
        <v>12</v>
      </c>
      <c r="U1140" s="5" t="s">
        <v>11819</v>
      </c>
      <c r="V1140" s="5" t="s">
        <v>11812</v>
      </c>
      <c r="W1140" s="5" t="s">
        <v>72</v>
      </c>
      <c r="X1140" s="5" t="s">
        <v>72</v>
      </c>
      <c r="Y1140" s="4">
        <v>31</v>
      </c>
      <c r="Z1140" s="4">
        <v>19</v>
      </c>
      <c r="AA1140" s="4">
        <v>19</v>
      </c>
      <c r="AB1140" s="4">
        <v>1</v>
      </c>
      <c r="AC1140" s="4">
        <v>1</v>
      </c>
      <c r="AD1140" s="4">
        <v>18</v>
      </c>
      <c r="AE1140" s="4">
        <v>18</v>
      </c>
      <c r="AF1140" s="4">
        <v>0</v>
      </c>
      <c r="AG1140" s="4">
        <v>0</v>
      </c>
      <c r="AH1140" s="4">
        <v>12</v>
      </c>
      <c r="AI1140" s="4">
        <v>12</v>
      </c>
      <c r="AJ1140" s="4">
        <v>12</v>
      </c>
      <c r="AK1140" s="4">
        <v>12</v>
      </c>
      <c r="AL1140" s="4">
        <v>4</v>
      </c>
      <c r="AM1140" s="4">
        <v>4</v>
      </c>
      <c r="AN1140" s="4">
        <v>0</v>
      </c>
      <c r="AO1140" s="4">
        <v>0</v>
      </c>
      <c r="AP1140" s="4">
        <v>10</v>
      </c>
      <c r="AQ1140" s="4">
        <v>10</v>
      </c>
      <c r="AR1140" s="3" t="s">
        <v>73</v>
      </c>
      <c r="AS1140" s="3" t="s">
        <v>64</v>
      </c>
      <c r="AT1140" s="3" t="s">
        <v>64</v>
      </c>
      <c r="AV1140" s="6" t="str">
        <f>HYPERLINK("http://mcgill.on.worldcat.org/oclc/59338839","Catalog Record")</f>
        <v>Catalog Record</v>
      </c>
      <c r="AW1140" s="6" t="str">
        <f>HYPERLINK("http://www.worldcat.org/oclc/59338839","WorldCat Record")</f>
        <v>WorldCat Record</v>
      </c>
      <c r="AX1140" s="3" t="s">
        <v>11813</v>
      </c>
      <c r="AY1140" s="3" t="s">
        <v>11814</v>
      </c>
      <c r="AZ1140" s="3" t="s">
        <v>11815</v>
      </c>
      <c r="BA1140" s="3" t="s">
        <v>11815</v>
      </c>
      <c r="BB1140" s="3" t="s">
        <v>11820</v>
      </c>
      <c r="BC1140" s="3" t="s">
        <v>78</v>
      </c>
      <c r="BD1140" s="3" t="s">
        <v>79</v>
      </c>
      <c r="BE1140" s="3" t="s">
        <v>11817</v>
      </c>
      <c r="BF1140" s="3" t="s">
        <v>11820</v>
      </c>
      <c r="BG1140" s="3" t="s">
        <v>11821</v>
      </c>
    </row>
    <row r="1141" spans="1:59" ht="58" x14ac:dyDescent="0.35">
      <c r="A1141" s="2" t="s">
        <v>59</v>
      </c>
      <c r="B1141" s="2" t="s">
        <v>94</v>
      </c>
      <c r="C1141" s="2" t="s">
        <v>11822</v>
      </c>
      <c r="D1141" s="2" t="s">
        <v>11823</v>
      </c>
      <c r="E1141" s="2" t="s">
        <v>11824</v>
      </c>
      <c r="G1141" s="3" t="s">
        <v>64</v>
      </c>
      <c r="I1141" s="3" t="s">
        <v>64</v>
      </c>
      <c r="J1141" s="3" t="s">
        <v>64</v>
      </c>
      <c r="K1141" s="3" t="s">
        <v>65</v>
      </c>
      <c r="L1141" s="2" t="s">
        <v>11825</v>
      </c>
      <c r="M1141" s="2" t="s">
        <v>11826</v>
      </c>
      <c r="N1141" s="3" t="s">
        <v>3563</v>
      </c>
      <c r="P1141" s="3" t="s">
        <v>69</v>
      </c>
      <c r="R1141" s="3" t="s">
        <v>9228</v>
      </c>
      <c r="S1141" s="4">
        <v>24</v>
      </c>
      <c r="T1141" s="4">
        <v>24</v>
      </c>
      <c r="U1141" s="5" t="s">
        <v>11827</v>
      </c>
      <c r="V1141" s="5" t="s">
        <v>11827</v>
      </c>
      <c r="W1141" s="5" t="s">
        <v>72</v>
      </c>
      <c r="X1141" s="5" t="s">
        <v>72</v>
      </c>
      <c r="Y1141" s="4">
        <v>75</v>
      </c>
      <c r="Z1141" s="4">
        <v>54</v>
      </c>
      <c r="AA1141" s="4">
        <v>55</v>
      </c>
      <c r="AB1141" s="4">
        <v>3</v>
      </c>
      <c r="AC1141" s="4">
        <v>4</v>
      </c>
      <c r="AD1141" s="4">
        <v>29</v>
      </c>
      <c r="AE1141" s="4">
        <v>29</v>
      </c>
      <c r="AF1141" s="4">
        <v>1</v>
      </c>
      <c r="AG1141" s="4">
        <v>1</v>
      </c>
      <c r="AH1141" s="4">
        <v>15</v>
      </c>
      <c r="AI1141" s="4">
        <v>15</v>
      </c>
      <c r="AJ1141" s="4">
        <v>15</v>
      </c>
      <c r="AK1141" s="4">
        <v>15</v>
      </c>
      <c r="AL1141" s="4">
        <v>4</v>
      </c>
      <c r="AM1141" s="4">
        <v>4</v>
      </c>
      <c r="AN1141" s="4">
        <v>0</v>
      </c>
      <c r="AO1141" s="4">
        <v>0</v>
      </c>
      <c r="AP1141" s="4">
        <v>20</v>
      </c>
      <c r="AQ1141" s="4">
        <v>20</v>
      </c>
      <c r="AR1141" s="3" t="s">
        <v>73</v>
      </c>
      <c r="AS1141" s="3" t="s">
        <v>64</v>
      </c>
      <c r="AT1141" s="3" t="s">
        <v>64</v>
      </c>
      <c r="AV1141" s="6" t="str">
        <f>HYPERLINK("http://mcgill.on.worldcat.org/oclc/30547639","Catalog Record")</f>
        <v>Catalog Record</v>
      </c>
      <c r="AW1141" s="6" t="str">
        <f>HYPERLINK("http://www.worldcat.org/oclc/30547639","WorldCat Record")</f>
        <v>WorldCat Record</v>
      </c>
      <c r="AX1141" s="3" t="s">
        <v>11828</v>
      </c>
      <c r="AY1141" s="3" t="s">
        <v>11829</v>
      </c>
      <c r="AZ1141" s="3" t="s">
        <v>11830</v>
      </c>
      <c r="BA1141" s="3" t="s">
        <v>11830</v>
      </c>
      <c r="BB1141" s="3" t="s">
        <v>11831</v>
      </c>
      <c r="BC1141" s="3" t="s">
        <v>78</v>
      </c>
      <c r="BD1141" s="3" t="s">
        <v>79</v>
      </c>
      <c r="BE1141" s="3" t="s">
        <v>11832</v>
      </c>
      <c r="BF1141" s="3" t="s">
        <v>11831</v>
      </c>
      <c r="BG1141" s="3" t="s">
        <v>11833</v>
      </c>
    </row>
    <row r="1142" spans="1:59" ht="58" x14ac:dyDescent="0.35">
      <c r="A1142" s="2" t="s">
        <v>59</v>
      </c>
      <c r="B1142" s="2" t="s">
        <v>94</v>
      </c>
      <c r="C1142" s="2" t="s">
        <v>11834</v>
      </c>
      <c r="D1142" s="2" t="s">
        <v>11835</v>
      </c>
      <c r="E1142" s="2" t="s">
        <v>11836</v>
      </c>
      <c r="G1142" s="3" t="s">
        <v>64</v>
      </c>
      <c r="I1142" s="3" t="s">
        <v>64</v>
      </c>
      <c r="J1142" s="3" t="s">
        <v>64</v>
      </c>
      <c r="K1142" s="3" t="s">
        <v>65</v>
      </c>
      <c r="L1142" s="2" t="s">
        <v>11837</v>
      </c>
      <c r="M1142" s="2" t="s">
        <v>11838</v>
      </c>
      <c r="N1142" s="3" t="s">
        <v>328</v>
      </c>
      <c r="P1142" s="3" t="s">
        <v>69</v>
      </c>
      <c r="R1142" s="3" t="s">
        <v>9228</v>
      </c>
      <c r="S1142" s="4">
        <v>1</v>
      </c>
      <c r="T1142" s="4">
        <v>1</v>
      </c>
      <c r="U1142" s="5" t="s">
        <v>11839</v>
      </c>
      <c r="V1142" s="5" t="s">
        <v>11839</v>
      </c>
      <c r="W1142" s="5" t="s">
        <v>72</v>
      </c>
      <c r="X1142" s="5" t="s">
        <v>72</v>
      </c>
      <c r="Y1142" s="4">
        <v>40</v>
      </c>
      <c r="Z1142" s="4">
        <v>28</v>
      </c>
      <c r="AA1142" s="4">
        <v>29</v>
      </c>
      <c r="AB1142" s="4">
        <v>3</v>
      </c>
      <c r="AC1142" s="4">
        <v>4</v>
      </c>
      <c r="AD1142" s="4">
        <v>11</v>
      </c>
      <c r="AE1142" s="4">
        <v>11</v>
      </c>
      <c r="AF1142" s="4">
        <v>0</v>
      </c>
      <c r="AG1142" s="4">
        <v>0</v>
      </c>
      <c r="AH1142" s="4">
        <v>7</v>
      </c>
      <c r="AI1142" s="4">
        <v>7</v>
      </c>
      <c r="AJ1142" s="4">
        <v>7</v>
      </c>
      <c r="AK1142" s="4">
        <v>7</v>
      </c>
      <c r="AL1142" s="4">
        <v>3</v>
      </c>
      <c r="AM1142" s="4">
        <v>3</v>
      </c>
      <c r="AN1142" s="4">
        <v>0</v>
      </c>
      <c r="AO1142" s="4">
        <v>0</v>
      </c>
      <c r="AP1142" s="4">
        <v>6</v>
      </c>
      <c r="AQ1142" s="4">
        <v>6</v>
      </c>
      <c r="AR1142" s="3" t="s">
        <v>73</v>
      </c>
      <c r="AS1142" s="3" t="s">
        <v>64</v>
      </c>
      <c r="AT1142" s="3" t="s">
        <v>64</v>
      </c>
      <c r="AV1142" s="6" t="str">
        <f>HYPERLINK("http://mcgill.on.worldcat.org/oclc/729990842","Catalog Record")</f>
        <v>Catalog Record</v>
      </c>
      <c r="AW1142" s="6" t="str">
        <f>HYPERLINK("http://www.worldcat.org/oclc/729990842","WorldCat Record")</f>
        <v>WorldCat Record</v>
      </c>
      <c r="AX1142" s="3" t="s">
        <v>11840</v>
      </c>
      <c r="AY1142" s="3" t="s">
        <v>11841</v>
      </c>
      <c r="AZ1142" s="3" t="s">
        <v>11842</v>
      </c>
      <c r="BA1142" s="3" t="s">
        <v>11842</v>
      </c>
      <c r="BB1142" s="3" t="s">
        <v>11843</v>
      </c>
      <c r="BC1142" s="3" t="s">
        <v>78</v>
      </c>
      <c r="BD1142" s="3" t="s">
        <v>79</v>
      </c>
      <c r="BE1142" s="3" t="s">
        <v>11844</v>
      </c>
      <c r="BF1142" s="3" t="s">
        <v>11843</v>
      </c>
      <c r="BG1142" s="3" t="s">
        <v>11845</v>
      </c>
    </row>
    <row r="1143" spans="1:59" ht="58" x14ac:dyDescent="0.35">
      <c r="A1143" s="2" t="s">
        <v>59</v>
      </c>
      <c r="B1143" s="2" t="s">
        <v>94</v>
      </c>
      <c r="C1143" s="2" t="s">
        <v>11846</v>
      </c>
      <c r="D1143" s="2" t="s">
        <v>11847</v>
      </c>
      <c r="E1143" s="2" t="s">
        <v>11848</v>
      </c>
      <c r="G1143" s="3" t="s">
        <v>64</v>
      </c>
      <c r="I1143" s="3" t="s">
        <v>64</v>
      </c>
      <c r="J1143" s="3" t="s">
        <v>64</v>
      </c>
      <c r="K1143" s="3" t="s">
        <v>65</v>
      </c>
      <c r="M1143" s="2" t="s">
        <v>11849</v>
      </c>
      <c r="N1143" s="3" t="s">
        <v>861</v>
      </c>
      <c r="P1143" s="3" t="s">
        <v>69</v>
      </c>
      <c r="Q1143" s="2" t="s">
        <v>11850</v>
      </c>
      <c r="R1143" s="3" t="s">
        <v>9228</v>
      </c>
      <c r="S1143" s="4">
        <v>14</v>
      </c>
      <c r="T1143" s="4">
        <v>14</v>
      </c>
      <c r="U1143" s="5" t="s">
        <v>5993</v>
      </c>
      <c r="V1143" s="5" t="s">
        <v>5993</v>
      </c>
      <c r="W1143" s="5" t="s">
        <v>72</v>
      </c>
      <c r="X1143" s="5" t="s">
        <v>72</v>
      </c>
      <c r="Y1143" s="4">
        <v>32</v>
      </c>
      <c r="Z1143" s="4">
        <v>22</v>
      </c>
      <c r="AA1143" s="4">
        <v>22</v>
      </c>
      <c r="AB1143" s="4">
        <v>2</v>
      </c>
      <c r="AC1143" s="4">
        <v>2</v>
      </c>
      <c r="AD1143" s="4">
        <v>19</v>
      </c>
      <c r="AE1143" s="4">
        <v>19</v>
      </c>
      <c r="AF1143" s="4">
        <v>0</v>
      </c>
      <c r="AG1143" s="4">
        <v>0</v>
      </c>
      <c r="AH1143" s="4">
        <v>9</v>
      </c>
      <c r="AI1143" s="4">
        <v>9</v>
      </c>
      <c r="AJ1143" s="4">
        <v>13</v>
      </c>
      <c r="AK1143" s="4">
        <v>13</v>
      </c>
      <c r="AL1143" s="4">
        <v>3</v>
      </c>
      <c r="AM1143" s="4">
        <v>3</v>
      </c>
      <c r="AN1143" s="4">
        <v>0</v>
      </c>
      <c r="AO1143" s="4">
        <v>0</v>
      </c>
      <c r="AP1143" s="4">
        <v>14</v>
      </c>
      <c r="AQ1143" s="4">
        <v>14</v>
      </c>
      <c r="AR1143" s="3" t="s">
        <v>73</v>
      </c>
      <c r="AS1143" s="3" t="s">
        <v>64</v>
      </c>
      <c r="AT1143" s="3" t="s">
        <v>64</v>
      </c>
      <c r="AV1143" s="6" t="str">
        <f>HYPERLINK("http://mcgill.on.worldcat.org/oclc/54460896","Catalog Record")</f>
        <v>Catalog Record</v>
      </c>
      <c r="AW1143" s="6" t="str">
        <f>HYPERLINK("http://www.worldcat.org/oclc/54460896","WorldCat Record")</f>
        <v>WorldCat Record</v>
      </c>
      <c r="AX1143" s="3" t="s">
        <v>11851</v>
      </c>
      <c r="AY1143" s="3" t="s">
        <v>11852</v>
      </c>
      <c r="AZ1143" s="3" t="s">
        <v>11853</v>
      </c>
      <c r="BA1143" s="3" t="s">
        <v>11853</v>
      </c>
      <c r="BB1143" s="3" t="s">
        <v>11854</v>
      </c>
      <c r="BC1143" s="3" t="s">
        <v>78</v>
      </c>
      <c r="BD1143" s="3" t="s">
        <v>79</v>
      </c>
      <c r="BE1143" s="3" t="s">
        <v>11855</v>
      </c>
      <c r="BF1143" s="3" t="s">
        <v>11854</v>
      </c>
      <c r="BG1143" s="3" t="s">
        <v>11856</v>
      </c>
    </row>
    <row r="1144" spans="1:59" ht="58" x14ac:dyDescent="0.35">
      <c r="A1144" s="2" t="s">
        <v>59</v>
      </c>
      <c r="B1144" s="2" t="s">
        <v>94</v>
      </c>
      <c r="C1144" s="2" t="s">
        <v>11857</v>
      </c>
      <c r="D1144" s="2" t="s">
        <v>11858</v>
      </c>
      <c r="E1144" s="2" t="s">
        <v>11859</v>
      </c>
      <c r="F1144" s="3" t="s">
        <v>388</v>
      </c>
      <c r="G1144" s="3" t="s">
        <v>73</v>
      </c>
      <c r="I1144" s="3" t="s">
        <v>64</v>
      </c>
      <c r="J1144" s="3" t="s">
        <v>64</v>
      </c>
      <c r="K1144" s="3" t="s">
        <v>65</v>
      </c>
      <c r="L1144" s="2" t="s">
        <v>11860</v>
      </c>
      <c r="M1144" s="2" t="s">
        <v>11861</v>
      </c>
      <c r="N1144" s="3" t="s">
        <v>340</v>
      </c>
      <c r="P1144" s="3" t="s">
        <v>69</v>
      </c>
      <c r="R1144" s="3" t="s">
        <v>9228</v>
      </c>
      <c r="S1144" s="4">
        <v>2</v>
      </c>
      <c r="T1144" s="4">
        <v>7</v>
      </c>
      <c r="U1144" s="5" t="s">
        <v>11862</v>
      </c>
      <c r="V1144" s="5" t="s">
        <v>11863</v>
      </c>
      <c r="W1144" s="5" t="s">
        <v>72</v>
      </c>
      <c r="X1144" s="5" t="s">
        <v>72</v>
      </c>
      <c r="Y1144" s="4">
        <v>18</v>
      </c>
      <c r="Z1144" s="4">
        <v>12</v>
      </c>
      <c r="AA1144" s="4">
        <v>12</v>
      </c>
      <c r="AB1144" s="4">
        <v>1</v>
      </c>
      <c r="AC1144" s="4">
        <v>1</v>
      </c>
      <c r="AD1144" s="4">
        <v>10</v>
      </c>
      <c r="AE1144" s="4">
        <v>10</v>
      </c>
      <c r="AF1144" s="4">
        <v>0</v>
      </c>
      <c r="AG1144" s="4">
        <v>0</v>
      </c>
      <c r="AH1144" s="4">
        <v>8</v>
      </c>
      <c r="AI1144" s="4">
        <v>8</v>
      </c>
      <c r="AJ1144" s="4">
        <v>2</v>
      </c>
      <c r="AK1144" s="4">
        <v>2</v>
      </c>
      <c r="AL1144" s="4">
        <v>3</v>
      </c>
      <c r="AM1144" s="4">
        <v>3</v>
      </c>
      <c r="AN1144" s="4">
        <v>0</v>
      </c>
      <c r="AO1144" s="4">
        <v>0</v>
      </c>
      <c r="AP1144" s="4">
        <v>5</v>
      </c>
      <c r="AQ1144" s="4">
        <v>5</v>
      </c>
      <c r="AR1144" s="3" t="s">
        <v>73</v>
      </c>
      <c r="AS1144" s="3" t="s">
        <v>64</v>
      </c>
      <c r="AT1144" s="3" t="s">
        <v>64</v>
      </c>
      <c r="AV1144" s="6" t="str">
        <f>HYPERLINK("http://mcgill.on.worldcat.org/oclc/41531133","Catalog Record")</f>
        <v>Catalog Record</v>
      </c>
      <c r="AW1144" s="6" t="str">
        <f>HYPERLINK("http://www.worldcat.org/oclc/41531133","WorldCat Record")</f>
        <v>WorldCat Record</v>
      </c>
      <c r="AX1144" s="3" t="s">
        <v>11864</v>
      </c>
      <c r="AY1144" s="3" t="s">
        <v>11865</v>
      </c>
      <c r="AZ1144" s="3" t="s">
        <v>11866</v>
      </c>
      <c r="BA1144" s="3" t="s">
        <v>11866</v>
      </c>
      <c r="BB1144" s="3" t="s">
        <v>11867</v>
      </c>
      <c r="BC1144" s="3" t="s">
        <v>78</v>
      </c>
      <c r="BD1144" s="3" t="s">
        <v>79</v>
      </c>
      <c r="BE1144" s="3" t="s">
        <v>11868</v>
      </c>
      <c r="BF1144" s="3" t="s">
        <v>11867</v>
      </c>
      <c r="BG1144" s="3" t="s">
        <v>11869</v>
      </c>
    </row>
    <row r="1145" spans="1:59" ht="58" x14ac:dyDescent="0.35">
      <c r="A1145" s="2" t="s">
        <v>59</v>
      </c>
      <c r="B1145" s="2" t="s">
        <v>94</v>
      </c>
      <c r="C1145" s="2" t="s">
        <v>11857</v>
      </c>
      <c r="D1145" s="2" t="s">
        <v>11858</v>
      </c>
      <c r="E1145" s="2" t="s">
        <v>11859</v>
      </c>
      <c r="F1145" s="3" t="s">
        <v>399</v>
      </c>
      <c r="G1145" s="3" t="s">
        <v>73</v>
      </c>
      <c r="I1145" s="3" t="s">
        <v>64</v>
      </c>
      <c r="J1145" s="3" t="s">
        <v>64</v>
      </c>
      <c r="K1145" s="3" t="s">
        <v>65</v>
      </c>
      <c r="L1145" s="2" t="s">
        <v>11860</v>
      </c>
      <c r="M1145" s="2" t="s">
        <v>11861</v>
      </c>
      <c r="N1145" s="3" t="s">
        <v>340</v>
      </c>
      <c r="P1145" s="3" t="s">
        <v>69</v>
      </c>
      <c r="R1145" s="3" t="s">
        <v>9228</v>
      </c>
      <c r="S1145" s="4">
        <v>5</v>
      </c>
      <c r="T1145" s="4">
        <v>7</v>
      </c>
      <c r="U1145" s="5" t="s">
        <v>11863</v>
      </c>
      <c r="V1145" s="5" t="s">
        <v>11863</v>
      </c>
      <c r="W1145" s="5" t="s">
        <v>72</v>
      </c>
      <c r="X1145" s="5" t="s">
        <v>72</v>
      </c>
      <c r="Y1145" s="4">
        <v>18</v>
      </c>
      <c r="Z1145" s="4">
        <v>12</v>
      </c>
      <c r="AA1145" s="4">
        <v>12</v>
      </c>
      <c r="AB1145" s="4">
        <v>1</v>
      </c>
      <c r="AC1145" s="4">
        <v>1</v>
      </c>
      <c r="AD1145" s="4">
        <v>10</v>
      </c>
      <c r="AE1145" s="4">
        <v>10</v>
      </c>
      <c r="AF1145" s="4">
        <v>0</v>
      </c>
      <c r="AG1145" s="4">
        <v>0</v>
      </c>
      <c r="AH1145" s="4">
        <v>8</v>
      </c>
      <c r="AI1145" s="4">
        <v>8</v>
      </c>
      <c r="AJ1145" s="4">
        <v>2</v>
      </c>
      <c r="AK1145" s="4">
        <v>2</v>
      </c>
      <c r="AL1145" s="4">
        <v>3</v>
      </c>
      <c r="AM1145" s="4">
        <v>3</v>
      </c>
      <c r="AN1145" s="4">
        <v>0</v>
      </c>
      <c r="AO1145" s="4">
        <v>0</v>
      </c>
      <c r="AP1145" s="4">
        <v>5</v>
      </c>
      <c r="AQ1145" s="4">
        <v>5</v>
      </c>
      <c r="AR1145" s="3" t="s">
        <v>73</v>
      </c>
      <c r="AS1145" s="3" t="s">
        <v>64</v>
      </c>
      <c r="AT1145" s="3" t="s">
        <v>64</v>
      </c>
      <c r="AV1145" s="6" t="str">
        <f>HYPERLINK("http://mcgill.on.worldcat.org/oclc/41531133","Catalog Record")</f>
        <v>Catalog Record</v>
      </c>
      <c r="AW1145" s="6" t="str">
        <f>HYPERLINK("http://www.worldcat.org/oclc/41531133","WorldCat Record")</f>
        <v>WorldCat Record</v>
      </c>
      <c r="AX1145" s="3" t="s">
        <v>11864</v>
      </c>
      <c r="AY1145" s="3" t="s">
        <v>11865</v>
      </c>
      <c r="AZ1145" s="3" t="s">
        <v>11866</v>
      </c>
      <c r="BA1145" s="3" t="s">
        <v>11866</v>
      </c>
      <c r="BB1145" s="3" t="s">
        <v>11870</v>
      </c>
      <c r="BC1145" s="3" t="s">
        <v>78</v>
      </c>
      <c r="BD1145" s="3" t="s">
        <v>79</v>
      </c>
      <c r="BE1145" s="3" t="s">
        <v>11868</v>
      </c>
      <c r="BF1145" s="3" t="s">
        <v>11870</v>
      </c>
      <c r="BG1145" s="3" t="s">
        <v>11871</v>
      </c>
    </row>
    <row r="1146" spans="1:59" ht="58" x14ac:dyDescent="0.35">
      <c r="A1146" s="2" t="s">
        <v>59</v>
      </c>
      <c r="B1146" s="2" t="s">
        <v>94</v>
      </c>
      <c r="C1146" s="2" t="s">
        <v>11872</v>
      </c>
      <c r="D1146" s="2" t="s">
        <v>11873</v>
      </c>
      <c r="E1146" s="2" t="s">
        <v>11874</v>
      </c>
      <c r="G1146" s="3" t="s">
        <v>64</v>
      </c>
      <c r="I1146" s="3" t="s">
        <v>64</v>
      </c>
      <c r="J1146" s="3" t="s">
        <v>64</v>
      </c>
      <c r="K1146" s="3" t="s">
        <v>65</v>
      </c>
      <c r="L1146" s="2" t="s">
        <v>11875</v>
      </c>
      <c r="M1146" s="2" t="s">
        <v>11876</v>
      </c>
      <c r="N1146" s="3" t="s">
        <v>214</v>
      </c>
      <c r="P1146" s="3" t="s">
        <v>69</v>
      </c>
      <c r="R1146" s="3" t="s">
        <v>9228</v>
      </c>
      <c r="S1146" s="4">
        <v>7</v>
      </c>
      <c r="T1146" s="4">
        <v>7</v>
      </c>
      <c r="U1146" s="5" t="s">
        <v>11877</v>
      </c>
      <c r="V1146" s="5" t="s">
        <v>11877</v>
      </c>
      <c r="W1146" s="5" t="s">
        <v>72</v>
      </c>
      <c r="X1146" s="5" t="s">
        <v>72</v>
      </c>
      <c r="Y1146" s="4">
        <v>110</v>
      </c>
      <c r="Z1146" s="4">
        <v>54</v>
      </c>
      <c r="AA1146" s="4">
        <v>75</v>
      </c>
      <c r="AB1146" s="4">
        <v>2</v>
      </c>
      <c r="AC1146" s="4">
        <v>9</v>
      </c>
      <c r="AD1146" s="4">
        <v>67</v>
      </c>
      <c r="AE1146" s="4">
        <v>75</v>
      </c>
      <c r="AF1146" s="4">
        <v>1</v>
      </c>
      <c r="AG1146" s="4">
        <v>5</v>
      </c>
      <c r="AH1146" s="4">
        <v>44</v>
      </c>
      <c r="AI1146" s="4">
        <v>46</v>
      </c>
      <c r="AJ1146" s="4">
        <v>22</v>
      </c>
      <c r="AK1146" s="4">
        <v>24</v>
      </c>
      <c r="AL1146" s="4">
        <v>19</v>
      </c>
      <c r="AM1146" s="4">
        <v>20</v>
      </c>
      <c r="AN1146" s="4">
        <v>0</v>
      </c>
      <c r="AO1146" s="4">
        <v>0</v>
      </c>
      <c r="AP1146" s="4">
        <v>34</v>
      </c>
      <c r="AQ1146" s="4">
        <v>41</v>
      </c>
      <c r="AR1146" s="3" t="s">
        <v>73</v>
      </c>
      <c r="AS1146" s="3" t="s">
        <v>64</v>
      </c>
      <c r="AT1146" s="3" t="s">
        <v>64</v>
      </c>
      <c r="AV1146" s="6" t="str">
        <f>HYPERLINK("http://mcgill.on.worldcat.org/oclc/445229890","Catalog Record")</f>
        <v>Catalog Record</v>
      </c>
      <c r="AW1146" s="6" t="str">
        <f>HYPERLINK("http://www.worldcat.org/oclc/445229890","WorldCat Record")</f>
        <v>WorldCat Record</v>
      </c>
      <c r="AX1146" s="3" t="s">
        <v>11878</v>
      </c>
      <c r="AY1146" s="3" t="s">
        <v>11879</v>
      </c>
      <c r="AZ1146" s="3" t="s">
        <v>11880</v>
      </c>
      <c r="BA1146" s="3" t="s">
        <v>11880</v>
      </c>
      <c r="BB1146" s="3" t="s">
        <v>11881</v>
      </c>
      <c r="BC1146" s="3" t="s">
        <v>78</v>
      </c>
      <c r="BD1146" s="3" t="s">
        <v>79</v>
      </c>
      <c r="BE1146" s="3" t="s">
        <v>11882</v>
      </c>
      <c r="BF1146" s="3" t="s">
        <v>11881</v>
      </c>
      <c r="BG1146" s="3" t="s">
        <v>11883</v>
      </c>
    </row>
    <row r="1147" spans="1:59" ht="58" x14ac:dyDescent="0.35">
      <c r="A1147" s="2" t="s">
        <v>59</v>
      </c>
      <c r="B1147" s="2" t="s">
        <v>94</v>
      </c>
      <c r="C1147" s="2" t="s">
        <v>11884</v>
      </c>
      <c r="D1147" s="2" t="s">
        <v>11885</v>
      </c>
      <c r="E1147" s="2" t="s">
        <v>11886</v>
      </c>
      <c r="G1147" s="3" t="s">
        <v>64</v>
      </c>
      <c r="I1147" s="3" t="s">
        <v>64</v>
      </c>
      <c r="J1147" s="3" t="s">
        <v>64</v>
      </c>
      <c r="K1147" s="3" t="s">
        <v>65</v>
      </c>
      <c r="M1147" s="2" t="s">
        <v>11887</v>
      </c>
      <c r="N1147" s="3" t="s">
        <v>1029</v>
      </c>
      <c r="P1147" s="3" t="s">
        <v>69</v>
      </c>
      <c r="R1147" s="3" t="s">
        <v>9228</v>
      </c>
      <c r="S1147" s="4">
        <v>11</v>
      </c>
      <c r="T1147" s="4">
        <v>11</v>
      </c>
      <c r="U1147" s="5" t="s">
        <v>11888</v>
      </c>
      <c r="V1147" s="5" t="s">
        <v>11888</v>
      </c>
      <c r="W1147" s="5" t="s">
        <v>72</v>
      </c>
      <c r="X1147" s="5" t="s">
        <v>72</v>
      </c>
      <c r="Y1147" s="4">
        <v>27</v>
      </c>
      <c r="Z1147" s="4">
        <v>17</v>
      </c>
      <c r="AA1147" s="4">
        <v>18</v>
      </c>
      <c r="AB1147" s="4">
        <v>3</v>
      </c>
      <c r="AC1147" s="4">
        <v>3</v>
      </c>
      <c r="AD1147" s="4">
        <v>14</v>
      </c>
      <c r="AE1147" s="4">
        <v>14</v>
      </c>
      <c r="AF1147" s="4">
        <v>1</v>
      </c>
      <c r="AG1147" s="4">
        <v>1</v>
      </c>
      <c r="AH1147" s="4">
        <v>10</v>
      </c>
      <c r="AI1147" s="4">
        <v>10</v>
      </c>
      <c r="AJ1147" s="4">
        <v>9</v>
      </c>
      <c r="AK1147" s="4">
        <v>9</v>
      </c>
      <c r="AL1147" s="4">
        <v>4</v>
      </c>
      <c r="AM1147" s="4">
        <v>4</v>
      </c>
      <c r="AN1147" s="4">
        <v>0</v>
      </c>
      <c r="AO1147" s="4">
        <v>0</v>
      </c>
      <c r="AP1147" s="4">
        <v>8</v>
      </c>
      <c r="AQ1147" s="4">
        <v>8</v>
      </c>
      <c r="AR1147" s="3" t="s">
        <v>73</v>
      </c>
      <c r="AS1147" s="3" t="s">
        <v>64</v>
      </c>
      <c r="AT1147" s="3" t="s">
        <v>64</v>
      </c>
      <c r="AV1147" s="6" t="str">
        <f>HYPERLINK("http://mcgill.on.worldcat.org/oclc/316666818","Catalog Record")</f>
        <v>Catalog Record</v>
      </c>
      <c r="AW1147" s="6" t="str">
        <f>HYPERLINK("http://www.worldcat.org/oclc/316666818","WorldCat Record")</f>
        <v>WorldCat Record</v>
      </c>
      <c r="AX1147" s="3" t="s">
        <v>11889</v>
      </c>
      <c r="AY1147" s="3" t="s">
        <v>11890</v>
      </c>
      <c r="AZ1147" s="3" t="s">
        <v>11891</v>
      </c>
      <c r="BA1147" s="3" t="s">
        <v>11891</v>
      </c>
      <c r="BB1147" s="3" t="s">
        <v>11892</v>
      </c>
      <c r="BC1147" s="3" t="s">
        <v>78</v>
      </c>
      <c r="BD1147" s="3" t="s">
        <v>79</v>
      </c>
      <c r="BE1147" s="3" t="s">
        <v>11893</v>
      </c>
      <c r="BF1147" s="3" t="s">
        <v>11892</v>
      </c>
      <c r="BG1147" s="3" t="s">
        <v>11894</v>
      </c>
    </row>
    <row r="1148" spans="1:59" ht="58" x14ac:dyDescent="0.35">
      <c r="A1148" s="2" t="s">
        <v>59</v>
      </c>
      <c r="B1148" s="2" t="s">
        <v>94</v>
      </c>
      <c r="C1148" s="2" t="s">
        <v>11895</v>
      </c>
      <c r="D1148" s="2" t="s">
        <v>11896</v>
      </c>
      <c r="E1148" s="2" t="s">
        <v>11897</v>
      </c>
      <c r="G1148" s="3" t="s">
        <v>64</v>
      </c>
      <c r="I1148" s="3" t="s">
        <v>64</v>
      </c>
      <c r="J1148" s="3" t="s">
        <v>64</v>
      </c>
      <c r="K1148" s="3" t="s">
        <v>65</v>
      </c>
      <c r="L1148" s="2" t="s">
        <v>11898</v>
      </c>
      <c r="M1148" s="2" t="s">
        <v>11899</v>
      </c>
      <c r="N1148" s="3" t="s">
        <v>377</v>
      </c>
      <c r="P1148" s="3" t="s">
        <v>69</v>
      </c>
      <c r="Q1148" s="2" t="s">
        <v>11900</v>
      </c>
      <c r="R1148" s="3" t="s">
        <v>9228</v>
      </c>
      <c r="S1148" s="4">
        <v>0</v>
      </c>
      <c r="T1148" s="4">
        <v>0</v>
      </c>
      <c r="W1148" s="5" t="s">
        <v>72</v>
      </c>
      <c r="X1148" s="5" t="s">
        <v>72</v>
      </c>
      <c r="Y1148" s="4">
        <v>115</v>
      </c>
      <c r="Z1148" s="4">
        <v>74</v>
      </c>
      <c r="AA1148" s="4">
        <v>81</v>
      </c>
      <c r="AB1148" s="4">
        <v>4</v>
      </c>
      <c r="AC1148" s="4">
        <v>6</v>
      </c>
      <c r="AD1148" s="4">
        <v>50</v>
      </c>
      <c r="AE1148" s="4">
        <v>51</v>
      </c>
      <c r="AF1148" s="4">
        <v>1</v>
      </c>
      <c r="AG1148" s="4">
        <v>1</v>
      </c>
      <c r="AH1148" s="4">
        <v>29</v>
      </c>
      <c r="AI1148" s="4">
        <v>30</v>
      </c>
      <c r="AJ1148" s="4">
        <v>22</v>
      </c>
      <c r="AK1148" s="4">
        <v>22</v>
      </c>
      <c r="AL1148" s="4">
        <v>15</v>
      </c>
      <c r="AM1148" s="4">
        <v>16</v>
      </c>
      <c r="AN1148" s="4">
        <v>0</v>
      </c>
      <c r="AO1148" s="4">
        <v>0</v>
      </c>
      <c r="AP1148" s="4">
        <v>32</v>
      </c>
      <c r="AQ1148" s="4">
        <v>32</v>
      </c>
      <c r="AR1148" s="3" t="s">
        <v>73</v>
      </c>
      <c r="AS1148" s="3" t="s">
        <v>64</v>
      </c>
      <c r="AT1148" s="3" t="s">
        <v>64</v>
      </c>
      <c r="AV1148" s="6" t="str">
        <f>HYPERLINK("http://mcgill.on.worldcat.org/oclc/694678327","Catalog Record")</f>
        <v>Catalog Record</v>
      </c>
      <c r="AW1148" s="6" t="str">
        <f>HYPERLINK("http://www.worldcat.org/oclc/694678327","WorldCat Record")</f>
        <v>WorldCat Record</v>
      </c>
      <c r="AX1148" s="3" t="s">
        <v>11901</v>
      </c>
      <c r="AY1148" s="3" t="s">
        <v>11902</v>
      </c>
      <c r="AZ1148" s="3" t="s">
        <v>11903</v>
      </c>
      <c r="BA1148" s="3" t="s">
        <v>11903</v>
      </c>
      <c r="BB1148" s="3" t="s">
        <v>11904</v>
      </c>
      <c r="BC1148" s="3" t="s">
        <v>78</v>
      </c>
      <c r="BD1148" s="3" t="s">
        <v>79</v>
      </c>
      <c r="BE1148" s="3" t="s">
        <v>11905</v>
      </c>
      <c r="BF1148" s="3" t="s">
        <v>11904</v>
      </c>
      <c r="BG1148" s="3" t="s">
        <v>11906</v>
      </c>
    </row>
    <row r="1149" spans="1:59" ht="58" x14ac:dyDescent="0.35">
      <c r="A1149" s="2" t="s">
        <v>59</v>
      </c>
      <c r="B1149" s="2" t="s">
        <v>94</v>
      </c>
      <c r="C1149" s="2" t="s">
        <v>11907</v>
      </c>
      <c r="D1149" s="2" t="s">
        <v>11908</v>
      </c>
      <c r="E1149" s="2" t="s">
        <v>11909</v>
      </c>
      <c r="G1149" s="3" t="s">
        <v>64</v>
      </c>
      <c r="I1149" s="3" t="s">
        <v>64</v>
      </c>
      <c r="J1149" s="3" t="s">
        <v>64</v>
      </c>
      <c r="K1149" s="3" t="s">
        <v>65</v>
      </c>
      <c r="M1149" s="2" t="s">
        <v>11910</v>
      </c>
      <c r="N1149" s="3" t="s">
        <v>328</v>
      </c>
      <c r="P1149" s="3" t="s">
        <v>162</v>
      </c>
      <c r="Q1149" s="2" t="s">
        <v>11911</v>
      </c>
      <c r="R1149" s="3" t="s">
        <v>9228</v>
      </c>
      <c r="S1149" s="4">
        <v>0</v>
      </c>
      <c r="T1149" s="4">
        <v>0</v>
      </c>
      <c r="W1149" s="5" t="s">
        <v>72</v>
      </c>
      <c r="X1149" s="5" t="s">
        <v>72</v>
      </c>
      <c r="Y1149" s="4">
        <v>31</v>
      </c>
      <c r="Z1149" s="4">
        <v>15</v>
      </c>
      <c r="AA1149" s="4">
        <v>21</v>
      </c>
      <c r="AB1149" s="4">
        <v>2</v>
      </c>
      <c r="AC1149" s="4">
        <v>5</v>
      </c>
      <c r="AD1149" s="4">
        <v>20</v>
      </c>
      <c r="AE1149" s="4">
        <v>26</v>
      </c>
      <c r="AF1149" s="4">
        <v>1</v>
      </c>
      <c r="AG1149" s="4">
        <v>3</v>
      </c>
      <c r="AH1149" s="4">
        <v>14</v>
      </c>
      <c r="AI1149" s="4">
        <v>17</v>
      </c>
      <c r="AJ1149" s="4">
        <v>10</v>
      </c>
      <c r="AK1149" s="4">
        <v>13</v>
      </c>
      <c r="AL1149" s="4">
        <v>8</v>
      </c>
      <c r="AM1149" s="4">
        <v>9</v>
      </c>
      <c r="AN1149" s="4">
        <v>0</v>
      </c>
      <c r="AO1149" s="4">
        <v>0</v>
      </c>
      <c r="AP1149" s="4">
        <v>10</v>
      </c>
      <c r="AQ1149" s="4">
        <v>14</v>
      </c>
      <c r="AR1149" s="3" t="s">
        <v>64</v>
      </c>
      <c r="AS1149" s="3" t="s">
        <v>64</v>
      </c>
      <c r="AT1149" s="3" t="s">
        <v>64</v>
      </c>
      <c r="AV1149" s="6" t="str">
        <f>HYPERLINK("http://mcgill.on.worldcat.org/oclc/705717134","Catalog Record")</f>
        <v>Catalog Record</v>
      </c>
      <c r="AW1149" s="6" t="str">
        <f>HYPERLINK("http://www.worldcat.org/oclc/705717134","WorldCat Record")</f>
        <v>WorldCat Record</v>
      </c>
      <c r="AX1149" s="3" t="s">
        <v>11912</v>
      </c>
      <c r="AY1149" s="3" t="s">
        <v>11913</v>
      </c>
      <c r="AZ1149" s="3" t="s">
        <v>11914</v>
      </c>
      <c r="BA1149" s="3" t="s">
        <v>11914</v>
      </c>
      <c r="BB1149" s="3" t="s">
        <v>11915</v>
      </c>
      <c r="BC1149" s="3" t="s">
        <v>78</v>
      </c>
      <c r="BD1149" s="3" t="s">
        <v>79</v>
      </c>
      <c r="BE1149" s="3" t="s">
        <v>11916</v>
      </c>
      <c r="BF1149" s="3" t="s">
        <v>11915</v>
      </c>
      <c r="BG1149" s="3" t="s">
        <v>11917</v>
      </c>
    </row>
    <row r="1150" spans="1:59" ht="58" x14ac:dyDescent="0.35">
      <c r="A1150" s="2" t="s">
        <v>59</v>
      </c>
      <c r="B1150" s="2" t="s">
        <v>94</v>
      </c>
      <c r="C1150" s="2" t="s">
        <v>11918</v>
      </c>
      <c r="D1150" s="2" t="s">
        <v>11919</v>
      </c>
      <c r="E1150" s="2" t="s">
        <v>11920</v>
      </c>
      <c r="G1150" s="3" t="s">
        <v>64</v>
      </c>
      <c r="I1150" s="3" t="s">
        <v>64</v>
      </c>
      <c r="J1150" s="3" t="s">
        <v>64</v>
      </c>
      <c r="K1150" s="3" t="s">
        <v>65</v>
      </c>
      <c r="M1150" s="2" t="s">
        <v>11921</v>
      </c>
      <c r="N1150" s="3" t="s">
        <v>328</v>
      </c>
      <c r="P1150" s="3" t="s">
        <v>69</v>
      </c>
      <c r="Q1150" s="2" t="s">
        <v>7284</v>
      </c>
      <c r="R1150" s="3" t="s">
        <v>9228</v>
      </c>
      <c r="S1150" s="4">
        <v>1</v>
      </c>
      <c r="T1150" s="4">
        <v>1</v>
      </c>
      <c r="U1150" s="5" t="s">
        <v>11922</v>
      </c>
      <c r="V1150" s="5" t="s">
        <v>11922</v>
      </c>
      <c r="W1150" s="5" t="s">
        <v>72</v>
      </c>
      <c r="X1150" s="5" t="s">
        <v>72</v>
      </c>
      <c r="Y1150" s="4">
        <v>70</v>
      </c>
      <c r="Z1150" s="4">
        <v>29</v>
      </c>
      <c r="AA1150" s="4">
        <v>37</v>
      </c>
      <c r="AB1150" s="4">
        <v>1</v>
      </c>
      <c r="AC1150" s="4">
        <v>6</v>
      </c>
      <c r="AD1150" s="4">
        <v>40</v>
      </c>
      <c r="AE1150" s="4">
        <v>46</v>
      </c>
      <c r="AF1150" s="4">
        <v>0</v>
      </c>
      <c r="AG1150" s="4">
        <v>3</v>
      </c>
      <c r="AH1150" s="4">
        <v>27</v>
      </c>
      <c r="AI1150" s="4">
        <v>31</v>
      </c>
      <c r="AJ1150" s="4">
        <v>13</v>
      </c>
      <c r="AK1150" s="4">
        <v>18</v>
      </c>
      <c r="AL1150" s="4">
        <v>15</v>
      </c>
      <c r="AM1150" s="4">
        <v>16</v>
      </c>
      <c r="AN1150" s="4">
        <v>0</v>
      </c>
      <c r="AO1150" s="4">
        <v>0</v>
      </c>
      <c r="AP1150" s="4">
        <v>17</v>
      </c>
      <c r="AQ1150" s="4">
        <v>21</v>
      </c>
      <c r="AR1150" s="3" t="s">
        <v>73</v>
      </c>
      <c r="AS1150" s="3" t="s">
        <v>64</v>
      </c>
      <c r="AT1150" s="3" t="s">
        <v>64</v>
      </c>
      <c r="AV1150" s="6" t="str">
        <f>HYPERLINK("http://mcgill.on.worldcat.org/oclc/706910337","Catalog Record")</f>
        <v>Catalog Record</v>
      </c>
      <c r="AW1150" s="6" t="str">
        <f>HYPERLINK("http://www.worldcat.org/oclc/706910337","WorldCat Record")</f>
        <v>WorldCat Record</v>
      </c>
      <c r="AX1150" s="3" t="s">
        <v>11923</v>
      </c>
      <c r="AY1150" s="3" t="s">
        <v>11924</v>
      </c>
      <c r="AZ1150" s="3" t="s">
        <v>11925</v>
      </c>
      <c r="BA1150" s="3" t="s">
        <v>11925</v>
      </c>
      <c r="BB1150" s="3" t="s">
        <v>11926</v>
      </c>
      <c r="BC1150" s="3" t="s">
        <v>78</v>
      </c>
      <c r="BD1150" s="3" t="s">
        <v>79</v>
      </c>
      <c r="BE1150" s="3" t="s">
        <v>11927</v>
      </c>
      <c r="BF1150" s="3" t="s">
        <v>11926</v>
      </c>
      <c r="BG1150" s="3" t="s">
        <v>11928</v>
      </c>
    </row>
    <row r="1151" spans="1:59" ht="58" x14ac:dyDescent="0.35">
      <c r="A1151" s="2" t="s">
        <v>59</v>
      </c>
      <c r="B1151" s="2" t="s">
        <v>94</v>
      </c>
      <c r="C1151" s="2" t="s">
        <v>11929</v>
      </c>
      <c r="D1151" s="2" t="s">
        <v>11930</v>
      </c>
      <c r="E1151" s="2" t="s">
        <v>11931</v>
      </c>
      <c r="G1151" s="3" t="s">
        <v>64</v>
      </c>
      <c r="I1151" s="3" t="s">
        <v>64</v>
      </c>
      <c r="J1151" s="3" t="s">
        <v>64</v>
      </c>
      <c r="K1151" s="3" t="s">
        <v>65</v>
      </c>
      <c r="L1151" s="2" t="s">
        <v>11932</v>
      </c>
      <c r="M1151" s="2" t="s">
        <v>11933</v>
      </c>
      <c r="N1151" s="3" t="s">
        <v>274</v>
      </c>
      <c r="P1151" s="3" t="s">
        <v>69</v>
      </c>
      <c r="R1151" s="3" t="s">
        <v>9228</v>
      </c>
      <c r="S1151" s="4">
        <v>33</v>
      </c>
      <c r="T1151" s="4">
        <v>33</v>
      </c>
      <c r="U1151" s="5" t="s">
        <v>9462</v>
      </c>
      <c r="V1151" s="5" t="s">
        <v>9462</v>
      </c>
      <c r="W1151" s="5" t="s">
        <v>72</v>
      </c>
      <c r="X1151" s="5" t="s">
        <v>72</v>
      </c>
      <c r="Y1151" s="4">
        <v>224</v>
      </c>
      <c r="Z1151" s="4">
        <v>38</v>
      </c>
      <c r="AA1151" s="4">
        <v>39</v>
      </c>
      <c r="AB1151" s="4">
        <v>4</v>
      </c>
      <c r="AC1151" s="4">
        <v>5</v>
      </c>
      <c r="AD1151" s="4">
        <v>107</v>
      </c>
      <c r="AE1151" s="4">
        <v>108</v>
      </c>
      <c r="AF1151" s="4">
        <v>1</v>
      </c>
      <c r="AG1151" s="4">
        <v>2</v>
      </c>
      <c r="AH1151" s="4">
        <v>88</v>
      </c>
      <c r="AI1151" s="4">
        <v>89</v>
      </c>
      <c r="AJ1151" s="4">
        <v>21</v>
      </c>
      <c r="AK1151" s="4">
        <v>22</v>
      </c>
      <c r="AL1151" s="4">
        <v>48</v>
      </c>
      <c r="AM1151" s="4">
        <v>48</v>
      </c>
      <c r="AN1151" s="4">
        <v>0</v>
      </c>
      <c r="AO1151" s="4">
        <v>0</v>
      </c>
      <c r="AP1151" s="4">
        <v>26</v>
      </c>
      <c r="AQ1151" s="4">
        <v>27</v>
      </c>
      <c r="AR1151" s="3" t="s">
        <v>64</v>
      </c>
      <c r="AS1151" s="3" t="s">
        <v>64</v>
      </c>
      <c r="AT1151" s="3" t="s">
        <v>73</v>
      </c>
      <c r="AU1151" s="6" t="str">
        <f>HYPERLINK("http://catalog.hathitrust.org/Record/000913535","HathiTrust Record")</f>
        <v>HathiTrust Record</v>
      </c>
      <c r="AV1151" s="6" t="str">
        <f>HYPERLINK("http://mcgill.on.worldcat.org/oclc/16712069","Catalog Record")</f>
        <v>Catalog Record</v>
      </c>
      <c r="AW1151" s="6" t="str">
        <f>HYPERLINK("http://www.worldcat.org/oclc/16712069","WorldCat Record")</f>
        <v>WorldCat Record</v>
      </c>
      <c r="AX1151" s="3" t="s">
        <v>11934</v>
      </c>
      <c r="AY1151" s="3" t="s">
        <v>11935</v>
      </c>
      <c r="AZ1151" s="3" t="s">
        <v>11936</v>
      </c>
      <c r="BA1151" s="3" t="s">
        <v>11936</v>
      </c>
      <c r="BB1151" s="3" t="s">
        <v>11937</v>
      </c>
      <c r="BC1151" s="3" t="s">
        <v>78</v>
      </c>
      <c r="BD1151" s="3" t="s">
        <v>414</v>
      </c>
      <c r="BE1151" s="3" t="s">
        <v>11938</v>
      </c>
      <c r="BF1151" s="3" t="s">
        <v>11937</v>
      </c>
      <c r="BG1151" s="3" t="s">
        <v>11939</v>
      </c>
    </row>
    <row r="1152" spans="1:59" ht="43.5" x14ac:dyDescent="0.35">
      <c r="A1152" s="2" t="s">
        <v>59</v>
      </c>
      <c r="B1152" s="2" t="s">
        <v>11940</v>
      </c>
      <c r="C1152" s="2" t="s">
        <v>11941</v>
      </c>
      <c r="D1152" s="2" t="s">
        <v>11942</v>
      </c>
      <c r="E1152" s="2" t="s">
        <v>11943</v>
      </c>
      <c r="G1152" s="3" t="s">
        <v>64</v>
      </c>
      <c r="I1152" s="3" t="s">
        <v>73</v>
      </c>
      <c r="J1152" s="3" t="s">
        <v>64</v>
      </c>
      <c r="K1152" s="3" t="s">
        <v>65</v>
      </c>
      <c r="L1152" s="2" t="s">
        <v>11944</v>
      </c>
      <c r="M1152" s="2" t="s">
        <v>11945</v>
      </c>
      <c r="N1152" s="3" t="s">
        <v>201</v>
      </c>
      <c r="P1152" s="3" t="s">
        <v>69</v>
      </c>
      <c r="R1152" s="3" t="s">
        <v>9228</v>
      </c>
      <c r="S1152" s="4">
        <v>17</v>
      </c>
      <c r="T1152" s="4">
        <v>39</v>
      </c>
      <c r="U1152" s="5" t="s">
        <v>11946</v>
      </c>
      <c r="V1152" s="5" t="s">
        <v>11947</v>
      </c>
      <c r="W1152" s="5" t="s">
        <v>72</v>
      </c>
      <c r="X1152" s="5" t="s">
        <v>72</v>
      </c>
      <c r="Y1152" s="4">
        <v>203</v>
      </c>
      <c r="Z1152" s="4">
        <v>72</v>
      </c>
      <c r="AA1152" s="4">
        <v>74</v>
      </c>
      <c r="AB1152" s="4">
        <v>4</v>
      </c>
      <c r="AC1152" s="4">
        <v>6</v>
      </c>
      <c r="AD1152" s="4">
        <v>98</v>
      </c>
      <c r="AE1152" s="4">
        <v>100</v>
      </c>
      <c r="AF1152" s="4">
        <v>2</v>
      </c>
      <c r="AG1152" s="4">
        <v>4</v>
      </c>
      <c r="AH1152" s="4">
        <v>64</v>
      </c>
      <c r="AI1152" s="4">
        <v>65</v>
      </c>
      <c r="AJ1152" s="4">
        <v>25</v>
      </c>
      <c r="AK1152" s="4">
        <v>27</v>
      </c>
      <c r="AL1152" s="4">
        <v>35</v>
      </c>
      <c r="AM1152" s="4">
        <v>35</v>
      </c>
      <c r="AN1152" s="4">
        <v>0</v>
      </c>
      <c r="AO1152" s="4">
        <v>0</v>
      </c>
      <c r="AP1152" s="4">
        <v>44</v>
      </c>
      <c r="AQ1152" s="4">
        <v>46</v>
      </c>
      <c r="AR1152" s="3" t="s">
        <v>73</v>
      </c>
      <c r="AS1152" s="3" t="s">
        <v>64</v>
      </c>
      <c r="AT1152" s="3" t="s">
        <v>73</v>
      </c>
      <c r="AU1152" s="6" t="str">
        <f>HYPERLINK("http://catalog.hathitrust.org/Record/001444649","HathiTrust Record")</f>
        <v>HathiTrust Record</v>
      </c>
      <c r="AV1152" s="6" t="str">
        <f>HYPERLINK("http://mcgill.on.worldcat.org/oclc/119636","Catalog Record")</f>
        <v>Catalog Record</v>
      </c>
      <c r="AW1152" s="6" t="str">
        <f>HYPERLINK("http://www.worldcat.org/oclc/119636","WorldCat Record")</f>
        <v>WorldCat Record</v>
      </c>
      <c r="AX1152" s="3" t="s">
        <v>11948</v>
      </c>
      <c r="AY1152" s="3" t="s">
        <v>11949</v>
      </c>
      <c r="AZ1152" s="3" t="s">
        <v>11950</v>
      </c>
      <c r="BA1152" s="3" t="s">
        <v>11950</v>
      </c>
      <c r="BB1152" s="3" t="s">
        <v>11951</v>
      </c>
      <c r="BC1152" s="3" t="s">
        <v>78</v>
      </c>
      <c r="BD1152" s="3" t="s">
        <v>79</v>
      </c>
      <c r="BE1152" s="3" t="s">
        <v>11952</v>
      </c>
      <c r="BF1152" s="3" t="s">
        <v>11951</v>
      </c>
      <c r="BG1152" s="3" t="s">
        <v>11953</v>
      </c>
    </row>
    <row r="1153" spans="1:59" ht="58" x14ac:dyDescent="0.35">
      <c r="A1153" s="2" t="s">
        <v>59</v>
      </c>
      <c r="B1153" s="2" t="s">
        <v>94</v>
      </c>
      <c r="C1153" s="2" t="s">
        <v>11941</v>
      </c>
      <c r="D1153" s="2" t="s">
        <v>11942</v>
      </c>
      <c r="E1153" s="2" t="s">
        <v>11943</v>
      </c>
      <c r="G1153" s="3" t="s">
        <v>64</v>
      </c>
      <c r="I1153" s="3" t="s">
        <v>73</v>
      </c>
      <c r="J1153" s="3" t="s">
        <v>64</v>
      </c>
      <c r="K1153" s="3" t="s">
        <v>65</v>
      </c>
      <c r="L1153" s="2" t="s">
        <v>11944</v>
      </c>
      <c r="M1153" s="2" t="s">
        <v>11945</v>
      </c>
      <c r="N1153" s="3" t="s">
        <v>201</v>
      </c>
      <c r="P1153" s="3" t="s">
        <v>69</v>
      </c>
      <c r="R1153" s="3" t="s">
        <v>9228</v>
      </c>
      <c r="S1153" s="4">
        <v>10</v>
      </c>
      <c r="T1153" s="4">
        <v>39</v>
      </c>
      <c r="U1153" s="5" t="s">
        <v>11954</v>
      </c>
      <c r="V1153" s="5" t="s">
        <v>11947</v>
      </c>
      <c r="W1153" s="5" t="s">
        <v>72</v>
      </c>
      <c r="X1153" s="5" t="s">
        <v>72</v>
      </c>
      <c r="Y1153" s="4">
        <v>203</v>
      </c>
      <c r="Z1153" s="4">
        <v>72</v>
      </c>
      <c r="AA1153" s="4">
        <v>74</v>
      </c>
      <c r="AB1153" s="4">
        <v>4</v>
      </c>
      <c r="AC1153" s="4">
        <v>6</v>
      </c>
      <c r="AD1153" s="4">
        <v>98</v>
      </c>
      <c r="AE1153" s="4">
        <v>100</v>
      </c>
      <c r="AF1153" s="4">
        <v>2</v>
      </c>
      <c r="AG1153" s="4">
        <v>4</v>
      </c>
      <c r="AH1153" s="4">
        <v>64</v>
      </c>
      <c r="AI1153" s="4">
        <v>65</v>
      </c>
      <c r="AJ1153" s="4">
        <v>25</v>
      </c>
      <c r="AK1153" s="4">
        <v>27</v>
      </c>
      <c r="AL1153" s="4">
        <v>35</v>
      </c>
      <c r="AM1153" s="4">
        <v>35</v>
      </c>
      <c r="AN1153" s="4">
        <v>0</v>
      </c>
      <c r="AO1153" s="4">
        <v>0</v>
      </c>
      <c r="AP1153" s="4">
        <v>44</v>
      </c>
      <c r="AQ1153" s="4">
        <v>46</v>
      </c>
      <c r="AR1153" s="3" t="s">
        <v>73</v>
      </c>
      <c r="AS1153" s="3" t="s">
        <v>64</v>
      </c>
      <c r="AT1153" s="3" t="s">
        <v>73</v>
      </c>
      <c r="AU1153" s="6" t="str">
        <f>HYPERLINK("http://catalog.hathitrust.org/Record/001444649","HathiTrust Record")</f>
        <v>HathiTrust Record</v>
      </c>
      <c r="AV1153" s="6" t="str">
        <f>HYPERLINK("http://mcgill.on.worldcat.org/oclc/119636","Catalog Record")</f>
        <v>Catalog Record</v>
      </c>
      <c r="AW1153" s="6" t="str">
        <f>HYPERLINK("http://www.worldcat.org/oclc/119636","WorldCat Record")</f>
        <v>WorldCat Record</v>
      </c>
      <c r="AX1153" s="3" t="s">
        <v>11948</v>
      </c>
      <c r="AY1153" s="3" t="s">
        <v>11949</v>
      </c>
      <c r="AZ1153" s="3" t="s">
        <v>11950</v>
      </c>
      <c r="BA1153" s="3" t="s">
        <v>11950</v>
      </c>
      <c r="BB1153" s="3" t="s">
        <v>11955</v>
      </c>
      <c r="BC1153" s="3" t="s">
        <v>78</v>
      </c>
      <c r="BD1153" s="3" t="s">
        <v>79</v>
      </c>
      <c r="BE1153" s="3" t="s">
        <v>11952</v>
      </c>
      <c r="BF1153" s="3" t="s">
        <v>11955</v>
      </c>
      <c r="BG1153" s="3" t="s">
        <v>11956</v>
      </c>
    </row>
    <row r="1154" spans="1:59" ht="58" x14ac:dyDescent="0.35">
      <c r="A1154" s="2" t="s">
        <v>59</v>
      </c>
      <c r="B1154" s="2" t="s">
        <v>94</v>
      </c>
      <c r="C1154" s="2" t="s">
        <v>11941</v>
      </c>
      <c r="D1154" s="2" t="s">
        <v>11942</v>
      </c>
      <c r="E1154" s="2" t="s">
        <v>11943</v>
      </c>
      <c r="G1154" s="3" t="s">
        <v>64</v>
      </c>
      <c r="I1154" s="3" t="s">
        <v>73</v>
      </c>
      <c r="J1154" s="3" t="s">
        <v>64</v>
      </c>
      <c r="K1154" s="3" t="s">
        <v>65</v>
      </c>
      <c r="L1154" s="2" t="s">
        <v>11944</v>
      </c>
      <c r="M1154" s="2" t="s">
        <v>11945</v>
      </c>
      <c r="N1154" s="3" t="s">
        <v>201</v>
      </c>
      <c r="P1154" s="3" t="s">
        <v>69</v>
      </c>
      <c r="R1154" s="3" t="s">
        <v>9228</v>
      </c>
      <c r="S1154" s="4">
        <v>12</v>
      </c>
      <c r="T1154" s="4">
        <v>39</v>
      </c>
      <c r="U1154" s="5" t="s">
        <v>11947</v>
      </c>
      <c r="V1154" s="5" t="s">
        <v>11947</v>
      </c>
      <c r="W1154" s="5" t="s">
        <v>72</v>
      </c>
      <c r="X1154" s="5" t="s">
        <v>72</v>
      </c>
      <c r="Y1154" s="4">
        <v>203</v>
      </c>
      <c r="Z1154" s="4">
        <v>72</v>
      </c>
      <c r="AA1154" s="4">
        <v>74</v>
      </c>
      <c r="AB1154" s="4">
        <v>4</v>
      </c>
      <c r="AC1154" s="4">
        <v>6</v>
      </c>
      <c r="AD1154" s="4">
        <v>98</v>
      </c>
      <c r="AE1154" s="4">
        <v>100</v>
      </c>
      <c r="AF1154" s="4">
        <v>2</v>
      </c>
      <c r="AG1154" s="4">
        <v>4</v>
      </c>
      <c r="AH1154" s="4">
        <v>64</v>
      </c>
      <c r="AI1154" s="4">
        <v>65</v>
      </c>
      <c r="AJ1154" s="4">
        <v>25</v>
      </c>
      <c r="AK1154" s="4">
        <v>27</v>
      </c>
      <c r="AL1154" s="4">
        <v>35</v>
      </c>
      <c r="AM1154" s="4">
        <v>35</v>
      </c>
      <c r="AN1154" s="4">
        <v>0</v>
      </c>
      <c r="AO1154" s="4">
        <v>0</v>
      </c>
      <c r="AP1154" s="4">
        <v>44</v>
      </c>
      <c r="AQ1154" s="4">
        <v>46</v>
      </c>
      <c r="AR1154" s="3" t="s">
        <v>73</v>
      </c>
      <c r="AS1154" s="3" t="s">
        <v>64</v>
      </c>
      <c r="AT1154" s="3" t="s">
        <v>73</v>
      </c>
      <c r="AU1154" s="6" t="str">
        <f>HYPERLINK("http://catalog.hathitrust.org/Record/001444649","HathiTrust Record")</f>
        <v>HathiTrust Record</v>
      </c>
      <c r="AV1154" s="6" t="str">
        <f>HYPERLINK("http://mcgill.on.worldcat.org/oclc/119636","Catalog Record")</f>
        <v>Catalog Record</v>
      </c>
      <c r="AW1154" s="6" t="str">
        <f>HYPERLINK("http://www.worldcat.org/oclc/119636","WorldCat Record")</f>
        <v>WorldCat Record</v>
      </c>
      <c r="AX1154" s="3" t="s">
        <v>11948</v>
      </c>
      <c r="AY1154" s="3" t="s">
        <v>11949</v>
      </c>
      <c r="AZ1154" s="3" t="s">
        <v>11950</v>
      </c>
      <c r="BA1154" s="3" t="s">
        <v>11950</v>
      </c>
      <c r="BB1154" s="3" t="s">
        <v>11957</v>
      </c>
      <c r="BC1154" s="3" t="s">
        <v>78</v>
      </c>
      <c r="BD1154" s="3" t="s">
        <v>79</v>
      </c>
      <c r="BE1154" s="3" t="s">
        <v>11952</v>
      </c>
      <c r="BF1154" s="3" t="s">
        <v>11957</v>
      </c>
      <c r="BG1154" s="3" t="s">
        <v>11958</v>
      </c>
    </row>
    <row r="1155" spans="1:59" ht="72.5" x14ac:dyDescent="0.35">
      <c r="A1155" s="2" t="s">
        <v>59</v>
      </c>
      <c r="B1155" s="2" t="s">
        <v>94</v>
      </c>
      <c r="C1155" s="2" t="s">
        <v>11959</v>
      </c>
      <c r="D1155" s="2" t="s">
        <v>11960</v>
      </c>
      <c r="E1155" s="2" t="s">
        <v>11961</v>
      </c>
      <c r="G1155" s="3" t="s">
        <v>64</v>
      </c>
      <c r="I1155" s="3" t="s">
        <v>64</v>
      </c>
      <c r="J1155" s="3" t="s">
        <v>64</v>
      </c>
      <c r="K1155" s="3" t="s">
        <v>65</v>
      </c>
      <c r="M1155" s="2" t="s">
        <v>11962</v>
      </c>
      <c r="N1155" s="3" t="s">
        <v>214</v>
      </c>
      <c r="P1155" s="3" t="s">
        <v>69</v>
      </c>
      <c r="R1155" s="3" t="s">
        <v>9228</v>
      </c>
      <c r="S1155" s="4">
        <v>6</v>
      </c>
      <c r="T1155" s="4">
        <v>6</v>
      </c>
      <c r="U1155" s="5" t="s">
        <v>5993</v>
      </c>
      <c r="V1155" s="5" t="s">
        <v>5993</v>
      </c>
      <c r="W1155" s="5" t="s">
        <v>72</v>
      </c>
      <c r="X1155" s="5" t="s">
        <v>72</v>
      </c>
      <c r="Y1155" s="4">
        <v>61</v>
      </c>
      <c r="Z1155" s="4">
        <v>28</v>
      </c>
      <c r="AA1155" s="4">
        <v>33</v>
      </c>
      <c r="AB1155" s="4">
        <v>2</v>
      </c>
      <c r="AC1155" s="4">
        <v>4</v>
      </c>
      <c r="AD1155" s="4">
        <v>32</v>
      </c>
      <c r="AE1155" s="4">
        <v>37</v>
      </c>
      <c r="AF1155" s="4">
        <v>0</v>
      </c>
      <c r="AG1155" s="4">
        <v>2</v>
      </c>
      <c r="AH1155" s="4">
        <v>23</v>
      </c>
      <c r="AI1155" s="4">
        <v>25</v>
      </c>
      <c r="AJ1155" s="4">
        <v>12</v>
      </c>
      <c r="AK1155" s="4">
        <v>16</v>
      </c>
      <c r="AL1155" s="4">
        <v>11</v>
      </c>
      <c r="AM1155" s="4">
        <v>11</v>
      </c>
      <c r="AN1155" s="4">
        <v>0</v>
      </c>
      <c r="AO1155" s="4">
        <v>0</v>
      </c>
      <c r="AP1155" s="4">
        <v>16</v>
      </c>
      <c r="AQ1155" s="4">
        <v>21</v>
      </c>
      <c r="AR1155" s="3" t="s">
        <v>73</v>
      </c>
      <c r="AS1155" s="3" t="s">
        <v>64</v>
      </c>
      <c r="AT1155" s="3" t="s">
        <v>64</v>
      </c>
      <c r="AV1155" s="6" t="str">
        <f>HYPERLINK("http://mcgill.on.worldcat.org/oclc/507352272","Catalog Record")</f>
        <v>Catalog Record</v>
      </c>
      <c r="AW1155" s="6" t="str">
        <f>HYPERLINK("http://www.worldcat.org/oclc/507352272","WorldCat Record")</f>
        <v>WorldCat Record</v>
      </c>
      <c r="AX1155" s="3" t="s">
        <v>11963</v>
      </c>
      <c r="AY1155" s="3" t="s">
        <v>11964</v>
      </c>
      <c r="AZ1155" s="3" t="s">
        <v>11965</v>
      </c>
      <c r="BA1155" s="3" t="s">
        <v>11965</v>
      </c>
      <c r="BB1155" s="3" t="s">
        <v>11966</v>
      </c>
      <c r="BC1155" s="3" t="s">
        <v>78</v>
      </c>
      <c r="BD1155" s="3" t="s">
        <v>79</v>
      </c>
      <c r="BE1155" s="3" t="s">
        <v>11967</v>
      </c>
      <c r="BF1155" s="3" t="s">
        <v>11966</v>
      </c>
      <c r="BG1155" s="3" t="s">
        <v>11968</v>
      </c>
    </row>
    <row r="1156" spans="1:59" ht="58" x14ac:dyDescent="0.35">
      <c r="A1156" s="2" t="s">
        <v>59</v>
      </c>
      <c r="B1156" s="2" t="s">
        <v>94</v>
      </c>
      <c r="C1156" s="2" t="s">
        <v>11969</v>
      </c>
      <c r="D1156" s="2" t="s">
        <v>11970</v>
      </c>
      <c r="E1156" s="2" t="s">
        <v>11971</v>
      </c>
      <c r="G1156" s="3" t="s">
        <v>64</v>
      </c>
      <c r="I1156" s="3" t="s">
        <v>73</v>
      </c>
      <c r="J1156" s="3" t="s">
        <v>64</v>
      </c>
      <c r="K1156" s="3" t="s">
        <v>65</v>
      </c>
      <c r="L1156" s="2" t="s">
        <v>11972</v>
      </c>
      <c r="M1156" s="2" t="s">
        <v>11973</v>
      </c>
      <c r="N1156" s="3" t="s">
        <v>287</v>
      </c>
      <c r="P1156" s="3" t="s">
        <v>69</v>
      </c>
      <c r="R1156" s="3" t="s">
        <v>9228</v>
      </c>
      <c r="S1156" s="4">
        <v>54</v>
      </c>
      <c r="T1156" s="4">
        <v>82</v>
      </c>
      <c r="U1156" s="5" t="s">
        <v>11974</v>
      </c>
      <c r="V1156" s="5" t="s">
        <v>5833</v>
      </c>
      <c r="W1156" s="5" t="s">
        <v>72</v>
      </c>
      <c r="X1156" s="5" t="s">
        <v>72</v>
      </c>
      <c r="Y1156" s="4">
        <v>201</v>
      </c>
      <c r="Z1156" s="4">
        <v>58</v>
      </c>
      <c r="AA1156" s="4">
        <v>93</v>
      </c>
      <c r="AB1156" s="4">
        <v>5</v>
      </c>
      <c r="AC1156" s="4">
        <v>18</v>
      </c>
      <c r="AD1156" s="4">
        <v>104</v>
      </c>
      <c r="AE1156" s="4">
        <v>120</v>
      </c>
      <c r="AF1156" s="4">
        <v>1</v>
      </c>
      <c r="AG1156" s="4">
        <v>7</v>
      </c>
      <c r="AH1156" s="4">
        <v>77</v>
      </c>
      <c r="AI1156" s="4">
        <v>80</v>
      </c>
      <c r="AJ1156" s="4">
        <v>21</v>
      </c>
      <c r="AK1156" s="4">
        <v>29</v>
      </c>
      <c r="AL1156" s="4">
        <v>41</v>
      </c>
      <c r="AM1156" s="4">
        <v>42</v>
      </c>
      <c r="AN1156" s="4">
        <v>0</v>
      </c>
      <c r="AO1156" s="4">
        <v>0</v>
      </c>
      <c r="AP1156" s="4">
        <v>36</v>
      </c>
      <c r="AQ1156" s="4">
        <v>50</v>
      </c>
      <c r="AR1156" s="3" t="s">
        <v>73</v>
      </c>
      <c r="AS1156" s="3" t="s">
        <v>64</v>
      </c>
      <c r="AT1156" s="3" t="s">
        <v>64</v>
      </c>
      <c r="AV1156" s="6" t="str">
        <f>HYPERLINK("http://mcgill.on.worldcat.org/oclc/7832450","Catalog Record")</f>
        <v>Catalog Record</v>
      </c>
      <c r="AW1156" s="6" t="str">
        <f>HYPERLINK("http://www.worldcat.org/oclc/7832450","WorldCat Record")</f>
        <v>WorldCat Record</v>
      </c>
      <c r="AX1156" s="3" t="s">
        <v>11975</v>
      </c>
      <c r="AY1156" s="3" t="s">
        <v>11976</v>
      </c>
      <c r="AZ1156" s="3" t="s">
        <v>11977</v>
      </c>
      <c r="BA1156" s="3" t="s">
        <v>11977</v>
      </c>
      <c r="BB1156" s="3" t="s">
        <v>11978</v>
      </c>
      <c r="BC1156" s="3" t="s">
        <v>78</v>
      </c>
      <c r="BD1156" s="3" t="s">
        <v>79</v>
      </c>
      <c r="BE1156" s="3" t="s">
        <v>11979</v>
      </c>
      <c r="BF1156" s="3" t="s">
        <v>11978</v>
      </c>
      <c r="BG1156" s="3" t="s">
        <v>11980</v>
      </c>
    </row>
    <row r="1157" spans="1:59" ht="58" x14ac:dyDescent="0.35">
      <c r="A1157" s="2" t="s">
        <v>59</v>
      </c>
      <c r="B1157" s="2" t="s">
        <v>94</v>
      </c>
      <c r="C1157" s="2" t="s">
        <v>11969</v>
      </c>
      <c r="D1157" s="2" t="s">
        <v>11970</v>
      </c>
      <c r="E1157" s="2" t="s">
        <v>11971</v>
      </c>
      <c r="G1157" s="3" t="s">
        <v>64</v>
      </c>
      <c r="I1157" s="3" t="s">
        <v>73</v>
      </c>
      <c r="J1157" s="3" t="s">
        <v>64</v>
      </c>
      <c r="K1157" s="3" t="s">
        <v>65</v>
      </c>
      <c r="L1157" s="2" t="s">
        <v>11972</v>
      </c>
      <c r="M1157" s="2" t="s">
        <v>11973</v>
      </c>
      <c r="N1157" s="3" t="s">
        <v>287</v>
      </c>
      <c r="P1157" s="3" t="s">
        <v>69</v>
      </c>
      <c r="R1157" s="3" t="s">
        <v>9228</v>
      </c>
      <c r="S1157" s="4">
        <v>28</v>
      </c>
      <c r="T1157" s="4">
        <v>82</v>
      </c>
      <c r="U1157" s="5" t="s">
        <v>5833</v>
      </c>
      <c r="V1157" s="5" t="s">
        <v>5833</v>
      </c>
      <c r="W1157" s="5" t="s">
        <v>72</v>
      </c>
      <c r="X1157" s="5" t="s">
        <v>72</v>
      </c>
      <c r="Y1157" s="4">
        <v>201</v>
      </c>
      <c r="Z1157" s="4">
        <v>58</v>
      </c>
      <c r="AA1157" s="4">
        <v>93</v>
      </c>
      <c r="AB1157" s="4">
        <v>5</v>
      </c>
      <c r="AC1157" s="4">
        <v>18</v>
      </c>
      <c r="AD1157" s="4">
        <v>104</v>
      </c>
      <c r="AE1157" s="4">
        <v>120</v>
      </c>
      <c r="AF1157" s="4">
        <v>1</v>
      </c>
      <c r="AG1157" s="4">
        <v>7</v>
      </c>
      <c r="AH1157" s="4">
        <v>77</v>
      </c>
      <c r="AI1157" s="4">
        <v>80</v>
      </c>
      <c r="AJ1157" s="4">
        <v>21</v>
      </c>
      <c r="AK1157" s="4">
        <v>29</v>
      </c>
      <c r="AL1157" s="4">
        <v>41</v>
      </c>
      <c r="AM1157" s="4">
        <v>42</v>
      </c>
      <c r="AN1157" s="4">
        <v>0</v>
      </c>
      <c r="AO1157" s="4">
        <v>0</v>
      </c>
      <c r="AP1157" s="4">
        <v>36</v>
      </c>
      <c r="AQ1157" s="4">
        <v>50</v>
      </c>
      <c r="AR1157" s="3" t="s">
        <v>73</v>
      </c>
      <c r="AS1157" s="3" t="s">
        <v>64</v>
      </c>
      <c r="AT1157" s="3" t="s">
        <v>64</v>
      </c>
      <c r="AV1157" s="6" t="str">
        <f>HYPERLINK("http://mcgill.on.worldcat.org/oclc/7832450","Catalog Record")</f>
        <v>Catalog Record</v>
      </c>
      <c r="AW1157" s="6" t="str">
        <f>HYPERLINK("http://www.worldcat.org/oclc/7832450","WorldCat Record")</f>
        <v>WorldCat Record</v>
      </c>
      <c r="AX1157" s="3" t="s">
        <v>11975</v>
      </c>
      <c r="AY1157" s="3" t="s">
        <v>11976</v>
      </c>
      <c r="AZ1157" s="3" t="s">
        <v>11977</v>
      </c>
      <c r="BA1157" s="3" t="s">
        <v>11977</v>
      </c>
      <c r="BB1157" s="3" t="s">
        <v>11981</v>
      </c>
      <c r="BC1157" s="3" t="s">
        <v>78</v>
      </c>
      <c r="BD1157" s="3" t="s">
        <v>79</v>
      </c>
      <c r="BE1157" s="3" t="s">
        <v>11979</v>
      </c>
      <c r="BF1157" s="3" t="s">
        <v>11981</v>
      </c>
      <c r="BG1157" s="3" t="s">
        <v>11982</v>
      </c>
    </row>
    <row r="1158" spans="1:59" ht="58" x14ac:dyDescent="0.35">
      <c r="A1158" s="2" t="s">
        <v>59</v>
      </c>
      <c r="B1158" s="2" t="s">
        <v>94</v>
      </c>
      <c r="C1158" s="2" t="s">
        <v>11983</v>
      </c>
      <c r="D1158" s="2" t="s">
        <v>11984</v>
      </c>
      <c r="E1158" s="2" t="s">
        <v>11985</v>
      </c>
      <c r="G1158" s="3" t="s">
        <v>64</v>
      </c>
      <c r="I1158" s="3" t="s">
        <v>73</v>
      </c>
      <c r="J1158" s="3" t="s">
        <v>64</v>
      </c>
      <c r="K1158" s="3" t="s">
        <v>65</v>
      </c>
      <c r="L1158" s="2" t="s">
        <v>11972</v>
      </c>
      <c r="M1158" s="2" t="s">
        <v>11986</v>
      </c>
      <c r="N1158" s="3" t="s">
        <v>287</v>
      </c>
      <c r="P1158" s="3" t="s">
        <v>69</v>
      </c>
      <c r="R1158" s="3" t="s">
        <v>9228</v>
      </c>
      <c r="S1158" s="4">
        <v>34</v>
      </c>
      <c r="T1158" s="4">
        <v>64</v>
      </c>
      <c r="U1158" s="5" t="s">
        <v>11987</v>
      </c>
      <c r="V1158" s="5" t="s">
        <v>11988</v>
      </c>
      <c r="W1158" s="5" t="s">
        <v>72</v>
      </c>
      <c r="X1158" s="5" t="s">
        <v>72</v>
      </c>
      <c r="Y1158" s="4">
        <v>69</v>
      </c>
      <c r="Z1158" s="4">
        <v>40</v>
      </c>
      <c r="AA1158" s="4">
        <v>46</v>
      </c>
      <c r="AB1158" s="4">
        <v>5</v>
      </c>
      <c r="AC1158" s="4">
        <v>10</v>
      </c>
      <c r="AD1158" s="4">
        <v>41</v>
      </c>
      <c r="AE1158" s="4">
        <v>45</v>
      </c>
      <c r="AF1158" s="4">
        <v>2</v>
      </c>
      <c r="AG1158" s="4">
        <v>5</v>
      </c>
      <c r="AH1158" s="4">
        <v>25</v>
      </c>
      <c r="AI1158" s="4">
        <v>26</v>
      </c>
      <c r="AJ1158" s="4">
        <v>20</v>
      </c>
      <c r="AK1158" s="4">
        <v>23</v>
      </c>
      <c r="AL1158" s="4">
        <v>9</v>
      </c>
      <c r="AM1158" s="4">
        <v>9</v>
      </c>
      <c r="AN1158" s="4">
        <v>0</v>
      </c>
      <c r="AO1158" s="4">
        <v>0</v>
      </c>
      <c r="AP1158" s="4">
        <v>25</v>
      </c>
      <c r="AQ1158" s="4">
        <v>29</v>
      </c>
      <c r="AR1158" s="3" t="s">
        <v>73</v>
      </c>
      <c r="AS1158" s="3" t="s">
        <v>64</v>
      </c>
      <c r="AT1158" s="3" t="s">
        <v>73</v>
      </c>
      <c r="AU1158" s="6" t="str">
        <f>HYPERLINK("http://catalog.hathitrust.org/Record/000634165","HathiTrust Record")</f>
        <v>HathiTrust Record</v>
      </c>
      <c r="AV1158" s="6" t="str">
        <f>HYPERLINK("http://mcgill.on.worldcat.org/oclc/9197718","Catalog Record")</f>
        <v>Catalog Record</v>
      </c>
      <c r="AW1158" s="6" t="str">
        <f>HYPERLINK("http://www.worldcat.org/oclc/9197718","WorldCat Record")</f>
        <v>WorldCat Record</v>
      </c>
      <c r="AX1158" s="3" t="s">
        <v>11989</v>
      </c>
      <c r="AY1158" s="3" t="s">
        <v>11990</v>
      </c>
      <c r="AZ1158" s="3" t="s">
        <v>11991</v>
      </c>
      <c r="BA1158" s="3" t="s">
        <v>11991</v>
      </c>
      <c r="BB1158" s="3" t="s">
        <v>11992</v>
      </c>
      <c r="BC1158" s="3" t="s">
        <v>78</v>
      </c>
      <c r="BD1158" s="3" t="s">
        <v>79</v>
      </c>
      <c r="BE1158" s="3" t="s">
        <v>11993</v>
      </c>
      <c r="BF1158" s="3" t="s">
        <v>11992</v>
      </c>
      <c r="BG1158" s="3" t="s">
        <v>11994</v>
      </c>
    </row>
    <row r="1159" spans="1:59" ht="58" x14ac:dyDescent="0.35">
      <c r="A1159" s="2" t="s">
        <v>59</v>
      </c>
      <c r="B1159" s="2" t="s">
        <v>94</v>
      </c>
      <c r="C1159" s="2" t="s">
        <v>11983</v>
      </c>
      <c r="D1159" s="2" t="s">
        <v>11984</v>
      </c>
      <c r="E1159" s="2" t="s">
        <v>11985</v>
      </c>
      <c r="G1159" s="3" t="s">
        <v>64</v>
      </c>
      <c r="I1159" s="3" t="s">
        <v>73</v>
      </c>
      <c r="J1159" s="3" t="s">
        <v>64</v>
      </c>
      <c r="K1159" s="3" t="s">
        <v>65</v>
      </c>
      <c r="L1159" s="2" t="s">
        <v>11972</v>
      </c>
      <c r="M1159" s="2" t="s">
        <v>11986</v>
      </c>
      <c r="N1159" s="3" t="s">
        <v>287</v>
      </c>
      <c r="P1159" s="3" t="s">
        <v>69</v>
      </c>
      <c r="R1159" s="3" t="s">
        <v>9228</v>
      </c>
      <c r="S1159" s="4">
        <v>30</v>
      </c>
      <c r="T1159" s="4">
        <v>64</v>
      </c>
      <c r="U1159" s="5" t="s">
        <v>11988</v>
      </c>
      <c r="V1159" s="5" t="s">
        <v>11988</v>
      </c>
      <c r="W1159" s="5" t="s">
        <v>72</v>
      </c>
      <c r="X1159" s="5" t="s">
        <v>72</v>
      </c>
      <c r="Y1159" s="4">
        <v>69</v>
      </c>
      <c r="Z1159" s="4">
        <v>40</v>
      </c>
      <c r="AA1159" s="4">
        <v>46</v>
      </c>
      <c r="AB1159" s="4">
        <v>5</v>
      </c>
      <c r="AC1159" s="4">
        <v>10</v>
      </c>
      <c r="AD1159" s="4">
        <v>41</v>
      </c>
      <c r="AE1159" s="4">
        <v>45</v>
      </c>
      <c r="AF1159" s="4">
        <v>2</v>
      </c>
      <c r="AG1159" s="4">
        <v>5</v>
      </c>
      <c r="AH1159" s="4">
        <v>25</v>
      </c>
      <c r="AI1159" s="4">
        <v>26</v>
      </c>
      <c r="AJ1159" s="4">
        <v>20</v>
      </c>
      <c r="AK1159" s="4">
        <v>23</v>
      </c>
      <c r="AL1159" s="4">
        <v>9</v>
      </c>
      <c r="AM1159" s="4">
        <v>9</v>
      </c>
      <c r="AN1159" s="4">
        <v>0</v>
      </c>
      <c r="AO1159" s="4">
        <v>0</v>
      </c>
      <c r="AP1159" s="4">
        <v>25</v>
      </c>
      <c r="AQ1159" s="4">
        <v>29</v>
      </c>
      <c r="AR1159" s="3" t="s">
        <v>73</v>
      </c>
      <c r="AS1159" s="3" t="s">
        <v>64</v>
      </c>
      <c r="AT1159" s="3" t="s">
        <v>73</v>
      </c>
      <c r="AU1159" s="6" t="str">
        <f>HYPERLINK("http://catalog.hathitrust.org/Record/000634165","HathiTrust Record")</f>
        <v>HathiTrust Record</v>
      </c>
      <c r="AV1159" s="6" t="str">
        <f>HYPERLINK("http://mcgill.on.worldcat.org/oclc/9197718","Catalog Record")</f>
        <v>Catalog Record</v>
      </c>
      <c r="AW1159" s="6" t="str">
        <f>HYPERLINK("http://www.worldcat.org/oclc/9197718","WorldCat Record")</f>
        <v>WorldCat Record</v>
      </c>
      <c r="AX1159" s="3" t="s">
        <v>11989</v>
      </c>
      <c r="AY1159" s="3" t="s">
        <v>11990</v>
      </c>
      <c r="AZ1159" s="3" t="s">
        <v>11991</v>
      </c>
      <c r="BA1159" s="3" t="s">
        <v>11991</v>
      </c>
      <c r="BB1159" s="3" t="s">
        <v>11995</v>
      </c>
      <c r="BC1159" s="3" t="s">
        <v>78</v>
      </c>
      <c r="BD1159" s="3" t="s">
        <v>79</v>
      </c>
      <c r="BE1159" s="3" t="s">
        <v>11993</v>
      </c>
      <c r="BF1159" s="3" t="s">
        <v>11995</v>
      </c>
      <c r="BG1159" s="3" t="s">
        <v>11996</v>
      </c>
    </row>
    <row r="1160" spans="1:59" ht="58" x14ac:dyDescent="0.35">
      <c r="A1160" s="2" t="s">
        <v>59</v>
      </c>
      <c r="B1160" s="2" t="s">
        <v>94</v>
      </c>
      <c r="C1160" s="2" t="s">
        <v>11997</v>
      </c>
      <c r="D1160" s="2" t="s">
        <v>11998</v>
      </c>
      <c r="E1160" s="2" t="s">
        <v>11999</v>
      </c>
      <c r="G1160" s="3" t="s">
        <v>64</v>
      </c>
      <c r="I1160" s="3" t="s">
        <v>64</v>
      </c>
      <c r="J1160" s="3" t="s">
        <v>64</v>
      </c>
      <c r="K1160" s="3" t="s">
        <v>65</v>
      </c>
      <c r="L1160" s="2" t="s">
        <v>12000</v>
      </c>
      <c r="M1160" s="2" t="s">
        <v>12001</v>
      </c>
      <c r="N1160" s="3" t="s">
        <v>377</v>
      </c>
      <c r="P1160" s="3" t="s">
        <v>69</v>
      </c>
      <c r="R1160" s="3" t="s">
        <v>9228</v>
      </c>
      <c r="S1160" s="4">
        <v>1</v>
      </c>
      <c r="T1160" s="4">
        <v>1</v>
      </c>
      <c r="U1160" s="5" t="s">
        <v>12002</v>
      </c>
      <c r="V1160" s="5" t="s">
        <v>12002</v>
      </c>
      <c r="W1160" s="5" t="s">
        <v>4195</v>
      </c>
      <c r="X1160" s="5" t="s">
        <v>4195</v>
      </c>
      <c r="Y1160" s="4">
        <v>2</v>
      </c>
      <c r="Z1160" s="4">
        <v>2</v>
      </c>
      <c r="AA1160" s="4">
        <v>2</v>
      </c>
      <c r="AB1160" s="4">
        <v>1</v>
      </c>
      <c r="AC1160" s="4">
        <v>1</v>
      </c>
      <c r="AD1160" s="4">
        <v>1</v>
      </c>
      <c r="AE1160" s="4">
        <v>1</v>
      </c>
      <c r="AF1160" s="4">
        <v>0</v>
      </c>
      <c r="AG1160" s="4">
        <v>0</v>
      </c>
      <c r="AH1160" s="4">
        <v>0</v>
      </c>
      <c r="AI1160" s="4">
        <v>0</v>
      </c>
      <c r="AJ1160" s="4">
        <v>1</v>
      </c>
      <c r="AK1160" s="4">
        <v>1</v>
      </c>
      <c r="AL1160" s="4">
        <v>0</v>
      </c>
      <c r="AM1160" s="4">
        <v>0</v>
      </c>
      <c r="AN1160" s="4">
        <v>0</v>
      </c>
      <c r="AO1160" s="4">
        <v>0</v>
      </c>
      <c r="AP1160" s="4">
        <v>0</v>
      </c>
      <c r="AQ1160" s="4">
        <v>0</v>
      </c>
      <c r="AR1160" s="3" t="s">
        <v>73</v>
      </c>
      <c r="AS1160" s="3" t="s">
        <v>64</v>
      </c>
      <c r="AT1160" s="3" t="s">
        <v>64</v>
      </c>
      <c r="AV1160" s="6" t="str">
        <f>HYPERLINK("http://mcgill.on.worldcat.org/oclc/862074094","Catalog Record")</f>
        <v>Catalog Record</v>
      </c>
      <c r="AW1160" s="6" t="str">
        <f>HYPERLINK("http://www.worldcat.org/oclc/862074094","WorldCat Record")</f>
        <v>WorldCat Record</v>
      </c>
      <c r="AX1160" s="3" t="s">
        <v>12003</v>
      </c>
      <c r="AY1160" s="3" t="s">
        <v>12004</v>
      </c>
      <c r="AZ1160" s="3" t="s">
        <v>12005</v>
      </c>
      <c r="BA1160" s="3" t="s">
        <v>12005</v>
      </c>
      <c r="BB1160" s="3" t="s">
        <v>12006</v>
      </c>
      <c r="BC1160" s="3" t="s">
        <v>78</v>
      </c>
      <c r="BD1160" s="3" t="s">
        <v>79</v>
      </c>
      <c r="BE1160" s="3" t="s">
        <v>12007</v>
      </c>
      <c r="BF1160" s="3" t="s">
        <v>12006</v>
      </c>
      <c r="BG1160" s="3" t="s">
        <v>12008</v>
      </c>
    </row>
    <row r="1161" spans="1:59" ht="58" x14ac:dyDescent="0.35">
      <c r="A1161" s="2" t="s">
        <v>59</v>
      </c>
      <c r="B1161" s="2" t="s">
        <v>94</v>
      </c>
      <c r="C1161" s="2" t="s">
        <v>12009</v>
      </c>
      <c r="D1161" s="2" t="s">
        <v>12010</v>
      </c>
      <c r="E1161" s="2" t="s">
        <v>12011</v>
      </c>
      <c r="G1161" s="3" t="s">
        <v>64</v>
      </c>
      <c r="I1161" s="3" t="s">
        <v>73</v>
      </c>
      <c r="J1161" s="3" t="s">
        <v>73</v>
      </c>
      <c r="K1161" s="3" t="s">
        <v>65</v>
      </c>
      <c r="L1161" s="2" t="s">
        <v>12012</v>
      </c>
      <c r="M1161" s="2" t="s">
        <v>12013</v>
      </c>
      <c r="N1161" s="3" t="s">
        <v>5739</v>
      </c>
      <c r="P1161" s="3" t="s">
        <v>69</v>
      </c>
      <c r="R1161" s="3" t="s">
        <v>9228</v>
      </c>
      <c r="S1161" s="4">
        <v>16</v>
      </c>
      <c r="T1161" s="4">
        <v>34</v>
      </c>
      <c r="U1161" s="5" t="s">
        <v>12014</v>
      </c>
      <c r="V1161" s="5" t="s">
        <v>12015</v>
      </c>
      <c r="W1161" s="5" t="s">
        <v>72</v>
      </c>
      <c r="X1161" s="5" t="s">
        <v>72</v>
      </c>
      <c r="Y1161" s="4">
        <v>38</v>
      </c>
      <c r="Z1161" s="4">
        <v>23</v>
      </c>
      <c r="AA1161" s="4">
        <v>42</v>
      </c>
      <c r="AB1161" s="4">
        <v>1</v>
      </c>
      <c r="AC1161" s="4">
        <v>5</v>
      </c>
      <c r="AD1161" s="4">
        <v>19</v>
      </c>
      <c r="AE1161" s="4">
        <v>35</v>
      </c>
      <c r="AF1161" s="4">
        <v>0</v>
      </c>
      <c r="AG1161" s="4">
        <v>1</v>
      </c>
      <c r="AH1161" s="4">
        <v>15</v>
      </c>
      <c r="AI1161" s="4">
        <v>24</v>
      </c>
      <c r="AJ1161" s="4">
        <v>10</v>
      </c>
      <c r="AK1161" s="4">
        <v>18</v>
      </c>
      <c r="AL1161" s="4">
        <v>6</v>
      </c>
      <c r="AM1161" s="4">
        <v>9</v>
      </c>
      <c r="AN1161" s="4">
        <v>0</v>
      </c>
      <c r="AO1161" s="4">
        <v>0</v>
      </c>
      <c r="AP1161" s="4">
        <v>11</v>
      </c>
      <c r="AQ1161" s="4">
        <v>21</v>
      </c>
      <c r="AR1161" s="3" t="s">
        <v>73</v>
      </c>
      <c r="AS1161" s="3" t="s">
        <v>64</v>
      </c>
      <c r="AT1161" s="3" t="s">
        <v>64</v>
      </c>
      <c r="AV1161" s="6" t="str">
        <f>HYPERLINK("http://mcgill.on.worldcat.org/oclc/18674563","Catalog Record")</f>
        <v>Catalog Record</v>
      </c>
      <c r="AW1161" s="6" t="str">
        <f>HYPERLINK("http://www.worldcat.org/oclc/18674563","WorldCat Record")</f>
        <v>WorldCat Record</v>
      </c>
      <c r="AX1161" s="3" t="s">
        <v>12016</v>
      </c>
      <c r="AY1161" s="3" t="s">
        <v>12017</v>
      </c>
      <c r="AZ1161" s="3" t="s">
        <v>12018</v>
      </c>
      <c r="BA1161" s="3" t="s">
        <v>12018</v>
      </c>
      <c r="BB1161" s="3" t="s">
        <v>12019</v>
      </c>
      <c r="BC1161" s="3" t="s">
        <v>78</v>
      </c>
      <c r="BD1161" s="3" t="s">
        <v>79</v>
      </c>
      <c r="BF1161" s="3" t="s">
        <v>12019</v>
      </c>
      <c r="BG1161" s="3" t="s">
        <v>12020</v>
      </c>
    </row>
    <row r="1162" spans="1:59" ht="58" x14ac:dyDescent="0.35">
      <c r="A1162" s="2" t="s">
        <v>59</v>
      </c>
      <c r="B1162" s="2" t="s">
        <v>94</v>
      </c>
      <c r="C1162" s="2" t="s">
        <v>12009</v>
      </c>
      <c r="D1162" s="2" t="s">
        <v>12010</v>
      </c>
      <c r="E1162" s="2" t="s">
        <v>12011</v>
      </c>
      <c r="G1162" s="3" t="s">
        <v>64</v>
      </c>
      <c r="I1162" s="3" t="s">
        <v>73</v>
      </c>
      <c r="J1162" s="3" t="s">
        <v>73</v>
      </c>
      <c r="K1162" s="3" t="s">
        <v>65</v>
      </c>
      <c r="L1162" s="2" t="s">
        <v>12012</v>
      </c>
      <c r="M1162" s="2" t="s">
        <v>12013</v>
      </c>
      <c r="N1162" s="3" t="s">
        <v>5739</v>
      </c>
      <c r="P1162" s="3" t="s">
        <v>69</v>
      </c>
      <c r="R1162" s="3" t="s">
        <v>9228</v>
      </c>
      <c r="S1162" s="4">
        <v>18</v>
      </c>
      <c r="T1162" s="4">
        <v>34</v>
      </c>
      <c r="U1162" s="5" t="s">
        <v>12015</v>
      </c>
      <c r="V1162" s="5" t="s">
        <v>12015</v>
      </c>
      <c r="W1162" s="5" t="s">
        <v>72</v>
      </c>
      <c r="X1162" s="5" t="s">
        <v>72</v>
      </c>
      <c r="Y1162" s="4">
        <v>38</v>
      </c>
      <c r="Z1162" s="4">
        <v>23</v>
      </c>
      <c r="AA1162" s="4">
        <v>42</v>
      </c>
      <c r="AB1162" s="4">
        <v>1</v>
      </c>
      <c r="AC1162" s="4">
        <v>5</v>
      </c>
      <c r="AD1162" s="4">
        <v>19</v>
      </c>
      <c r="AE1162" s="4">
        <v>35</v>
      </c>
      <c r="AF1162" s="4">
        <v>0</v>
      </c>
      <c r="AG1162" s="4">
        <v>1</v>
      </c>
      <c r="AH1162" s="4">
        <v>15</v>
      </c>
      <c r="AI1162" s="4">
        <v>24</v>
      </c>
      <c r="AJ1162" s="4">
        <v>10</v>
      </c>
      <c r="AK1162" s="4">
        <v>18</v>
      </c>
      <c r="AL1162" s="4">
        <v>6</v>
      </c>
      <c r="AM1162" s="4">
        <v>9</v>
      </c>
      <c r="AN1162" s="4">
        <v>0</v>
      </c>
      <c r="AO1162" s="4">
        <v>0</v>
      </c>
      <c r="AP1162" s="4">
        <v>11</v>
      </c>
      <c r="AQ1162" s="4">
        <v>21</v>
      </c>
      <c r="AR1162" s="3" t="s">
        <v>73</v>
      </c>
      <c r="AS1162" s="3" t="s">
        <v>64</v>
      </c>
      <c r="AT1162" s="3" t="s">
        <v>64</v>
      </c>
      <c r="AV1162" s="6" t="str">
        <f>HYPERLINK("http://mcgill.on.worldcat.org/oclc/18674563","Catalog Record")</f>
        <v>Catalog Record</v>
      </c>
      <c r="AW1162" s="6" t="str">
        <f>HYPERLINK("http://www.worldcat.org/oclc/18674563","WorldCat Record")</f>
        <v>WorldCat Record</v>
      </c>
      <c r="AX1162" s="3" t="s">
        <v>12016</v>
      </c>
      <c r="AY1162" s="3" t="s">
        <v>12017</v>
      </c>
      <c r="AZ1162" s="3" t="s">
        <v>12018</v>
      </c>
      <c r="BA1162" s="3" t="s">
        <v>12018</v>
      </c>
      <c r="BB1162" s="3" t="s">
        <v>12021</v>
      </c>
      <c r="BC1162" s="3" t="s">
        <v>78</v>
      </c>
      <c r="BD1162" s="3" t="s">
        <v>79</v>
      </c>
      <c r="BF1162" s="3" t="s">
        <v>12021</v>
      </c>
      <c r="BG1162" s="3" t="s">
        <v>12022</v>
      </c>
    </row>
    <row r="1163" spans="1:59" ht="58" x14ac:dyDescent="0.35">
      <c r="A1163" s="2" t="s">
        <v>59</v>
      </c>
      <c r="B1163" s="2" t="s">
        <v>94</v>
      </c>
      <c r="C1163" s="2" t="s">
        <v>12023</v>
      </c>
      <c r="D1163" s="2" t="s">
        <v>12024</v>
      </c>
      <c r="E1163" s="2" t="s">
        <v>12025</v>
      </c>
      <c r="G1163" s="3" t="s">
        <v>64</v>
      </c>
      <c r="I1163" s="3" t="s">
        <v>64</v>
      </c>
      <c r="J1163" s="3" t="s">
        <v>64</v>
      </c>
      <c r="K1163" s="3" t="s">
        <v>65</v>
      </c>
      <c r="L1163" s="2" t="s">
        <v>12012</v>
      </c>
      <c r="M1163" s="2" t="s">
        <v>12026</v>
      </c>
      <c r="N1163" s="3" t="s">
        <v>328</v>
      </c>
      <c r="P1163" s="3" t="s">
        <v>69</v>
      </c>
      <c r="R1163" s="3" t="s">
        <v>9228</v>
      </c>
      <c r="S1163" s="4">
        <v>1</v>
      </c>
      <c r="T1163" s="4">
        <v>1</v>
      </c>
      <c r="U1163" s="5" t="s">
        <v>12002</v>
      </c>
      <c r="V1163" s="5" t="s">
        <v>12002</v>
      </c>
      <c r="W1163" s="5" t="s">
        <v>72</v>
      </c>
      <c r="X1163" s="5" t="s">
        <v>72</v>
      </c>
      <c r="Y1163" s="4">
        <v>2</v>
      </c>
      <c r="Z1163" s="4">
        <v>2</v>
      </c>
      <c r="AA1163" s="4">
        <v>4</v>
      </c>
      <c r="AB1163" s="4">
        <v>1</v>
      </c>
      <c r="AC1163" s="4">
        <v>1</v>
      </c>
      <c r="AD1163" s="4">
        <v>1</v>
      </c>
      <c r="AE1163" s="4">
        <v>2</v>
      </c>
      <c r="AF1163" s="4">
        <v>0</v>
      </c>
      <c r="AG1163" s="4">
        <v>0</v>
      </c>
      <c r="AH1163" s="4">
        <v>0</v>
      </c>
      <c r="AI1163" s="4">
        <v>1</v>
      </c>
      <c r="AJ1163" s="4">
        <v>1</v>
      </c>
      <c r="AK1163" s="4">
        <v>2</v>
      </c>
      <c r="AL1163" s="4">
        <v>0</v>
      </c>
      <c r="AM1163" s="4">
        <v>1</v>
      </c>
      <c r="AN1163" s="4">
        <v>0</v>
      </c>
      <c r="AO1163" s="4">
        <v>0</v>
      </c>
      <c r="AP1163" s="4">
        <v>0</v>
      </c>
      <c r="AQ1163" s="4">
        <v>1</v>
      </c>
      <c r="AR1163" s="3" t="s">
        <v>73</v>
      </c>
      <c r="AS1163" s="3" t="s">
        <v>64</v>
      </c>
      <c r="AT1163" s="3" t="s">
        <v>64</v>
      </c>
      <c r="AV1163" s="6" t="str">
        <f>HYPERLINK("http://mcgill.on.worldcat.org/oclc/842836963","Catalog Record")</f>
        <v>Catalog Record</v>
      </c>
      <c r="AW1163" s="6" t="str">
        <f>HYPERLINK("http://www.worldcat.org/oclc/842836963","WorldCat Record")</f>
        <v>WorldCat Record</v>
      </c>
      <c r="AX1163" s="3" t="s">
        <v>12027</v>
      </c>
      <c r="AY1163" s="3" t="s">
        <v>12028</v>
      </c>
      <c r="AZ1163" s="3" t="s">
        <v>12029</v>
      </c>
      <c r="BA1163" s="3" t="s">
        <v>12029</v>
      </c>
      <c r="BB1163" s="3" t="s">
        <v>12030</v>
      </c>
      <c r="BC1163" s="3" t="s">
        <v>78</v>
      </c>
      <c r="BD1163" s="3" t="s">
        <v>79</v>
      </c>
      <c r="BE1163" s="3" t="s">
        <v>12031</v>
      </c>
      <c r="BF1163" s="3" t="s">
        <v>12030</v>
      </c>
      <c r="BG1163" s="3" t="s">
        <v>12032</v>
      </c>
    </row>
    <row r="1164" spans="1:59" ht="58" x14ac:dyDescent="0.35">
      <c r="A1164" s="2" t="s">
        <v>59</v>
      </c>
      <c r="B1164" s="2" t="s">
        <v>94</v>
      </c>
      <c r="C1164" s="2" t="s">
        <v>12033</v>
      </c>
      <c r="D1164" s="2" t="s">
        <v>12034</v>
      </c>
      <c r="E1164" s="2" t="s">
        <v>12035</v>
      </c>
      <c r="G1164" s="3" t="s">
        <v>64</v>
      </c>
      <c r="I1164" s="3" t="s">
        <v>64</v>
      </c>
      <c r="J1164" s="3" t="s">
        <v>64</v>
      </c>
      <c r="K1164" s="3" t="s">
        <v>65</v>
      </c>
      <c r="L1164" s="2" t="s">
        <v>12036</v>
      </c>
      <c r="M1164" s="2" t="s">
        <v>12037</v>
      </c>
      <c r="N1164" s="3" t="s">
        <v>328</v>
      </c>
      <c r="P1164" s="3" t="s">
        <v>69</v>
      </c>
      <c r="R1164" s="3" t="s">
        <v>9228</v>
      </c>
      <c r="S1164" s="4">
        <v>0</v>
      </c>
      <c r="T1164" s="4">
        <v>0</v>
      </c>
      <c r="W1164" s="5" t="s">
        <v>72</v>
      </c>
      <c r="X1164" s="5" t="s">
        <v>72</v>
      </c>
      <c r="Y1164" s="4">
        <v>20</v>
      </c>
      <c r="Z1164" s="4">
        <v>12</v>
      </c>
      <c r="AA1164" s="4">
        <v>12</v>
      </c>
      <c r="AB1164" s="4">
        <v>1</v>
      </c>
      <c r="AC1164" s="4">
        <v>1</v>
      </c>
      <c r="AD1164" s="4">
        <v>11</v>
      </c>
      <c r="AE1164" s="4">
        <v>11</v>
      </c>
      <c r="AF1164" s="4">
        <v>0</v>
      </c>
      <c r="AG1164" s="4">
        <v>0</v>
      </c>
      <c r="AH1164" s="4">
        <v>7</v>
      </c>
      <c r="AI1164" s="4">
        <v>7</v>
      </c>
      <c r="AJ1164" s="4">
        <v>8</v>
      </c>
      <c r="AK1164" s="4">
        <v>8</v>
      </c>
      <c r="AL1164" s="4">
        <v>3</v>
      </c>
      <c r="AM1164" s="4">
        <v>3</v>
      </c>
      <c r="AN1164" s="4">
        <v>0</v>
      </c>
      <c r="AO1164" s="4">
        <v>0</v>
      </c>
      <c r="AP1164" s="4">
        <v>7</v>
      </c>
      <c r="AQ1164" s="4">
        <v>7</v>
      </c>
      <c r="AR1164" s="3" t="s">
        <v>73</v>
      </c>
      <c r="AS1164" s="3" t="s">
        <v>64</v>
      </c>
      <c r="AT1164" s="3" t="s">
        <v>64</v>
      </c>
      <c r="AV1164" s="6" t="str">
        <f>HYPERLINK("http://mcgill.on.worldcat.org/oclc/751635114","Catalog Record")</f>
        <v>Catalog Record</v>
      </c>
      <c r="AW1164" s="6" t="str">
        <f>HYPERLINK("http://www.worldcat.org/oclc/751635114","WorldCat Record")</f>
        <v>WorldCat Record</v>
      </c>
      <c r="AX1164" s="3" t="s">
        <v>12038</v>
      </c>
      <c r="AY1164" s="3" t="s">
        <v>12039</v>
      </c>
      <c r="AZ1164" s="3" t="s">
        <v>12040</v>
      </c>
      <c r="BA1164" s="3" t="s">
        <v>12040</v>
      </c>
      <c r="BB1164" s="3" t="s">
        <v>12041</v>
      </c>
      <c r="BC1164" s="3" t="s">
        <v>78</v>
      </c>
      <c r="BD1164" s="3" t="s">
        <v>79</v>
      </c>
      <c r="BE1164" s="3" t="s">
        <v>12042</v>
      </c>
      <c r="BF1164" s="3" t="s">
        <v>12041</v>
      </c>
      <c r="BG1164" s="3" t="s">
        <v>12043</v>
      </c>
    </row>
    <row r="1165" spans="1:59" ht="58" x14ac:dyDescent="0.35">
      <c r="A1165" s="2" t="s">
        <v>59</v>
      </c>
      <c r="B1165" s="2" t="s">
        <v>94</v>
      </c>
      <c r="C1165" s="2" t="s">
        <v>12044</v>
      </c>
      <c r="D1165" s="2" t="s">
        <v>12045</v>
      </c>
      <c r="E1165" s="2" t="s">
        <v>12046</v>
      </c>
      <c r="G1165" s="3" t="s">
        <v>64</v>
      </c>
      <c r="I1165" s="3" t="s">
        <v>64</v>
      </c>
      <c r="J1165" s="3" t="s">
        <v>64</v>
      </c>
      <c r="K1165" s="3" t="s">
        <v>65</v>
      </c>
      <c r="L1165" s="2" t="s">
        <v>12047</v>
      </c>
      <c r="M1165" s="2" t="s">
        <v>12048</v>
      </c>
      <c r="N1165" s="3" t="s">
        <v>1029</v>
      </c>
      <c r="P1165" s="3" t="s">
        <v>69</v>
      </c>
      <c r="R1165" s="3" t="s">
        <v>9228</v>
      </c>
      <c r="S1165" s="4">
        <v>2</v>
      </c>
      <c r="T1165" s="4">
        <v>2</v>
      </c>
      <c r="U1165" s="5" t="s">
        <v>7903</v>
      </c>
      <c r="V1165" s="5" t="s">
        <v>7903</v>
      </c>
      <c r="W1165" s="5" t="s">
        <v>72</v>
      </c>
      <c r="X1165" s="5" t="s">
        <v>72</v>
      </c>
      <c r="Y1165" s="4">
        <v>10</v>
      </c>
      <c r="Z1165" s="4">
        <v>9</v>
      </c>
      <c r="AA1165" s="4">
        <v>9</v>
      </c>
      <c r="AB1165" s="4">
        <v>1</v>
      </c>
      <c r="AC1165" s="4">
        <v>1</v>
      </c>
      <c r="AD1165" s="4">
        <v>4</v>
      </c>
      <c r="AE1165" s="4">
        <v>4</v>
      </c>
      <c r="AF1165" s="4">
        <v>0</v>
      </c>
      <c r="AG1165" s="4">
        <v>0</v>
      </c>
      <c r="AH1165" s="4">
        <v>2</v>
      </c>
      <c r="AI1165" s="4">
        <v>2</v>
      </c>
      <c r="AJ1165" s="4">
        <v>4</v>
      </c>
      <c r="AK1165" s="4">
        <v>4</v>
      </c>
      <c r="AL1165" s="4">
        <v>0</v>
      </c>
      <c r="AM1165" s="4">
        <v>0</v>
      </c>
      <c r="AN1165" s="4">
        <v>0</v>
      </c>
      <c r="AO1165" s="4">
        <v>0</v>
      </c>
      <c r="AP1165" s="4">
        <v>2</v>
      </c>
      <c r="AQ1165" s="4">
        <v>2</v>
      </c>
      <c r="AR1165" s="3" t="s">
        <v>73</v>
      </c>
      <c r="AS1165" s="3" t="s">
        <v>64</v>
      </c>
      <c r="AT1165" s="3" t="s">
        <v>64</v>
      </c>
      <c r="AV1165" s="6" t="str">
        <f>HYPERLINK("http://mcgill.on.worldcat.org/oclc/445230183","Catalog Record")</f>
        <v>Catalog Record</v>
      </c>
      <c r="AW1165" s="6" t="str">
        <f>HYPERLINK("http://www.worldcat.org/oclc/445230183","WorldCat Record")</f>
        <v>WorldCat Record</v>
      </c>
      <c r="AX1165" s="3" t="s">
        <v>12049</v>
      </c>
      <c r="AY1165" s="3" t="s">
        <v>12050</v>
      </c>
      <c r="AZ1165" s="3" t="s">
        <v>12051</v>
      </c>
      <c r="BA1165" s="3" t="s">
        <v>12051</v>
      </c>
      <c r="BB1165" s="3" t="s">
        <v>12052</v>
      </c>
      <c r="BC1165" s="3" t="s">
        <v>78</v>
      </c>
      <c r="BD1165" s="3" t="s">
        <v>79</v>
      </c>
      <c r="BE1165" s="3" t="s">
        <v>12053</v>
      </c>
      <c r="BF1165" s="3" t="s">
        <v>12052</v>
      </c>
      <c r="BG1165" s="3" t="s">
        <v>12054</v>
      </c>
    </row>
    <row r="1166" spans="1:59" ht="72.5" x14ac:dyDescent="0.35">
      <c r="A1166" s="2" t="s">
        <v>59</v>
      </c>
      <c r="B1166" s="2" t="s">
        <v>94</v>
      </c>
      <c r="C1166" s="2" t="s">
        <v>12055</v>
      </c>
      <c r="D1166" s="2" t="s">
        <v>12056</v>
      </c>
      <c r="E1166" s="2" t="s">
        <v>12057</v>
      </c>
      <c r="G1166" s="3" t="s">
        <v>64</v>
      </c>
      <c r="I1166" s="3" t="s">
        <v>64</v>
      </c>
      <c r="J1166" s="3" t="s">
        <v>64</v>
      </c>
      <c r="K1166" s="3" t="s">
        <v>65</v>
      </c>
      <c r="L1166" s="2" t="s">
        <v>12058</v>
      </c>
      <c r="M1166" s="2" t="s">
        <v>12059</v>
      </c>
      <c r="N1166" s="3" t="s">
        <v>524</v>
      </c>
      <c r="P1166" s="3" t="s">
        <v>69</v>
      </c>
      <c r="Q1166" s="2" t="s">
        <v>12060</v>
      </c>
      <c r="R1166" s="3" t="s">
        <v>9228</v>
      </c>
      <c r="S1166" s="4">
        <v>0</v>
      </c>
      <c r="T1166" s="4">
        <v>0</v>
      </c>
      <c r="W1166" s="5" t="s">
        <v>72</v>
      </c>
      <c r="X1166" s="5" t="s">
        <v>72</v>
      </c>
      <c r="Y1166" s="4">
        <v>127</v>
      </c>
      <c r="Z1166" s="4">
        <v>72</v>
      </c>
      <c r="AA1166" s="4">
        <v>127</v>
      </c>
      <c r="AB1166" s="4">
        <v>3</v>
      </c>
      <c r="AC1166" s="4">
        <v>17</v>
      </c>
      <c r="AD1166" s="4">
        <v>59</v>
      </c>
      <c r="AE1166" s="4">
        <v>111</v>
      </c>
      <c r="AF1166" s="4">
        <v>1</v>
      </c>
      <c r="AG1166" s="4">
        <v>8</v>
      </c>
      <c r="AH1166" s="4">
        <v>38</v>
      </c>
      <c r="AI1166" s="4">
        <v>67</v>
      </c>
      <c r="AJ1166" s="4">
        <v>21</v>
      </c>
      <c r="AK1166" s="4">
        <v>28</v>
      </c>
      <c r="AL1166" s="4">
        <v>20</v>
      </c>
      <c r="AM1166" s="4">
        <v>33</v>
      </c>
      <c r="AN1166" s="4">
        <v>0</v>
      </c>
      <c r="AO1166" s="4">
        <v>0</v>
      </c>
      <c r="AP1166" s="4">
        <v>29</v>
      </c>
      <c r="AQ1166" s="4">
        <v>53</v>
      </c>
      <c r="AR1166" s="3" t="s">
        <v>73</v>
      </c>
      <c r="AS1166" s="3" t="s">
        <v>64</v>
      </c>
      <c r="AT1166" s="3" t="s">
        <v>64</v>
      </c>
      <c r="AV1166" s="6" t="str">
        <f>HYPERLINK("http://mcgill.on.worldcat.org/oclc/825161146","Catalog Record")</f>
        <v>Catalog Record</v>
      </c>
      <c r="AW1166" s="6" t="str">
        <f>HYPERLINK("http://www.worldcat.org/oclc/825161146","WorldCat Record")</f>
        <v>WorldCat Record</v>
      </c>
      <c r="AX1166" s="3" t="s">
        <v>12061</v>
      </c>
      <c r="AY1166" s="3" t="s">
        <v>12062</v>
      </c>
      <c r="AZ1166" s="3" t="s">
        <v>12063</v>
      </c>
      <c r="BA1166" s="3" t="s">
        <v>12063</v>
      </c>
      <c r="BB1166" s="3" t="s">
        <v>12064</v>
      </c>
      <c r="BC1166" s="3" t="s">
        <v>78</v>
      </c>
      <c r="BD1166" s="3" t="s">
        <v>79</v>
      </c>
      <c r="BE1166" s="3" t="s">
        <v>12065</v>
      </c>
      <c r="BF1166" s="3" t="s">
        <v>12064</v>
      </c>
      <c r="BG1166" s="3" t="s">
        <v>12066</v>
      </c>
    </row>
    <row r="1167" spans="1:59" ht="58" x14ac:dyDescent="0.35">
      <c r="A1167" s="2" t="s">
        <v>59</v>
      </c>
      <c r="B1167" s="2" t="s">
        <v>94</v>
      </c>
      <c r="C1167" s="2" t="s">
        <v>12067</v>
      </c>
      <c r="D1167" s="2" t="s">
        <v>12068</v>
      </c>
      <c r="E1167" s="2" t="s">
        <v>12069</v>
      </c>
      <c r="G1167" s="3" t="s">
        <v>64</v>
      </c>
      <c r="I1167" s="3" t="s">
        <v>64</v>
      </c>
      <c r="J1167" s="3" t="s">
        <v>64</v>
      </c>
      <c r="K1167" s="3" t="s">
        <v>65</v>
      </c>
      <c r="L1167" s="2" t="s">
        <v>12070</v>
      </c>
      <c r="M1167" s="2" t="s">
        <v>12071</v>
      </c>
      <c r="N1167" s="3" t="s">
        <v>733</v>
      </c>
      <c r="P1167" s="3" t="s">
        <v>69</v>
      </c>
      <c r="R1167" s="3" t="s">
        <v>9228</v>
      </c>
      <c r="S1167" s="4">
        <v>30</v>
      </c>
      <c r="T1167" s="4">
        <v>30</v>
      </c>
      <c r="U1167" s="5" t="s">
        <v>12072</v>
      </c>
      <c r="V1167" s="5" t="s">
        <v>12072</v>
      </c>
      <c r="W1167" s="5" t="s">
        <v>72</v>
      </c>
      <c r="X1167" s="5" t="s">
        <v>72</v>
      </c>
      <c r="Y1167" s="4">
        <v>87</v>
      </c>
      <c r="Z1167" s="4">
        <v>66</v>
      </c>
      <c r="AA1167" s="4">
        <v>69</v>
      </c>
      <c r="AB1167" s="4">
        <v>2</v>
      </c>
      <c r="AC1167" s="4">
        <v>4</v>
      </c>
      <c r="AD1167" s="4">
        <v>43</v>
      </c>
      <c r="AE1167" s="4">
        <v>45</v>
      </c>
      <c r="AF1167" s="4">
        <v>1</v>
      </c>
      <c r="AG1167" s="4">
        <v>3</v>
      </c>
      <c r="AH1167" s="4">
        <v>20</v>
      </c>
      <c r="AI1167" s="4">
        <v>21</v>
      </c>
      <c r="AJ1167" s="4">
        <v>20</v>
      </c>
      <c r="AK1167" s="4">
        <v>22</v>
      </c>
      <c r="AL1167" s="4">
        <v>8</v>
      </c>
      <c r="AM1167" s="4">
        <v>8</v>
      </c>
      <c r="AN1167" s="4">
        <v>0</v>
      </c>
      <c r="AO1167" s="4">
        <v>0</v>
      </c>
      <c r="AP1167" s="4">
        <v>32</v>
      </c>
      <c r="AQ1167" s="4">
        <v>34</v>
      </c>
      <c r="AR1167" s="3" t="s">
        <v>73</v>
      </c>
      <c r="AS1167" s="3" t="s">
        <v>64</v>
      </c>
      <c r="AT1167" s="3" t="s">
        <v>64</v>
      </c>
      <c r="AV1167" s="6" t="str">
        <f>HYPERLINK("http://mcgill.on.worldcat.org/oclc/10613062","Catalog Record")</f>
        <v>Catalog Record</v>
      </c>
      <c r="AW1167" s="6" t="str">
        <f>HYPERLINK("http://www.worldcat.org/oclc/10613062","WorldCat Record")</f>
        <v>WorldCat Record</v>
      </c>
      <c r="AX1167" s="3" t="s">
        <v>12073</v>
      </c>
      <c r="AY1167" s="3" t="s">
        <v>12074</v>
      </c>
      <c r="AZ1167" s="3" t="s">
        <v>12075</v>
      </c>
      <c r="BA1167" s="3" t="s">
        <v>12075</v>
      </c>
      <c r="BB1167" s="3" t="s">
        <v>12076</v>
      </c>
      <c r="BC1167" s="3" t="s">
        <v>78</v>
      </c>
      <c r="BD1167" s="3" t="s">
        <v>79</v>
      </c>
      <c r="BE1167" s="3" t="s">
        <v>12077</v>
      </c>
      <c r="BF1167" s="3" t="s">
        <v>12076</v>
      </c>
      <c r="BG1167" s="3" t="s">
        <v>12078</v>
      </c>
    </row>
    <row r="1168" spans="1:59" ht="58" x14ac:dyDescent="0.35">
      <c r="A1168" s="2" t="s">
        <v>59</v>
      </c>
      <c r="B1168" s="2" t="s">
        <v>94</v>
      </c>
      <c r="C1168" s="2" t="s">
        <v>12079</v>
      </c>
      <c r="D1168" s="2" t="s">
        <v>12080</v>
      </c>
      <c r="E1168" s="2" t="s">
        <v>12081</v>
      </c>
      <c r="G1168" s="3" t="s">
        <v>64</v>
      </c>
      <c r="I1168" s="3" t="s">
        <v>64</v>
      </c>
      <c r="J1168" s="3" t="s">
        <v>64</v>
      </c>
      <c r="K1168" s="3" t="s">
        <v>65</v>
      </c>
      <c r="L1168" s="2" t="s">
        <v>12082</v>
      </c>
      <c r="M1168" s="2" t="s">
        <v>12083</v>
      </c>
      <c r="N1168" s="3" t="s">
        <v>1813</v>
      </c>
      <c r="P1168" s="3" t="s">
        <v>69</v>
      </c>
      <c r="Q1168" s="2" t="s">
        <v>12084</v>
      </c>
      <c r="R1168" s="3" t="s">
        <v>9228</v>
      </c>
      <c r="S1168" s="4">
        <v>0</v>
      </c>
      <c r="T1168" s="4">
        <v>0</v>
      </c>
      <c r="W1168" s="5" t="s">
        <v>72</v>
      </c>
      <c r="X1168" s="5" t="s">
        <v>72</v>
      </c>
      <c r="Y1168" s="4">
        <v>42</v>
      </c>
      <c r="Z1168" s="4">
        <v>22</v>
      </c>
      <c r="AA1168" s="4">
        <v>24</v>
      </c>
      <c r="AB1168" s="4">
        <v>1</v>
      </c>
      <c r="AC1168" s="4">
        <v>2</v>
      </c>
      <c r="AD1168" s="4">
        <v>24</v>
      </c>
      <c r="AE1168" s="4">
        <v>26</v>
      </c>
      <c r="AF1168" s="4">
        <v>0</v>
      </c>
      <c r="AG1168" s="4">
        <v>0</v>
      </c>
      <c r="AH1168" s="4">
        <v>13</v>
      </c>
      <c r="AI1168" s="4">
        <v>15</v>
      </c>
      <c r="AJ1168" s="4">
        <v>10</v>
      </c>
      <c r="AK1168" s="4">
        <v>10</v>
      </c>
      <c r="AL1168" s="4">
        <v>7</v>
      </c>
      <c r="AM1168" s="4">
        <v>8</v>
      </c>
      <c r="AN1168" s="4">
        <v>0</v>
      </c>
      <c r="AO1168" s="4">
        <v>0</v>
      </c>
      <c r="AP1168" s="4">
        <v>13</v>
      </c>
      <c r="AQ1168" s="4">
        <v>13</v>
      </c>
      <c r="AR1168" s="3" t="s">
        <v>73</v>
      </c>
      <c r="AS1168" s="3" t="s">
        <v>64</v>
      </c>
      <c r="AT1168" s="3" t="s">
        <v>64</v>
      </c>
      <c r="AV1168" s="6" t="str">
        <f>HYPERLINK("http://mcgill.on.worldcat.org/oclc/928577271","Catalog Record")</f>
        <v>Catalog Record</v>
      </c>
      <c r="AW1168" s="6" t="str">
        <f>HYPERLINK("http://www.worldcat.org/oclc/928577271","WorldCat Record")</f>
        <v>WorldCat Record</v>
      </c>
      <c r="AX1168" s="3" t="s">
        <v>12085</v>
      </c>
      <c r="AY1168" s="3" t="s">
        <v>12086</v>
      </c>
      <c r="AZ1168" s="3" t="s">
        <v>12087</v>
      </c>
      <c r="BA1168" s="3" t="s">
        <v>12087</v>
      </c>
      <c r="BB1168" s="3" t="s">
        <v>12088</v>
      </c>
      <c r="BC1168" s="3" t="s">
        <v>78</v>
      </c>
      <c r="BD1168" s="3" t="s">
        <v>79</v>
      </c>
      <c r="BE1168" s="3" t="s">
        <v>12089</v>
      </c>
      <c r="BF1168" s="3" t="s">
        <v>12088</v>
      </c>
      <c r="BG1168" s="3" t="s">
        <v>12090</v>
      </c>
    </row>
    <row r="1169" spans="1:59" ht="58" x14ac:dyDescent="0.35">
      <c r="A1169" s="2" t="s">
        <v>59</v>
      </c>
      <c r="B1169" s="2" t="s">
        <v>94</v>
      </c>
      <c r="C1169" s="2" t="s">
        <v>12091</v>
      </c>
      <c r="D1169" s="2" t="s">
        <v>12092</v>
      </c>
      <c r="E1169" s="2" t="s">
        <v>12093</v>
      </c>
      <c r="G1169" s="3" t="s">
        <v>64</v>
      </c>
      <c r="I1169" s="3" t="s">
        <v>64</v>
      </c>
      <c r="J1169" s="3" t="s">
        <v>64</v>
      </c>
      <c r="K1169" s="3" t="s">
        <v>65</v>
      </c>
      <c r="M1169" s="2" t="s">
        <v>12094</v>
      </c>
      <c r="N1169" s="3" t="s">
        <v>524</v>
      </c>
      <c r="P1169" s="3" t="s">
        <v>69</v>
      </c>
      <c r="R1169" s="3" t="s">
        <v>9228</v>
      </c>
      <c r="S1169" s="4">
        <v>0</v>
      </c>
      <c r="T1169" s="4">
        <v>0</v>
      </c>
      <c r="W1169" s="5" t="s">
        <v>72</v>
      </c>
      <c r="X1169" s="5" t="s">
        <v>72</v>
      </c>
      <c r="Y1169" s="4">
        <v>60</v>
      </c>
      <c r="Z1169" s="4">
        <v>55</v>
      </c>
      <c r="AA1169" s="4">
        <v>62</v>
      </c>
      <c r="AB1169" s="4">
        <v>3</v>
      </c>
      <c r="AC1169" s="4">
        <v>10</v>
      </c>
      <c r="AD1169" s="4">
        <v>41</v>
      </c>
      <c r="AE1169" s="4">
        <v>45</v>
      </c>
      <c r="AF1169" s="4">
        <v>2</v>
      </c>
      <c r="AG1169" s="4">
        <v>6</v>
      </c>
      <c r="AH1169" s="4">
        <v>13</v>
      </c>
      <c r="AI1169" s="4">
        <v>14</v>
      </c>
      <c r="AJ1169" s="4">
        <v>23</v>
      </c>
      <c r="AK1169" s="4">
        <v>27</v>
      </c>
      <c r="AL1169" s="4">
        <v>1</v>
      </c>
      <c r="AM1169" s="4">
        <v>1</v>
      </c>
      <c r="AN1169" s="4">
        <v>0</v>
      </c>
      <c r="AO1169" s="4">
        <v>0</v>
      </c>
      <c r="AP1169" s="4">
        <v>38</v>
      </c>
      <c r="AQ1169" s="4">
        <v>41</v>
      </c>
      <c r="AR1169" s="3" t="s">
        <v>73</v>
      </c>
      <c r="AS1169" s="3" t="s">
        <v>64</v>
      </c>
      <c r="AT1169" s="3" t="s">
        <v>64</v>
      </c>
      <c r="AV1169" s="6" t="str">
        <f>HYPERLINK("http://mcgill.on.worldcat.org/oclc/827828680","Catalog Record")</f>
        <v>Catalog Record</v>
      </c>
      <c r="AW1169" s="6" t="str">
        <f>HYPERLINK("http://www.worldcat.org/oclc/827828680","WorldCat Record")</f>
        <v>WorldCat Record</v>
      </c>
      <c r="AX1169" s="3" t="s">
        <v>12095</v>
      </c>
      <c r="AY1169" s="3" t="s">
        <v>12096</v>
      </c>
      <c r="AZ1169" s="3" t="s">
        <v>12097</v>
      </c>
      <c r="BA1169" s="3" t="s">
        <v>12097</v>
      </c>
      <c r="BB1169" s="3" t="s">
        <v>12098</v>
      </c>
      <c r="BC1169" s="3" t="s">
        <v>78</v>
      </c>
      <c r="BD1169" s="3" t="s">
        <v>79</v>
      </c>
      <c r="BE1169" s="3" t="s">
        <v>12099</v>
      </c>
      <c r="BF1169" s="3" t="s">
        <v>12098</v>
      </c>
      <c r="BG1169" s="3" t="s">
        <v>12100</v>
      </c>
    </row>
    <row r="1170" spans="1:59" ht="58" x14ac:dyDescent="0.35">
      <c r="A1170" s="2" t="s">
        <v>59</v>
      </c>
      <c r="B1170" s="2" t="s">
        <v>94</v>
      </c>
      <c r="C1170" s="2" t="s">
        <v>12101</v>
      </c>
      <c r="D1170" s="2" t="s">
        <v>12102</v>
      </c>
      <c r="E1170" s="2" t="s">
        <v>12103</v>
      </c>
      <c r="G1170" s="3" t="s">
        <v>64</v>
      </c>
      <c r="I1170" s="3" t="s">
        <v>64</v>
      </c>
      <c r="J1170" s="3" t="s">
        <v>64</v>
      </c>
      <c r="K1170" s="3" t="s">
        <v>65</v>
      </c>
      <c r="L1170" s="2" t="s">
        <v>12104</v>
      </c>
      <c r="M1170" s="2" t="s">
        <v>12105</v>
      </c>
      <c r="N1170" s="3" t="s">
        <v>407</v>
      </c>
      <c r="P1170" s="3" t="s">
        <v>69</v>
      </c>
      <c r="R1170" s="3" t="s">
        <v>9228</v>
      </c>
      <c r="S1170" s="4">
        <v>34</v>
      </c>
      <c r="T1170" s="4">
        <v>34</v>
      </c>
      <c r="U1170" s="5" t="s">
        <v>1408</v>
      </c>
      <c r="V1170" s="5" t="s">
        <v>1408</v>
      </c>
      <c r="W1170" s="5" t="s">
        <v>72</v>
      </c>
      <c r="X1170" s="5" t="s">
        <v>72</v>
      </c>
      <c r="Y1170" s="4">
        <v>46</v>
      </c>
      <c r="Z1170" s="4">
        <v>23</v>
      </c>
      <c r="AA1170" s="4">
        <v>26</v>
      </c>
      <c r="AB1170" s="4">
        <v>1</v>
      </c>
      <c r="AC1170" s="4">
        <v>1</v>
      </c>
      <c r="AD1170" s="4">
        <v>28</v>
      </c>
      <c r="AE1170" s="4">
        <v>30</v>
      </c>
      <c r="AF1170" s="4">
        <v>0</v>
      </c>
      <c r="AG1170" s="4">
        <v>0</v>
      </c>
      <c r="AH1170" s="4">
        <v>19</v>
      </c>
      <c r="AI1170" s="4">
        <v>20</v>
      </c>
      <c r="AJ1170" s="4">
        <v>11</v>
      </c>
      <c r="AK1170" s="4">
        <v>12</v>
      </c>
      <c r="AL1170" s="4">
        <v>10</v>
      </c>
      <c r="AM1170" s="4">
        <v>10</v>
      </c>
      <c r="AN1170" s="4">
        <v>0</v>
      </c>
      <c r="AO1170" s="4">
        <v>0</v>
      </c>
      <c r="AP1170" s="4">
        <v>15</v>
      </c>
      <c r="AQ1170" s="4">
        <v>17</v>
      </c>
      <c r="AR1170" s="3" t="s">
        <v>73</v>
      </c>
      <c r="AS1170" s="3" t="s">
        <v>64</v>
      </c>
      <c r="AT1170" s="3" t="s">
        <v>64</v>
      </c>
      <c r="AV1170" s="6" t="str">
        <f>HYPERLINK("http://mcgill.on.worldcat.org/oclc/15300950","Catalog Record")</f>
        <v>Catalog Record</v>
      </c>
      <c r="AW1170" s="6" t="str">
        <f>HYPERLINK("http://www.worldcat.org/oclc/15300950","WorldCat Record")</f>
        <v>WorldCat Record</v>
      </c>
      <c r="AX1170" s="3" t="s">
        <v>12106</v>
      </c>
      <c r="AY1170" s="3" t="s">
        <v>12107</v>
      </c>
      <c r="AZ1170" s="3" t="s">
        <v>12108</v>
      </c>
      <c r="BA1170" s="3" t="s">
        <v>12108</v>
      </c>
      <c r="BB1170" s="3" t="s">
        <v>12109</v>
      </c>
      <c r="BC1170" s="3" t="s">
        <v>78</v>
      </c>
      <c r="BD1170" s="3" t="s">
        <v>79</v>
      </c>
      <c r="BE1170" s="3" t="s">
        <v>12110</v>
      </c>
      <c r="BF1170" s="3" t="s">
        <v>12109</v>
      </c>
      <c r="BG1170" s="3" t="s">
        <v>12111</v>
      </c>
    </row>
    <row r="1171" spans="1:59" ht="58" x14ac:dyDescent="0.35">
      <c r="A1171" s="2" t="s">
        <v>59</v>
      </c>
      <c r="B1171" s="2" t="s">
        <v>94</v>
      </c>
      <c r="C1171" s="2" t="s">
        <v>12112</v>
      </c>
      <c r="D1171" s="2" t="s">
        <v>12113</v>
      </c>
      <c r="E1171" s="2" t="s">
        <v>12114</v>
      </c>
      <c r="F1171" s="3" t="s">
        <v>2231</v>
      </c>
      <c r="G1171" s="3" t="s">
        <v>73</v>
      </c>
      <c r="I1171" s="3" t="s">
        <v>73</v>
      </c>
      <c r="J1171" s="3" t="s">
        <v>73</v>
      </c>
      <c r="K1171" s="3" t="s">
        <v>65</v>
      </c>
      <c r="L1171" s="2" t="s">
        <v>12115</v>
      </c>
      <c r="M1171" s="2" t="s">
        <v>12116</v>
      </c>
      <c r="N1171" s="3" t="s">
        <v>12117</v>
      </c>
      <c r="P1171" s="3" t="s">
        <v>69</v>
      </c>
      <c r="Q1171" s="2" t="s">
        <v>12118</v>
      </c>
      <c r="R1171" s="3" t="s">
        <v>9228</v>
      </c>
      <c r="S1171" s="4">
        <v>4</v>
      </c>
      <c r="T1171" s="4">
        <v>25</v>
      </c>
      <c r="U1171" s="5" t="s">
        <v>7903</v>
      </c>
      <c r="V1171" s="5" t="s">
        <v>7903</v>
      </c>
      <c r="W1171" s="5" t="s">
        <v>72</v>
      </c>
      <c r="X1171" s="5" t="s">
        <v>72</v>
      </c>
      <c r="Y1171" s="4">
        <v>24</v>
      </c>
      <c r="Z1171" s="4">
        <v>18</v>
      </c>
      <c r="AA1171" s="4">
        <v>91</v>
      </c>
      <c r="AB1171" s="4">
        <v>2</v>
      </c>
      <c r="AC1171" s="4">
        <v>8</v>
      </c>
      <c r="AD1171" s="4">
        <v>7</v>
      </c>
      <c r="AE1171" s="4">
        <v>133</v>
      </c>
      <c r="AF1171" s="4">
        <v>1</v>
      </c>
      <c r="AG1171" s="4">
        <v>5</v>
      </c>
      <c r="AH1171" s="4">
        <v>2</v>
      </c>
      <c r="AI1171" s="4">
        <v>94</v>
      </c>
      <c r="AJ1171" s="4">
        <v>6</v>
      </c>
      <c r="AK1171" s="4">
        <v>26</v>
      </c>
      <c r="AL1171" s="4">
        <v>1</v>
      </c>
      <c r="AM1171" s="4">
        <v>51</v>
      </c>
      <c r="AN1171" s="4">
        <v>0</v>
      </c>
      <c r="AO1171" s="4">
        <v>3</v>
      </c>
      <c r="AP1171" s="4">
        <v>5</v>
      </c>
      <c r="AQ1171" s="4">
        <v>45</v>
      </c>
      <c r="AR1171" s="3" t="s">
        <v>64</v>
      </c>
      <c r="AS1171" s="3" t="s">
        <v>64</v>
      </c>
      <c r="AT1171" s="3" t="s">
        <v>64</v>
      </c>
      <c r="AU1171" s="6" t="str">
        <f>HYPERLINK("http://catalog.hathitrust.org/Record/005876640","HathiTrust Record")</f>
        <v>HathiTrust Record</v>
      </c>
      <c r="AV1171" s="6" t="str">
        <f>HYPERLINK("http://mcgill.on.worldcat.org/oclc/221299004","Catalog Record")</f>
        <v>Catalog Record</v>
      </c>
      <c r="AW1171" s="6" t="str">
        <f>HYPERLINK("http://www.worldcat.org/oclc/221299004","WorldCat Record")</f>
        <v>WorldCat Record</v>
      </c>
      <c r="AX1171" s="3" t="s">
        <v>12119</v>
      </c>
      <c r="AY1171" s="3" t="s">
        <v>12120</v>
      </c>
      <c r="AZ1171" s="3" t="s">
        <v>12121</v>
      </c>
      <c r="BA1171" s="3" t="s">
        <v>12121</v>
      </c>
      <c r="BB1171" s="3" t="s">
        <v>12122</v>
      </c>
      <c r="BC1171" s="3" t="s">
        <v>78</v>
      </c>
      <c r="BD1171" s="3" t="s">
        <v>79</v>
      </c>
      <c r="BF1171" s="3" t="s">
        <v>12122</v>
      </c>
      <c r="BG1171" s="3" t="s">
        <v>12123</v>
      </c>
    </row>
    <row r="1172" spans="1:59" ht="58" x14ac:dyDescent="0.35">
      <c r="A1172" s="2" t="s">
        <v>59</v>
      </c>
      <c r="B1172" s="2" t="s">
        <v>94</v>
      </c>
      <c r="C1172" s="2" t="s">
        <v>12112</v>
      </c>
      <c r="D1172" s="2" t="s">
        <v>12113</v>
      </c>
      <c r="E1172" s="2" t="s">
        <v>12114</v>
      </c>
      <c r="F1172" s="3" t="s">
        <v>388</v>
      </c>
      <c r="G1172" s="3" t="s">
        <v>73</v>
      </c>
      <c r="I1172" s="3" t="s">
        <v>73</v>
      </c>
      <c r="J1172" s="3" t="s">
        <v>73</v>
      </c>
      <c r="K1172" s="3" t="s">
        <v>65</v>
      </c>
      <c r="L1172" s="2" t="s">
        <v>12115</v>
      </c>
      <c r="M1172" s="2" t="s">
        <v>12116</v>
      </c>
      <c r="N1172" s="3" t="s">
        <v>12117</v>
      </c>
      <c r="P1172" s="3" t="s">
        <v>69</v>
      </c>
      <c r="Q1172" s="2" t="s">
        <v>12118</v>
      </c>
      <c r="R1172" s="3" t="s">
        <v>9228</v>
      </c>
      <c r="S1172" s="4">
        <v>8</v>
      </c>
      <c r="T1172" s="4">
        <v>25</v>
      </c>
      <c r="U1172" s="5" t="s">
        <v>12124</v>
      </c>
      <c r="V1172" s="5" t="s">
        <v>7903</v>
      </c>
      <c r="W1172" s="5" t="s">
        <v>72</v>
      </c>
      <c r="X1172" s="5" t="s">
        <v>72</v>
      </c>
      <c r="Y1172" s="4">
        <v>24</v>
      </c>
      <c r="Z1172" s="4">
        <v>18</v>
      </c>
      <c r="AA1172" s="4">
        <v>91</v>
      </c>
      <c r="AB1172" s="4">
        <v>2</v>
      </c>
      <c r="AC1172" s="4">
        <v>8</v>
      </c>
      <c r="AD1172" s="4">
        <v>7</v>
      </c>
      <c r="AE1172" s="4">
        <v>133</v>
      </c>
      <c r="AF1172" s="4">
        <v>1</v>
      </c>
      <c r="AG1172" s="4">
        <v>5</v>
      </c>
      <c r="AH1172" s="4">
        <v>2</v>
      </c>
      <c r="AI1172" s="4">
        <v>94</v>
      </c>
      <c r="AJ1172" s="4">
        <v>6</v>
      </c>
      <c r="AK1172" s="4">
        <v>26</v>
      </c>
      <c r="AL1172" s="4">
        <v>1</v>
      </c>
      <c r="AM1172" s="4">
        <v>51</v>
      </c>
      <c r="AN1172" s="4">
        <v>0</v>
      </c>
      <c r="AO1172" s="4">
        <v>3</v>
      </c>
      <c r="AP1172" s="4">
        <v>5</v>
      </c>
      <c r="AQ1172" s="4">
        <v>45</v>
      </c>
      <c r="AR1172" s="3" t="s">
        <v>64</v>
      </c>
      <c r="AS1172" s="3" t="s">
        <v>64</v>
      </c>
      <c r="AT1172" s="3" t="s">
        <v>64</v>
      </c>
      <c r="AU1172" s="6" t="str">
        <f>HYPERLINK("http://catalog.hathitrust.org/Record/005876640","HathiTrust Record")</f>
        <v>HathiTrust Record</v>
      </c>
      <c r="AV1172" s="6" t="str">
        <f>HYPERLINK("http://mcgill.on.worldcat.org/oclc/221299004","Catalog Record")</f>
        <v>Catalog Record</v>
      </c>
      <c r="AW1172" s="6" t="str">
        <f>HYPERLINK("http://www.worldcat.org/oclc/221299004","WorldCat Record")</f>
        <v>WorldCat Record</v>
      </c>
      <c r="AX1172" s="3" t="s">
        <v>12119</v>
      </c>
      <c r="AY1172" s="3" t="s">
        <v>12120</v>
      </c>
      <c r="AZ1172" s="3" t="s">
        <v>12121</v>
      </c>
      <c r="BA1172" s="3" t="s">
        <v>12121</v>
      </c>
      <c r="BB1172" s="3" t="s">
        <v>12125</v>
      </c>
      <c r="BC1172" s="3" t="s">
        <v>78</v>
      </c>
      <c r="BD1172" s="3" t="s">
        <v>79</v>
      </c>
      <c r="BF1172" s="3" t="s">
        <v>12125</v>
      </c>
      <c r="BG1172" s="3" t="s">
        <v>12126</v>
      </c>
    </row>
    <row r="1173" spans="1:59" ht="58" x14ac:dyDescent="0.35">
      <c r="A1173" s="2" t="s">
        <v>59</v>
      </c>
      <c r="B1173" s="2" t="s">
        <v>94</v>
      </c>
      <c r="C1173" s="2" t="s">
        <v>12112</v>
      </c>
      <c r="D1173" s="2" t="s">
        <v>12113</v>
      </c>
      <c r="E1173" s="2" t="s">
        <v>12114</v>
      </c>
      <c r="F1173" s="3" t="s">
        <v>388</v>
      </c>
      <c r="G1173" s="3" t="s">
        <v>73</v>
      </c>
      <c r="I1173" s="3" t="s">
        <v>73</v>
      </c>
      <c r="J1173" s="3" t="s">
        <v>73</v>
      </c>
      <c r="K1173" s="3" t="s">
        <v>65</v>
      </c>
      <c r="L1173" s="2" t="s">
        <v>12115</v>
      </c>
      <c r="M1173" s="2" t="s">
        <v>12116</v>
      </c>
      <c r="N1173" s="3" t="s">
        <v>12117</v>
      </c>
      <c r="P1173" s="3" t="s">
        <v>69</v>
      </c>
      <c r="Q1173" s="2" t="s">
        <v>12118</v>
      </c>
      <c r="R1173" s="3" t="s">
        <v>9228</v>
      </c>
      <c r="S1173" s="4">
        <v>10</v>
      </c>
      <c r="T1173" s="4">
        <v>25</v>
      </c>
      <c r="U1173" s="5" t="s">
        <v>12127</v>
      </c>
      <c r="V1173" s="5" t="s">
        <v>7903</v>
      </c>
      <c r="W1173" s="5" t="s">
        <v>72</v>
      </c>
      <c r="X1173" s="5" t="s">
        <v>72</v>
      </c>
      <c r="Y1173" s="4">
        <v>24</v>
      </c>
      <c r="Z1173" s="4">
        <v>18</v>
      </c>
      <c r="AA1173" s="4">
        <v>91</v>
      </c>
      <c r="AB1173" s="4">
        <v>2</v>
      </c>
      <c r="AC1173" s="4">
        <v>8</v>
      </c>
      <c r="AD1173" s="4">
        <v>7</v>
      </c>
      <c r="AE1173" s="4">
        <v>133</v>
      </c>
      <c r="AF1173" s="4">
        <v>1</v>
      </c>
      <c r="AG1173" s="4">
        <v>5</v>
      </c>
      <c r="AH1173" s="4">
        <v>2</v>
      </c>
      <c r="AI1173" s="4">
        <v>94</v>
      </c>
      <c r="AJ1173" s="4">
        <v>6</v>
      </c>
      <c r="AK1173" s="4">
        <v>26</v>
      </c>
      <c r="AL1173" s="4">
        <v>1</v>
      </c>
      <c r="AM1173" s="4">
        <v>51</v>
      </c>
      <c r="AN1173" s="4">
        <v>0</v>
      </c>
      <c r="AO1173" s="4">
        <v>3</v>
      </c>
      <c r="AP1173" s="4">
        <v>5</v>
      </c>
      <c r="AQ1173" s="4">
        <v>45</v>
      </c>
      <c r="AR1173" s="3" t="s">
        <v>64</v>
      </c>
      <c r="AS1173" s="3" t="s">
        <v>64</v>
      </c>
      <c r="AT1173" s="3" t="s">
        <v>64</v>
      </c>
      <c r="AU1173" s="6" t="str">
        <f>HYPERLINK("http://catalog.hathitrust.org/Record/005876640","HathiTrust Record")</f>
        <v>HathiTrust Record</v>
      </c>
      <c r="AV1173" s="6" t="str">
        <f>HYPERLINK("http://mcgill.on.worldcat.org/oclc/221299004","Catalog Record")</f>
        <v>Catalog Record</v>
      </c>
      <c r="AW1173" s="6" t="str">
        <f>HYPERLINK("http://www.worldcat.org/oclc/221299004","WorldCat Record")</f>
        <v>WorldCat Record</v>
      </c>
      <c r="AX1173" s="3" t="s">
        <v>12119</v>
      </c>
      <c r="AY1173" s="3" t="s">
        <v>12120</v>
      </c>
      <c r="AZ1173" s="3" t="s">
        <v>12121</v>
      </c>
      <c r="BA1173" s="3" t="s">
        <v>12121</v>
      </c>
      <c r="BB1173" s="3" t="s">
        <v>12128</v>
      </c>
      <c r="BC1173" s="3" t="s">
        <v>78</v>
      </c>
      <c r="BD1173" s="3" t="s">
        <v>79</v>
      </c>
      <c r="BF1173" s="3" t="s">
        <v>12128</v>
      </c>
      <c r="BG1173" s="3" t="s">
        <v>12129</v>
      </c>
    </row>
    <row r="1174" spans="1:59" ht="58" x14ac:dyDescent="0.35">
      <c r="A1174" s="2" t="s">
        <v>59</v>
      </c>
      <c r="B1174" s="2" t="s">
        <v>94</v>
      </c>
      <c r="C1174" s="2" t="s">
        <v>12112</v>
      </c>
      <c r="D1174" s="2" t="s">
        <v>12113</v>
      </c>
      <c r="E1174" s="2" t="s">
        <v>12114</v>
      </c>
      <c r="F1174" s="3" t="s">
        <v>399</v>
      </c>
      <c r="G1174" s="3" t="s">
        <v>73</v>
      </c>
      <c r="I1174" s="3" t="s">
        <v>73</v>
      </c>
      <c r="J1174" s="3" t="s">
        <v>73</v>
      </c>
      <c r="K1174" s="3" t="s">
        <v>65</v>
      </c>
      <c r="L1174" s="2" t="s">
        <v>12115</v>
      </c>
      <c r="M1174" s="2" t="s">
        <v>12116</v>
      </c>
      <c r="N1174" s="3" t="s">
        <v>12117</v>
      </c>
      <c r="P1174" s="3" t="s">
        <v>69</v>
      </c>
      <c r="Q1174" s="2" t="s">
        <v>12118</v>
      </c>
      <c r="R1174" s="3" t="s">
        <v>9228</v>
      </c>
      <c r="S1174" s="4">
        <v>3</v>
      </c>
      <c r="T1174" s="4">
        <v>25</v>
      </c>
      <c r="U1174" s="5" t="s">
        <v>12124</v>
      </c>
      <c r="V1174" s="5" t="s">
        <v>7903</v>
      </c>
      <c r="W1174" s="5" t="s">
        <v>72</v>
      </c>
      <c r="X1174" s="5" t="s">
        <v>72</v>
      </c>
      <c r="Y1174" s="4">
        <v>24</v>
      </c>
      <c r="Z1174" s="4">
        <v>18</v>
      </c>
      <c r="AA1174" s="4">
        <v>91</v>
      </c>
      <c r="AB1174" s="4">
        <v>2</v>
      </c>
      <c r="AC1174" s="4">
        <v>8</v>
      </c>
      <c r="AD1174" s="4">
        <v>7</v>
      </c>
      <c r="AE1174" s="4">
        <v>133</v>
      </c>
      <c r="AF1174" s="4">
        <v>1</v>
      </c>
      <c r="AG1174" s="4">
        <v>5</v>
      </c>
      <c r="AH1174" s="4">
        <v>2</v>
      </c>
      <c r="AI1174" s="4">
        <v>94</v>
      </c>
      <c r="AJ1174" s="4">
        <v>6</v>
      </c>
      <c r="AK1174" s="4">
        <v>26</v>
      </c>
      <c r="AL1174" s="4">
        <v>1</v>
      </c>
      <c r="AM1174" s="4">
        <v>51</v>
      </c>
      <c r="AN1174" s="4">
        <v>0</v>
      </c>
      <c r="AO1174" s="4">
        <v>3</v>
      </c>
      <c r="AP1174" s="4">
        <v>5</v>
      </c>
      <c r="AQ1174" s="4">
        <v>45</v>
      </c>
      <c r="AR1174" s="3" t="s">
        <v>64</v>
      </c>
      <c r="AS1174" s="3" t="s">
        <v>64</v>
      </c>
      <c r="AT1174" s="3" t="s">
        <v>64</v>
      </c>
      <c r="AU1174" s="6" t="str">
        <f>HYPERLINK("http://catalog.hathitrust.org/Record/005876640","HathiTrust Record")</f>
        <v>HathiTrust Record</v>
      </c>
      <c r="AV1174" s="6" t="str">
        <f>HYPERLINK("http://mcgill.on.worldcat.org/oclc/221299004","Catalog Record")</f>
        <v>Catalog Record</v>
      </c>
      <c r="AW1174" s="6" t="str">
        <f>HYPERLINK("http://www.worldcat.org/oclc/221299004","WorldCat Record")</f>
        <v>WorldCat Record</v>
      </c>
      <c r="AX1174" s="3" t="s">
        <v>12119</v>
      </c>
      <c r="AY1174" s="3" t="s">
        <v>12120</v>
      </c>
      <c r="AZ1174" s="3" t="s">
        <v>12121</v>
      </c>
      <c r="BA1174" s="3" t="s">
        <v>12121</v>
      </c>
      <c r="BB1174" s="3" t="s">
        <v>12130</v>
      </c>
      <c r="BC1174" s="3" t="s">
        <v>78</v>
      </c>
      <c r="BD1174" s="3" t="s">
        <v>79</v>
      </c>
      <c r="BF1174" s="3" t="s">
        <v>12130</v>
      </c>
      <c r="BG1174" s="3" t="s">
        <v>12131</v>
      </c>
    </row>
    <row r="1175" spans="1:59" ht="72.5" x14ac:dyDescent="0.35">
      <c r="A1175" s="2" t="s">
        <v>59</v>
      </c>
      <c r="B1175" s="2" t="s">
        <v>94</v>
      </c>
      <c r="C1175" s="2" t="s">
        <v>12132</v>
      </c>
      <c r="D1175" s="2" t="s">
        <v>12133</v>
      </c>
      <c r="E1175" s="2" t="s">
        <v>12134</v>
      </c>
      <c r="G1175" s="3" t="s">
        <v>64</v>
      </c>
      <c r="I1175" s="3" t="s">
        <v>73</v>
      </c>
      <c r="J1175" s="3" t="s">
        <v>64</v>
      </c>
      <c r="K1175" s="3" t="s">
        <v>65</v>
      </c>
      <c r="L1175" s="2" t="s">
        <v>12135</v>
      </c>
      <c r="M1175" s="2" t="s">
        <v>12136</v>
      </c>
      <c r="N1175" s="3" t="s">
        <v>4926</v>
      </c>
      <c r="P1175" s="3" t="s">
        <v>69</v>
      </c>
      <c r="R1175" s="3" t="s">
        <v>9228</v>
      </c>
      <c r="S1175" s="4">
        <v>7</v>
      </c>
      <c r="T1175" s="4">
        <v>8</v>
      </c>
      <c r="U1175" s="5" t="s">
        <v>12137</v>
      </c>
      <c r="V1175" s="5" t="s">
        <v>7903</v>
      </c>
      <c r="W1175" s="5" t="s">
        <v>72</v>
      </c>
      <c r="X1175" s="5" t="s">
        <v>72</v>
      </c>
      <c r="Y1175" s="4">
        <v>9</v>
      </c>
      <c r="Z1175" s="4">
        <v>6</v>
      </c>
      <c r="AA1175" s="4">
        <v>13</v>
      </c>
      <c r="AB1175" s="4">
        <v>1</v>
      </c>
      <c r="AC1175" s="4">
        <v>2</v>
      </c>
      <c r="AD1175" s="4">
        <v>4</v>
      </c>
      <c r="AE1175" s="4">
        <v>8</v>
      </c>
      <c r="AF1175" s="4">
        <v>0</v>
      </c>
      <c r="AG1175" s="4">
        <v>0</v>
      </c>
      <c r="AH1175" s="4">
        <v>2</v>
      </c>
      <c r="AI1175" s="4">
        <v>5</v>
      </c>
      <c r="AJ1175" s="4">
        <v>2</v>
      </c>
      <c r="AK1175" s="4">
        <v>4</v>
      </c>
      <c r="AL1175" s="4">
        <v>0</v>
      </c>
      <c r="AM1175" s="4">
        <v>1</v>
      </c>
      <c r="AN1175" s="4">
        <v>0</v>
      </c>
      <c r="AO1175" s="4">
        <v>0</v>
      </c>
      <c r="AP1175" s="4">
        <v>2</v>
      </c>
      <c r="AQ1175" s="4">
        <v>5</v>
      </c>
      <c r="AR1175" s="3" t="s">
        <v>73</v>
      </c>
      <c r="AS1175" s="3" t="s">
        <v>64</v>
      </c>
      <c r="AT1175" s="3" t="s">
        <v>64</v>
      </c>
      <c r="AV1175" s="6" t="str">
        <f>HYPERLINK("http://mcgill.on.worldcat.org/oclc/26092170","Catalog Record")</f>
        <v>Catalog Record</v>
      </c>
      <c r="AW1175" s="6" t="str">
        <f>HYPERLINK("http://www.worldcat.org/oclc/26092170","WorldCat Record")</f>
        <v>WorldCat Record</v>
      </c>
      <c r="AX1175" s="3" t="s">
        <v>12138</v>
      </c>
      <c r="AY1175" s="3" t="s">
        <v>12139</v>
      </c>
      <c r="AZ1175" s="3" t="s">
        <v>12140</v>
      </c>
      <c r="BA1175" s="3" t="s">
        <v>12140</v>
      </c>
      <c r="BB1175" s="3" t="s">
        <v>12141</v>
      </c>
      <c r="BC1175" s="3" t="s">
        <v>78</v>
      </c>
      <c r="BD1175" s="3" t="s">
        <v>79</v>
      </c>
      <c r="BF1175" s="3" t="s">
        <v>12141</v>
      </c>
      <c r="BG1175" s="3" t="s">
        <v>12142</v>
      </c>
    </row>
    <row r="1176" spans="1:59" ht="72.5" x14ac:dyDescent="0.35">
      <c r="A1176" s="2" t="s">
        <v>59</v>
      </c>
      <c r="B1176" s="2" t="s">
        <v>94</v>
      </c>
      <c r="C1176" s="2" t="s">
        <v>12132</v>
      </c>
      <c r="D1176" s="2" t="s">
        <v>12133</v>
      </c>
      <c r="E1176" s="2" t="s">
        <v>12134</v>
      </c>
      <c r="G1176" s="3" t="s">
        <v>64</v>
      </c>
      <c r="I1176" s="3" t="s">
        <v>73</v>
      </c>
      <c r="J1176" s="3" t="s">
        <v>64</v>
      </c>
      <c r="K1176" s="3" t="s">
        <v>65</v>
      </c>
      <c r="L1176" s="2" t="s">
        <v>12135</v>
      </c>
      <c r="M1176" s="2" t="s">
        <v>12136</v>
      </c>
      <c r="N1176" s="3" t="s">
        <v>4926</v>
      </c>
      <c r="P1176" s="3" t="s">
        <v>69</v>
      </c>
      <c r="R1176" s="3" t="s">
        <v>9228</v>
      </c>
      <c r="S1176" s="4">
        <v>0</v>
      </c>
      <c r="T1176" s="4">
        <v>8</v>
      </c>
      <c r="V1176" s="5" t="s">
        <v>7903</v>
      </c>
      <c r="W1176" s="5" t="s">
        <v>72</v>
      </c>
      <c r="X1176" s="5" t="s">
        <v>72</v>
      </c>
      <c r="Y1176" s="4">
        <v>9</v>
      </c>
      <c r="Z1176" s="4">
        <v>6</v>
      </c>
      <c r="AA1176" s="4">
        <v>13</v>
      </c>
      <c r="AB1176" s="4">
        <v>1</v>
      </c>
      <c r="AC1176" s="4">
        <v>2</v>
      </c>
      <c r="AD1176" s="4">
        <v>4</v>
      </c>
      <c r="AE1176" s="4">
        <v>8</v>
      </c>
      <c r="AF1176" s="4">
        <v>0</v>
      </c>
      <c r="AG1176" s="4">
        <v>0</v>
      </c>
      <c r="AH1176" s="4">
        <v>2</v>
      </c>
      <c r="AI1176" s="4">
        <v>5</v>
      </c>
      <c r="AJ1176" s="4">
        <v>2</v>
      </c>
      <c r="AK1176" s="4">
        <v>4</v>
      </c>
      <c r="AL1176" s="4">
        <v>0</v>
      </c>
      <c r="AM1176" s="4">
        <v>1</v>
      </c>
      <c r="AN1176" s="4">
        <v>0</v>
      </c>
      <c r="AO1176" s="4">
        <v>0</v>
      </c>
      <c r="AP1176" s="4">
        <v>2</v>
      </c>
      <c r="AQ1176" s="4">
        <v>5</v>
      </c>
      <c r="AR1176" s="3" t="s">
        <v>73</v>
      </c>
      <c r="AS1176" s="3" t="s">
        <v>64</v>
      </c>
      <c r="AT1176" s="3" t="s">
        <v>64</v>
      </c>
      <c r="AV1176" s="6" t="str">
        <f>HYPERLINK("http://mcgill.on.worldcat.org/oclc/26092170","Catalog Record")</f>
        <v>Catalog Record</v>
      </c>
      <c r="AW1176" s="6" t="str">
        <f>HYPERLINK("http://www.worldcat.org/oclc/26092170","WorldCat Record")</f>
        <v>WorldCat Record</v>
      </c>
      <c r="AX1176" s="3" t="s">
        <v>12138</v>
      </c>
      <c r="AY1176" s="3" t="s">
        <v>12139</v>
      </c>
      <c r="AZ1176" s="3" t="s">
        <v>12140</v>
      </c>
      <c r="BA1176" s="3" t="s">
        <v>12140</v>
      </c>
      <c r="BB1176" s="3" t="s">
        <v>12143</v>
      </c>
      <c r="BC1176" s="3" t="s">
        <v>78</v>
      </c>
      <c r="BD1176" s="3" t="s">
        <v>79</v>
      </c>
      <c r="BF1176" s="3" t="s">
        <v>12143</v>
      </c>
      <c r="BG1176" s="3" t="s">
        <v>12144</v>
      </c>
    </row>
    <row r="1177" spans="1:59" ht="58" x14ac:dyDescent="0.35">
      <c r="A1177" s="2" t="s">
        <v>59</v>
      </c>
      <c r="B1177" s="2" t="s">
        <v>94</v>
      </c>
      <c r="C1177" s="2" t="s">
        <v>12145</v>
      </c>
      <c r="D1177" s="2" t="s">
        <v>12146</v>
      </c>
      <c r="E1177" s="2" t="s">
        <v>12147</v>
      </c>
      <c r="G1177" s="3" t="s">
        <v>64</v>
      </c>
      <c r="I1177" s="3" t="s">
        <v>64</v>
      </c>
      <c r="J1177" s="3" t="s">
        <v>64</v>
      </c>
      <c r="K1177" s="3" t="s">
        <v>65</v>
      </c>
      <c r="L1177" s="2" t="s">
        <v>12148</v>
      </c>
      <c r="M1177" s="2" t="s">
        <v>12149</v>
      </c>
      <c r="N1177" s="3" t="s">
        <v>422</v>
      </c>
      <c r="P1177" s="3" t="s">
        <v>69</v>
      </c>
      <c r="R1177" s="3" t="s">
        <v>9228</v>
      </c>
      <c r="S1177" s="4">
        <v>8</v>
      </c>
      <c r="T1177" s="4">
        <v>8</v>
      </c>
      <c r="U1177" s="5" t="s">
        <v>10195</v>
      </c>
      <c r="V1177" s="5" t="s">
        <v>10195</v>
      </c>
      <c r="W1177" s="5" t="s">
        <v>72</v>
      </c>
      <c r="X1177" s="5" t="s">
        <v>72</v>
      </c>
      <c r="Y1177" s="4">
        <v>68</v>
      </c>
      <c r="Z1177" s="4">
        <v>47</v>
      </c>
      <c r="AA1177" s="4">
        <v>48</v>
      </c>
      <c r="AB1177" s="4">
        <v>2</v>
      </c>
      <c r="AC1177" s="4">
        <v>3</v>
      </c>
      <c r="AD1177" s="4">
        <v>25</v>
      </c>
      <c r="AE1177" s="4">
        <v>26</v>
      </c>
      <c r="AF1177" s="4">
        <v>1</v>
      </c>
      <c r="AG1177" s="4">
        <v>2</v>
      </c>
      <c r="AH1177" s="4">
        <v>14</v>
      </c>
      <c r="AI1177" s="4">
        <v>15</v>
      </c>
      <c r="AJ1177" s="4">
        <v>11</v>
      </c>
      <c r="AK1177" s="4">
        <v>12</v>
      </c>
      <c r="AL1177" s="4">
        <v>4</v>
      </c>
      <c r="AM1177" s="4">
        <v>4</v>
      </c>
      <c r="AN1177" s="4">
        <v>0</v>
      </c>
      <c r="AO1177" s="4">
        <v>0</v>
      </c>
      <c r="AP1177" s="4">
        <v>19</v>
      </c>
      <c r="AQ1177" s="4">
        <v>20</v>
      </c>
      <c r="AR1177" s="3" t="s">
        <v>73</v>
      </c>
      <c r="AS1177" s="3" t="s">
        <v>64</v>
      </c>
      <c r="AT1177" s="3" t="s">
        <v>64</v>
      </c>
      <c r="AV1177" s="6" t="str">
        <f>HYPERLINK("http://mcgill.on.worldcat.org/oclc/46620380","Catalog Record")</f>
        <v>Catalog Record</v>
      </c>
      <c r="AW1177" s="6" t="str">
        <f>HYPERLINK("http://www.worldcat.org/oclc/46620380","WorldCat Record")</f>
        <v>WorldCat Record</v>
      </c>
      <c r="AX1177" s="3" t="s">
        <v>12150</v>
      </c>
      <c r="AY1177" s="3" t="s">
        <v>12151</v>
      </c>
      <c r="AZ1177" s="3" t="s">
        <v>12152</v>
      </c>
      <c r="BA1177" s="3" t="s">
        <v>12152</v>
      </c>
      <c r="BB1177" s="3" t="s">
        <v>12153</v>
      </c>
      <c r="BC1177" s="3" t="s">
        <v>78</v>
      </c>
      <c r="BD1177" s="3" t="s">
        <v>79</v>
      </c>
      <c r="BE1177" s="3" t="s">
        <v>12154</v>
      </c>
      <c r="BF1177" s="3" t="s">
        <v>12153</v>
      </c>
      <c r="BG1177" s="3" t="s">
        <v>12155</v>
      </c>
    </row>
    <row r="1178" spans="1:59" ht="72.5" x14ac:dyDescent="0.35">
      <c r="A1178" s="2" t="s">
        <v>59</v>
      </c>
      <c r="B1178" s="2" t="s">
        <v>94</v>
      </c>
      <c r="C1178" s="2" t="s">
        <v>12156</v>
      </c>
      <c r="D1178" s="2" t="s">
        <v>12157</v>
      </c>
      <c r="E1178" s="2" t="s">
        <v>12158</v>
      </c>
      <c r="G1178" s="3" t="s">
        <v>64</v>
      </c>
      <c r="I1178" s="3" t="s">
        <v>64</v>
      </c>
      <c r="J1178" s="3" t="s">
        <v>64</v>
      </c>
      <c r="K1178" s="3" t="s">
        <v>65</v>
      </c>
      <c r="L1178" s="2" t="s">
        <v>12159</v>
      </c>
      <c r="M1178" s="2" t="s">
        <v>12160</v>
      </c>
      <c r="N1178" s="3" t="s">
        <v>214</v>
      </c>
      <c r="P1178" s="3" t="s">
        <v>69</v>
      </c>
      <c r="R1178" s="3" t="s">
        <v>9228</v>
      </c>
      <c r="S1178" s="4">
        <v>1</v>
      </c>
      <c r="T1178" s="4">
        <v>1</v>
      </c>
      <c r="U1178" s="5" t="s">
        <v>12161</v>
      </c>
      <c r="V1178" s="5" t="s">
        <v>12161</v>
      </c>
      <c r="W1178" s="5" t="s">
        <v>72</v>
      </c>
      <c r="X1178" s="5" t="s">
        <v>72</v>
      </c>
      <c r="Y1178" s="4">
        <v>22</v>
      </c>
      <c r="Z1178" s="4">
        <v>19</v>
      </c>
      <c r="AA1178" s="4">
        <v>19</v>
      </c>
      <c r="AB1178" s="4">
        <v>1</v>
      </c>
      <c r="AC1178" s="4">
        <v>1</v>
      </c>
      <c r="AD1178" s="4">
        <v>14</v>
      </c>
      <c r="AE1178" s="4">
        <v>14</v>
      </c>
      <c r="AF1178" s="4">
        <v>0</v>
      </c>
      <c r="AG1178" s="4">
        <v>0</v>
      </c>
      <c r="AH1178" s="4">
        <v>8</v>
      </c>
      <c r="AI1178" s="4">
        <v>8</v>
      </c>
      <c r="AJ1178" s="4">
        <v>11</v>
      </c>
      <c r="AK1178" s="4">
        <v>11</v>
      </c>
      <c r="AL1178" s="4">
        <v>2</v>
      </c>
      <c r="AM1178" s="4">
        <v>2</v>
      </c>
      <c r="AN1178" s="4">
        <v>0</v>
      </c>
      <c r="AO1178" s="4">
        <v>0</v>
      </c>
      <c r="AP1178" s="4">
        <v>11</v>
      </c>
      <c r="AQ1178" s="4">
        <v>11</v>
      </c>
      <c r="AR1178" s="3" t="s">
        <v>73</v>
      </c>
      <c r="AS1178" s="3" t="s">
        <v>64</v>
      </c>
      <c r="AT1178" s="3" t="s">
        <v>64</v>
      </c>
      <c r="AV1178" s="6" t="str">
        <f>HYPERLINK("http://mcgill.on.worldcat.org/oclc/578105332","Catalog Record")</f>
        <v>Catalog Record</v>
      </c>
      <c r="AW1178" s="6" t="str">
        <f>HYPERLINK("http://www.worldcat.org/oclc/578105332","WorldCat Record")</f>
        <v>WorldCat Record</v>
      </c>
      <c r="AX1178" s="3" t="s">
        <v>12162</v>
      </c>
      <c r="AY1178" s="3" t="s">
        <v>12163</v>
      </c>
      <c r="AZ1178" s="3" t="s">
        <v>12164</v>
      </c>
      <c r="BA1178" s="3" t="s">
        <v>12164</v>
      </c>
      <c r="BB1178" s="3" t="s">
        <v>12165</v>
      </c>
      <c r="BC1178" s="3" t="s">
        <v>78</v>
      </c>
      <c r="BD1178" s="3" t="s">
        <v>79</v>
      </c>
      <c r="BE1178" s="3" t="s">
        <v>12166</v>
      </c>
      <c r="BF1178" s="3" t="s">
        <v>12165</v>
      </c>
      <c r="BG1178" s="3" t="s">
        <v>12167</v>
      </c>
    </row>
    <row r="1179" spans="1:59" ht="72.5" x14ac:dyDescent="0.35">
      <c r="A1179" s="2" t="s">
        <v>59</v>
      </c>
      <c r="B1179" s="2" t="s">
        <v>94</v>
      </c>
      <c r="C1179" s="2" t="s">
        <v>12168</v>
      </c>
      <c r="D1179" s="2" t="s">
        <v>12169</v>
      </c>
      <c r="E1179" s="2" t="s">
        <v>12170</v>
      </c>
      <c r="G1179" s="3" t="s">
        <v>64</v>
      </c>
      <c r="I1179" s="3" t="s">
        <v>64</v>
      </c>
      <c r="J1179" s="3" t="s">
        <v>64</v>
      </c>
      <c r="K1179" s="3" t="s">
        <v>65</v>
      </c>
      <c r="L1179" s="2" t="s">
        <v>12171</v>
      </c>
      <c r="M1179" s="2" t="s">
        <v>12172</v>
      </c>
      <c r="N1179" s="3" t="s">
        <v>136</v>
      </c>
      <c r="P1179" s="3" t="s">
        <v>69</v>
      </c>
      <c r="R1179" s="3" t="s">
        <v>9228</v>
      </c>
      <c r="S1179" s="4">
        <v>6</v>
      </c>
      <c r="T1179" s="4">
        <v>6</v>
      </c>
      <c r="U1179" s="5" t="s">
        <v>1384</v>
      </c>
      <c r="V1179" s="5" t="s">
        <v>1384</v>
      </c>
      <c r="W1179" s="5" t="s">
        <v>72</v>
      </c>
      <c r="X1179" s="5" t="s">
        <v>72</v>
      </c>
      <c r="Y1179" s="4">
        <v>42</v>
      </c>
      <c r="Z1179" s="4">
        <v>40</v>
      </c>
      <c r="AA1179" s="4">
        <v>105</v>
      </c>
      <c r="AB1179" s="4">
        <v>2</v>
      </c>
      <c r="AC1179" s="4">
        <v>5</v>
      </c>
      <c r="AD1179" s="4">
        <v>31</v>
      </c>
      <c r="AE1179" s="4">
        <v>55</v>
      </c>
      <c r="AF1179" s="4">
        <v>1</v>
      </c>
      <c r="AG1179" s="4">
        <v>2</v>
      </c>
      <c r="AH1179" s="4">
        <v>5</v>
      </c>
      <c r="AI1179" s="4">
        <v>17</v>
      </c>
      <c r="AJ1179" s="4">
        <v>13</v>
      </c>
      <c r="AK1179" s="4">
        <v>25</v>
      </c>
      <c r="AL1179" s="4">
        <v>0</v>
      </c>
      <c r="AM1179" s="4">
        <v>5</v>
      </c>
      <c r="AN1179" s="4">
        <v>0</v>
      </c>
      <c r="AO1179" s="4">
        <v>0</v>
      </c>
      <c r="AP1179" s="4">
        <v>29</v>
      </c>
      <c r="AQ1179" s="4">
        <v>47</v>
      </c>
      <c r="AR1179" s="3" t="s">
        <v>73</v>
      </c>
      <c r="AS1179" s="3" t="s">
        <v>64</v>
      </c>
      <c r="AT1179" s="3" t="s">
        <v>64</v>
      </c>
      <c r="AV1179" s="6" t="str">
        <f>HYPERLINK("http://mcgill.on.worldcat.org/oclc/44905970","Catalog Record")</f>
        <v>Catalog Record</v>
      </c>
      <c r="AW1179" s="6" t="str">
        <f>HYPERLINK("http://www.worldcat.org/oclc/44905970","WorldCat Record")</f>
        <v>WorldCat Record</v>
      </c>
      <c r="AX1179" s="3" t="s">
        <v>12173</v>
      </c>
      <c r="AY1179" s="3" t="s">
        <v>12174</v>
      </c>
      <c r="AZ1179" s="3" t="s">
        <v>12175</v>
      </c>
      <c r="BA1179" s="3" t="s">
        <v>12175</v>
      </c>
      <c r="BB1179" s="3" t="s">
        <v>12176</v>
      </c>
      <c r="BC1179" s="3" t="s">
        <v>78</v>
      </c>
      <c r="BD1179" s="3" t="s">
        <v>79</v>
      </c>
      <c r="BE1179" s="3" t="s">
        <v>12177</v>
      </c>
      <c r="BF1179" s="3" t="s">
        <v>12176</v>
      </c>
      <c r="BG1179" s="3" t="s">
        <v>12178</v>
      </c>
    </row>
    <row r="1180" spans="1:59" ht="58" x14ac:dyDescent="0.35">
      <c r="A1180" s="2" t="s">
        <v>59</v>
      </c>
      <c r="B1180" s="2" t="s">
        <v>94</v>
      </c>
      <c r="C1180" s="2" t="s">
        <v>12179</v>
      </c>
      <c r="D1180" s="2" t="s">
        <v>12180</v>
      </c>
      <c r="E1180" s="2" t="s">
        <v>12181</v>
      </c>
      <c r="F1180" s="3" t="s">
        <v>399</v>
      </c>
      <c r="G1180" s="3" t="s">
        <v>73</v>
      </c>
      <c r="I1180" s="3" t="s">
        <v>73</v>
      </c>
      <c r="J1180" s="3" t="s">
        <v>64</v>
      </c>
      <c r="K1180" s="3" t="s">
        <v>65</v>
      </c>
      <c r="L1180" s="2" t="s">
        <v>12182</v>
      </c>
      <c r="M1180" s="2" t="s">
        <v>12183</v>
      </c>
      <c r="N1180" s="3" t="s">
        <v>5739</v>
      </c>
      <c r="P1180" s="3" t="s">
        <v>69</v>
      </c>
      <c r="R1180" s="3" t="s">
        <v>9228</v>
      </c>
      <c r="S1180" s="4">
        <v>6</v>
      </c>
      <c r="T1180" s="4">
        <v>12</v>
      </c>
      <c r="U1180" s="5" t="s">
        <v>12184</v>
      </c>
      <c r="V1180" s="5" t="s">
        <v>12184</v>
      </c>
      <c r="W1180" s="5" t="s">
        <v>72</v>
      </c>
      <c r="X1180" s="5" t="s">
        <v>72</v>
      </c>
      <c r="Y1180" s="4">
        <v>87</v>
      </c>
      <c r="Z1180" s="4">
        <v>41</v>
      </c>
      <c r="AA1180" s="4">
        <v>41</v>
      </c>
      <c r="AB1180" s="4">
        <v>4</v>
      </c>
      <c r="AC1180" s="4">
        <v>4</v>
      </c>
      <c r="AD1180" s="4">
        <v>47</v>
      </c>
      <c r="AE1180" s="4">
        <v>47</v>
      </c>
      <c r="AF1180" s="4">
        <v>1</v>
      </c>
      <c r="AG1180" s="4">
        <v>1</v>
      </c>
      <c r="AH1180" s="4">
        <v>34</v>
      </c>
      <c r="AI1180" s="4">
        <v>34</v>
      </c>
      <c r="AJ1180" s="4">
        <v>19</v>
      </c>
      <c r="AK1180" s="4">
        <v>19</v>
      </c>
      <c r="AL1180" s="4">
        <v>15</v>
      </c>
      <c r="AM1180" s="4">
        <v>15</v>
      </c>
      <c r="AN1180" s="4">
        <v>0</v>
      </c>
      <c r="AO1180" s="4">
        <v>0</v>
      </c>
      <c r="AP1180" s="4">
        <v>22</v>
      </c>
      <c r="AQ1180" s="4">
        <v>22</v>
      </c>
      <c r="AR1180" s="3" t="s">
        <v>73</v>
      </c>
      <c r="AS1180" s="3" t="s">
        <v>64</v>
      </c>
      <c r="AT1180" s="3" t="s">
        <v>73</v>
      </c>
      <c r="AU1180" s="6" t="str">
        <f>HYPERLINK("http://catalog.hathitrust.org/Record/000116437","HathiTrust Record")</f>
        <v>HathiTrust Record</v>
      </c>
      <c r="AV1180" s="6" t="str">
        <f>HYPERLINK("http://mcgill.on.worldcat.org/oclc/3226041","Catalog Record")</f>
        <v>Catalog Record</v>
      </c>
      <c r="AW1180" s="6" t="str">
        <f>HYPERLINK("http://www.worldcat.org/oclc/3226041","WorldCat Record")</f>
        <v>WorldCat Record</v>
      </c>
      <c r="AX1180" s="3" t="s">
        <v>12185</v>
      </c>
      <c r="AY1180" s="3" t="s">
        <v>12186</v>
      </c>
      <c r="AZ1180" s="3" t="s">
        <v>12187</v>
      </c>
      <c r="BA1180" s="3" t="s">
        <v>12187</v>
      </c>
      <c r="BB1180" s="3" t="s">
        <v>12188</v>
      </c>
      <c r="BC1180" s="3" t="s">
        <v>78</v>
      </c>
      <c r="BD1180" s="3" t="s">
        <v>79</v>
      </c>
      <c r="BE1180" s="3" t="s">
        <v>12189</v>
      </c>
      <c r="BF1180" s="3" t="s">
        <v>12188</v>
      </c>
      <c r="BG1180" s="3" t="s">
        <v>12190</v>
      </c>
    </row>
    <row r="1181" spans="1:59" ht="58" x14ac:dyDescent="0.35">
      <c r="A1181" s="2" t="s">
        <v>59</v>
      </c>
      <c r="B1181" s="2" t="s">
        <v>94</v>
      </c>
      <c r="C1181" s="2" t="s">
        <v>12179</v>
      </c>
      <c r="D1181" s="2" t="s">
        <v>12180</v>
      </c>
      <c r="E1181" s="2" t="s">
        <v>12181</v>
      </c>
      <c r="F1181" s="3" t="s">
        <v>388</v>
      </c>
      <c r="G1181" s="3" t="s">
        <v>73</v>
      </c>
      <c r="I1181" s="3" t="s">
        <v>73</v>
      </c>
      <c r="J1181" s="3" t="s">
        <v>64</v>
      </c>
      <c r="K1181" s="3" t="s">
        <v>65</v>
      </c>
      <c r="L1181" s="2" t="s">
        <v>12182</v>
      </c>
      <c r="M1181" s="2" t="s">
        <v>12183</v>
      </c>
      <c r="N1181" s="3" t="s">
        <v>5739</v>
      </c>
      <c r="P1181" s="3" t="s">
        <v>69</v>
      </c>
      <c r="R1181" s="3" t="s">
        <v>9228</v>
      </c>
      <c r="S1181" s="4">
        <v>6</v>
      </c>
      <c r="T1181" s="4">
        <v>12</v>
      </c>
      <c r="U1181" s="5" t="s">
        <v>12184</v>
      </c>
      <c r="V1181" s="5" t="s">
        <v>12184</v>
      </c>
      <c r="W1181" s="5" t="s">
        <v>72</v>
      </c>
      <c r="X1181" s="5" t="s">
        <v>72</v>
      </c>
      <c r="Y1181" s="4">
        <v>87</v>
      </c>
      <c r="Z1181" s="4">
        <v>41</v>
      </c>
      <c r="AA1181" s="4">
        <v>41</v>
      </c>
      <c r="AB1181" s="4">
        <v>4</v>
      </c>
      <c r="AC1181" s="4">
        <v>4</v>
      </c>
      <c r="AD1181" s="4">
        <v>47</v>
      </c>
      <c r="AE1181" s="4">
        <v>47</v>
      </c>
      <c r="AF1181" s="4">
        <v>1</v>
      </c>
      <c r="AG1181" s="4">
        <v>1</v>
      </c>
      <c r="AH1181" s="4">
        <v>34</v>
      </c>
      <c r="AI1181" s="4">
        <v>34</v>
      </c>
      <c r="AJ1181" s="4">
        <v>19</v>
      </c>
      <c r="AK1181" s="4">
        <v>19</v>
      </c>
      <c r="AL1181" s="4">
        <v>15</v>
      </c>
      <c r="AM1181" s="4">
        <v>15</v>
      </c>
      <c r="AN1181" s="4">
        <v>0</v>
      </c>
      <c r="AO1181" s="4">
        <v>0</v>
      </c>
      <c r="AP1181" s="4">
        <v>22</v>
      </c>
      <c r="AQ1181" s="4">
        <v>22</v>
      </c>
      <c r="AR1181" s="3" t="s">
        <v>73</v>
      </c>
      <c r="AS1181" s="3" t="s">
        <v>64</v>
      </c>
      <c r="AT1181" s="3" t="s">
        <v>73</v>
      </c>
      <c r="AU1181" s="6" t="str">
        <f>HYPERLINK("http://catalog.hathitrust.org/Record/000116437","HathiTrust Record")</f>
        <v>HathiTrust Record</v>
      </c>
      <c r="AV1181" s="6" t="str">
        <f>HYPERLINK("http://mcgill.on.worldcat.org/oclc/3226041","Catalog Record")</f>
        <v>Catalog Record</v>
      </c>
      <c r="AW1181" s="6" t="str">
        <f>HYPERLINK("http://www.worldcat.org/oclc/3226041","WorldCat Record")</f>
        <v>WorldCat Record</v>
      </c>
      <c r="AX1181" s="3" t="s">
        <v>12185</v>
      </c>
      <c r="AY1181" s="3" t="s">
        <v>12186</v>
      </c>
      <c r="AZ1181" s="3" t="s">
        <v>12187</v>
      </c>
      <c r="BA1181" s="3" t="s">
        <v>12187</v>
      </c>
      <c r="BB1181" s="3" t="s">
        <v>12191</v>
      </c>
      <c r="BC1181" s="3" t="s">
        <v>78</v>
      </c>
      <c r="BD1181" s="3" t="s">
        <v>79</v>
      </c>
      <c r="BE1181" s="3" t="s">
        <v>12189</v>
      </c>
      <c r="BF1181" s="3" t="s">
        <v>12191</v>
      </c>
      <c r="BG1181" s="3" t="s">
        <v>12192</v>
      </c>
    </row>
    <row r="1182" spans="1:59" ht="58" x14ac:dyDescent="0.35">
      <c r="A1182" s="2" t="s">
        <v>59</v>
      </c>
      <c r="B1182" s="2" t="s">
        <v>94</v>
      </c>
      <c r="C1182" s="2" t="s">
        <v>12193</v>
      </c>
      <c r="D1182" s="2" t="s">
        <v>12194</v>
      </c>
      <c r="E1182" s="2" t="s">
        <v>12195</v>
      </c>
      <c r="G1182" s="3" t="s">
        <v>64</v>
      </c>
      <c r="I1182" s="3" t="s">
        <v>64</v>
      </c>
      <c r="J1182" s="3" t="s">
        <v>64</v>
      </c>
      <c r="K1182" s="3" t="s">
        <v>65</v>
      </c>
      <c r="L1182" s="2" t="s">
        <v>12196</v>
      </c>
      <c r="M1182" s="2" t="s">
        <v>12197</v>
      </c>
      <c r="N1182" s="3" t="s">
        <v>328</v>
      </c>
      <c r="P1182" s="3" t="s">
        <v>69</v>
      </c>
      <c r="R1182" s="3" t="s">
        <v>9228</v>
      </c>
      <c r="S1182" s="4">
        <v>1</v>
      </c>
      <c r="T1182" s="4">
        <v>1</v>
      </c>
      <c r="U1182" s="5" t="s">
        <v>9441</v>
      </c>
      <c r="V1182" s="5" t="s">
        <v>9441</v>
      </c>
      <c r="W1182" s="5" t="s">
        <v>72</v>
      </c>
      <c r="X1182" s="5" t="s">
        <v>72</v>
      </c>
      <c r="Y1182" s="4">
        <v>64</v>
      </c>
      <c r="Z1182" s="4">
        <v>42</v>
      </c>
      <c r="AA1182" s="4">
        <v>56</v>
      </c>
      <c r="AB1182" s="4">
        <v>5</v>
      </c>
      <c r="AC1182" s="4">
        <v>8</v>
      </c>
      <c r="AD1182" s="4">
        <v>29</v>
      </c>
      <c r="AE1182" s="4">
        <v>34</v>
      </c>
      <c r="AF1182" s="4">
        <v>1</v>
      </c>
      <c r="AG1182" s="4">
        <v>2</v>
      </c>
      <c r="AH1182" s="4">
        <v>17</v>
      </c>
      <c r="AI1182" s="4">
        <v>17</v>
      </c>
      <c r="AJ1182" s="4">
        <v>18</v>
      </c>
      <c r="AK1182" s="4">
        <v>18</v>
      </c>
      <c r="AL1182" s="4">
        <v>8</v>
      </c>
      <c r="AM1182" s="4">
        <v>8</v>
      </c>
      <c r="AN1182" s="4">
        <v>0</v>
      </c>
      <c r="AO1182" s="4">
        <v>0</v>
      </c>
      <c r="AP1182" s="4">
        <v>17</v>
      </c>
      <c r="AQ1182" s="4">
        <v>22</v>
      </c>
      <c r="AR1182" s="3" t="s">
        <v>73</v>
      </c>
      <c r="AS1182" s="3" t="s">
        <v>64</v>
      </c>
      <c r="AT1182" s="3" t="s">
        <v>64</v>
      </c>
      <c r="AV1182" s="6" t="str">
        <f>HYPERLINK("http://mcgill.on.worldcat.org/oclc/681501264","Catalog Record")</f>
        <v>Catalog Record</v>
      </c>
      <c r="AW1182" s="6" t="str">
        <f>HYPERLINK("http://www.worldcat.org/oclc/681501264","WorldCat Record")</f>
        <v>WorldCat Record</v>
      </c>
      <c r="AX1182" s="3" t="s">
        <v>12198</v>
      </c>
      <c r="AY1182" s="3" t="s">
        <v>12199</v>
      </c>
      <c r="AZ1182" s="3" t="s">
        <v>12200</v>
      </c>
      <c r="BA1182" s="3" t="s">
        <v>12200</v>
      </c>
      <c r="BB1182" s="3" t="s">
        <v>12201</v>
      </c>
      <c r="BC1182" s="3" t="s">
        <v>78</v>
      </c>
      <c r="BD1182" s="3" t="s">
        <v>79</v>
      </c>
      <c r="BE1182" s="3" t="s">
        <v>12202</v>
      </c>
      <c r="BF1182" s="3" t="s">
        <v>12201</v>
      </c>
      <c r="BG1182" s="3" t="s">
        <v>12203</v>
      </c>
    </row>
    <row r="1183" spans="1:59" ht="116" x14ac:dyDescent="0.35">
      <c r="A1183" s="2" t="s">
        <v>59</v>
      </c>
      <c r="B1183" s="2" t="s">
        <v>94</v>
      </c>
      <c r="C1183" s="2" t="s">
        <v>12204</v>
      </c>
      <c r="D1183" s="2" t="s">
        <v>12205</v>
      </c>
      <c r="E1183" s="2" t="s">
        <v>12206</v>
      </c>
      <c r="G1183" s="3" t="s">
        <v>64</v>
      </c>
      <c r="I1183" s="3" t="s">
        <v>64</v>
      </c>
      <c r="J1183" s="3" t="s">
        <v>64</v>
      </c>
      <c r="K1183" s="3" t="s">
        <v>65</v>
      </c>
      <c r="L1183" s="2" t="s">
        <v>12207</v>
      </c>
      <c r="M1183" s="2" t="s">
        <v>12208</v>
      </c>
      <c r="N1183" s="3" t="s">
        <v>377</v>
      </c>
      <c r="P1183" s="3" t="s">
        <v>69</v>
      </c>
      <c r="R1183" s="3" t="s">
        <v>9228</v>
      </c>
      <c r="S1183" s="4">
        <v>0</v>
      </c>
      <c r="T1183" s="4">
        <v>0</v>
      </c>
      <c r="W1183" s="5" t="s">
        <v>72</v>
      </c>
      <c r="X1183" s="5" t="s">
        <v>72</v>
      </c>
      <c r="Y1183" s="4">
        <v>14</v>
      </c>
      <c r="Z1183" s="4">
        <v>9</v>
      </c>
      <c r="AA1183" s="4">
        <v>9</v>
      </c>
      <c r="AB1183" s="4">
        <v>1</v>
      </c>
      <c r="AC1183" s="4">
        <v>1</v>
      </c>
      <c r="AD1183" s="4">
        <v>8</v>
      </c>
      <c r="AE1183" s="4">
        <v>8</v>
      </c>
      <c r="AF1183" s="4">
        <v>0</v>
      </c>
      <c r="AG1183" s="4">
        <v>0</v>
      </c>
      <c r="AH1183" s="4">
        <v>6</v>
      </c>
      <c r="AI1183" s="4">
        <v>6</v>
      </c>
      <c r="AJ1183" s="4">
        <v>5</v>
      </c>
      <c r="AK1183" s="4">
        <v>5</v>
      </c>
      <c r="AL1183" s="4">
        <v>2</v>
      </c>
      <c r="AM1183" s="4">
        <v>2</v>
      </c>
      <c r="AN1183" s="4">
        <v>0</v>
      </c>
      <c r="AO1183" s="4">
        <v>0</v>
      </c>
      <c r="AP1183" s="4">
        <v>5</v>
      </c>
      <c r="AQ1183" s="4">
        <v>5</v>
      </c>
      <c r="AR1183" s="3" t="s">
        <v>73</v>
      </c>
      <c r="AS1183" s="3" t="s">
        <v>64</v>
      </c>
      <c r="AT1183" s="3" t="s">
        <v>64</v>
      </c>
      <c r="AV1183" s="6" t="str">
        <f>HYPERLINK("http://mcgill.on.worldcat.org/oclc/819846476","Catalog Record")</f>
        <v>Catalog Record</v>
      </c>
      <c r="AW1183" s="6" t="str">
        <f>HYPERLINK("http://www.worldcat.org/oclc/819846476","WorldCat Record")</f>
        <v>WorldCat Record</v>
      </c>
      <c r="AX1183" s="3" t="s">
        <v>12209</v>
      </c>
      <c r="AY1183" s="3" t="s">
        <v>12210</v>
      </c>
      <c r="AZ1183" s="3" t="s">
        <v>12211</v>
      </c>
      <c r="BA1183" s="3" t="s">
        <v>12211</v>
      </c>
      <c r="BB1183" s="3" t="s">
        <v>12212</v>
      </c>
      <c r="BC1183" s="3" t="s">
        <v>78</v>
      </c>
      <c r="BD1183" s="3" t="s">
        <v>79</v>
      </c>
      <c r="BE1183" s="3" t="s">
        <v>12213</v>
      </c>
      <c r="BF1183" s="3" t="s">
        <v>12212</v>
      </c>
      <c r="BG1183" s="3" t="s">
        <v>12214</v>
      </c>
    </row>
    <row r="1184" spans="1:59" ht="58" x14ac:dyDescent="0.35">
      <c r="A1184" s="2" t="s">
        <v>59</v>
      </c>
      <c r="B1184" s="2" t="s">
        <v>94</v>
      </c>
      <c r="C1184" s="2" t="s">
        <v>12215</v>
      </c>
      <c r="D1184" s="2" t="s">
        <v>12216</v>
      </c>
      <c r="E1184" s="2" t="s">
        <v>12217</v>
      </c>
      <c r="G1184" s="3" t="s">
        <v>64</v>
      </c>
      <c r="I1184" s="3" t="s">
        <v>64</v>
      </c>
      <c r="J1184" s="3" t="s">
        <v>64</v>
      </c>
      <c r="K1184" s="3" t="s">
        <v>65</v>
      </c>
      <c r="L1184" s="2" t="s">
        <v>12218</v>
      </c>
      <c r="M1184" s="2" t="s">
        <v>12219</v>
      </c>
      <c r="N1184" s="3" t="s">
        <v>449</v>
      </c>
      <c r="P1184" s="3" t="s">
        <v>69</v>
      </c>
      <c r="R1184" s="3" t="s">
        <v>9228</v>
      </c>
      <c r="S1184" s="4">
        <v>2</v>
      </c>
      <c r="T1184" s="4">
        <v>2</v>
      </c>
      <c r="U1184" s="5" t="s">
        <v>12002</v>
      </c>
      <c r="V1184" s="5" t="s">
        <v>12002</v>
      </c>
      <c r="W1184" s="5" t="s">
        <v>72</v>
      </c>
      <c r="X1184" s="5" t="s">
        <v>72</v>
      </c>
      <c r="Y1184" s="4">
        <v>47</v>
      </c>
      <c r="Z1184" s="4">
        <v>32</v>
      </c>
      <c r="AA1184" s="4">
        <v>32</v>
      </c>
      <c r="AB1184" s="4">
        <v>3</v>
      </c>
      <c r="AC1184" s="4">
        <v>3</v>
      </c>
      <c r="AD1184" s="4">
        <v>17</v>
      </c>
      <c r="AE1184" s="4">
        <v>17</v>
      </c>
      <c r="AF1184" s="4">
        <v>0</v>
      </c>
      <c r="AG1184" s="4">
        <v>0</v>
      </c>
      <c r="AH1184" s="4">
        <v>11</v>
      </c>
      <c r="AI1184" s="4">
        <v>11</v>
      </c>
      <c r="AJ1184" s="4">
        <v>9</v>
      </c>
      <c r="AK1184" s="4">
        <v>9</v>
      </c>
      <c r="AL1184" s="4">
        <v>3</v>
      </c>
      <c r="AM1184" s="4">
        <v>3</v>
      </c>
      <c r="AN1184" s="4">
        <v>0</v>
      </c>
      <c r="AO1184" s="4">
        <v>0</v>
      </c>
      <c r="AP1184" s="4">
        <v>10</v>
      </c>
      <c r="AQ1184" s="4">
        <v>10</v>
      </c>
      <c r="AR1184" s="3" t="s">
        <v>73</v>
      </c>
      <c r="AS1184" s="3" t="s">
        <v>64</v>
      </c>
      <c r="AT1184" s="3" t="s">
        <v>64</v>
      </c>
      <c r="AV1184" s="6" t="str">
        <f>HYPERLINK("http://mcgill.on.worldcat.org/oclc/232131201","Catalog Record")</f>
        <v>Catalog Record</v>
      </c>
      <c r="AW1184" s="6" t="str">
        <f>HYPERLINK("http://www.worldcat.org/oclc/232131201","WorldCat Record")</f>
        <v>WorldCat Record</v>
      </c>
      <c r="AX1184" s="3" t="s">
        <v>12220</v>
      </c>
      <c r="AY1184" s="3" t="s">
        <v>12221</v>
      </c>
      <c r="AZ1184" s="3" t="s">
        <v>12222</v>
      </c>
      <c r="BA1184" s="3" t="s">
        <v>12222</v>
      </c>
      <c r="BB1184" s="3" t="s">
        <v>12223</v>
      </c>
      <c r="BC1184" s="3" t="s">
        <v>78</v>
      </c>
      <c r="BD1184" s="3" t="s">
        <v>79</v>
      </c>
      <c r="BE1184" s="3" t="s">
        <v>12224</v>
      </c>
      <c r="BF1184" s="3" t="s">
        <v>12223</v>
      </c>
      <c r="BG1184" s="3" t="s">
        <v>12225</v>
      </c>
    </row>
    <row r="1185" spans="1:59" ht="58" x14ac:dyDescent="0.35">
      <c r="A1185" s="2" t="s">
        <v>59</v>
      </c>
      <c r="B1185" s="2" t="s">
        <v>94</v>
      </c>
      <c r="C1185" s="2" t="s">
        <v>12226</v>
      </c>
      <c r="D1185" s="2" t="s">
        <v>12227</v>
      </c>
      <c r="E1185" s="2" t="s">
        <v>12228</v>
      </c>
      <c r="G1185" s="3" t="s">
        <v>64</v>
      </c>
      <c r="I1185" s="3" t="s">
        <v>64</v>
      </c>
      <c r="J1185" s="3" t="s">
        <v>64</v>
      </c>
      <c r="K1185" s="3" t="s">
        <v>65</v>
      </c>
      <c r="L1185" s="2" t="s">
        <v>12229</v>
      </c>
      <c r="M1185" s="2" t="s">
        <v>12230</v>
      </c>
      <c r="N1185" s="3" t="s">
        <v>5739</v>
      </c>
      <c r="P1185" s="3" t="s">
        <v>69</v>
      </c>
      <c r="R1185" s="3" t="s">
        <v>9228</v>
      </c>
      <c r="S1185" s="4">
        <v>5</v>
      </c>
      <c r="T1185" s="4">
        <v>5</v>
      </c>
      <c r="U1185" s="5" t="s">
        <v>4146</v>
      </c>
      <c r="V1185" s="5" t="s">
        <v>4146</v>
      </c>
      <c r="W1185" s="5" t="s">
        <v>72</v>
      </c>
      <c r="X1185" s="5" t="s">
        <v>72</v>
      </c>
      <c r="Y1185" s="4">
        <v>10</v>
      </c>
      <c r="Z1185" s="4">
        <v>9</v>
      </c>
      <c r="AA1185" s="4">
        <v>11</v>
      </c>
      <c r="AB1185" s="4">
        <v>3</v>
      </c>
      <c r="AC1185" s="4">
        <v>3</v>
      </c>
      <c r="AD1185" s="4">
        <v>3</v>
      </c>
      <c r="AE1185" s="4">
        <v>5</v>
      </c>
      <c r="AF1185" s="4">
        <v>1</v>
      </c>
      <c r="AG1185" s="4">
        <v>1</v>
      </c>
      <c r="AH1185" s="4">
        <v>2</v>
      </c>
      <c r="AI1185" s="4">
        <v>2</v>
      </c>
      <c r="AJ1185" s="4">
        <v>2</v>
      </c>
      <c r="AK1185" s="4">
        <v>4</v>
      </c>
      <c r="AL1185" s="4">
        <v>1</v>
      </c>
      <c r="AM1185" s="4">
        <v>1</v>
      </c>
      <c r="AN1185" s="4">
        <v>0</v>
      </c>
      <c r="AO1185" s="4">
        <v>0</v>
      </c>
      <c r="AP1185" s="4">
        <v>3</v>
      </c>
      <c r="AQ1185" s="4">
        <v>3</v>
      </c>
      <c r="AR1185" s="3" t="s">
        <v>73</v>
      </c>
      <c r="AS1185" s="3" t="s">
        <v>64</v>
      </c>
      <c r="AT1185" s="3" t="s">
        <v>64</v>
      </c>
      <c r="AV1185" s="6" t="str">
        <f>HYPERLINK("http://mcgill.on.worldcat.org/oclc/41779977","Catalog Record")</f>
        <v>Catalog Record</v>
      </c>
      <c r="AW1185" s="6" t="str">
        <f>HYPERLINK("http://www.worldcat.org/oclc/41779977","WorldCat Record")</f>
        <v>WorldCat Record</v>
      </c>
      <c r="AX1185" s="3" t="s">
        <v>12231</v>
      </c>
      <c r="AY1185" s="3" t="s">
        <v>12232</v>
      </c>
      <c r="AZ1185" s="3" t="s">
        <v>12233</v>
      </c>
      <c r="BA1185" s="3" t="s">
        <v>12233</v>
      </c>
      <c r="BB1185" s="3" t="s">
        <v>12234</v>
      </c>
      <c r="BC1185" s="3" t="s">
        <v>78</v>
      </c>
      <c r="BD1185" s="3" t="s">
        <v>79</v>
      </c>
      <c r="BF1185" s="3" t="s">
        <v>12234</v>
      </c>
      <c r="BG1185" s="3" t="s">
        <v>12235</v>
      </c>
    </row>
    <row r="1186" spans="1:59" ht="58" x14ac:dyDescent="0.35">
      <c r="A1186" s="2" t="s">
        <v>59</v>
      </c>
      <c r="B1186" s="2" t="s">
        <v>94</v>
      </c>
      <c r="C1186" s="2" t="s">
        <v>12236</v>
      </c>
      <c r="D1186" s="2" t="s">
        <v>12237</v>
      </c>
      <c r="E1186" s="2" t="s">
        <v>12238</v>
      </c>
      <c r="G1186" s="3" t="s">
        <v>64</v>
      </c>
      <c r="I1186" s="3" t="s">
        <v>64</v>
      </c>
      <c r="J1186" s="3" t="s">
        <v>64</v>
      </c>
      <c r="K1186" s="3" t="s">
        <v>65</v>
      </c>
      <c r="L1186" s="2" t="s">
        <v>12239</v>
      </c>
      <c r="M1186" s="2" t="s">
        <v>12240</v>
      </c>
      <c r="N1186" s="3" t="s">
        <v>328</v>
      </c>
      <c r="P1186" s="3" t="s">
        <v>162</v>
      </c>
      <c r="R1186" s="3" t="s">
        <v>9228</v>
      </c>
      <c r="S1186" s="4">
        <v>0</v>
      </c>
      <c r="T1186" s="4">
        <v>0</v>
      </c>
      <c r="W1186" s="5" t="s">
        <v>72</v>
      </c>
      <c r="X1186" s="5" t="s">
        <v>72</v>
      </c>
      <c r="Y1186" s="4">
        <v>1</v>
      </c>
      <c r="Z1186" s="4">
        <v>1</v>
      </c>
      <c r="AA1186" s="4">
        <v>8</v>
      </c>
      <c r="AB1186" s="4">
        <v>1</v>
      </c>
      <c r="AC1186" s="4">
        <v>7</v>
      </c>
      <c r="AD1186" s="4">
        <v>0</v>
      </c>
      <c r="AE1186" s="4">
        <v>5</v>
      </c>
      <c r="AF1186" s="4">
        <v>0</v>
      </c>
      <c r="AG1186" s="4">
        <v>4</v>
      </c>
      <c r="AH1186" s="4">
        <v>0</v>
      </c>
      <c r="AI1186" s="4">
        <v>1</v>
      </c>
      <c r="AJ1186" s="4">
        <v>0</v>
      </c>
      <c r="AK1186" s="4">
        <v>4</v>
      </c>
      <c r="AL1186" s="4">
        <v>0</v>
      </c>
      <c r="AM1186" s="4">
        <v>0</v>
      </c>
      <c r="AN1186" s="4">
        <v>0</v>
      </c>
      <c r="AO1186" s="4">
        <v>0</v>
      </c>
      <c r="AP1186" s="4">
        <v>0</v>
      </c>
      <c r="AQ1186" s="4">
        <v>3</v>
      </c>
      <c r="AR1186" s="3" t="s">
        <v>73</v>
      </c>
      <c r="AS1186" s="3" t="s">
        <v>64</v>
      </c>
      <c r="AT1186" s="3" t="s">
        <v>64</v>
      </c>
      <c r="AV1186" s="6" t="str">
        <f>HYPERLINK("http://mcgill.on.worldcat.org/oclc/877972732","Catalog Record")</f>
        <v>Catalog Record</v>
      </c>
      <c r="AW1186" s="6" t="str">
        <f>HYPERLINK("http://www.worldcat.org/oclc/877972732","WorldCat Record")</f>
        <v>WorldCat Record</v>
      </c>
      <c r="AX1186" s="3" t="s">
        <v>12241</v>
      </c>
      <c r="AY1186" s="3" t="s">
        <v>12242</v>
      </c>
      <c r="AZ1186" s="3" t="s">
        <v>12243</v>
      </c>
      <c r="BA1186" s="3" t="s">
        <v>12243</v>
      </c>
      <c r="BB1186" s="3" t="s">
        <v>12244</v>
      </c>
      <c r="BC1186" s="3" t="s">
        <v>78</v>
      </c>
      <c r="BD1186" s="3" t="s">
        <v>79</v>
      </c>
      <c r="BE1186" s="3" t="s">
        <v>12245</v>
      </c>
      <c r="BF1186" s="3" t="s">
        <v>12244</v>
      </c>
      <c r="BG1186" s="3" t="s">
        <v>12246</v>
      </c>
    </row>
    <row r="1187" spans="1:59" ht="58" x14ac:dyDescent="0.35">
      <c r="A1187" s="2" t="s">
        <v>59</v>
      </c>
      <c r="B1187" s="2" t="s">
        <v>94</v>
      </c>
      <c r="C1187" s="2" t="s">
        <v>12247</v>
      </c>
      <c r="D1187" s="2" t="s">
        <v>12248</v>
      </c>
      <c r="E1187" s="2" t="s">
        <v>12249</v>
      </c>
      <c r="G1187" s="3" t="s">
        <v>73</v>
      </c>
      <c r="I1187" s="3" t="s">
        <v>64</v>
      </c>
      <c r="J1187" s="3" t="s">
        <v>64</v>
      </c>
      <c r="K1187" s="3" t="s">
        <v>65</v>
      </c>
      <c r="M1187" s="2" t="s">
        <v>12250</v>
      </c>
      <c r="N1187" s="3" t="s">
        <v>12251</v>
      </c>
      <c r="P1187" s="3" t="s">
        <v>69</v>
      </c>
      <c r="R1187" s="3" t="s">
        <v>9228</v>
      </c>
      <c r="S1187" s="4">
        <v>2</v>
      </c>
      <c r="T1187" s="4">
        <v>2</v>
      </c>
      <c r="U1187" s="5" t="s">
        <v>11643</v>
      </c>
      <c r="V1187" s="5" t="s">
        <v>11643</v>
      </c>
      <c r="W1187" s="5" t="s">
        <v>72</v>
      </c>
      <c r="X1187" s="5" t="s">
        <v>72</v>
      </c>
      <c r="Y1187" s="4">
        <v>8</v>
      </c>
      <c r="Z1187" s="4">
        <v>7</v>
      </c>
      <c r="AA1187" s="4">
        <v>39</v>
      </c>
      <c r="AB1187" s="4">
        <v>1</v>
      </c>
      <c r="AC1187" s="4">
        <v>1</v>
      </c>
      <c r="AD1187" s="4">
        <v>4</v>
      </c>
      <c r="AE1187" s="4">
        <v>32</v>
      </c>
      <c r="AF1187" s="4">
        <v>0</v>
      </c>
      <c r="AG1187" s="4">
        <v>0</v>
      </c>
      <c r="AH1187" s="4">
        <v>3</v>
      </c>
      <c r="AI1187" s="4">
        <v>17</v>
      </c>
      <c r="AJ1187" s="4">
        <v>3</v>
      </c>
      <c r="AK1187" s="4">
        <v>16</v>
      </c>
      <c r="AL1187" s="4">
        <v>2</v>
      </c>
      <c r="AM1187" s="4">
        <v>8</v>
      </c>
      <c r="AN1187" s="4">
        <v>0</v>
      </c>
      <c r="AO1187" s="4">
        <v>0</v>
      </c>
      <c r="AP1187" s="4">
        <v>3</v>
      </c>
      <c r="AQ1187" s="4">
        <v>22</v>
      </c>
      <c r="AR1187" s="3" t="s">
        <v>73</v>
      </c>
      <c r="AS1187" s="3" t="s">
        <v>64</v>
      </c>
      <c r="AT1187" s="3" t="s">
        <v>73</v>
      </c>
      <c r="AU1187" s="6" t="str">
        <f>HYPERLINK("http://catalog.hathitrust.org/Record/001588880","HathiTrust Record")</f>
        <v>HathiTrust Record</v>
      </c>
      <c r="AV1187" s="6" t="str">
        <f>HYPERLINK("http://mcgill.on.worldcat.org/oclc/61587367","Catalog Record")</f>
        <v>Catalog Record</v>
      </c>
      <c r="AW1187" s="6" t="str">
        <f>HYPERLINK("http://www.worldcat.org/oclc/61587367","WorldCat Record")</f>
        <v>WorldCat Record</v>
      </c>
      <c r="AX1187" s="3" t="s">
        <v>12252</v>
      </c>
      <c r="AY1187" s="3" t="s">
        <v>12253</v>
      </c>
      <c r="AZ1187" s="3" t="s">
        <v>12254</v>
      </c>
      <c r="BA1187" s="3" t="s">
        <v>12254</v>
      </c>
      <c r="BB1187" s="3" t="s">
        <v>12255</v>
      </c>
      <c r="BC1187" s="3" t="s">
        <v>78</v>
      </c>
      <c r="BD1187" s="3" t="s">
        <v>79</v>
      </c>
      <c r="BF1187" s="3" t="s">
        <v>12255</v>
      </c>
      <c r="BG1187" s="3" t="s">
        <v>12256</v>
      </c>
    </row>
    <row r="1188" spans="1:59" ht="58" x14ac:dyDescent="0.35">
      <c r="A1188" s="2" t="s">
        <v>59</v>
      </c>
      <c r="B1188" s="2" t="s">
        <v>94</v>
      </c>
      <c r="C1188" s="2" t="s">
        <v>12257</v>
      </c>
      <c r="D1188" s="2" t="s">
        <v>12258</v>
      </c>
      <c r="E1188" s="2" t="s">
        <v>12259</v>
      </c>
      <c r="G1188" s="3" t="s">
        <v>64</v>
      </c>
      <c r="I1188" s="3" t="s">
        <v>64</v>
      </c>
      <c r="J1188" s="3" t="s">
        <v>64</v>
      </c>
      <c r="K1188" s="3" t="s">
        <v>65</v>
      </c>
      <c r="L1188" s="2" t="s">
        <v>12260</v>
      </c>
      <c r="M1188" s="2" t="s">
        <v>12261</v>
      </c>
      <c r="N1188" s="3" t="s">
        <v>214</v>
      </c>
      <c r="P1188" s="3" t="s">
        <v>69</v>
      </c>
      <c r="R1188" s="3" t="s">
        <v>9228</v>
      </c>
      <c r="S1188" s="4">
        <v>0</v>
      </c>
      <c r="T1188" s="4">
        <v>0</v>
      </c>
      <c r="W1188" s="5" t="s">
        <v>72</v>
      </c>
      <c r="X1188" s="5" t="s">
        <v>72</v>
      </c>
      <c r="Y1188" s="4">
        <v>26</v>
      </c>
      <c r="Z1188" s="4">
        <v>17</v>
      </c>
      <c r="AA1188" s="4">
        <v>19</v>
      </c>
      <c r="AB1188" s="4">
        <v>1</v>
      </c>
      <c r="AC1188" s="4">
        <v>2</v>
      </c>
      <c r="AD1188" s="4">
        <v>14</v>
      </c>
      <c r="AE1188" s="4">
        <v>14</v>
      </c>
      <c r="AF1188" s="4">
        <v>0</v>
      </c>
      <c r="AG1188" s="4">
        <v>0</v>
      </c>
      <c r="AH1188" s="4">
        <v>10</v>
      </c>
      <c r="AI1188" s="4">
        <v>10</v>
      </c>
      <c r="AJ1188" s="4">
        <v>10</v>
      </c>
      <c r="AK1188" s="4">
        <v>10</v>
      </c>
      <c r="AL1188" s="4">
        <v>4</v>
      </c>
      <c r="AM1188" s="4">
        <v>4</v>
      </c>
      <c r="AN1188" s="4">
        <v>0</v>
      </c>
      <c r="AO1188" s="4">
        <v>0</v>
      </c>
      <c r="AP1188" s="4">
        <v>9</v>
      </c>
      <c r="AQ1188" s="4">
        <v>9</v>
      </c>
      <c r="AR1188" s="3" t="s">
        <v>73</v>
      </c>
      <c r="AS1188" s="3" t="s">
        <v>64</v>
      </c>
      <c r="AT1188" s="3" t="s">
        <v>64</v>
      </c>
      <c r="AV1188" s="6" t="str">
        <f>HYPERLINK("http://mcgill.on.worldcat.org/oclc/468102783","Catalog Record")</f>
        <v>Catalog Record</v>
      </c>
      <c r="AW1188" s="6" t="str">
        <f>HYPERLINK("http://www.worldcat.org/oclc/468102783","WorldCat Record")</f>
        <v>WorldCat Record</v>
      </c>
      <c r="AX1188" s="3" t="s">
        <v>12262</v>
      </c>
      <c r="AY1188" s="3" t="s">
        <v>12263</v>
      </c>
      <c r="AZ1188" s="3" t="s">
        <v>12264</v>
      </c>
      <c r="BA1188" s="3" t="s">
        <v>12264</v>
      </c>
      <c r="BB1188" s="3" t="s">
        <v>12265</v>
      </c>
      <c r="BC1188" s="3" t="s">
        <v>78</v>
      </c>
      <c r="BD1188" s="3" t="s">
        <v>79</v>
      </c>
      <c r="BE1188" s="3" t="s">
        <v>12266</v>
      </c>
      <c r="BF1188" s="3" t="s">
        <v>12265</v>
      </c>
      <c r="BG1188" s="3" t="s">
        <v>12267</v>
      </c>
    </row>
    <row r="1189" spans="1:59" ht="58" x14ac:dyDescent="0.35">
      <c r="A1189" s="2" t="s">
        <v>59</v>
      </c>
      <c r="B1189" s="2" t="s">
        <v>94</v>
      </c>
      <c r="C1189" s="2" t="s">
        <v>12268</v>
      </c>
      <c r="D1189" s="2" t="s">
        <v>12269</v>
      </c>
      <c r="E1189" s="2" t="s">
        <v>12270</v>
      </c>
      <c r="G1189" s="3" t="s">
        <v>64</v>
      </c>
      <c r="I1189" s="3" t="s">
        <v>64</v>
      </c>
      <c r="J1189" s="3" t="s">
        <v>64</v>
      </c>
      <c r="K1189" s="3" t="s">
        <v>65</v>
      </c>
      <c r="L1189" s="2" t="s">
        <v>12271</v>
      </c>
      <c r="M1189" s="2" t="s">
        <v>12272</v>
      </c>
      <c r="N1189" s="3" t="s">
        <v>68</v>
      </c>
      <c r="P1189" s="3" t="s">
        <v>69</v>
      </c>
      <c r="Q1189" s="2" t="s">
        <v>12273</v>
      </c>
      <c r="R1189" s="3" t="s">
        <v>9228</v>
      </c>
      <c r="S1189" s="4">
        <v>1</v>
      </c>
      <c r="T1189" s="4">
        <v>1</v>
      </c>
      <c r="U1189" s="5" t="s">
        <v>12002</v>
      </c>
      <c r="V1189" s="5" t="s">
        <v>12002</v>
      </c>
      <c r="W1189" s="5" t="s">
        <v>72</v>
      </c>
      <c r="X1189" s="5" t="s">
        <v>72</v>
      </c>
      <c r="Y1189" s="4">
        <v>5</v>
      </c>
      <c r="Z1189" s="4">
        <v>5</v>
      </c>
      <c r="AA1189" s="4">
        <v>5</v>
      </c>
      <c r="AB1189" s="4">
        <v>1</v>
      </c>
      <c r="AC1189" s="4">
        <v>1</v>
      </c>
      <c r="AD1189" s="4">
        <v>2</v>
      </c>
      <c r="AE1189" s="4">
        <v>2</v>
      </c>
      <c r="AF1189" s="4">
        <v>0</v>
      </c>
      <c r="AG1189" s="4">
        <v>0</v>
      </c>
      <c r="AH1189" s="4">
        <v>1</v>
      </c>
      <c r="AI1189" s="4">
        <v>1</v>
      </c>
      <c r="AJ1189" s="4">
        <v>2</v>
      </c>
      <c r="AK1189" s="4">
        <v>2</v>
      </c>
      <c r="AL1189" s="4">
        <v>1</v>
      </c>
      <c r="AM1189" s="4">
        <v>1</v>
      </c>
      <c r="AN1189" s="4">
        <v>0</v>
      </c>
      <c r="AO1189" s="4">
        <v>0</v>
      </c>
      <c r="AP1189" s="4">
        <v>1</v>
      </c>
      <c r="AQ1189" s="4">
        <v>1</v>
      </c>
      <c r="AR1189" s="3" t="s">
        <v>73</v>
      </c>
      <c r="AS1189" s="3" t="s">
        <v>64</v>
      </c>
      <c r="AT1189" s="3" t="s">
        <v>64</v>
      </c>
      <c r="AV1189" s="6" t="str">
        <f>HYPERLINK("http://mcgill.on.worldcat.org/oclc/506121988","Catalog Record")</f>
        <v>Catalog Record</v>
      </c>
      <c r="AW1189" s="6" t="str">
        <f>HYPERLINK("http://www.worldcat.org/oclc/506121988","WorldCat Record")</f>
        <v>WorldCat Record</v>
      </c>
      <c r="AX1189" s="3" t="s">
        <v>12274</v>
      </c>
      <c r="AY1189" s="3" t="s">
        <v>12275</v>
      </c>
      <c r="AZ1189" s="3" t="s">
        <v>12276</v>
      </c>
      <c r="BA1189" s="3" t="s">
        <v>12276</v>
      </c>
      <c r="BB1189" s="3" t="s">
        <v>12277</v>
      </c>
      <c r="BC1189" s="3" t="s">
        <v>78</v>
      </c>
      <c r="BD1189" s="3" t="s">
        <v>79</v>
      </c>
      <c r="BF1189" s="3" t="s">
        <v>12277</v>
      </c>
      <c r="BG1189" s="3" t="s">
        <v>12278</v>
      </c>
    </row>
    <row r="1190" spans="1:59" ht="58" x14ac:dyDescent="0.35">
      <c r="A1190" s="2" t="s">
        <v>59</v>
      </c>
      <c r="B1190" s="2" t="s">
        <v>94</v>
      </c>
      <c r="C1190" s="2" t="s">
        <v>12279</v>
      </c>
      <c r="D1190" s="2" t="s">
        <v>12280</v>
      </c>
      <c r="E1190" s="2" t="s">
        <v>12281</v>
      </c>
      <c r="G1190" s="3" t="s">
        <v>64</v>
      </c>
      <c r="I1190" s="3" t="s">
        <v>64</v>
      </c>
      <c r="J1190" s="3" t="s">
        <v>64</v>
      </c>
      <c r="K1190" s="3" t="s">
        <v>65</v>
      </c>
      <c r="L1190" s="2" t="s">
        <v>12271</v>
      </c>
      <c r="M1190" s="2" t="s">
        <v>12282</v>
      </c>
      <c r="N1190" s="3" t="s">
        <v>449</v>
      </c>
      <c r="P1190" s="3" t="s">
        <v>69</v>
      </c>
      <c r="Q1190" s="2" t="s">
        <v>12283</v>
      </c>
      <c r="R1190" s="3" t="s">
        <v>9228</v>
      </c>
      <c r="S1190" s="4">
        <v>2</v>
      </c>
      <c r="T1190" s="4">
        <v>2</v>
      </c>
      <c r="U1190" s="5" t="s">
        <v>12002</v>
      </c>
      <c r="V1190" s="5" t="s">
        <v>12002</v>
      </c>
      <c r="W1190" s="5" t="s">
        <v>72</v>
      </c>
      <c r="X1190" s="5" t="s">
        <v>72</v>
      </c>
      <c r="Y1190" s="4">
        <v>4</v>
      </c>
      <c r="Z1190" s="4">
        <v>4</v>
      </c>
      <c r="AA1190" s="4">
        <v>4</v>
      </c>
      <c r="AB1190" s="4">
        <v>2</v>
      </c>
      <c r="AC1190" s="4">
        <v>2</v>
      </c>
      <c r="AD1190" s="4">
        <v>1</v>
      </c>
      <c r="AE1190" s="4">
        <v>1</v>
      </c>
      <c r="AF1190" s="4">
        <v>0</v>
      </c>
      <c r="AG1190" s="4">
        <v>0</v>
      </c>
      <c r="AH1190" s="4">
        <v>0</v>
      </c>
      <c r="AI1190" s="4">
        <v>0</v>
      </c>
      <c r="AJ1190" s="4">
        <v>1</v>
      </c>
      <c r="AK1190" s="4">
        <v>1</v>
      </c>
      <c r="AL1190" s="4">
        <v>0</v>
      </c>
      <c r="AM1190" s="4">
        <v>0</v>
      </c>
      <c r="AN1190" s="4">
        <v>0</v>
      </c>
      <c r="AO1190" s="4">
        <v>0</v>
      </c>
      <c r="AP1190" s="4">
        <v>0</v>
      </c>
      <c r="AQ1190" s="4">
        <v>0</v>
      </c>
      <c r="AR1190" s="3" t="s">
        <v>73</v>
      </c>
      <c r="AS1190" s="3" t="s">
        <v>64</v>
      </c>
      <c r="AT1190" s="3" t="s">
        <v>64</v>
      </c>
      <c r="AV1190" s="6" t="str">
        <f>HYPERLINK("http://mcgill.on.worldcat.org/oclc/316162042","Catalog Record")</f>
        <v>Catalog Record</v>
      </c>
      <c r="AW1190" s="6" t="str">
        <f>HYPERLINK("http://www.worldcat.org/oclc/316162042","WorldCat Record")</f>
        <v>WorldCat Record</v>
      </c>
      <c r="AX1190" s="3" t="s">
        <v>12284</v>
      </c>
      <c r="AY1190" s="3" t="s">
        <v>12285</v>
      </c>
      <c r="AZ1190" s="3" t="s">
        <v>12286</v>
      </c>
      <c r="BA1190" s="3" t="s">
        <v>12286</v>
      </c>
      <c r="BB1190" s="3" t="s">
        <v>12287</v>
      </c>
      <c r="BC1190" s="3" t="s">
        <v>78</v>
      </c>
      <c r="BD1190" s="3" t="s">
        <v>79</v>
      </c>
      <c r="BE1190" s="3" t="s">
        <v>12288</v>
      </c>
      <c r="BF1190" s="3" t="s">
        <v>12287</v>
      </c>
      <c r="BG1190" s="3" t="s">
        <v>12289</v>
      </c>
    </row>
    <row r="1191" spans="1:59" ht="58" x14ac:dyDescent="0.35">
      <c r="A1191" s="2" t="s">
        <v>59</v>
      </c>
      <c r="B1191" s="2" t="s">
        <v>94</v>
      </c>
      <c r="C1191" s="2" t="s">
        <v>12290</v>
      </c>
      <c r="D1191" s="2" t="s">
        <v>12291</v>
      </c>
      <c r="E1191" s="2" t="s">
        <v>12292</v>
      </c>
      <c r="G1191" s="3" t="s">
        <v>64</v>
      </c>
      <c r="I1191" s="3" t="s">
        <v>64</v>
      </c>
      <c r="J1191" s="3" t="s">
        <v>64</v>
      </c>
      <c r="K1191" s="3" t="s">
        <v>65</v>
      </c>
      <c r="M1191" s="2" t="s">
        <v>12293</v>
      </c>
      <c r="N1191" s="3" t="s">
        <v>407</v>
      </c>
      <c r="P1191" s="3" t="s">
        <v>69</v>
      </c>
      <c r="Q1191" s="2" t="s">
        <v>12294</v>
      </c>
      <c r="R1191" s="3" t="s">
        <v>9228</v>
      </c>
      <c r="S1191" s="4">
        <v>22</v>
      </c>
      <c r="T1191" s="4">
        <v>22</v>
      </c>
      <c r="U1191" s="5" t="s">
        <v>5993</v>
      </c>
      <c r="V1191" s="5" t="s">
        <v>5993</v>
      </c>
      <c r="W1191" s="5" t="s">
        <v>72</v>
      </c>
      <c r="X1191" s="5" t="s">
        <v>72</v>
      </c>
      <c r="Y1191" s="4">
        <v>418</v>
      </c>
      <c r="Z1191" s="4">
        <v>19</v>
      </c>
      <c r="AA1191" s="4">
        <v>21</v>
      </c>
      <c r="AB1191" s="4">
        <v>3</v>
      </c>
      <c r="AC1191" s="4">
        <v>5</v>
      </c>
      <c r="AD1191" s="4">
        <v>110</v>
      </c>
      <c r="AE1191" s="4">
        <v>112</v>
      </c>
      <c r="AF1191" s="4">
        <v>1</v>
      </c>
      <c r="AG1191" s="4">
        <v>3</v>
      </c>
      <c r="AH1191" s="4">
        <v>102</v>
      </c>
      <c r="AI1191" s="4">
        <v>102</v>
      </c>
      <c r="AJ1191" s="4">
        <v>13</v>
      </c>
      <c r="AK1191" s="4">
        <v>15</v>
      </c>
      <c r="AL1191" s="4">
        <v>55</v>
      </c>
      <c r="AM1191" s="4">
        <v>55</v>
      </c>
      <c r="AN1191" s="4">
        <v>0</v>
      </c>
      <c r="AO1191" s="4">
        <v>0</v>
      </c>
      <c r="AP1191" s="4">
        <v>14</v>
      </c>
      <c r="AQ1191" s="4">
        <v>15</v>
      </c>
      <c r="AR1191" s="3" t="s">
        <v>64</v>
      </c>
      <c r="AS1191" s="3" t="s">
        <v>64</v>
      </c>
      <c r="AT1191" s="3" t="s">
        <v>73</v>
      </c>
      <c r="AU1191" s="6" t="str">
        <f>HYPERLINK("http://catalog.hathitrust.org/Record/000557654","HathiTrust Record")</f>
        <v>HathiTrust Record</v>
      </c>
      <c r="AV1191" s="6" t="str">
        <f>HYPERLINK("http://mcgill.on.worldcat.org/oclc/12943506","Catalog Record")</f>
        <v>Catalog Record</v>
      </c>
      <c r="AW1191" s="6" t="str">
        <f>HYPERLINK("http://www.worldcat.org/oclc/12943506","WorldCat Record")</f>
        <v>WorldCat Record</v>
      </c>
      <c r="AX1191" s="3" t="s">
        <v>12295</v>
      </c>
      <c r="AY1191" s="3" t="s">
        <v>12296</v>
      </c>
      <c r="AZ1191" s="3" t="s">
        <v>12297</v>
      </c>
      <c r="BA1191" s="3" t="s">
        <v>12297</v>
      </c>
      <c r="BB1191" s="3" t="s">
        <v>12298</v>
      </c>
      <c r="BC1191" s="3" t="s">
        <v>78</v>
      </c>
      <c r="BD1191" s="3" t="s">
        <v>79</v>
      </c>
      <c r="BE1191" s="3" t="s">
        <v>12299</v>
      </c>
      <c r="BF1191" s="3" t="s">
        <v>12298</v>
      </c>
      <c r="BG1191" s="3" t="s">
        <v>12300</v>
      </c>
    </row>
    <row r="1192" spans="1:59" ht="58" x14ac:dyDescent="0.35">
      <c r="A1192" s="2" t="s">
        <v>59</v>
      </c>
      <c r="B1192" s="2" t="s">
        <v>94</v>
      </c>
      <c r="C1192" s="2" t="s">
        <v>12301</v>
      </c>
      <c r="D1192" s="2" t="s">
        <v>12302</v>
      </c>
      <c r="E1192" s="2" t="s">
        <v>12303</v>
      </c>
      <c r="G1192" s="3" t="s">
        <v>64</v>
      </c>
      <c r="I1192" s="3" t="s">
        <v>73</v>
      </c>
      <c r="J1192" s="3" t="s">
        <v>64</v>
      </c>
      <c r="K1192" s="3" t="s">
        <v>65</v>
      </c>
      <c r="M1192" s="2" t="s">
        <v>12304</v>
      </c>
      <c r="N1192" s="3" t="s">
        <v>1167</v>
      </c>
      <c r="P1192" s="3" t="s">
        <v>69</v>
      </c>
      <c r="R1192" s="3" t="s">
        <v>9228</v>
      </c>
      <c r="S1192" s="4">
        <v>56</v>
      </c>
      <c r="T1192" s="4">
        <v>215</v>
      </c>
      <c r="U1192" s="5" t="s">
        <v>7903</v>
      </c>
      <c r="V1192" s="5" t="s">
        <v>12305</v>
      </c>
      <c r="W1192" s="5" t="s">
        <v>72</v>
      </c>
      <c r="X1192" s="5" t="s">
        <v>72</v>
      </c>
      <c r="Y1192" s="4">
        <v>540</v>
      </c>
      <c r="Z1192" s="4">
        <v>26</v>
      </c>
      <c r="AA1192" s="4">
        <v>26</v>
      </c>
      <c r="AB1192" s="4">
        <v>1</v>
      </c>
      <c r="AC1192" s="4">
        <v>1</v>
      </c>
      <c r="AD1192" s="4">
        <v>112</v>
      </c>
      <c r="AE1192" s="4">
        <v>112</v>
      </c>
      <c r="AF1192" s="4">
        <v>0</v>
      </c>
      <c r="AG1192" s="4">
        <v>0</v>
      </c>
      <c r="AH1192" s="4">
        <v>100</v>
      </c>
      <c r="AI1192" s="4">
        <v>100</v>
      </c>
      <c r="AJ1192" s="4">
        <v>14</v>
      </c>
      <c r="AK1192" s="4">
        <v>14</v>
      </c>
      <c r="AL1192" s="4">
        <v>53</v>
      </c>
      <c r="AM1192" s="4">
        <v>53</v>
      </c>
      <c r="AN1192" s="4">
        <v>0</v>
      </c>
      <c r="AO1192" s="4">
        <v>0</v>
      </c>
      <c r="AP1192" s="4">
        <v>19</v>
      </c>
      <c r="AQ1192" s="4">
        <v>19</v>
      </c>
      <c r="AR1192" s="3" t="s">
        <v>64</v>
      </c>
      <c r="AS1192" s="3" t="s">
        <v>64</v>
      </c>
      <c r="AT1192" s="3" t="s">
        <v>73</v>
      </c>
      <c r="AU1192" s="6" t="str">
        <f>HYPERLINK("http://catalog.hathitrust.org/Record/000087419","HathiTrust Record")</f>
        <v>HathiTrust Record</v>
      </c>
      <c r="AV1192" s="6" t="str">
        <f>HYPERLINK("http://mcgill.on.worldcat.org/oclc/3481265","Catalog Record")</f>
        <v>Catalog Record</v>
      </c>
      <c r="AW1192" s="6" t="str">
        <f>HYPERLINK("http://www.worldcat.org/oclc/3481265","WorldCat Record")</f>
        <v>WorldCat Record</v>
      </c>
      <c r="AX1192" s="3" t="s">
        <v>12306</v>
      </c>
      <c r="AY1192" s="3" t="s">
        <v>12307</v>
      </c>
      <c r="AZ1192" s="3" t="s">
        <v>12308</v>
      </c>
      <c r="BA1192" s="3" t="s">
        <v>12308</v>
      </c>
      <c r="BB1192" s="3" t="s">
        <v>12309</v>
      </c>
      <c r="BC1192" s="3" t="s">
        <v>78</v>
      </c>
      <c r="BD1192" s="3" t="s">
        <v>79</v>
      </c>
      <c r="BE1192" s="3" t="s">
        <v>12310</v>
      </c>
      <c r="BF1192" s="3" t="s">
        <v>12309</v>
      </c>
      <c r="BG1192" s="3" t="s">
        <v>12311</v>
      </c>
    </row>
    <row r="1193" spans="1:59" ht="58" x14ac:dyDescent="0.35">
      <c r="A1193" s="2" t="s">
        <v>59</v>
      </c>
      <c r="B1193" s="2" t="s">
        <v>94</v>
      </c>
      <c r="C1193" s="2" t="s">
        <v>12301</v>
      </c>
      <c r="D1193" s="2" t="s">
        <v>12302</v>
      </c>
      <c r="E1193" s="2" t="s">
        <v>12303</v>
      </c>
      <c r="G1193" s="3" t="s">
        <v>64</v>
      </c>
      <c r="I1193" s="3" t="s">
        <v>73</v>
      </c>
      <c r="J1193" s="3" t="s">
        <v>64</v>
      </c>
      <c r="K1193" s="3" t="s">
        <v>65</v>
      </c>
      <c r="M1193" s="2" t="s">
        <v>12304</v>
      </c>
      <c r="N1193" s="3" t="s">
        <v>1167</v>
      </c>
      <c r="P1193" s="3" t="s">
        <v>69</v>
      </c>
      <c r="R1193" s="3" t="s">
        <v>9228</v>
      </c>
      <c r="S1193" s="4">
        <v>105</v>
      </c>
      <c r="T1193" s="4">
        <v>215</v>
      </c>
      <c r="U1193" s="5" t="s">
        <v>3300</v>
      </c>
      <c r="V1193" s="5" t="s">
        <v>12305</v>
      </c>
      <c r="W1193" s="5" t="s">
        <v>72</v>
      </c>
      <c r="X1193" s="5" t="s">
        <v>72</v>
      </c>
      <c r="Y1193" s="4">
        <v>540</v>
      </c>
      <c r="Z1193" s="4">
        <v>26</v>
      </c>
      <c r="AA1193" s="4">
        <v>26</v>
      </c>
      <c r="AB1193" s="4">
        <v>1</v>
      </c>
      <c r="AC1193" s="4">
        <v>1</v>
      </c>
      <c r="AD1193" s="4">
        <v>112</v>
      </c>
      <c r="AE1193" s="4">
        <v>112</v>
      </c>
      <c r="AF1193" s="4">
        <v>0</v>
      </c>
      <c r="AG1193" s="4">
        <v>0</v>
      </c>
      <c r="AH1193" s="4">
        <v>100</v>
      </c>
      <c r="AI1193" s="4">
        <v>100</v>
      </c>
      <c r="AJ1193" s="4">
        <v>14</v>
      </c>
      <c r="AK1193" s="4">
        <v>14</v>
      </c>
      <c r="AL1193" s="4">
        <v>53</v>
      </c>
      <c r="AM1193" s="4">
        <v>53</v>
      </c>
      <c r="AN1193" s="4">
        <v>0</v>
      </c>
      <c r="AO1193" s="4">
        <v>0</v>
      </c>
      <c r="AP1193" s="4">
        <v>19</v>
      </c>
      <c r="AQ1193" s="4">
        <v>19</v>
      </c>
      <c r="AR1193" s="3" t="s">
        <v>64</v>
      </c>
      <c r="AS1193" s="3" t="s">
        <v>64</v>
      </c>
      <c r="AT1193" s="3" t="s">
        <v>73</v>
      </c>
      <c r="AU1193" s="6" t="str">
        <f>HYPERLINK("http://catalog.hathitrust.org/Record/000087419","HathiTrust Record")</f>
        <v>HathiTrust Record</v>
      </c>
      <c r="AV1193" s="6" t="str">
        <f>HYPERLINK("http://mcgill.on.worldcat.org/oclc/3481265","Catalog Record")</f>
        <v>Catalog Record</v>
      </c>
      <c r="AW1193" s="6" t="str">
        <f>HYPERLINK("http://www.worldcat.org/oclc/3481265","WorldCat Record")</f>
        <v>WorldCat Record</v>
      </c>
      <c r="AX1193" s="3" t="s">
        <v>12306</v>
      </c>
      <c r="AY1193" s="3" t="s">
        <v>12307</v>
      </c>
      <c r="AZ1193" s="3" t="s">
        <v>12308</v>
      </c>
      <c r="BA1193" s="3" t="s">
        <v>12308</v>
      </c>
      <c r="BB1193" s="3" t="s">
        <v>12312</v>
      </c>
      <c r="BC1193" s="3" t="s">
        <v>78</v>
      </c>
      <c r="BD1193" s="3" t="s">
        <v>79</v>
      </c>
      <c r="BE1193" s="3" t="s">
        <v>12310</v>
      </c>
      <c r="BF1193" s="3" t="s">
        <v>12312</v>
      </c>
      <c r="BG1193" s="3" t="s">
        <v>12313</v>
      </c>
    </row>
    <row r="1194" spans="1:59" ht="58" x14ac:dyDescent="0.35">
      <c r="A1194" s="2" t="s">
        <v>59</v>
      </c>
      <c r="B1194" s="2" t="s">
        <v>94</v>
      </c>
      <c r="C1194" s="2" t="s">
        <v>12301</v>
      </c>
      <c r="D1194" s="2" t="s">
        <v>12302</v>
      </c>
      <c r="E1194" s="2" t="s">
        <v>12303</v>
      </c>
      <c r="G1194" s="3" t="s">
        <v>64</v>
      </c>
      <c r="I1194" s="3" t="s">
        <v>73</v>
      </c>
      <c r="J1194" s="3" t="s">
        <v>64</v>
      </c>
      <c r="K1194" s="3" t="s">
        <v>65</v>
      </c>
      <c r="M1194" s="2" t="s">
        <v>12304</v>
      </c>
      <c r="N1194" s="3" t="s">
        <v>1167</v>
      </c>
      <c r="P1194" s="3" t="s">
        <v>69</v>
      </c>
      <c r="R1194" s="3" t="s">
        <v>9228</v>
      </c>
      <c r="S1194" s="4">
        <v>54</v>
      </c>
      <c r="T1194" s="4">
        <v>215</v>
      </c>
      <c r="U1194" s="5" t="s">
        <v>12305</v>
      </c>
      <c r="V1194" s="5" t="s">
        <v>12305</v>
      </c>
      <c r="W1194" s="5" t="s">
        <v>72</v>
      </c>
      <c r="X1194" s="5" t="s">
        <v>72</v>
      </c>
      <c r="Y1194" s="4">
        <v>540</v>
      </c>
      <c r="Z1194" s="4">
        <v>26</v>
      </c>
      <c r="AA1194" s="4">
        <v>26</v>
      </c>
      <c r="AB1194" s="4">
        <v>1</v>
      </c>
      <c r="AC1194" s="4">
        <v>1</v>
      </c>
      <c r="AD1194" s="4">
        <v>112</v>
      </c>
      <c r="AE1194" s="4">
        <v>112</v>
      </c>
      <c r="AF1194" s="4">
        <v>0</v>
      </c>
      <c r="AG1194" s="4">
        <v>0</v>
      </c>
      <c r="AH1194" s="4">
        <v>100</v>
      </c>
      <c r="AI1194" s="4">
        <v>100</v>
      </c>
      <c r="AJ1194" s="4">
        <v>14</v>
      </c>
      <c r="AK1194" s="4">
        <v>14</v>
      </c>
      <c r="AL1194" s="4">
        <v>53</v>
      </c>
      <c r="AM1194" s="4">
        <v>53</v>
      </c>
      <c r="AN1194" s="4">
        <v>0</v>
      </c>
      <c r="AO1194" s="4">
        <v>0</v>
      </c>
      <c r="AP1194" s="4">
        <v>19</v>
      </c>
      <c r="AQ1194" s="4">
        <v>19</v>
      </c>
      <c r="AR1194" s="3" t="s">
        <v>64</v>
      </c>
      <c r="AS1194" s="3" t="s">
        <v>64</v>
      </c>
      <c r="AT1194" s="3" t="s">
        <v>73</v>
      </c>
      <c r="AU1194" s="6" t="str">
        <f>HYPERLINK("http://catalog.hathitrust.org/Record/000087419","HathiTrust Record")</f>
        <v>HathiTrust Record</v>
      </c>
      <c r="AV1194" s="6" t="str">
        <f>HYPERLINK("http://mcgill.on.worldcat.org/oclc/3481265","Catalog Record")</f>
        <v>Catalog Record</v>
      </c>
      <c r="AW1194" s="6" t="str">
        <f>HYPERLINK("http://www.worldcat.org/oclc/3481265","WorldCat Record")</f>
        <v>WorldCat Record</v>
      </c>
      <c r="AX1194" s="3" t="s">
        <v>12306</v>
      </c>
      <c r="AY1194" s="3" t="s">
        <v>12307</v>
      </c>
      <c r="AZ1194" s="3" t="s">
        <v>12308</v>
      </c>
      <c r="BA1194" s="3" t="s">
        <v>12308</v>
      </c>
      <c r="BB1194" s="3" t="s">
        <v>12314</v>
      </c>
      <c r="BC1194" s="3" t="s">
        <v>78</v>
      </c>
      <c r="BD1194" s="3" t="s">
        <v>79</v>
      </c>
      <c r="BE1194" s="3" t="s">
        <v>12310</v>
      </c>
      <c r="BF1194" s="3" t="s">
        <v>12314</v>
      </c>
      <c r="BG1194" s="3" t="s">
        <v>12315</v>
      </c>
    </row>
    <row r="1195" spans="1:59" ht="72.5" x14ac:dyDescent="0.35">
      <c r="A1195" s="2" t="s">
        <v>59</v>
      </c>
      <c r="B1195" s="2" t="s">
        <v>94</v>
      </c>
      <c r="C1195" s="2" t="s">
        <v>12316</v>
      </c>
      <c r="D1195" s="2" t="s">
        <v>12317</v>
      </c>
      <c r="E1195" s="2" t="s">
        <v>12318</v>
      </c>
      <c r="G1195" s="3" t="s">
        <v>64</v>
      </c>
      <c r="I1195" s="3" t="s">
        <v>64</v>
      </c>
      <c r="J1195" s="3" t="s">
        <v>64</v>
      </c>
      <c r="K1195" s="3" t="s">
        <v>65</v>
      </c>
      <c r="L1195" s="2" t="s">
        <v>12319</v>
      </c>
      <c r="M1195" s="2" t="s">
        <v>12320</v>
      </c>
      <c r="N1195" s="3" t="s">
        <v>422</v>
      </c>
      <c r="P1195" s="3" t="s">
        <v>69</v>
      </c>
      <c r="R1195" s="3" t="s">
        <v>9228</v>
      </c>
      <c r="S1195" s="4">
        <v>7</v>
      </c>
      <c r="T1195" s="4">
        <v>7</v>
      </c>
      <c r="U1195" s="5" t="s">
        <v>5367</v>
      </c>
      <c r="V1195" s="5" t="s">
        <v>5367</v>
      </c>
      <c r="W1195" s="5" t="s">
        <v>72</v>
      </c>
      <c r="X1195" s="5" t="s">
        <v>72</v>
      </c>
      <c r="Y1195" s="4">
        <v>358</v>
      </c>
      <c r="Z1195" s="4">
        <v>17</v>
      </c>
      <c r="AA1195" s="4">
        <v>18</v>
      </c>
      <c r="AB1195" s="4">
        <v>1</v>
      </c>
      <c r="AC1195" s="4">
        <v>2</v>
      </c>
      <c r="AD1195" s="4">
        <v>110</v>
      </c>
      <c r="AE1195" s="4">
        <v>111</v>
      </c>
      <c r="AF1195" s="4">
        <v>0</v>
      </c>
      <c r="AG1195" s="4">
        <v>1</v>
      </c>
      <c r="AH1195" s="4">
        <v>101</v>
      </c>
      <c r="AI1195" s="4">
        <v>101</v>
      </c>
      <c r="AJ1195" s="4">
        <v>10</v>
      </c>
      <c r="AK1195" s="4">
        <v>11</v>
      </c>
      <c r="AL1195" s="4">
        <v>55</v>
      </c>
      <c r="AM1195" s="4">
        <v>55</v>
      </c>
      <c r="AN1195" s="4">
        <v>0</v>
      </c>
      <c r="AO1195" s="4">
        <v>0</v>
      </c>
      <c r="AP1195" s="4">
        <v>14</v>
      </c>
      <c r="AQ1195" s="4">
        <v>14</v>
      </c>
      <c r="AR1195" s="3" t="s">
        <v>64</v>
      </c>
      <c r="AS1195" s="3" t="s">
        <v>64</v>
      </c>
      <c r="AT1195" s="3" t="s">
        <v>64</v>
      </c>
      <c r="AV1195" s="6" t="str">
        <f>HYPERLINK("http://mcgill.on.worldcat.org/oclc/46402081","Catalog Record")</f>
        <v>Catalog Record</v>
      </c>
      <c r="AW1195" s="6" t="str">
        <f>HYPERLINK("http://www.worldcat.org/oclc/46402081","WorldCat Record")</f>
        <v>WorldCat Record</v>
      </c>
      <c r="AX1195" s="3" t="s">
        <v>12321</v>
      </c>
      <c r="AY1195" s="3" t="s">
        <v>12322</v>
      </c>
      <c r="AZ1195" s="3" t="s">
        <v>12323</v>
      </c>
      <c r="BA1195" s="3" t="s">
        <v>12323</v>
      </c>
      <c r="BB1195" s="3" t="s">
        <v>12324</v>
      </c>
      <c r="BC1195" s="3" t="s">
        <v>78</v>
      </c>
      <c r="BD1195" s="3" t="s">
        <v>79</v>
      </c>
      <c r="BE1195" s="3" t="s">
        <v>12325</v>
      </c>
      <c r="BF1195" s="3" t="s">
        <v>12324</v>
      </c>
      <c r="BG1195" s="3" t="s">
        <v>12326</v>
      </c>
    </row>
    <row r="1196" spans="1:59" ht="58" x14ac:dyDescent="0.35">
      <c r="A1196" s="2" t="s">
        <v>59</v>
      </c>
      <c r="B1196" s="2" t="s">
        <v>94</v>
      </c>
      <c r="C1196" s="2" t="s">
        <v>12327</v>
      </c>
      <c r="D1196" s="2" t="s">
        <v>12328</v>
      </c>
      <c r="E1196" s="2" t="s">
        <v>12329</v>
      </c>
      <c r="G1196" s="3" t="s">
        <v>64</v>
      </c>
      <c r="I1196" s="3" t="s">
        <v>64</v>
      </c>
      <c r="J1196" s="3" t="s">
        <v>64</v>
      </c>
      <c r="K1196" s="3" t="s">
        <v>65</v>
      </c>
      <c r="L1196" s="2" t="s">
        <v>5364</v>
      </c>
      <c r="M1196" s="2" t="s">
        <v>12330</v>
      </c>
      <c r="N1196" s="3" t="s">
        <v>422</v>
      </c>
      <c r="P1196" s="3" t="s">
        <v>69</v>
      </c>
      <c r="R1196" s="3" t="s">
        <v>9228</v>
      </c>
      <c r="S1196" s="4">
        <v>30</v>
      </c>
      <c r="T1196" s="4">
        <v>30</v>
      </c>
      <c r="U1196" s="5" t="s">
        <v>12331</v>
      </c>
      <c r="V1196" s="5" t="s">
        <v>12331</v>
      </c>
      <c r="W1196" s="5" t="s">
        <v>72</v>
      </c>
      <c r="X1196" s="5" t="s">
        <v>72</v>
      </c>
      <c r="Y1196" s="4">
        <v>272</v>
      </c>
      <c r="Z1196" s="4">
        <v>11</v>
      </c>
      <c r="AA1196" s="4">
        <v>97</v>
      </c>
      <c r="AB1196" s="4">
        <v>2</v>
      </c>
      <c r="AC1196" s="4">
        <v>18</v>
      </c>
      <c r="AD1196" s="4">
        <v>93</v>
      </c>
      <c r="AE1196" s="4">
        <v>143</v>
      </c>
      <c r="AF1196" s="4">
        <v>0</v>
      </c>
      <c r="AG1196" s="4">
        <v>8</v>
      </c>
      <c r="AH1196" s="4">
        <v>88</v>
      </c>
      <c r="AI1196" s="4">
        <v>106</v>
      </c>
      <c r="AJ1196" s="4">
        <v>6</v>
      </c>
      <c r="AK1196" s="4">
        <v>23</v>
      </c>
      <c r="AL1196" s="4">
        <v>49</v>
      </c>
      <c r="AM1196" s="4">
        <v>56</v>
      </c>
      <c r="AN1196" s="4">
        <v>0</v>
      </c>
      <c r="AO1196" s="4">
        <v>0</v>
      </c>
      <c r="AP1196" s="4">
        <v>8</v>
      </c>
      <c r="AQ1196" s="4">
        <v>44</v>
      </c>
      <c r="AR1196" s="3" t="s">
        <v>64</v>
      </c>
      <c r="AS1196" s="3" t="s">
        <v>64</v>
      </c>
      <c r="AT1196" s="3" t="s">
        <v>64</v>
      </c>
      <c r="AV1196" s="6" t="str">
        <f>HYPERLINK("http://mcgill.on.worldcat.org/oclc/46809621","Catalog Record")</f>
        <v>Catalog Record</v>
      </c>
      <c r="AW1196" s="6" t="str">
        <f>HYPERLINK("http://www.worldcat.org/oclc/46809621","WorldCat Record")</f>
        <v>WorldCat Record</v>
      </c>
      <c r="AX1196" s="3" t="s">
        <v>12332</v>
      </c>
      <c r="AY1196" s="3" t="s">
        <v>12333</v>
      </c>
      <c r="AZ1196" s="3" t="s">
        <v>12334</v>
      </c>
      <c r="BA1196" s="3" t="s">
        <v>12334</v>
      </c>
      <c r="BB1196" s="3" t="s">
        <v>12335</v>
      </c>
      <c r="BC1196" s="3" t="s">
        <v>78</v>
      </c>
      <c r="BD1196" s="3" t="s">
        <v>79</v>
      </c>
      <c r="BE1196" s="3" t="s">
        <v>12336</v>
      </c>
      <c r="BF1196" s="3" t="s">
        <v>12335</v>
      </c>
      <c r="BG1196" s="3" t="s">
        <v>12337</v>
      </c>
    </row>
    <row r="1197" spans="1:59" ht="58" x14ac:dyDescent="0.35">
      <c r="A1197" s="2" t="s">
        <v>59</v>
      </c>
      <c r="B1197" s="2" t="s">
        <v>94</v>
      </c>
      <c r="C1197" s="2" t="s">
        <v>12338</v>
      </c>
      <c r="D1197" s="2" t="s">
        <v>12339</v>
      </c>
      <c r="E1197" s="2" t="s">
        <v>12340</v>
      </c>
      <c r="G1197" s="3" t="s">
        <v>64</v>
      </c>
      <c r="I1197" s="3" t="s">
        <v>64</v>
      </c>
      <c r="J1197" s="3" t="s">
        <v>64</v>
      </c>
      <c r="K1197" s="3" t="s">
        <v>65</v>
      </c>
      <c r="L1197" s="2" t="s">
        <v>12341</v>
      </c>
      <c r="M1197" s="2" t="s">
        <v>12342</v>
      </c>
      <c r="N1197" s="3" t="s">
        <v>214</v>
      </c>
      <c r="P1197" s="3" t="s">
        <v>69</v>
      </c>
      <c r="Q1197" s="2" t="s">
        <v>539</v>
      </c>
      <c r="R1197" s="3" t="s">
        <v>9228</v>
      </c>
      <c r="S1197" s="4">
        <v>3</v>
      </c>
      <c r="T1197" s="4">
        <v>3</v>
      </c>
      <c r="U1197" s="5" t="s">
        <v>3657</v>
      </c>
      <c r="V1197" s="5" t="s">
        <v>3657</v>
      </c>
      <c r="W1197" s="5" t="s">
        <v>72</v>
      </c>
      <c r="X1197" s="5" t="s">
        <v>72</v>
      </c>
      <c r="Y1197" s="4">
        <v>84</v>
      </c>
      <c r="Z1197" s="4">
        <v>9</v>
      </c>
      <c r="AA1197" s="4">
        <v>14</v>
      </c>
      <c r="AB1197" s="4">
        <v>2</v>
      </c>
      <c r="AC1197" s="4">
        <v>6</v>
      </c>
      <c r="AD1197" s="4">
        <v>36</v>
      </c>
      <c r="AE1197" s="4">
        <v>42</v>
      </c>
      <c r="AF1197" s="4">
        <v>0</v>
      </c>
      <c r="AG1197" s="4">
        <v>1</v>
      </c>
      <c r="AH1197" s="4">
        <v>32</v>
      </c>
      <c r="AI1197" s="4">
        <v>37</v>
      </c>
      <c r="AJ1197" s="4">
        <v>6</v>
      </c>
      <c r="AK1197" s="4">
        <v>8</v>
      </c>
      <c r="AL1197" s="4">
        <v>23</v>
      </c>
      <c r="AM1197" s="4">
        <v>26</v>
      </c>
      <c r="AN1197" s="4">
        <v>0</v>
      </c>
      <c r="AO1197" s="4">
        <v>0</v>
      </c>
      <c r="AP1197" s="4">
        <v>6</v>
      </c>
      <c r="AQ1197" s="4">
        <v>7</v>
      </c>
      <c r="AR1197" s="3" t="s">
        <v>64</v>
      </c>
      <c r="AS1197" s="3" t="s">
        <v>64</v>
      </c>
      <c r="AT1197" s="3" t="s">
        <v>64</v>
      </c>
      <c r="AV1197" s="6" t="str">
        <f>HYPERLINK("http://mcgill.on.worldcat.org/oclc/311036609","Catalog Record")</f>
        <v>Catalog Record</v>
      </c>
      <c r="AW1197" s="6" t="str">
        <f>HYPERLINK("http://www.worldcat.org/oclc/311036609","WorldCat Record")</f>
        <v>WorldCat Record</v>
      </c>
      <c r="AX1197" s="3" t="s">
        <v>12343</v>
      </c>
      <c r="AY1197" s="3" t="s">
        <v>12344</v>
      </c>
      <c r="AZ1197" s="3" t="s">
        <v>12345</v>
      </c>
      <c r="BA1197" s="3" t="s">
        <v>12345</v>
      </c>
      <c r="BB1197" s="3" t="s">
        <v>12346</v>
      </c>
      <c r="BC1197" s="3" t="s">
        <v>78</v>
      </c>
      <c r="BD1197" s="3" t="s">
        <v>79</v>
      </c>
      <c r="BE1197" s="3" t="s">
        <v>12347</v>
      </c>
      <c r="BF1197" s="3" t="s">
        <v>12346</v>
      </c>
      <c r="BG1197" s="3" t="s">
        <v>12348</v>
      </c>
    </row>
    <row r="1198" spans="1:59" ht="58" x14ac:dyDescent="0.35">
      <c r="A1198" s="2" t="s">
        <v>59</v>
      </c>
      <c r="B1198" s="2" t="s">
        <v>94</v>
      </c>
      <c r="C1198" s="2" t="s">
        <v>12349</v>
      </c>
      <c r="D1198" s="2" t="s">
        <v>12350</v>
      </c>
      <c r="E1198" s="2" t="s">
        <v>12351</v>
      </c>
      <c r="G1198" s="3" t="s">
        <v>64</v>
      </c>
      <c r="I1198" s="3" t="s">
        <v>64</v>
      </c>
      <c r="J1198" s="3" t="s">
        <v>64</v>
      </c>
      <c r="K1198" s="3" t="s">
        <v>65</v>
      </c>
      <c r="L1198" s="2" t="s">
        <v>12352</v>
      </c>
      <c r="M1198" s="2" t="s">
        <v>12353</v>
      </c>
      <c r="N1198" s="3" t="s">
        <v>136</v>
      </c>
      <c r="P1198" s="3" t="s">
        <v>69</v>
      </c>
      <c r="R1198" s="3" t="s">
        <v>9228</v>
      </c>
      <c r="S1198" s="4">
        <v>17</v>
      </c>
      <c r="T1198" s="4">
        <v>17</v>
      </c>
      <c r="U1198" s="5" t="s">
        <v>12354</v>
      </c>
      <c r="V1198" s="5" t="s">
        <v>12354</v>
      </c>
      <c r="W1198" s="5" t="s">
        <v>72</v>
      </c>
      <c r="X1198" s="5" t="s">
        <v>72</v>
      </c>
      <c r="Y1198" s="4">
        <v>162</v>
      </c>
      <c r="Z1198" s="4">
        <v>14</v>
      </c>
      <c r="AA1198" s="4">
        <v>19</v>
      </c>
      <c r="AB1198" s="4">
        <v>1</v>
      </c>
      <c r="AC1198" s="4">
        <v>4</v>
      </c>
      <c r="AD1198" s="4">
        <v>71</v>
      </c>
      <c r="AE1198" s="4">
        <v>75</v>
      </c>
      <c r="AF1198" s="4">
        <v>0</v>
      </c>
      <c r="AG1198" s="4">
        <v>0</v>
      </c>
      <c r="AH1198" s="4">
        <v>63</v>
      </c>
      <c r="AI1198" s="4">
        <v>67</v>
      </c>
      <c r="AJ1198" s="4">
        <v>8</v>
      </c>
      <c r="AK1198" s="4">
        <v>10</v>
      </c>
      <c r="AL1198" s="4">
        <v>41</v>
      </c>
      <c r="AM1198" s="4">
        <v>42</v>
      </c>
      <c r="AN1198" s="4">
        <v>0</v>
      </c>
      <c r="AO1198" s="4">
        <v>0</v>
      </c>
      <c r="AP1198" s="4">
        <v>12</v>
      </c>
      <c r="AQ1198" s="4">
        <v>14</v>
      </c>
      <c r="AR1198" s="3" t="s">
        <v>64</v>
      </c>
      <c r="AS1198" s="3" t="s">
        <v>64</v>
      </c>
      <c r="AT1198" s="3" t="s">
        <v>73</v>
      </c>
      <c r="AU1198" s="6" t="str">
        <f>HYPERLINK("http://catalog.hathitrust.org/Record/004126608","HathiTrust Record")</f>
        <v>HathiTrust Record</v>
      </c>
      <c r="AV1198" s="6" t="str">
        <f>HYPERLINK("http://mcgill.on.worldcat.org/oclc/45358084","Catalog Record")</f>
        <v>Catalog Record</v>
      </c>
      <c r="AW1198" s="6" t="str">
        <f>HYPERLINK("http://www.worldcat.org/oclc/45358084","WorldCat Record")</f>
        <v>WorldCat Record</v>
      </c>
      <c r="AX1198" s="3" t="s">
        <v>12355</v>
      </c>
      <c r="AY1198" s="3" t="s">
        <v>12356</v>
      </c>
      <c r="AZ1198" s="3" t="s">
        <v>12357</v>
      </c>
      <c r="BA1198" s="3" t="s">
        <v>12357</v>
      </c>
      <c r="BB1198" s="3" t="s">
        <v>12358</v>
      </c>
      <c r="BC1198" s="3" t="s">
        <v>78</v>
      </c>
      <c r="BD1198" s="3" t="s">
        <v>79</v>
      </c>
      <c r="BE1198" s="3" t="s">
        <v>12359</v>
      </c>
      <c r="BF1198" s="3" t="s">
        <v>12358</v>
      </c>
      <c r="BG1198" s="3" t="s">
        <v>12360</v>
      </c>
    </row>
    <row r="1199" spans="1:59" ht="58" x14ac:dyDescent="0.35">
      <c r="A1199" s="2" t="s">
        <v>59</v>
      </c>
      <c r="B1199" s="2" t="s">
        <v>94</v>
      </c>
      <c r="C1199" s="2" t="s">
        <v>12361</v>
      </c>
      <c r="D1199" s="2" t="s">
        <v>12362</v>
      </c>
      <c r="E1199" s="2" t="s">
        <v>12363</v>
      </c>
      <c r="G1199" s="3" t="s">
        <v>64</v>
      </c>
      <c r="I1199" s="3" t="s">
        <v>64</v>
      </c>
      <c r="J1199" s="3" t="s">
        <v>64</v>
      </c>
      <c r="K1199" s="3" t="s">
        <v>65</v>
      </c>
      <c r="L1199" s="2" t="s">
        <v>12364</v>
      </c>
      <c r="M1199" s="2" t="s">
        <v>12365</v>
      </c>
      <c r="N1199" s="3" t="s">
        <v>328</v>
      </c>
      <c r="P1199" s="3" t="s">
        <v>69</v>
      </c>
      <c r="Q1199" s="2" t="s">
        <v>12366</v>
      </c>
      <c r="R1199" s="3" t="s">
        <v>9228</v>
      </c>
      <c r="S1199" s="4">
        <v>0</v>
      </c>
      <c r="T1199" s="4">
        <v>0</v>
      </c>
      <c r="W1199" s="5" t="s">
        <v>72</v>
      </c>
      <c r="X1199" s="5" t="s">
        <v>72</v>
      </c>
      <c r="Y1199" s="4">
        <v>108</v>
      </c>
      <c r="Z1199" s="4">
        <v>8</v>
      </c>
      <c r="AA1199" s="4">
        <v>76</v>
      </c>
      <c r="AB1199" s="4">
        <v>1</v>
      </c>
      <c r="AC1199" s="4">
        <v>15</v>
      </c>
      <c r="AD1199" s="4">
        <v>45</v>
      </c>
      <c r="AE1199" s="4">
        <v>115</v>
      </c>
      <c r="AF1199" s="4">
        <v>0</v>
      </c>
      <c r="AG1199" s="4">
        <v>8</v>
      </c>
      <c r="AH1199" s="4">
        <v>41</v>
      </c>
      <c r="AI1199" s="4">
        <v>83</v>
      </c>
      <c r="AJ1199" s="4">
        <v>5</v>
      </c>
      <c r="AK1199" s="4">
        <v>19</v>
      </c>
      <c r="AL1199" s="4">
        <v>30</v>
      </c>
      <c r="AM1199" s="4">
        <v>47</v>
      </c>
      <c r="AN1199" s="4">
        <v>0</v>
      </c>
      <c r="AO1199" s="4">
        <v>0</v>
      </c>
      <c r="AP1199" s="4">
        <v>6</v>
      </c>
      <c r="AQ1199" s="4">
        <v>38</v>
      </c>
      <c r="AR1199" s="3" t="s">
        <v>64</v>
      </c>
      <c r="AS1199" s="3" t="s">
        <v>64</v>
      </c>
      <c r="AT1199" s="3" t="s">
        <v>64</v>
      </c>
      <c r="AV1199" s="6" t="str">
        <f>HYPERLINK("http://mcgill.on.worldcat.org/oclc/663773481","Catalog Record")</f>
        <v>Catalog Record</v>
      </c>
      <c r="AW1199" s="6" t="str">
        <f>HYPERLINK("http://www.worldcat.org/oclc/663773481","WorldCat Record")</f>
        <v>WorldCat Record</v>
      </c>
      <c r="AX1199" s="3" t="s">
        <v>12367</v>
      </c>
      <c r="AY1199" s="3" t="s">
        <v>12368</v>
      </c>
      <c r="AZ1199" s="3" t="s">
        <v>12369</v>
      </c>
      <c r="BA1199" s="3" t="s">
        <v>12369</v>
      </c>
      <c r="BB1199" s="3" t="s">
        <v>12370</v>
      </c>
      <c r="BC1199" s="3" t="s">
        <v>78</v>
      </c>
      <c r="BD1199" s="3" t="s">
        <v>79</v>
      </c>
      <c r="BE1199" s="3" t="s">
        <v>12371</v>
      </c>
      <c r="BF1199" s="3" t="s">
        <v>12370</v>
      </c>
      <c r="BG1199" s="3" t="s">
        <v>12372</v>
      </c>
    </row>
    <row r="1200" spans="1:59" ht="58" x14ac:dyDescent="0.35">
      <c r="A1200" s="2" t="s">
        <v>59</v>
      </c>
      <c r="B1200" s="2" t="s">
        <v>94</v>
      </c>
      <c r="C1200" s="2" t="s">
        <v>12373</v>
      </c>
      <c r="D1200" s="2" t="s">
        <v>12374</v>
      </c>
      <c r="E1200" s="2" t="s">
        <v>12375</v>
      </c>
      <c r="G1200" s="3" t="s">
        <v>64</v>
      </c>
      <c r="I1200" s="3" t="s">
        <v>64</v>
      </c>
      <c r="J1200" s="3" t="s">
        <v>64</v>
      </c>
      <c r="K1200" s="3" t="s">
        <v>65</v>
      </c>
      <c r="M1200" s="2" t="s">
        <v>12376</v>
      </c>
      <c r="N1200" s="3" t="s">
        <v>538</v>
      </c>
      <c r="P1200" s="3" t="s">
        <v>69</v>
      </c>
      <c r="Q1200" s="2" t="s">
        <v>8607</v>
      </c>
      <c r="R1200" s="3" t="s">
        <v>9228</v>
      </c>
      <c r="S1200" s="4">
        <v>8</v>
      </c>
      <c r="T1200" s="4">
        <v>8</v>
      </c>
      <c r="U1200" s="5" t="s">
        <v>5934</v>
      </c>
      <c r="V1200" s="5" t="s">
        <v>5934</v>
      </c>
      <c r="W1200" s="5" t="s">
        <v>72</v>
      </c>
      <c r="X1200" s="5" t="s">
        <v>72</v>
      </c>
      <c r="Y1200" s="4">
        <v>159</v>
      </c>
      <c r="Z1200" s="4">
        <v>15</v>
      </c>
      <c r="AA1200" s="4">
        <v>22</v>
      </c>
      <c r="AB1200" s="4">
        <v>2</v>
      </c>
      <c r="AC1200" s="4">
        <v>6</v>
      </c>
      <c r="AD1200" s="4">
        <v>69</v>
      </c>
      <c r="AE1200" s="4">
        <v>76</v>
      </c>
      <c r="AF1200" s="4">
        <v>1</v>
      </c>
      <c r="AG1200" s="4">
        <v>3</v>
      </c>
      <c r="AH1200" s="4">
        <v>62</v>
      </c>
      <c r="AI1200" s="4">
        <v>66</v>
      </c>
      <c r="AJ1200" s="4">
        <v>13</v>
      </c>
      <c r="AK1200" s="4">
        <v>16</v>
      </c>
      <c r="AL1200" s="4">
        <v>35</v>
      </c>
      <c r="AM1200" s="4">
        <v>36</v>
      </c>
      <c r="AN1200" s="4">
        <v>0</v>
      </c>
      <c r="AO1200" s="4">
        <v>0</v>
      </c>
      <c r="AP1200" s="4">
        <v>12</v>
      </c>
      <c r="AQ1200" s="4">
        <v>16</v>
      </c>
      <c r="AR1200" s="3" t="s">
        <v>64</v>
      </c>
      <c r="AS1200" s="3" t="s">
        <v>64</v>
      </c>
      <c r="AT1200" s="3" t="s">
        <v>64</v>
      </c>
      <c r="AV1200" s="6" t="str">
        <f>HYPERLINK("http://mcgill.on.worldcat.org/oclc/72161953","Catalog Record")</f>
        <v>Catalog Record</v>
      </c>
      <c r="AW1200" s="6" t="str">
        <f>HYPERLINK("http://www.worldcat.org/oclc/72161953","WorldCat Record")</f>
        <v>WorldCat Record</v>
      </c>
      <c r="AX1200" s="3" t="s">
        <v>12377</v>
      </c>
      <c r="AY1200" s="3" t="s">
        <v>12378</v>
      </c>
      <c r="AZ1200" s="3" t="s">
        <v>12379</v>
      </c>
      <c r="BA1200" s="3" t="s">
        <v>12379</v>
      </c>
      <c r="BB1200" s="3" t="s">
        <v>12380</v>
      </c>
      <c r="BC1200" s="3" t="s">
        <v>78</v>
      </c>
      <c r="BD1200" s="3" t="s">
        <v>79</v>
      </c>
      <c r="BE1200" s="3" t="s">
        <v>12381</v>
      </c>
      <c r="BF1200" s="3" t="s">
        <v>12380</v>
      </c>
      <c r="BG1200" s="3" t="s">
        <v>12382</v>
      </c>
    </row>
    <row r="1201" spans="1:59" ht="58" x14ac:dyDescent="0.35">
      <c r="A1201" s="2" t="s">
        <v>59</v>
      </c>
      <c r="B1201" s="2" t="s">
        <v>94</v>
      </c>
      <c r="C1201" s="2" t="s">
        <v>12383</v>
      </c>
      <c r="D1201" s="2" t="s">
        <v>12384</v>
      </c>
      <c r="E1201" s="2" t="s">
        <v>12385</v>
      </c>
      <c r="G1201" s="3" t="s">
        <v>64</v>
      </c>
      <c r="I1201" s="3" t="s">
        <v>64</v>
      </c>
      <c r="J1201" s="3" t="s">
        <v>64</v>
      </c>
      <c r="K1201" s="3" t="s">
        <v>65</v>
      </c>
      <c r="L1201" s="2" t="s">
        <v>12386</v>
      </c>
      <c r="M1201" s="2" t="s">
        <v>12387</v>
      </c>
      <c r="N1201" s="3" t="s">
        <v>390</v>
      </c>
      <c r="P1201" s="3" t="s">
        <v>69</v>
      </c>
      <c r="R1201" s="3" t="s">
        <v>9228</v>
      </c>
      <c r="S1201" s="4">
        <v>23</v>
      </c>
      <c r="T1201" s="4">
        <v>23</v>
      </c>
      <c r="U1201" s="5" t="s">
        <v>3472</v>
      </c>
      <c r="V1201" s="5" t="s">
        <v>3472</v>
      </c>
      <c r="W1201" s="5" t="s">
        <v>72</v>
      </c>
      <c r="X1201" s="5" t="s">
        <v>72</v>
      </c>
      <c r="Y1201" s="4">
        <v>755</v>
      </c>
      <c r="Z1201" s="4">
        <v>50</v>
      </c>
      <c r="AA1201" s="4">
        <v>51</v>
      </c>
      <c r="AB1201" s="4">
        <v>4</v>
      </c>
      <c r="AC1201" s="4">
        <v>5</v>
      </c>
      <c r="AD1201" s="4">
        <v>136</v>
      </c>
      <c r="AE1201" s="4">
        <v>137</v>
      </c>
      <c r="AF1201" s="4">
        <v>2</v>
      </c>
      <c r="AG1201" s="4">
        <v>3</v>
      </c>
      <c r="AH1201" s="4">
        <v>112</v>
      </c>
      <c r="AI1201" s="4">
        <v>112</v>
      </c>
      <c r="AJ1201" s="4">
        <v>20</v>
      </c>
      <c r="AK1201" s="4">
        <v>21</v>
      </c>
      <c r="AL1201" s="4">
        <v>60</v>
      </c>
      <c r="AM1201" s="4">
        <v>60</v>
      </c>
      <c r="AN1201" s="4">
        <v>0</v>
      </c>
      <c r="AO1201" s="4">
        <v>0</v>
      </c>
      <c r="AP1201" s="4">
        <v>33</v>
      </c>
      <c r="AQ1201" s="4">
        <v>33</v>
      </c>
      <c r="AR1201" s="3" t="s">
        <v>64</v>
      </c>
      <c r="AS1201" s="3" t="s">
        <v>64</v>
      </c>
      <c r="AT1201" s="3" t="s">
        <v>73</v>
      </c>
      <c r="AU1201" s="6" t="str">
        <f>HYPERLINK("http://catalog.hathitrust.org/Record/000255362","HathiTrust Record")</f>
        <v>HathiTrust Record</v>
      </c>
      <c r="AV1201" s="6" t="str">
        <f>HYPERLINK("http://mcgill.on.worldcat.org/oclc/4491001","Catalog Record")</f>
        <v>Catalog Record</v>
      </c>
      <c r="AW1201" s="6" t="str">
        <f>HYPERLINK("http://www.worldcat.org/oclc/4491001","WorldCat Record")</f>
        <v>WorldCat Record</v>
      </c>
      <c r="AX1201" s="3" t="s">
        <v>12388</v>
      </c>
      <c r="AY1201" s="3" t="s">
        <v>12389</v>
      </c>
      <c r="AZ1201" s="3" t="s">
        <v>12390</v>
      </c>
      <c r="BA1201" s="3" t="s">
        <v>12390</v>
      </c>
      <c r="BB1201" s="3" t="s">
        <v>12391</v>
      </c>
      <c r="BC1201" s="3" t="s">
        <v>78</v>
      </c>
      <c r="BD1201" s="3" t="s">
        <v>79</v>
      </c>
      <c r="BE1201" s="3" t="s">
        <v>12392</v>
      </c>
      <c r="BF1201" s="3" t="s">
        <v>12391</v>
      </c>
      <c r="BG1201" s="3" t="s">
        <v>12393</v>
      </c>
    </row>
    <row r="1202" spans="1:59" ht="58" x14ac:dyDescent="0.35">
      <c r="A1202" s="2" t="s">
        <v>59</v>
      </c>
      <c r="B1202" s="2" t="s">
        <v>94</v>
      </c>
      <c r="C1202" s="2" t="s">
        <v>12394</v>
      </c>
      <c r="D1202" s="2" t="s">
        <v>12395</v>
      </c>
      <c r="E1202" s="2" t="s">
        <v>12396</v>
      </c>
      <c r="G1202" s="3" t="s">
        <v>64</v>
      </c>
      <c r="I1202" s="3" t="s">
        <v>64</v>
      </c>
      <c r="J1202" s="3" t="s">
        <v>64</v>
      </c>
      <c r="K1202" s="3" t="s">
        <v>65</v>
      </c>
      <c r="M1202" s="2" t="s">
        <v>12397</v>
      </c>
      <c r="N1202" s="3" t="s">
        <v>449</v>
      </c>
      <c r="P1202" s="3" t="s">
        <v>162</v>
      </c>
      <c r="Q1202" s="2" t="s">
        <v>12398</v>
      </c>
      <c r="R1202" s="3" t="s">
        <v>9228</v>
      </c>
      <c r="S1202" s="4">
        <v>1</v>
      </c>
      <c r="T1202" s="4">
        <v>1</v>
      </c>
      <c r="U1202" s="5" t="s">
        <v>12399</v>
      </c>
      <c r="V1202" s="5" t="s">
        <v>12399</v>
      </c>
      <c r="W1202" s="5" t="s">
        <v>72</v>
      </c>
      <c r="X1202" s="5" t="s">
        <v>72</v>
      </c>
      <c r="Y1202" s="4">
        <v>14</v>
      </c>
      <c r="Z1202" s="4">
        <v>6</v>
      </c>
      <c r="AA1202" s="4">
        <v>7</v>
      </c>
      <c r="AB1202" s="4">
        <v>5</v>
      </c>
      <c r="AC1202" s="4">
        <v>5</v>
      </c>
      <c r="AD1202" s="4">
        <v>5</v>
      </c>
      <c r="AE1202" s="4">
        <v>6</v>
      </c>
      <c r="AF1202" s="4">
        <v>4</v>
      </c>
      <c r="AG1202" s="4">
        <v>4</v>
      </c>
      <c r="AH1202" s="4">
        <v>2</v>
      </c>
      <c r="AI1202" s="4">
        <v>2</v>
      </c>
      <c r="AJ1202" s="4">
        <v>5</v>
      </c>
      <c r="AK1202" s="4">
        <v>5</v>
      </c>
      <c r="AL1202" s="4">
        <v>0</v>
      </c>
      <c r="AM1202" s="4">
        <v>0</v>
      </c>
      <c r="AN1202" s="4">
        <v>0</v>
      </c>
      <c r="AO1202" s="4">
        <v>0</v>
      </c>
      <c r="AP1202" s="4">
        <v>4</v>
      </c>
      <c r="AQ1202" s="4">
        <v>5</v>
      </c>
      <c r="AR1202" s="3" t="s">
        <v>64</v>
      </c>
      <c r="AS1202" s="3" t="s">
        <v>64</v>
      </c>
      <c r="AT1202" s="3" t="s">
        <v>64</v>
      </c>
      <c r="AV1202" s="6" t="str">
        <f>HYPERLINK("http://mcgill.on.worldcat.org/oclc/335013734","Catalog Record")</f>
        <v>Catalog Record</v>
      </c>
      <c r="AW1202" s="6" t="str">
        <f>HYPERLINK("http://www.worldcat.org/oclc/335013734","WorldCat Record")</f>
        <v>WorldCat Record</v>
      </c>
      <c r="AX1202" s="3" t="s">
        <v>12400</v>
      </c>
      <c r="AY1202" s="3" t="s">
        <v>12401</v>
      </c>
      <c r="AZ1202" s="3" t="s">
        <v>12402</v>
      </c>
      <c r="BA1202" s="3" t="s">
        <v>12402</v>
      </c>
      <c r="BB1202" s="3" t="s">
        <v>12403</v>
      </c>
      <c r="BC1202" s="3" t="s">
        <v>78</v>
      </c>
      <c r="BD1202" s="3" t="s">
        <v>79</v>
      </c>
      <c r="BE1202" s="3" t="s">
        <v>12404</v>
      </c>
      <c r="BF1202" s="3" t="s">
        <v>12403</v>
      </c>
      <c r="BG1202" s="3" t="s">
        <v>12405</v>
      </c>
    </row>
    <row r="1203" spans="1:59" ht="58" x14ac:dyDescent="0.35">
      <c r="A1203" s="2" t="s">
        <v>59</v>
      </c>
      <c r="B1203" s="2" t="s">
        <v>94</v>
      </c>
      <c r="C1203" s="2" t="s">
        <v>12406</v>
      </c>
      <c r="D1203" s="2" t="s">
        <v>12407</v>
      </c>
      <c r="E1203" s="2" t="s">
        <v>12408</v>
      </c>
      <c r="G1203" s="3" t="s">
        <v>64</v>
      </c>
      <c r="I1203" s="3" t="s">
        <v>64</v>
      </c>
      <c r="J1203" s="3" t="s">
        <v>64</v>
      </c>
      <c r="K1203" s="3" t="s">
        <v>65</v>
      </c>
      <c r="M1203" s="2" t="s">
        <v>537</v>
      </c>
      <c r="N1203" s="3" t="s">
        <v>538</v>
      </c>
      <c r="P1203" s="3" t="s">
        <v>69</v>
      </c>
      <c r="Q1203" s="2" t="s">
        <v>12409</v>
      </c>
      <c r="R1203" s="3" t="s">
        <v>9228</v>
      </c>
      <c r="S1203" s="4">
        <v>5</v>
      </c>
      <c r="T1203" s="4">
        <v>5</v>
      </c>
      <c r="U1203" s="5" t="s">
        <v>8283</v>
      </c>
      <c r="V1203" s="5" t="s">
        <v>8283</v>
      </c>
      <c r="W1203" s="5" t="s">
        <v>72</v>
      </c>
      <c r="X1203" s="5" t="s">
        <v>72</v>
      </c>
      <c r="Y1203" s="4">
        <v>108</v>
      </c>
      <c r="Z1203" s="4">
        <v>12</v>
      </c>
      <c r="AA1203" s="4">
        <v>15</v>
      </c>
      <c r="AB1203" s="4">
        <v>1</v>
      </c>
      <c r="AC1203" s="4">
        <v>4</v>
      </c>
      <c r="AD1203" s="4">
        <v>43</v>
      </c>
      <c r="AE1203" s="4">
        <v>47</v>
      </c>
      <c r="AF1203" s="4">
        <v>0</v>
      </c>
      <c r="AG1203" s="4">
        <v>1</v>
      </c>
      <c r="AH1203" s="4">
        <v>38</v>
      </c>
      <c r="AI1203" s="4">
        <v>42</v>
      </c>
      <c r="AJ1203" s="4">
        <v>8</v>
      </c>
      <c r="AK1203" s="4">
        <v>9</v>
      </c>
      <c r="AL1203" s="4">
        <v>24</v>
      </c>
      <c r="AM1203" s="4">
        <v>26</v>
      </c>
      <c r="AN1203" s="4">
        <v>0</v>
      </c>
      <c r="AO1203" s="4">
        <v>0</v>
      </c>
      <c r="AP1203" s="4">
        <v>8</v>
      </c>
      <c r="AQ1203" s="4">
        <v>9</v>
      </c>
      <c r="AR1203" s="3" t="s">
        <v>64</v>
      </c>
      <c r="AS1203" s="3" t="s">
        <v>64</v>
      </c>
      <c r="AT1203" s="3" t="s">
        <v>64</v>
      </c>
      <c r="AV1203" s="6" t="str">
        <f>HYPERLINK("http://mcgill.on.worldcat.org/oclc/74915766","Catalog Record")</f>
        <v>Catalog Record</v>
      </c>
      <c r="AW1203" s="6" t="str">
        <f>HYPERLINK("http://www.worldcat.org/oclc/74915766","WorldCat Record")</f>
        <v>WorldCat Record</v>
      </c>
      <c r="AX1203" s="3" t="s">
        <v>12410</v>
      </c>
      <c r="AY1203" s="3" t="s">
        <v>12411</v>
      </c>
      <c r="AZ1203" s="3" t="s">
        <v>12412</v>
      </c>
      <c r="BA1203" s="3" t="s">
        <v>12412</v>
      </c>
      <c r="BB1203" s="3" t="s">
        <v>12413</v>
      </c>
      <c r="BC1203" s="3" t="s">
        <v>78</v>
      </c>
      <c r="BD1203" s="3" t="s">
        <v>79</v>
      </c>
      <c r="BE1203" s="3" t="s">
        <v>12414</v>
      </c>
      <c r="BF1203" s="3" t="s">
        <v>12413</v>
      </c>
      <c r="BG1203" s="3" t="s">
        <v>12415</v>
      </c>
    </row>
    <row r="1204" spans="1:59" ht="58" x14ac:dyDescent="0.35">
      <c r="A1204" s="2" t="s">
        <v>59</v>
      </c>
      <c r="B1204" s="2" t="s">
        <v>94</v>
      </c>
      <c r="C1204" s="2" t="s">
        <v>12416</v>
      </c>
      <c r="D1204" s="2" t="s">
        <v>12417</v>
      </c>
      <c r="E1204" s="2" t="s">
        <v>12418</v>
      </c>
      <c r="G1204" s="3" t="s">
        <v>64</v>
      </c>
      <c r="I1204" s="3" t="s">
        <v>64</v>
      </c>
      <c r="J1204" s="3" t="s">
        <v>64</v>
      </c>
      <c r="K1204" s="3" t="s">
        <v>65</v>
      </c>
      <c r="M1204" s="2" t="s">
        <v>12419</v>
      </c>
      <c r="N1204" s="3" t="s">
        <v>328</v>
      </c>
      <c r="P1204" s="3" t="s">
        <v>69</v>
      </c>
      <c r="Q1204" s="2" t="s">
        <v>12420</v>
      </c>
      <c r="R1204" s="3" t="s">
        <v>9228</v>
      </c>
      <c r="S1204" s="4">
        <v>4</v>
      </c>
      <c r="T1204" s="4">
        <v>4</v>
      </c>
      <c r="U1204" s="5" t="s">
        <v>12421</v>
      </c>
      <c r="V1204" s="5" t="s">
        <v>12421</v>
      </c>
      <c r="W1204" s="5" t="s">
        <v>72</v>
      </c>
      <c r="X1204" s="5" t="s">
        <v>72</v>
      </c>
      <c r="Y1204" s="4">
        <v>120</v>
      </c>
      <c r="Z1204" s="4">
        <v>31</v>
      </c>
      <c r="AA1204" s="4">
        <v>109</v>
      </c>
      <c r="AB1204" s="4">
        <v>2</v>
      </c>
      <c r="AC1204" s="4">
        <v>20</v>
      </c>
      <c r="AD1204" s="4">
        <v>63</v>
      </c>
      <c r="AE1204" s="4">
        <v>118</v>
      </c>
      <c r="AF1204" s="4">
        <v>1</v>
      </c>
      <c r="AG1204" s="4">
        <v>8</v>
      </c>
      <c r="AH1204" s="4">
        <v>49</v>
      </c>
      <c r="AI1204" s="4">
        <v>77</v>
      </c>
      <c r="AJ1204" s="4">
        <v>22</v>
      </c>
      <c r="AK1204" s="4">
        <v>27</v>
      </c>
      <c r="AL1204" s="4">
        <v>29</v>
      </c>
      <c r="AM1204" s="4">
        <v>42</v>
      </c>
      <c r="AN1204" s="4">
        <v>0</v>
      </c>
      <c r="AO1204" s="4">
        <v>0</v>
      </c>
      <c r="AP1204" s="4">
        <v>24</v>
      </c>
      <c r="AQ1204" s="4">
        <v>51</v>
      </c>
      <c r="AR1204" s="3" t="s">
        <v>73</v>
      </c>
      <c r="AS1204" s="3" t="s">
        <v>64</v>
      </c>
      <c r="AT1204" s="3" t="s">
        <v>64</v>
      </c>
      <c r="AV1204" s="6" t="str">
        <f>HYPERLINK("http://mcgill.on.worldcat.org/oclc/491895016","Catalog Record")</f>
        <v>Catalog Record</v>
      </c>
      <c r="AW1204" s="6" t="str">
        <f>HYPERLINK("http://www.worldcat.org/oclc/491895016","WorldCat Record")</f>
        <v>WorldCat Record</v>
      </c>
      <c r="AX1204" s="3" t="s">
        <v>12422</v>
      </c>
      <c r="AY1204" s="3" t="s">
        <v>12423</v>
      </c>
      <c r="AZ1204" s="3" t="s">
        <v>12424</v>
      </c>
      <c r="BA1204" s="3" t="s">
        <v>12424</v>
      </c>
      <c r="BB1204" s="3" t="s">
        <v>12425</v>
      </c>
      <c r="BC1204" s="3" t="s">
        <v>78</v>
      </c>
      <c r="BD1204" s="3" t="s">
        <v>79</v>
      </c>
      <c r="BE1204" s="3" t="s">
        <v>12426</v>
      </c>
      <c r="BF1204" s="3" t="s">
        <v>12425</v>
      </c>
      <c r="BG1204" s="3" t="s">
        <v>12427</v>
      </c>
    </row>
    <row r="1205" spans="1:59" ht="58" x14ac:dyDescent="0.35">
      <c r="A1205" s="2" t="s">
        <v>59</v>
      </c>
      <c r="B1205" s="2" t="s">
        <v>94</v>
      </c>
      <c r="C1205" s="2" t="s">
        <v>12428</v>
      </c>
      <c r="D1205" s="2" t="s">
        <v>12429</v>
      </c>
      <c r="E1205" s="2" t="s">
        <v>12430</v>
      </c>
      <c r="G1205" s="3" t="s">
        <v>64</v>
      </c>
      <c r="I1205" s="3" t="s">
        <v>64</v>
      </c>
      <c r="J1205" s="3" t="s">
        <v>64</v>
      </c>
      <c r="K1205" s="3" t="s">
        <v>65</v>
      </c>
      <c r="M1205" s="2" t="s">
        <v>12431</v>
      </c>
      <c r="N1205" s="3" t="s">
        <v>175</v>
      </c>
      <c r="O1205" s="2" t="s">
        <v>12432</v>
      </c>
      <c r="P1205" s="3" t="s">
        <v>69</v>
      </c>
      <c r="Q1205" s="2" t="s">
        <v>12433</v>
      </c>
      <c r="R1205" s="3" t="s">
        <v>9228</v>
      </c>
      <c r="S1205" s="4">
        <v>0</v>
      </c>
      <c r="T1205" s="4">
        <v>0</v>
      </c>
      <c r="W1205" s="5" t="s">
        <v>72</v>
      </c>
      <c r="X1205" s="5" t="s">
        <v>72</v>
      </c>
      <c r="Y1205" s="4">
        <v>25</v>
      </c>
      <c r="Z1205" s="4">
        <v>3</v>
      </c>
      <c r="AA1205" s="4">
        <v>5</v>
      </c>
      <c r="AB1205" s="4">
        <v>1</v>
      </c>
      <c r="AC1205" s="4">
        <v>3</v>
      </c>
      <c r="AD1205" s="4">
        <v>6</v>
      </c>
      <c r="AE1205" s="4">
        <v>7</v>
      </c>
      <c r="AF1205" s="4">
        <v>0</v>
      </c>
      <c r="AG1205" s="4">
        <v>0</v>
      </c>
      <c r="AH1205" s="4">
        <v>5</v>
      </c>
      <c r="AI1205" s="4">
        <v>6</v>
      </c>
      <c r="AJ1205" s="4">
        <v>1</v>
      </c>
      <c r="AK1205" s="4">
        <v>1</v>
      </c>
      <c r="AL1205" s="4">
        <v>6</v>
      </c>
      <c r="AM1205" s="4">
        <v>7</v>
      </c>
      <c r="AN1205" s="4">
        <v>0</v>
      </c>
      <c r="AO1205" s="4">
        <v>0</v>
      </c>
      <c r="AP1205" s="4">
        <v>1</v>
      </c>
      <c r="AQ1205" s="4">
        <v>1</v>
      </c>
      <c r="AR1205" s="3" t="s">
        <v>64</v>
      </c>
      <c r="AS1205" s="3" t="s">
        <v>64</v>
      </c>
      <c r="AT1205" s="3" t="s">
        <v>64</v>
      </c>
      <c r="AV1205" s="6" t="str">
        <f>HYPERLINK("http://mcgill.on.worldcat.org/oclc/899260285","Catalog Record")</f>
        <v>Catalog Record</v>
      </c>
      <c r="AW1205" s="6" t="str">
        <f>HYPERLINK("http://www.worldcat.org/oclc/899260285","WorldCat Record")</f>
        <v>WorldCat Record</v>
      </c>
      <c r="AX1205" s="3" t="s">
        <v>12434</v>
      </c>
      <c r="AY1205" s="3" t="s">
        <v>12435</v>
      </c>
      <c r="AZ1205" s="3" t="s">
        <v>12436</v>
      </c>
      <c r="BA1205" s="3" t="s">
        <v>12436</v>
      </c>
      <c r="BB1205" s="3" t="s">
        <v>12437</v>
      </c>
      <c r="BC1205" s="3" t="s">
        <v>78</v>
      </c>
      <c r="BD1205" s="3" t="s">
        <v>79</v>
      </c>
      <c r="BE1205" s="3" t="s">
        <v>12438</v>
      </c>
      <c r="BF1205" s="3" t="s">
        <v>12437</v>
      </c>
      <c r="BG1205" s="3" t="s">
        <v>12439</v>
      </c>
    </row>
    <row r="1206" spans="1:59" ht="58" x14ac:dyDescent="0.35">
      <c r="A1206" s="2" t="s">
        <v>59</v>
      </c>
      <c r="B1206" s="2" t="s">
        <v>94</v>
      </c>
      <c r="C1206" s="2" t="s">
        <v>12440</v>
      </c>
      <c r="D1206" s="2" t="s">
        <v>12441</v>
      </c>
      <c r="E1206" s="2" t="s">
        <v>12442</v>
      </c>
      <c r="G1206" s="3" t="s">
        <v>64</v>
      </c>
      <c r="I1206" s="3" t="s">
        <v>64</v>
      </c>
      <c r="J1206" s="3" t="s">
        <v>64</v>
      </c>
      <c r="K1206" s="3" t="s">
        <v>65</v>
      </c>
      <c r="L1206" s="2" t="s">
        <v>5725</v>
      </c>
      <c r="M1206" s="2" t="s">
        <v>12443</v>
      </c>
      <c r="N1206" s="3" t="s">
        <v>226</v>
      </c>
      <c r="P1206" s="3" t="s">
        <v>69</v>
      </c>
      <c r="R1206" s="3" t="s">
        <v>9228</v>
      </c>
      <c r="S1206" s="4">
        <v>17</v>
      </c>
      <c r="T1206" s="4">
        <v>17</v>
      </c>
      <c r="U1206" s="5" t="s">
        <v>11688</v>
      </c>
      <c r="V1206" s="5" t="s">
        <v>11688</v>
      </c>
      <c r="W1206" s="5" t="s">
        <v>72</v>
      </c>
      <c r="X1206" s="5" t="s">
        <v>72</v>
      </c>
      <c r="Y1206" s="4">
        <v>289</v>
      </c>
      <c r="Z1206" s="4">
        <v>18</v>
      </c>
      <c r="AA1206" s="4">
        <v>25</v>
      </c>
      <c r="AB1206" s="4">
        <v>2</v>
      </c>
      <c r="AC1206" s="4">
        <v>6</v>
      </c>
      <c r="AD1206" s="4">
        <v>90</v>
      </c>
      <c r="AE1206" s="4">
        <v>98</v>
      </c>
      <c r="AF1206" s="4">
        <v>1</v>
      </c>
      <c r="AG1206" s="4">
        <v>3</v>
      </c>
      <c r="AH1206" s="4">
        <v>83</v>
      </c>
      <c r="AI1206" s="4">
        <v>88</v>
      </c>
      <c r="AJ1206" s="4">
        <v>10</v>
      </c>
      <c r="AK1206" s="4">
        <v>15</v>
      </c>
      <c r="AL1206" s="4">
        <v>49</v>
      </c>
      <c r="AM1206" s="4">
        <v>52</v>
      </c>
      <c r="AN1206" s="4">
        <v>0</v>
      </c>
      <c r="AO1206" s="4">
        <v>0</v>
      </c>
      <c r="AP1206" s="4">
        <v>11</v>
      </c>
      <c r="AQ1206" s="4">
        <v>15</v>
      </c>
      <c r="AR1206" s="3" t="s">
        <v>64</v>
      </c>
      <c r="AS1206" s="3" t="s">
        <v>64</v>
      </c>
      <c r="AT1206" s="3" t="s">
        <v>64</v>
      </c>
      <c r="AV1206" s="6" t="str">
        <f>HYPERLINK("http://mcgill.on.worldcat.org/oclc/36430580","Catalog Record")</f>
        <v>Catalog Record</v>
      </c>
      <c r="AW1206" s="6" t="str">
        <f>HYPERLINK("http://www.worldcat.org/oclc/36430580","WorldCat Record")</f>
        <v>WorldCat Record</v>
      </c>
      <c r="AX1206" s="3" t="s">
        <v>12444</v>
      </c>
      <c r="AY1206" s="3" t="s">
        <v>12445</v>
      </c>
      <c r="AZ1206" s="3" t="s">
        <v>12446</v>
      </c>
      <c r="BA1206" s="3" t="s">
        <v>12446</v>
      </c>
      <c r="BB1206" s="3" t="s">
        <v>12447</v>
      </c>
      <c r="BC1206" s="3" t="s">
        <v>78</v>
      </c>
      <c r="BD1206" s="3" t="s">
        <v>79</v>
      </c>
      <c r="BE1206" s="3" t="s">
        <v>12448</v>
      </c>
      <c r="BF1206" s="3" t="s">
        <v>12447</v>
      </c>
      <c r="BG1206" s="3" t="s">
        <v>12449</v>
      </c>
    </row>
    <row r="1207" spans="1:59" ht="58" x14ac:dyDescent="0.35">
      <c r="A1207" s="2" t="s">
        <v>59</v>
      </c>
      <c r="B1207" s="2" t="s">
        <v>94</v>
      </c>
      <c r="C1207" s="2" t="s">
        <v>12450</v>
      </c>
      <c r="D1207" s="2" t="s">
        <v>12451</v>
      </c>
      <c r="E1207" s="2" t="s">
        <v>12452</v>
      </c>
      <c r="G1207" s="3" t="s">
        <v>64</v>
      </c>
      <c r="I1207" s="3" t="s">
        <v>64</v>
      </c>
      <c r="J1207" s="3" t="s">
        <v>64</v>
      </c>
      <c r="K1207" s="3" t="s">
        <v>65</v>
      </c>
      <c r="M1207" s="2" t="s">
        <v>12453</v>
      </c>
      <c r="N1207" s="3" t="s">
        <v>689</v>
      </c>
      <c r="P1207" s="3" t="s">
        <v>69</v>
      </c>
      <c r="Q1207" s="2" t="s">
        <v>12454</v>
      </c>
      <c r="R1207" s="3" t="s">
        <v>9228</v>
      </c>
      <c r="S1207" s="4">
        <v>7</v>
      </c>
      <c r="T1207" s="4">
        <v>7</v>
      </c>
      <c r="U1207" s="5" t="s">
        <v>897</v>
      </c>
      <c r="V1207" s="5" t="s">
        <v>897</v>
      </c>
      <c r="W1207" s="5" t="s">
        <v>72</v>
      </c>
      <c r="X1207" s="5" t="s">
        <v>72</v>
      </c>
      <c r="Y1207" s="4">
        <v>188</v>
      </c>
      <c r="Z1207" s="4">
        <v>16</v>
      </c>
      <c r="AA1207" s="4">
        <v>17</v>
      </c>
      <c r="AB1207" s="4">
        <v>1</v>
      </c>
      <c r="AC1207" s="4">
        <v>2</v>
      </c>
      <c r="AD1207" s="4">
        <v>80</v>
      </c>
      <c r="AE1207" s="4">
        <v>81</v>
      </c>
      <c r="AF1207" s="4">
        <v>0</v>
      </c>
      <c r="AG1207" s="4">
        <v>1</v>
      </c>
      <c r="AH1207" s="4">
        <v>71</v>
      </c>
      <c r="AI1207" s="4">
        <v>71</v>
      </c>
      <c r="AJ1207" s="4">
        <v>12</v>
      </c>
      <c r="AK1207" s="4">
        <v>13</v>
      </c>
      <c r="AL1207" s="4">
        <v>41</v>
      </c>
      <c r="AM1207" s="4">
        <v>41</v>
      </c>
      <c r="AN1207" s="4">
        <v>0</v>
      </c>
      <c r="AO1207" s="4">
        <v>0</v>
      </c>
      <c r="AP1207" s="4">
        <v>13</v>
      </c>
      <c r="AQ1207" s="4">
        <v>13</v>
      </c>
      <c r="AR1207" s="3" t="s">
        <v>64</v>
      </c>
      <c r="AS1207" s="3" t="s">
        <v>64</v>
      </c>
      <c r="AT1207" s="3" t="s">
        <v>73</v>
      </c>
      <c r="AU1207" s="6" t="str">
        <f>HYPERLINK("http://catalog.hathitrust.org/Record/002483689","HathiTrust Record")</f>
        <v>HathiTrust Record</v>
      </c>
      <c r="AV1207" s="6" t="str">
        <f>HYPERLINK("http://mcgill.on.worldcat.org/oclc/23355972","Catalog Record")</f>
        <v>Catalog Record</v>
      </c>
      <c r="AW1207" s="6" t="str">
        <f>HYPERLINK("http://www.worldcat.org/oclc/23355972","WorldCat Record")</f>
        <v>WorldCat Record</v>
      </c>
      <c r="AX1207" s="3" t="s">
        <v>12455</v>
      </c>
      <c r="AY1207" s="3" t="s">
        <v>12456</v>
      </c>
      <c r="AZ1207" s="3" t="s">
        <v>12457</v>
      </c>
      <c r="BA1207" s="3" t="s">
        <v>12457</v>
      </c>
      <c r="BB1207" s="3" t="s">
        <v>12458</v>
      </c>
      <c r="BC1207" s="3" t="s">
        <v>78</v>
      </c>
      <c r="BD1207" s="3" t="s">
        <v>79</v>
      </c>
      <c r="BE1207" s="3" t="s">
        <v>12459</v>
      </c>
      <c r="BF1207" s="3" t="s">
        <v>12458</v>
      </c>
      <c r="BG1207" s="3" t="s">
        <v>12460</v>
      </c>
    </row>
    <row r="1208" spans="1:59" ht="58" x14ac:dyDescent="0.35">
      <c r="A1208" s="2" t="s">
        <v>59</v>
      </c>
      <c r="B1208" s="2" t="s">
        <v>94</v>
      </c>
      <c r="C1208" s="2" t="s">
        <v>12461</v>
      </c>
      <c r="D1208" s="2" t="s">
        <v>12462</v>
      </c>
      <c r="E1208" s="2" t="s">
        <v>12463</v>
      </c>
      <c r="G1208" s="3" t="s">
        <v>64</v>
      </c>
      <c r="I1208" s="3" t="s">
        <v>64</v>
      </c>
      <c r="J1208" s="3" t="s">
        <v>64</v>
      </c>
      <c r="K1208" s="3" t="s">
        <v>65</v>
      </c>
      <c r="L1208" s="2" t="s">
        <v>12464</v>
      </c>
      <c r="M1208" s="2" t="s">
        <v>3168</v>
      </c>
      <c r="N1208" s="3" t="s">
        <v>328</v>
      </c>
      <c r="P1208" s="3" t="s">
        <v>69</v>
      </c>
      <c r="R1208" s="3" t="s">
        <v>9228</v>
      </c>
      <c r="S1208" s="4">
        <v>2</v>
      </c>
      <c r="T1208" s="4">
        <v>2</v>
      </c>
      <c r="U1208" s="5" t="s">
        <v>10152</v>
      </c>
      <c r="V1208" s="5" t="s">
        <v>10152</v>
      </c>
      <c r="W1208" s="5" t="s">
        <v>72</v>
      </c>
      <c r="X1208" s="5" t="s">
        <v>72</v>
      </c>
      <c r="Y1208" s="4">
        <v>131</v>
      </c>
      <c r="Z1208" s="4">
        <v>14</v>
      </c>
      <c r="AA1208" s="4">
        <v>33</v>
      </c>
      <c r="AB1208" s="4">
        <v>1</v>
      </c>
      <c r="AC1208" s="4">
        <v>5</v>
      </c>
      <c r="AD1208" s="4">
        <v>51</v>
      </c>
      <c r="AE1208" s="4">
        <v>91</v>
      </c>
      <c r="AF1208" s="4">
        <v>0</v>
      </c>
      <c r="AG1208" s="4">
        <v>2</v>
      </c>
      <c r="AH1208" s="4">
        <v>47</v>
      </c>
      <c r="AI1208" s="4">
        <v>76</v>
      </c>
      <c r="AJ1208" s="4">
        <v>9</v>
      </c>
      <c r="AK1208" s="4">
        <v>15</v>
      </c>
      <c r="AL1208" s="4">
        <v>27</v>
      </c>
      <c r="AM1208" s="4">
        <v>42</v>
      </c>
      <c r="AN1208" s="4">
        <v>0</v>
      </c>
      <c r="AO1208" s="4">
        <v>0</v>
      </c>
      <c r="AP1208" s="4">
        <v>10</v>
      </c>
      <c r="AQ1208" s="4">
        <v>22</v>
      </c>
      <c r="AR1208" s="3" t="s">
        <v>64</v>
      </c>
      <c r="AS1208" s="3" t="s">
        <v>64</v>
      </c>
      <c r="AT1208" s="3" t="s">
        <v>64</v>
      </c>
      <c r="AV1208" s="6" t="str">
        <f>HYPERLINK("http://mcgill.on.worldcat.org/oclc/651153744","Catalog Record")</f>
        <v>Catalog Record</v>
      </c>
      <c r="AW1208" s="6" t="str">
        <f>HYPERLINK("http://www.worldcat.org/oclc/651153744","WorldCat Record")</f>
        <v>WorldCat Record</v>
      </c>
      <c r="AX1208" s="3" t="s">
        <v>12465</v>
      </c>
      <c r="AY1208" s="3" t="s">
        <v>12466</v>
      </c>
      <c r="AZ1208" s="3" t="s">
        <v>12467</v>
      </c>
      <c r="BA1208" s="3" t="s">
        <v>12467</v>
      </c>
      <c r="BB1208" s="3" t="s">
        <v>12468</v>
      </c>
      <c r="BC1208" s="3" t="s">
        <v>78</v>
      </c>
      <c r="BD1208" s="3" t="s">
        <v>79</v>
      </c>
      <c r="BE1208" s="3" t="s">
        <v>12469</v>
      </c>
      <c r="BF1208" s="3" t="s">
        <v>12468</v>
      </c>
      <c r="BG1208" s="3" t="s">
        <v>12470</v>
      </c>
    </row>
    <row r="1209" spans="1:59" ht="58" x14ac:dyDescent="0.35">
      <c r="A1209" s="2" t="s">
        <v>59</v>
      </c>
      <c r="B1209" s="2" t="s">
        <v>94</v>
      </c>
      <c r="C1209" s="2" t="s">
        <v>12471</v>
      </c>
      <c r="D1209" s="2" t="s">
        <v>12472</v>
      </c>
      <c r="E1209" s="2" t="s">
        <v>12473</v>
      </c>
      <c r="G1209" s="3" t="s">
        <v>64</v>
      </c>
      <c r="I1209" s="3" t="s">
        <v>64</v>
      </c>
      <c r="J1209" s="3" t="s">
        <v>64</v>
      </c>
      <c r="K1209" s="3" t="s">
        <v>65</v>
      </c>
      <c r="L1209" s="2" t="s">
        <v>12474</v>
      </c>
      <c r="M1209" s="2" t="s">
        <v>1880</v>
      </c>
      <c r="N1209" s="3" t="s">
        <v>538</v>
      </c>
      <c r="P1209" s="3" t="s">
        <v>69</v>
      </c>
      <c r="R1209" s="3" t="s">
        <v>9228</v>
      </c>
      <c r="S1209" s="4">
        <v>1</v>
      </c>
      <c r="T1209" s="4">
        <v>1</v>
      </c>
      <c r="U1209" s="5" t="s">
        <v>10013</v>
      </c>
      <c r="V1209" s="5" t="s">
        <v>10013</v>
      </c>
      <c r="W1209" s="5" t="s">
        <v>72</v>
      </c>
      <c r="X1209" s="5" t="s">
        <v>72</v>
      </c>
      <c r="Y1209" s="4">
        <v>94</v>
      </c>
      <c r="Z1209" s="4">
        <v>8</v>
      </c>
      <c r="AA1209" s="4">
        <v>104</v>
      </c>
      <c r="AB1209" s="4">
        <v>1</v>
      </c>
      <c r="AC1209" s="4">
        <v>21</v>
      </c>
      <c r="AD1209" s="4">
        <v>41</v>
      </c>
      <c r="AE1209" s="4">
        <v>127</v>
      </c>
      <c r="AF1209" s="4">
        <v>0</v>
      </c>
      <c r="AG1209" s="4">
        <v>9</v>
      </c>
      <c r="AH1209" s="4">
        <v>37</v>
      </c>
      <c r="AI1209" s="4">
        <v>80</v>
      </c>
      <c r="AJ1209" s="4">
        <v>6</v>
      </c>
      <c r="AK1209" s="4">
        <v>25</v>
      </c>
      <c r="AL1209" s="4">
        <v>22</v>
      </c>
      <c r="AM1209" s="4">
        <v>40</v>
      </c>
      <c r="AN1209" s="4">
        <v>0</v>
      </c>
      <c r="AO1209" s="4">
        <v>0</v>
      </c>
      <c r="AP1209" s="4">
        <v>7</v>
      </c>
      <c r="AQ1209" s="4">
        <v>54</v>
      </c>
      <c r="AR1209" s="3" t="s">
        <v>64</v>
      </c>
      <c r="AS1209" s="3" t="s">
        <v>64</v>
      </c>
      <c r="AT1209" s="3" t="s">
        <v>64</v>
      </c>
      <c r="AV1209" s="6" t="str">
        <f>HYPERLINK("http://mcgill.on.worldcat.org/oclc/155129712","Catalog Record")</f>
        <v>Catalog Record</v>
      </c>
      <c r="AW1209" s="6" t="str">
        <f>HYPERLINK("http://www.worldcat.org/oclc/155129712","WorldCat Record")</f>
        <v>WorldCat Record</v>
      </c>
      <c r="AX1209" s="3" t="s">
        <v>12475</v>
      </c>
      <c r="AY1209" s="3" t="s">
        <v>12476</v>
      </c>
      <c r="AZ1209" s="3" t="s">
        <v>12477</v>
      </c>
      <c r="BA1209" s="3" t="s">
        <v>12477</v>
      </c>
      <c r="BB1209" s="3" t="s">
        <v>12478</v>
      </c>
      <c r="BC1209" s="3" t="s">
        <v>78</v>
      </c>
      <c r="BD1209" s="3" t="s">
        <v>79</v>
      </c>
      <c r="BE1209" s="3" t="s">
        <v>12479</v>
      </c>
      <c r="BF1209" s="3" t="s">
        <v>12478</v>
      </c>
      <c r="BG1209" s="3" t="s">
        <v>12480</v>
      </c>
    </row>
    <row r="1210" spans="1:59" ht="58" x14ac:dyDescent="0.35">
      <c r="A1210" s="2" t="s">
        <v>59</v>
      </c>
      <c r="B1210" s="2" t="s">
        <v>94</v>
      </c>
      <c r="C1210" s="2" t="s">
        <v>12481</v>
      </c>
      <c r="D1210" s="2" t="s">
        <v>12482</v>
      </c>
      <c r="E1210" s="2" t="s">
        <v>12483</v>
      </c>
      <c r="G1210" s="3" t="s">
        <v>64</v>
      </c>
      <c r="I1210" s="3" t="s">
        <v>64</v>
      </c>
      <c r="J1210" s="3" t="s">
        <v>64</v>
      </c>
      <c r="K1210" s="3" t="s">
        <v>65</v>
      </c>
      <c r="L1210" s="2" t="s">
        <v>12484</v>
      </c>
      <c r="M1210" s="2" t="s">
        <v>12485</v>
      </c>
      <c r="N1210" s="3" t="s">
        <v>1064</v>
      </c>
      <c r="O1210" s="2" t="s">
        <v>1015</v>
      </c>
      <c r="P1210" s="3" t="s">
        <v>69</v>
      </c>
      <c r="R1210" s="3" t="s">
        <v>9228</v>
      </c>
      <c r="S1210" s="4">
        <v>21</v>
      </c>
      <c r="T1210" s="4">
        <v>21</v>
      </c>
      <c r="U1210" s="5" t="s">
        <v>10562</v>
      </c>
      <c r="V1210" s="5" t="s">
        <v>10562</v>
      </c>
      <c r="W1210" s="5" t="s">
        <v>72</v>
      </c>
      <c r="X1210" s="5" t="s">
        <v>72</v>
      </c>
      <c r="Y1210" s="4">
        <v>380</v>
      </c>
      <c r="Z1210" s="4">
        <v>10</v>
      </c>
      <c r="AA1210" s="4">
        <v>21</v>
      </c>
      <c r="AB1210" s="4">
        <v>1</v>
      </c>
      <c r="AC1210" s="4">
        <v>1</v>
      </c>
      <c r="AD1210" s="4">
        <v>46</v>
      </c>
      <c r="AE1210" s="4">
        <v>82</v>
      </c>
      <c r="AF1210" s="4">
        <v>0</v>
      </c>
      <c r="AG1210" s="4">
        <v>0</v>
      </c>
      <c r="AH1210" s="4">
        <v>43</v>
      </c>
      <c r="AI1210" s="4">
        <v>74</v>
      </c>
      <c r="AJ1210" s="4">
        <v>3</v>
      </c>
      <c r="AK1210" s="4">
        <v>11</v>
      </c>
      <c r="AL1210" s="4">
        <v>18</v>
      </c>
      <c r="AM1210" s="4">
        <v>41</v>
      </c>
      <c r="AN1210" s="4">
        <v>0</v>
      </c>
      <c r="AO1210" s="4">
        <v>0</v>
      </c>
      <c r="AP1210" s="4">
        <v>4</v>
      </c>
      <c r="AQ1210" s="4">
        <v>12</v>
      </c>
      <c r="AR1210" s="3" t="s">
        <v>64</v>
      </c>
      <c r="AS1210" s="3" t="s">
        <v>64</v>
      </c>
      <c r="AT1210" s="3" t="s">
        <v>64</v>
      </c>
      <c r="AV1210" s="6" t="str">
        <f>HYPERLINK("http://mcgill.on.worldcat.org/oclc/42397689","Catalog Record")</f>
        <v>Catalog Record</v>
      </c>
      <c r="AW1210" s="6" t="str">
        <f>HYPERLINK("http://www.worldcat.org/oclc/42397689","WorldCat Record")</f>
        <v>WorldCat Record</v>
      </c>
      <c r="AX1210" s="3" t="s">
        <v>12486</v>
      </c>
      <c r="AY1210" s="3" t="s">
        <v>12487</v>
      </c>
      <c r="AZ1210" s="3" t="s">
        <v>12488</v>
      </c>
      <c r="BA1210" s="3" t="s">
        <v>12488</v>
      </c>
      <c r="BB1210" s="3" t="s">
        <v>12489</v>
      </c>
      <c r="BC1210" s="3" t="s">
        <v>78</v>
      </c>
      <c r="BD1210" s="3" t="s">
        <v>79</v>
      </c>
      <c r="BE1210" s="3" t="s">
        <v>12490</v>
      </c>
      <c r="BF1210" s="3" t="s">
        <v>12489</v>
      </c>
      <c r="BG1210" s="3" t="s">
        <v>12491</v>
      </c>
    </row>
    <row r="1211" spans="1:59" ht="58" x14ac:dyDescent="0.35">
      <c r="A1211" s="2" t="s">
        <v>59</v>
      </c>
      <c r="B1211" s="2" t="s">
        <v>94</v>
      </c>
      <c r="C1211" s="2" t="s">
        <v>12492</v>
      </c>
      <c r="D1211" s="2" t="s">
        <v>12493</v>
      </c>
      <c r="E1211" s="2" t="s">
        <v>12494</v>
      </c>
      <c r="G1211" s="3" t="s">
        <v>64</v>
      </c>
      <c r="I1211" s="3" t="s">
        <v>64</v>
      </c>
      <c r="J1211" s="3" t="s">
        <v>64</v>
      </c>
      <c r="K1211" s="3" t="s">
        <v>65</v>
      </c>
      <c r="L1211" s="2" t="s">
        <v>12495</v>
      </c>
      <c r="M1211" s="2" t="s">
        <v>945</v>
      </c>
      <c r="N1211" s="3" t="s">
        <v>524</v>
      </c>
      <c r="P1211" s="3" t="s">
        <v>69</v>
      </c>
      <c r="R1211" s="3" t="s">
        <v>9228</v>
      </c>
      <c r="S1211" s="4">
        <v>3</v>
      </c>
      <c r="T1211" s="4">
        <v>3</v>
      </c>
      <c r="U1211" s="5" t="s">
        <v>5031</v>
      </c>
      <c r="V1211" s="5" t="s">
        <v>5031</v>
      </c>
      <c r="W1211" s="5" t="s">
        <v>72</v>
      </c>
      <c r="X1211" s="5" t="s">
        <v>72</v>
      </c>
      <c r="Y1211" s="4">
        <v>92</v>
      </c>
      <c r="Z1211" s="4">
        <v>8</v>
      </c>
      <c r="AA1211" s="4">
        <v>39</v>
      </c>
      <c r="AB1211" s="4">
        <v>1</v>
      </c>
      <c r="AC1211" s="4">
        <v>6</v>
      </c>
      <c r="AD1211" s="4">
        <v>41</v>
      </c>
      <c r="AE1211" s="4">
        <v>80</v>
      </c>
      <c r="AF1211" s="4">
        <v>0</v>
      </c>
      <c r="AG1211" s="4">
        <v>2</v>
      </c>
      <c r="AH1211" s="4">
        <v>40</v>
      </c>
      <c r="AI1211" s="4">
        <v>69</v>
      </c>
      <c r="AJ1211" s="4">
        <v>6</v>
      </c>
      <c r="AK1211" s="4">
        <v>12</v>
      </c>
      <c r="AL1211" s="4">
        <v>24</v>
      </c>
      <c r="AM1211" s="4">
        <v>38</v>
      </c>
      <c r="AN1211" s="4">
        <v>0</v>
      </c>
      <c r="AO1211" s="4">
        <v>0</v>
      </c>
      <c r="AP1211" s="4">
        <v>6</v>
      </c>
      <c r="AQ1211" s="4">
        <v>17</v>
      </c>
      <c r="AR1211" s="3" t="s">
        <v>64</v>
      </c>
      <c r="AS1211" s="3" t="s">
        <v>64</v>
      </c>
      <c r="AT1211" s="3" t="s">
        <v>64</v>
      </c>
      <c r="AV1211" s="6" t="str">
        <f>HYPERLINK("http://mcgill.on.worldcat.org/oclc/794922740","Catalog Record")</f>
        <v>Catalog Record</v>
      </c>
      <c r="AW1211" s="6" t="str">
        <f>HYPERLINK("http://www.worldcat.org/oclc/794922740","WorldCat Record")</f>
        <v>WorldCat Record</v>
      </c>
      <c r="AX1211" s="3" t="s">
        <v>12496</v>
      </c>
      <c r="AY1211" s="3" t="s">
        <v>12497</v>
      </c>
      <c r="AZ1211" s="3" t="s">
        <v>12498</v>
      </c>
      <c r="BA1211" s="3" t="s">
        <v>12498</v>
      </c>
      <c r="BB1211" s="3" t="s">
        <v>12499</v>
      </c>
      <c r="BC1211" s="3" t="s">
        <v>78</v>
      </c>
      <c r="BD1211" s="3" t="s">
        <v>79</v>
      </c>
      <c r="BE1211" s="3" t="s">
        <v>12500</v>
      </c>
      <c r="BF1211" s="3" t="s">
        <v>12499</v>
      </c>
      <c r="BG1211" s="3" t="s">
        <v>12501</v>
      </c>
    </row>
    <row r="1212" spans="1:59" ht="58" x14ac:dyDescent="0.35">
      <c r="A1212" s="2" t="s">
        <v>59</v>
      </c>
      <c r="B1212" s="2" t="s">
        <v>94</v>
      </c>
      <c r="C1212" s="2" t="s">
        <v>12502</v>
      </c>
      <c r="D1212" s="2" t="s">
        <v>12503</v>
      </c>
      <c r="E1212" s="2" t="s">
        <v>12504</v>
      </c>
      <c r="G1212" s="3" t="s">
        <v>64</v>
      </c>
      <c r="I1212" s="3" t="s">
        <v>64</v>
      </c>
      <c r="J1212" s="3" t="s">
        <v>64</v>
      </c>
      <c r="K1212" s="3" t="s">
        <v>65</v>
      </c>
      <c r="M1212" s="2" t="s">
        <v>12505</v>
      </c>
      <c r="N1212" s="3" t="s">
        <v>328</v>
      </c>
      <c r="P1212" s="3" t="s">
        <v>69</v>
      </c>
      <c r="Q1212" s="2" t="s">
        <v>12506</v>
      </c>
      <c r="R1212" s="3" t="s">
        <v>9228</v>
      </c>
      <c r="S1212" s="4">
        <v>0</v>
      </c>
      <c r="T1212" s="4">
        <v>0</v>
      </c>
      <c r="W1212" s="5" t="s">
        <v>72</v>
      </c>
      <c r="X1212" s="5" t="s">
        <v>72</v>
      </c>
      <c r="Y1212" s="4">
        <v>18</v>
      </c>
      <c r="Z1212" s="4">
        <v>4</v>
      </c>
      <c r="AA1212" s="4">
        <v>17</v>
      </c>
      <c r="AB1212" s="4">
        <v>1</v>
      </c>
      <c r="AC1212" s="4">
        <v>1</v>
      </c>
      <c r="AD1212" s="4">
        <v>9</v>
      </c>
      <c r="AE1212" s="4">
        <v>36</v>
      </c>
      <c r="AF1212" s="4">
        <v>0</v>
      </c>
      <c r="AG1212" s="4">
        <v>0</v>
      </c>
      <c r="AH1212" s="4">
        <v>9</v>
      </c>
      <c r="AI1212" s="4">
        <v>30</v>
      </c>
      <c r="AJ1212" s="4">
        <v>2</v>
      </c>
      <c r="AK1212" s="4">
        <v>8</v>
      </c>
      <c r="AL1212" s="4">
        <v>5</v>
      </c>
      <c r="AM1212" s="4">
        <v>17</v>
      </c>
      <c r="AN1212" s="4">
        <v>0</v>
      </c>
      <c r="AO1212" s="4">
        <v>0</v>
      </c>
      <c r="AP1212" s="4">
        <v>2</v>
      </c>
      <c r="AQ1212" s="4">
        <v>12</v>
      </c>
      <c r="AR1212" s="3" t="s">
        <v>64</v>
      </c>
      <c r="AS1212" s="3" t="s">
        <v>64</v>
      </c>
      <c r="AT1212" s="3" t="s">
        <v>64</v>
      </c>
      <c r="AV1212" s="6" t="str">
        <f>HYPERLINK("http://mcgill.on.worldcat.org/oclc/786439287","Catalog Record")</f>
        <v>Catalog Record</v>
      </c>
      <c r="AW1212" s="6" t="str">
        <f>HYPERLINK("http://www.worldcat.org/oclc/786439287","WorldCat Record")</f>
        <v>WorldCat Record</v>
      </c>
      <c r="AX1212" s="3" t="s">
        <v>12507</v>
      </c>
      <c r="AY1212" s="3" t="s">
        <v>12508</v>
      </c>
      <c r="AZ1212" s="3" t="s">
        <v>12509</v>
      </c>
      <c r="BA1212" s="3" t="s">
        <v>12509</v>
      </c>
      <c r="BB1212" s="3" t="s">
        <v>12510</v>
      </c>
      <c r="BC1212" s="3" t="s">
        <v>78</v>
      </c>
      <c r="BD1212" s="3" t="s">
        <v>79</v>
      </c>
      <c r="BE1212" s="3" t="s">
        <v>12511</v>
      </c>
      <c r="BF1212" s="3" t="s">
        <v>12510</v>
      </c>
      <c r="BG1212" s="3" t="s">
        <v>12512</v>
      </c>
    </row>
    <row r="1213" spans="1:59" ht="58" x14ac:dyDescent="0.35">
      <c r="A1213" s="2" t="s">
        <v>59</v>
      </c>
      <c r="B1213" s="2" t="s">
        <v>94</v>
      </c>
      <c r="C1213" s="2" t="s">
        <v>12513</v>
      </c>
      <c r="D1213" s="2" t="s">
        <v>12514</v>
      </c>
      <c r="E1213" s="2" t="s">
        <v>12515</v>
      </c>
      <c r="G1213" s="3" t="s">
        <v>64</v>
      </c>
      <c r="I1213" s="3" t="s">
        <v>64</v>
      </c>
      <c r="J1213" s="3" t="s">
        <v>64</v>
      </c>
      <c r="K1213" s="3" t="s">
        <v>65</v>
      </c>
      <c r="M1213" s="2" t="s">
        <v>12516</v>
      </c>
      <c r="N1213" s="3" t="s">
        <v>861</v>
      </c>
      <c r="P1213" s="3" t="s">
        <v>162</v>
      </c>
      <c r="R1213" s="3" t="s">
        <v>9228</v>
      </c>
      <c r="S1213" s="4">
        <v>3</v>
      </c>
      <c r="T1213" s="4">
        <v>3</v>
      </c>
      <c r="U1213" s="5" t="s">
        <v>8502</v>
      </c>
      <c r="V1213" s="5" t="s">
        <v>8502</v>
      </c>
      <c r="W1213" s="5" t="s">
        <v>72</v>
      </c>
      <c r="X1213" s="5" t="s">
        <v>72</v>
      </c>
      <c r="Y1213" s="4">
        <v>6</v>
      </c>
      <c r="Z1213" s="4">
        <v>3</v>
      </c>
      <c r="AA1213" s="4">
        <v>3</v>
      </c>
      <c r="AB1213" s="4">
        <v>1</v>
      </c>
      <c r="AC1213" s="4">
        <v>1</v>
      </c>
      <c r="AD1213" s="4">
        <v>2</v>
      </c>
      <c r="AE1213" s="4">
        <v>2</v>
      </c>
      <c r="AF1213" s="4">
        <v>0</v>
      </c>
      <c r="AG1213" s="4">
        <v>0</v>
      </c>
      <c r="AH1213" s="4">
        <v>2</v>
      </c>
      <c r="AI1213" s="4">
        <v>2</v>
      </c>
      <c r="AJ1213" s="4">
        <v>1</v>
      </c>
      <c r="AK1213" s="4">
        <v>1</v>
      </c>
      <c r="AL1213" s="4">
        <v>2</v>
      </c>
      <c r="AM1213" s="4">
        <v>2</v>
      </c>
      <c r="AN1213" s="4">
        <v>0</v>
      </c>
      <c r="AO1213" s="4">
        <v>0</v>
      </c>
      <c r="AP1213" s="4">
        <v>1</v>
      </c>
      <c r="AQ1213" s="4">
        <v>1</v>
      </c>
      <c r="AR1213" s="3" t="s">
        <v>64</v>
      </c>
      <c r="AS1213" s="3" t="s">
        <v>64</v>
      </c>
      <c r="AT1213" s="3" t="s">
        <v>64</v>
      </c>
      <c r="AV1213" s="6" t="str">
        <f>HYPERLINK("http://mcgill.on.worldcat.org/oclc/163632098","Catalog Record")</f>
        <v>Catalog Record</v>
      </c>
      <c r="AW1213" s="6" t="str">
        <f>HYPERLINK("http://www.worldcat.org/oclc/163632098","WorldCat Record")</f>
        <v>WorldCat Record</v>
      </c>
      <c r="AX1213" s="3" t="s">
        <v>12517</v>
      </c>
      <c r="AY1213" s="3" t="s">
        <v>12518</v>
      </c>
      <c r="AZ1213" s="3" t="s">
        <v>12519</v>
      </c>
      <c r="BA1213" s="3" t="s">
        <v>12519</v>
      </c>
      <c r="BB1213" s="3" t="s">
        <v>12520</v>
      </c>
      <c r="BC1213" s="3" t="s">
        <v>78</v>
      </c>
      <c r="BD1213" s="3" t="s">
        <v>79</v>
      </c>
      <c r="BE1213" s="3" t="s">
        <v>12521</v>
      </c>
      <c r="BF1213" s="3" t="s">
        <v>12520</v>
      </c>
      <c r="BG1213" s="3" t="s">
        <v>12522</v>
      </c>
    </row>
    <row r="1214" spans="1:59" ht="58" x14ac:dyDescent="0.35">
      <c r="A1214" s="2" t="s">
        <v>59</v>
      </c>
      <c r="B1214" s="2" t="s">
        <v>94</v>
      </c>
      <c r="C1214" s="2" t="s">
        <v>12523</v>
      </c>
      <c r="D1214" s="2" t="s">
        <v>12524</v>
      </c>
      <c r="E1214" s="2" t="s">
        <v>12525</v>
      </c>
      <c r="G1214" s="3" t="s">
        <v>64</v>
      </c>
      <c r="I1214" s="3" t="s">
        <v>64</v>
      </c>
      <c r="J1214" s="3" t="s">
        <v>64</v>
      </c>
      <c r="K1214" s="3" t="s">
        <v>65</v>
      </c>
      <c r="M1214" s="2" t="s">
        <v>12526</v>
      </c>
      <c r="N1214" s="3" t="s">
        <v>303</v>
      </c>
      <c r="P1214" s="3" t="s">
        <v>69</v>
      </c>
      <c r="Q1214" s="2" t="s">
        <v>12527</v>
      </c>
      <c r="R1214" s="3" t="s">
        <v>9228</v>
      </c>
      <c r="S1214" s="4">
        <v>16</v>
      </c>
      <c r="T1214" s="4">
        <v>16</v>
      </c>
      <c r="U1214" s="5" t="s">
        <v>12528</v>
      </c>
      <c r="V1214" s="5" t="s">
        <v>12528</v>
      </c>
      <c r="W1214" s="5" t="s">
        <v>72</v>
      </c>
      <c r="X1214" s="5" t="s">
        <v>72</v>
      </c>
      <c r="Y1214" s="4">
        <v>221</v>
      </c>
      <c r="Z1214" s="4">
        <v>16</v>
      </c>
      <c r="AA1214" s="4">
        <v>16</v>
      </c>
      <c r="AB1214" s="4">
        <v>1</v>
      </c>
      <c r="AC1214" s="4">
        <v>1</v>
      </c>
      <c r="AD1214" s="4">
        <v>86</v>
      </c>
      <c r="AE1214" s="4">
        <v>86</v>
      </c>
      <c r="AF1214" s="4">
        <v>0</v>
      </c>
      <c r="AG1214" s="4">
        <v>0</v>
      </c>
      <c r="AH1214" s="4">
        <v>79</v>
      </c>
      <c r="AI1214" s="4">
        <v>79</v>
      </c>
      <c r="AJ1214" s="4">
        <v>13</v>
      </c>
      <c r="AK1214" s="4">
        <v>13</v>
      </c>
      <c r="AL1214" s="4">
        <v>49</v>
      </c>
      <c r="AM1214" s="4">
        <v>49</v>
      </c>
      <c r="AN1214" s="4">
        <v>0</v>
      </c>
      <c r="AO1214" s="4">
        <v>0</v>
      </c>
      <c r="AP1214" s="4">
        <v>12</v>
      </c>
      <c r="AQ1214" s="4">
        <v>12</v>
      </c>
      <c r="AR1214" s="3" t="s">
        <v>64</v>
      </c>
      <c r="AS1214" s="3" t="s">
        <v>64</v>
      </c>
      <c r="AT1214" s="3" t="s">
        <v>73</v>
      </c>
      <c r="AU1214" s="6" t="str">
        <f>HYPERLINK("http://catalog.hathitrust.org/Record/002719752","HathiTrust Record")</f>
        <v>HathiTrust Record</v>
      </c>
      <c r="AV1214" s="6" t="str">
        <f>HYPERLINK("http://mcgill.on.worldcat.org/oclc/26352774","Catalog Record")</f>
        <v>Catalog Record</v>
      </c>
      <c r="AW1214" s="6" t="str">
        <f>HYPERLINK("http://www.worldcat.org/oclc/26352774","WorldCat Record")</f>
        <v>WorldCat Record</v>
      </c>
      <c r="AX1214" s="3" t="s">
        <v>12529</v>
      </c>
      <c r="AY1214" s="3" t="s">
        <v>12530</v>
      </c>
      <c r="AZ1214" s="3" t="s">
        <v>12531</v>
      </c>
      <c r="BA1214" s="3" t="s">
        <v>12531</v>
      </c>
      <c r="BB1214" s="3" t="s">
        <v>12532</v>
      </c>
      <c r="BC1214" s="3" t="s">
        <v>78</v>
      </c>
      <c r="BD1214" s="3" t="s">
        <v>79</v>
      </c>
      <c r="BE1214" s="3" t="s">
        <v>12533</v>
      </c>
      <c r="BF1214" s="3" t="s">
        <v>12532</v>
      </c>
      <c r="BG1214" s="3" t="s">
        <v>12534</v>
      </c>
    </row>
    <row r="1215" spans="1:59" ht="58" x14ac:dyDescent="0.35">
      <c r="A1215" s="2" t="s">
        <v>59</v>
      </c>
      <c r="B1215" s="2" t="s">
        <v>94</v>
      </c>
      <c r="C1215" s="2" t="s">
        <v>12535</v>
      </c>
      <c r="D1215" s="2" t="s">
        <v>12536</v>
      </c>
      <c r="E1215" s="2" t="s">
        <v>12537</v>
      </c>
      <c r="G1215" s="3" t="s">
        <v>64</v>
      </c>
      <c r="I1215" s="3" t="s">
        <v>64</v>
      </c>
      <c r="J1215" s="3" t="s">
        <v>64</v>
      </c>
      <c r="K1215" s="3" t="s">
        <v>65</v>
      </c>
      <c r="L1215" s="2" t="s">
        <v>12538</v>
      </c>
      <c r="M1215" s="2" t="s">
        <v>12539</v>
      </c>
      <c r="N1215" s="3" t="s">
        <v>136</v>
      </c>
      <c r="P1215" s="3" t="s">
        <v>69</v>
      </c>
      <c r="Q1215" s="2" t="s">
        <v>12540</v>
      </c>
      <c r="R1215" s="3" t="s">
        <v>9228</v>
      </c>
      <c r="S1215" s="4">
        <v>18</v>
      </c>
      <c r="T1215" s="4">
        <v>18</v>
      </c>
      <c r="U1215" s="5" t="s">
        <v>1322</v>
      </c>
      <c r="V1215" s="5" t="s">
        <v>1322</v>
      </c>
      <c r="W1215" s="5" t="s">
        <v>72</v>
      </c>
      <c r="X1215" s="5" t="s">
        <v>72</v>
      </c>
      <c r="Y1215" s="4">
        <v>242</v>
      </c>
      <c r="Z1215" s="4">
        <v>12</v>
      </c>
      <c r="AA1215" s="4">
        <v>17</v>
      </c>
      <c r="AB1215" s="4">
        <v>1</v>
      </c>
      <c r="AC1215" s="4">
        <v>3</v>
      </c>
      <c r="AD1215" s="4">
        <v>88</v>
      </c>
      <c r="AE1215" s="4">
        <v>91</v>
      </c>
      <c r="AF1215" s="4">
        <v>0</v>
      </c>
      <c r="AG1215" s="4">
        <v>0</v>
      </c>
      <c r="AH1215" s="4">
        <v>83</v>
      </c>
      <c r="AI1215" s="4">
        <v>84</v>
      </c>
      <c r="AJ1215" s="4">
        <v>8</v>
      </c>
      <c r="AK1215" s="4">
        <v>10</v>
      </c>
      <c r="AL1215" s="4">
        <v>48</v>
      </c>
      <c r="AM1215" s="4">
        <v>48</v>
      </c>
      <c r="AN1215" s="4">
        <v>0</v>
      </c>
      <c r="AO1215" s="4">
        <v>0</v>
      </c>
      <c r="AP1215" s="4">
        <v>8</v>
      </c>
      <c r="AQ1215" s="4">
        <v>11</v>
      </c>
      <c r="AR1215" s="3" t="s">
        <v>64</v>
      </c>
      <c r="AS1215" s="3" t="s">
        <v>64</v>
      </c>
      <c r="AT1215" s="3" t="s">
        <v>64</v>
      </c>
      <c r="AV1215" s="6" t="str">
        <f>HYPERLINK("http://mcgill.on.worldcat.org/oclc/43569331","Catalog Record")</f>
        <v>Catalog Record</v>
      </c>
      <c r="AW1215" s="6" t="str">
        <f>HYPERLINK("http://www.worldcat.org/oclc/43569331","WorldCat Record")</f>
        <v>WorldCat Record</v>
      </c>
      <c r="AX1215" s="3" t="s">
        <v>12541</v>
      </c>
      <c r="AY1215" s="3" t="s">
        <v>12542</v>
      </c>
      <c r="AZ1215" s="3" t="s">
        <v>12543</v>
      </c>
      <c r="BA1215" s="3" t="s">
        <v>12543</v>
      </c>
      <c r="BB1215" s="3" t="s">
        <v>12544</v>
      </c>
      <c r="BC1215" s="3" t="s">
        <v>78</v>
      </c>
      <c r="BD1215" s="3" t="s">
        <v>79</v>
      </c>
      <c r="BE1215" s="3" t="s">
        <v>12545</v>
      </c>
      <c r="BF1215" s="3" t="s">
        <v>12544</v>
      </c>
      <c r="BG1215" s="3" t="s">
        <v>12546</v>
      </c>
    </row>
    <row r="1216" spans="1:59" ht="58" x14ac:dyDescent="0.35">
      <c r="A1216" s="2" t="s">
        <v>59</v>
      </c>
      <c r="B1216" s="2" t="s">
        <v>94</v>
      </c>
      <c r="C1216" s="2" t="s">
        <v>12547</v>
      </c>
      <c r="D1216" s="2" t="s">
        <v>12548</v>
      </c>
      <c r="E1216" s="2" t="s">
        <v>12549</v>
      </c>
      <c r="G1216" s="3" t="s">
        <v>64</v>
      </c>
      <c r="I1216" s="3" t="s">
        <v>64</v>
      </c>
      <c r="J1216" s="3" t="s">
        <v>64</v>
      </c>
      <c r="K1216" s="3" t="s">
        <v>65</v>
      </c>
      <c r="L1216" s="2" t="s">
        <v>12550</v>
      </c>
      <c r="M1216" s="2" t="s">
        <v>12551</v>
      </c>
      <c r="N1216" s="3" t="s">
        <v>328</v>
      </c>
      <c r="P1216" s="3" t="s">
        <v>69</v>
      </c>
      <c r="Q1216" s="2" t="s">
        <v>12552</v>
      </c>
      <c r="R1216" s="3" t="s">
        <v>9228</v>
      </c>
      <c r="S1216" s="4">
        <v>1</v>
      </c>
      <c r="T1216" s="4">
        <v>1</v>
      </c>
      <c r="U1216" s="5" t="s">
        <v>12553</v>
      </c>
      <c r="V1216" s="5" t="s">
        <v>12553</v>
      </c>
      <c r="W1216" s="5" t="s">
        <v>72</v>
      </c>
      <c r="X1216" s="5" t="s">
        <v>72</v>
      </c>
      <c r="Y1216" s="4">
        <v>53</v>
      </c>
      <c r="Z1216" s="4">
        <v>6</v>
      </c>
      <c r="AA1216" s="4">
        <v>10</v>
      </c>
      <c r="AB1216" s="4">
        <v>1</v>
      </c>
      <c r="AC1216" s="4">
        <v>4</v>
      </c>
      <c r="AD1216" s="4">
        <v>26</v>
      </c>
      <c r="AE1216" s="4">
        <v>30</v>
      </c>
      <c r="AF1216" s="4">
        <v>0</v>
      </c>
      <c r="AG1216" s="4">
        <v>0</v>
      </c>
      <c r="AH1216" s="4">
        <v>24</v>
      </c>
      <c r="AI1216" s="4">
        <v>27</v>
      </c>
      <c r="AJ1216" s="4">
        <v>3</v>
      </c>
      <c r="AK1216" s="4">
        <v>4</v>
      </c>
      <c r="AL1216" s="4">
        <v>18</v>
      </c>
      <c r="AM1216" s="4">
        <v>20</v>
      </c>
      <c r="AN1216" s="4">
        <v>0</v>
      </c>
      <c r="AO1216" s="4">
        <v>0</v>
      </c>
      <c r="AP1216" s="4">
        <v>4</v>
      </c>
      <c r="AQ1216" s="4">
        <v>5</v>
      </c>
      <c r="AR1216" s="3" t="s">
        <v>64</v>
      </c>
      <c r="AS1216" s="3" t="s">
        <v>64</v>
      </c>
      <c r="AT1216" s="3" t="s">
        <v>64</v>
      </c>
      <c r="AV1216" s="6" t="str">
        <f>HYPERLINK("http://mcgill.on.worldcat.org/oclc/641535779","Catalog Record")</f>
        <v>Catalog Record</v>
      </c>
      <c r="AW1216" s="6" t="str">
        <f>HYPERLINK("http://www.worldcat.org/oclc/641535779","WorldCat Record")</f>
        <v>WorldCat Record</v>
      </c>
      <c r="AX1216" s="3" t="s">
        <v>12554</v>
      </c>
      <c r="AY1216" s="3" t="s">
        <v>12555</v>
      </c>
      <c r="AZ1216" s="3" t="s">
        <v>12556</v>
      </c>
      <c r="BA1216" s="3" t="s">
        <v>12556</v>
      </c>
      <c r="BB1216" s="3" t="s">
        <v>12557</v>
      </c>
      <c r="BC1216" s="3" t="s">
        <v>78</v>
      </c>
      <c r="BD1216" s="3" t="s">
        <v>79</v>
      </c>
      <c r="BE1216" s="3" t="s">
        <v>12558</v>
      </c>
      <c r="BF1216" s="3" t="s">
        <v>12557</v>
      </c>
      <c r="BG1216" s="3" t="s">
        <v>12559</v>
      </c>
    </row>
    <row r="1217" spans="1:59" ht="58" x14ac:dyDescent="0.35">
      <c r="A1217" s="2" t="s">
        <v>59</v>
      </c>
      <c r="B1217" s="2" t="s">
        <v>94</v>
      </c>
      <c r="C1217" s="2" t="s">
        <v>12560</v>
      </c>
      <c r="D1217" s="2" t="s">
        <v>12561</v>
      </c>
      <c r="E1217" s="2" t="s">
        <v>12562</v>
      </c>
      <c r="G1217" s="3" t="s">
        <v>64</v>
      </c>
      <c r="I1217" s="3" t="s">
        <v>64</v>
      </c>
      <c r="J1217" s="3" t="s">
        <v>64</v>
      </c>
      <c r="K1217" s="3" t="s">
        <v>65</v>
      </c>
      <c r="M1217" s="2" t="s">
        <v>9440</v>
      </c>
      <c r="N1217" s="3" t="s">
        <v>214</v>
      </c>
      <c r="P1217" s="3" t="s">
        <v>69</v>
      </c>
      <c r="R1217" s="3" t="s">
        <v>9228</v>
      </c>
      <c r="S1217" s="4">
        <v>4</v>
      </c>
      <c r="T1217" s="4">
        <v>4</v>
      </c>
      <c r="U1217" s="5" t="s">
        <v>12553</v>
      </c>
      <c r="V1217" s="5" t="s">
        <v>12553</v>
      </c>
      <c r="W1217" s="5" t="s">
        <v>72</v>
      </c>
      <c r="X1217" s="5" t="s">
        <v>72</v>
      </c>
      <c r="Y1217" s="4">
        <v>118</v>
      </c>
      <c r="Z1217" s="4">
        <v>8</v>
      </c>
      <c r="AA1217" s="4">
        <v>106</v>
      </c>
      <c r="AB1217" s="4">
        <v>1</v>
      </c>
      <c r="AC1217" s="4">
        <v>18</v>
      </c>
      <c r="AD1217" s="4">
        <v>52</v>
      </c>
      <c r="AE1217" s="4">
        <v>125</v>
      </c>
      <c r="AF1217" s="4">
        <v>0</v>
      </c>
      <c r="AG1217" s="4">
        <v>8</v>
      </c>
      <c r="AH1217" s="4">
        <v>47</v>
      </c>
      <c r="AI1217" s="4">
        <v>86</v>
      </c>
      <c r="AJ1217" s="4">
        <v>4</v>
      </c>
      <c r="AK1217" s="4">
        <v>22</v>
      </c>
      <c r="AL1217" s="4">
        <v>31</v>
      </c>
      <c r="AM1217" s="4">
        <v>48</v>
      </c>
      <c r="AN1217" s="4">
        <v>0</v>
      </c>
      <c r="AO1217" s="4">
        <v>0</v>
      </c>
      <c r="AP1217" s="4">
        <v>4</v>
      </c>
      <c r="AQ1217" s="4">
        <v>44</v>
      </c>
      <c r="AR1217" s="3" t="s">
        <v>64</v>
      </c>
      <c r="AS1217" s="3" t="s">
        <v>64</v>
      </c>
      <c r="AT1217" s="3" t="s">
        <v>64</v>
      </c>
      <c r="AV1217" s="6" t="str">
        <f>HYPERLINK("http://mcgill.on.worldcat.org/oclc/454375290","Catalog Record")</f>
        <v>Catalog Record</v>
      </c>
      <c r="AW1217" s="6" t="str">
        <f>HYPERLINK("http://www.worldcat.org/oclc/454375290","WorldCat Record")</f>
        <v>WorldCat Record</v>
      </c>
      <c r="AX1217" s="3" t="s">
        <v>12563</v>
      </c>
      <c r="AY1217" s="3" t="s">
        <v>12564</v>
      </c>
      <c r="AZ1217" s="3" t="s">
        <v>12565</v>
      </c>
      <c r="BA1217" s="3" t="s">
        <v>12565</v>
      </c>
      <c r="BB1217" s="3" t="s">
        <v>12566</v>
      </c>
      <c r="BC1217" s="3" t="s">
        <v>78</v>
      </c>
      <c r="BD1217" s="3" t="s">
        <v>79</v>
      </c>
      <c r="BE1217" s="3" t="s">
        <v>12567</v>
      </c>
      <c r="BF1217" s="3" t="s">
        <v>12566</v>
      </c>
      <c r="BG1217" s="3" t="s">
        <v>12568</v>
      </c>
    </row>
    <row r="1218" spans="1:59" ht="58" x14ac:dyDescent="0.35">
      <c r="A1218" s="2" t="s">
        <v>59</v>
      </c>
      <c r="B1218" s="2" t="s">
        <v>94</v>
      </c>
      <c r="C1218" s="2" t="s">
        <v>12569</v>
      </c>
      <c r="D1218" s="2" t="s">
        <v>12570</v>
      </c>
      <c r="E1218" s="2" t="s">
        <v>12571</v>
      </c>
      <c r="G1218" s="3" t="s">
        <v>64</v>
      </c>
      <c r="I1218" s="3" t="s">
        <v>64</v>
      </c>
      <c r="J1218" s="3" t="s">
        <v>64</v>
      </c>
      <c r="K1218" s="3" t="s">
        <v>65</v>
      </c>
      <c r="L1218" s="2" t="s">
        <v>12572</v>
      </c>
      <c r="M1218" s="2" t="s">
        <v>12573</v>
      </c>
      <c r="N1218" s="3" t="s">
        <v>12574</v>
      </c>
      <c r="P1218" s="3" t="s">
        <v>69</v>
      </c>
      <c r="Q1218" s="2" t="s">
        <v>12575</v>
      </c>
      <c r="R1218" s="3" t="s">
        <v>9228</v>
      </c>
      <c r="S1218" s="4">
        <v>1</v>
      </c>
      <c r="T1218" s="4">
        <v>1</v>
      </c>
      <c r="U1218" s="5" t="s">
        <v>12576</v>
      </c>
      <c r="V1218" s="5" t="s">
        <v>12576</v>
      </c>
      <c r="W1218" s="5" t="s">
        <v>72</v>
      </c>
      <c r="X1218" s="5" t="s">
        <v>72</v>
      </c>
      <c r="Y1218" s="4">
        <v>54</v>
      </c>
      <c r="Z1218" s="4">
        <v>4</v>
      </c>
      <c r="AA1218" s="4">
        <v>4</v>
      </c>
      <c r="AB1218" s="4">
        <v>1</v>
      </c>
      <c r="AC1218" s="4">
        <v>1</v>
      </c>
      <c r="AD1218" s="4">
        <v>26</v>
      </c>
      <c r="AE1218" s="4">
        <v>26</v>
      </c>
      <c r="AF1218" s="4">
        <v>0</v>
      </c>
      <c r="AG1218" s="4">
        <v>0</v>
      </c>
      <c r="AH1218" s="4">
        <v>24</v>
      </c>
      <c r="AI1218" s="4">
        <v>24</v>
      </c>
      <c r="AJ1218" s="4">
        <v>2</v>
      </c>
      <c r="AK1218" s="4">
        <v>2</v>
      </c>
      <c r="AL1218" s="4">
        <v>18</v>
      </c>
      <c r="AM1218" s="4">
        <v>18</v>
      </c>
      <c r="AN1218" s="4">
        <v>0</v>
      </c>
      <c r="AO1218" s="4">
        <v>0</v>
      </c>
      <c r="AP1218" s="4">
        <v>1</v>
      </c>
      <c r="AQ1218" s="4">
        <v>1</v>
      </c>
      <c r="AR1218" s="3" t="s">
        <v>64</v>
      </c>
      <c r="AS1218" s="3" t="s">
        <v>73</v>
      </c>
      <c r="AT1218" s="3" t="s">
        <v>64</v>
      </c>
      <c r="AU1218" s="6" t="str">
        <f>HYPERLINK("http://catalog.hathitrust.org/Record/001047941","HathiTrust Record")</f>
        <v>HathiTrust Record</v>
      </c>
      <c r="AV1218" s="6" t="str">
        <f>HYPERLINK("http://mcgill.on.worldcat.org/oclc/6209451","Catalog Record")</f>
        <v>Catalog Record</v>
      </c>
      <c r="AW1218" s="6" t="str">
        <f>HYPERLINK("http://www.worldcat.org/oclc/6209451","WorldCat Record")</f>
        <v>WorldCat Record</v>
      </c>
      <c r="AX1218" s="3" t="s">
        <v>12577</v>
      </c>
      <c r="AY1218" s="3" t="s">
        <v>12578</v>
      </c>
      <c r="AZ1218" s="3" t="s">
        <v>12579</v>
      </c>
      <c r="BA1218" s="3" t="s">
        <v>12579</v>
      </c>
      <c r="BB1218" s="3" t="s">
        <v>12580</v>
      </c>
      <c r="BC1218" s="3" t="s">
        <v>78</v>
      </c>
      <c r="BD1218" s="3" t="s">
        <v>79</v>
      </c>
      <c r="BF1218" s="3" t="s">
        <v>12580</v>
      </c>
      <c r="BG1218" s="3" t="s">
        <v>12581</v>
      </c>
    </row>
    <row r="1219" spans="1:59" ht="58" x14ac:dyDescent="0.35">
      <c r="A1219" s="2" t="s">
        <v>59</v>
      </c>
      <c r="B1219" s="2" t="s">
        <v>94</v>
      </c>
      <c r="C1219" s="2" t="s">
        <v>12582</v>
      </c>
      <c r="D1219" s="2" t="s">
        <v>12583</v>
      </c>
      <c r="E1219" s="2" t="s">
        <v>12584</v>
      </c>
      <c r="G1219" s="3" t="s">
        <v>64</v>
      </c>
      <c r="I1219" s="3" t="s">
        <v>64</v>
      </c>
      <c r="J1219" s="3" t="s">
        <v>64</v>
      </c>
      <c r="K1219" s="3" t="s">
        <v>65</v>
      </c>
      <c r="M1219" s="2" t="s">
        <v>12585</v>
      </c>
      <c r="N1219" s="3" t="s">
        <v>303</v>
      </c>
      <c r="P1219" s="3" t="s">
        <v>69</v>
      </c>
      <c r="R1219" s="3" t="s">
        <v>9228</v>
      </c>
      <c r="S1219" s="4">
        <v>9</v>
      </c>
      <c r="T1219" s="4">
        <v>9</v>
      </c>
      <c r="U1219" s="5" t="s">
        <v>9662</v>
      </c>
      <c r="V1219" s="5" t="s">
        <v>9662</v>
      </c>
      <c r="W1219" s="5" t="s">
        <v>72</v>
      </c>
      <c r="X1219" s="5" t="s">
        <v>72</v>
      </c>
      <c r="Y1219" s="4">
        <v>187</v>
      </c>
      <c r="Z1219" s="4">
        <v>9</v>
      </c>
      <c r="AA1219" s="4">
        <v>11</v>
      </c>
      <c r="AB1219" s="4">
        <v>1</v>
      </c>
      <c r="AC1219" s="4">
        <v>1</v>
      </c>
      <c r="AD1219" s="4">
        <v>78</v>
      </c>
      <c r="AE1219" s="4">
        <v>80</v>
      </c>
      <c r="AF1219" s="4">
        <v>0</v>
      </c>
      <c r="AG1219" s="4">
        <v>0</v>
      </c>
      <c r="AH1219" s="4">
        <v>73</v>
      </c>
      <c r="AI1219" s="4">
        <v>74</v>
      </c>
      <c r="AJ1219" s="4">
        <v>5</v>
      </c>
      <c r="AK1219" s="4">
        <v>7</v>
      </c>
      <c r="AL1219" s="4">
        <v>45</v>
      </c>
      <c r="AM1219" s="4">
        <v>45</v>
      </c>
      <c r="AN1219" s="4">
        <v>0</v>
      </c>
      <c r="AO1219" s="4">
        <v>0</v>
      </c>
      <c r="AP1219" s="4">
        <v>6</v>
      </c>
      <c r="AQ1219" s="4">
        <v>8</v>
      </c>
      <c r="AR1219" s="3" t="s">
        <v>64</v>
      </c>
      <c r="AS1219" s="3" t="s">
        <v>64</v>
      </c>
      <c r="AT1219" s="3" t="s">
        <v>73</v>
      </c>
      <c r="AU1219" s="6" t="str">
        <f>HYPERLINK("http://catalog.hathitrust.org/Record/002737787","HathiTrust Record")</f>
        <v>HathiTrust Record</v>
      </c>
      <c r="AV1219" s="6" t="str">
        <f>HYPERLINK("http://mcgill.on.worldcat.org/oclc/25164865","Catalog Record")</f>
        <v>Catalog Record</v>
      </c>
      <c r="AW1219" s="6" t="str">
        <f>HYPERLINK("http://www.worldcat.org/oclc/25164865","WorldCat Record")</f>
        <v>WorldCat Record</v>
      </c>
      <c r="AX1219" s="3" t="s">
        <v>12586</v>
      </c>
      <c r="AY1219" s="3" t="s">
        <v>12587</v>
      </c>
      <c r="AZ1219" s="3" t="s">
        <v>12588</v>
      </c>
      <c r="BA1219" s="3" t="s">
        <v>12588</v>
      </c>
      <c r="BB1219" s="3" t="s">
        <v>12589</v>
      </c>
      <c r="BC1219" s="3" t="s">
        <v>78</v>
      </c>
      <c r="BD1219" s="3" t="s">
        <v>414</v>
      </c>
      <c r="BE1219" s="3" t="s">
        <v>12590</v>
      </c>
      <c r="BF1219" s="3" t="s">
        <v>12589</v>
      </c>
      <c r="BG1219" s="3" t="s">
        <v>12591</v>
      </c>
    </row>
    <row r="1220" spans="1:59" ht="58" x14ac:dyDescent="0.35">
      <c r="A1220" s="2" t="s">
        <v>59</v>
      </c>
      <c r="B1220" s="2" t="s">
        <v>94</v>
      </c>
      <c r="C1220" s="2" t="s">
        <v>12592</v>
      </c>
      <c r="D1220" s="2" t="s">
        <v>12593</v>
      </c>
      <c r="E1220" s="2" t="s">
        <v>12594</v>
      </c>
      <c r="G1220" s="3" t="s">
        <v>64</v>
      </c>
      <c r="I1220" s="3" t="s">
        <v>64</v>
      </c>
      <c r="J1220" s="3" t="s">
        <v>64</v>
      </c>
      <c r="K1220" s="3" t="s">
        <v>65</v>
      </c>
      <c r="L1220" s="2" t="s">
        <v>12595</v>
      </c>
      <c r="M1220" s="2" t="s">
        <v>12596</v>
      </c>
      <c r="N1220" s="3" t="s">
        <v>328</v>
      </c>
      <c r="P1220" s="3" t="s">
        <v>69</v>
      </c>
      <c r="Q1220" s="2" t="s">
        <v>12597</v>
      </c>
      <c r="R1220" s="3" t="s">
        <v>9228</v>
      </c>
      <c r="S1220" s="4">
        <v>2</v>
      </c>
      <c r="T1220" s="4">
        <v>2</v>
      </c>
      <c r="U1220" s="5" t="s">
        <v>5079</v>
      </c>
      <c r="V1220" s="5" t="s">
        <v>5079</v>
      </c>
      <c r="W1220" s="5" t="s">
        <v>72</v>
      </c>
      <c r="X1220" s="5" t="s">
        <v>72</v>
      </c>
      <c r="Y1220" s="4">
        <v>65</v>
      </c>
      <c r="Z1220" s="4">
        <v>6</v>
      </c>
      <c r="AA1220" s="4">
        <v>12</v>
      </c>
      <c r="AB1220" s="4">
        <v>1</v>
      </c>
      <c r="AC1220" s="4">
        <v>4</v>
      </c>
      <c r="AD1220" s="4">
        <v>22</v>
      </c>
      <c r="AE1220" s="4">
        <v>32</v>
      </c>
      <c r="AF1220" s="4">
        <v>0</v>
      </c>
      <c r="AG1220" s="4">
        <v>1</v>
      </c>
      <c r="AH1220" s="4">
        <v>21</v>
      </c>
      <c r="AI1220" s="4">
        <v>29</v>
      </c>
      <c r="AJ1220" s="4">
        <v>4</v>
      </c>
      <c r="AK1220" s="4">
        <v>8</v>
      </c>
      <c r="AL1220" s="4">
        <v>14</v>
      </c>
      <c r="AM1220" s="4">
        <v>20</v>
      </c>
      <c r="AN1220" s="4">
        <v>0</v>
      </c>
      <c r="AO1220" s="4">
        <v>0</v>
      </c>
      <c r="AP1220" s="4">
        <v>4</v>
      </c>
      <c r="AQ1220" s="4">
        <v>8</v>
      </c>
      <c r="AR1220" s="3" t="s">
        <v>64</v>
      </c>
      <c r="AS1220" s="3" t="s">
        <v>64</v>
      </c>
      <c r="AT1220" s="3" t="s">
        <v>64</v>
      </c>
      <c r="AV1220" s="6" t="str">
        <f>HYPERLINK("http://mcgill.on.worldcat.org/oclc/682892238","Catalog Record")</f>
        <v>Catalog Record</v>
      </c>
      <c r="AW1220" s="6" t="str">
        <f>HYPERLINK("http://www.worldcat.org/oclc/682892238","WorldCat Record")</f>
        <v>WorldCat Record</v>
      </c>
      <c r="AX1220" s="3" t="s">
        <v>12598</v>
      </c>
      <c r="AY1220" s="3" t="s">
        <v>12599</v>
      </c>
      <c r="AZ1220" s="3" t="s">
        <v>12600</v>
      </c>
      <c r="BA1220" s="3" t="s">
        <v>12600</v>
      </c>
      <c r="BB1220" s="3" t="s">
        <v>12601</v>
      </c>
      <c r="BC1220" s="3" t="s">
        <v>78</v>
      </c>
      <c r="BD1220" s="3" t="s">
        <v>79</v>
      </c>
      <c r="BE1220" s="3" t="s">
        <v>12602</v>
      </c>
      <c r="BF1220" s="3" t="s">
        <v>12601</v>
      </c>
      <c r="BG1220" s="3" t="s">
        <v>12603</v>
      </c>
    </row>
    <row r="1221" spans="1:59" ht="58" x14ac:dyDescent="0.35">
      <c r="A1221" s="2" t="s">
        <v>59</v>
      </c>
      <c r="B1221" s="2" t="s">
        <v>94</v>
      </c>
      <c r="C1221" s="2" t="s">
        <v>12604</v>
      </c>
      <c r="D1221" s="2" t="s">
        <v>12605</v>
      </c>
      <c r="E1221" s="2" t="s">
        <v>12606</v>
      </c>
      <c r="G1221" s="3" t="s">
        <v>64</v>
      </c>
      <c r="I1221" s="3" t="s">
        <v>73</v>
      </c>
      <c r="J1221" s="3" t="s">
        <v>64</v>
      </c>
      <c r="K1221" s="3" t="s">
        <v>65</v>
      </c>
      <c r="L1221" s="2" t="s">
        <v>12607</v>
      </c>
      <c r="M1221" s="2" t="s">
        <v>12608</v>
      </c>
      <c r="N1221" s="3" t="s">
        <v>2347</v>
      </c>
      <c r="P1221" s="3" t="s">
        <v>69</v>
      </c>
      <c r="R1221" s="3" t="s">
        <v>9228</v>
      </c>
      <c r="S1221" s="4">
        <v>6</v>
      </c>
      <c r="T1221" s="4">
        <v>6</v>
      </c>
      <c r="U1221" s="5" t="s">
        <v>12609</v>
      </c>
      <c r="V1221" s="5" t="s">
        <v>12609</v>
      </c>
      <c r="W1221" s="5" t="s">
        <v>72</v>
      </c>
      <c r="X1221" s="5" t="s">
        <v>72</v>
      </c>
      <c r="Y1221" s="4">
        <v>12</v>
      </c>
      <c r="Z1221" s="4">
        <v>2</v>
      </c>
      <c r="AA1221" s="4">
        <v>52</v>
      </c>
      <c r="AB1221" s="4">
        <v>1</v>
      </c>
      <c r="AC1221" s="4">
        <v>7</v>
      </c>
      <c r="AD1221" s="4">
        <v>1</v>
      </c>
      <c r="AE1221" s="4">
        <v>113</v>
      </c>
      <c r="AF1221" s="4">
        <v>0</v>
      </c>
      <c r="AG1221" s="4">
        <v>4</v>
      </c>
      <c r="AH1221" s="4">
        <v>0</v>
      </c>
      <c r="AI1221" s="4">
        <v>83</v>
      </c>
      <c r="AJ1221" s="4">
        <v>0</v>
      </c>
      <c r="AK1221" s="4">
        <v>20</v>
      </c>
      <c r="AL1221" s="4">
        <v>0</v>
      </c>
      <c r="AM1221" s="4">
        <v>50</v>
      </c>
      <c r="AN1221" s="4">
        <v>0</v>
      </c>
      <c r="AO1221" s="4">
        <v>0</v>
      </c>
      <c r="AP1221" s="4">
        <v>1</v>
      </c>
      <c r="AQ1221" s="4">
        <v>33</v>
      </c>
      <c r="AR1221" s="3" t="s">
        <v>64</v>
      </c>
      <c r="AS1221" s="3" t="s">
        <v>64</v>
      </c>
      <c r="AT1221" s="3" t="s">
        <v>64</v>
      </c>
      <c r="AV1221" s="6" t="str">
        <f>HYPERLINK("http://mcgill.on.worldcat.org/oclc/154240377","Catalog Record")</f>
        <v>Catalog Record</v>
      </c>
      <c r="AW1221" s="6" t="str">
        <f>HYPERLINK("http://www.worldcat.org/oclc/154240377","WorldCat Record")</f>
        <v>WorldCat Record</v>
      </c>
      <c r="AX1221" s="3" t="s">
        <v>12610</v>
      </c>
      <c r="AY1221" s="3" t="s">
        <v>12611</v>
      </c>
      <c r="AZ1221" s="3" t="s">
        <v>12612</v>
      </c>
      <c r="BA1221" s="3" t="s">
        <v>12612</v>
      </c>
      <c r="BB1221" s="3" t="s">
        <v>12613</v>
      </c>
      <c r="BC1221" s="3" t="s">
        <v>78</v>
      </c>
      <c r="BD1221" s="3" t="s">
        <v>79</v>
      </c>
      <c r="BF1221" s="3" t="s">
        <v>12613</v>
      </c>
      <c r="BG1221" s="3" t="s">
        <v>12614</v>
      </c>
    </row>
    <row r="1222" spans="1:59" ht="58" x14ac:dyDescent="0.35">
      <c r="A1222" s="2" t="s">
        <v>59</v>
      </c>
      <c r="B1222" s="2" t="s">
        <v>94</v>
      </c>
      <c r="C1222" s="2" t="s">
        <v>12615</v>
      </c>
      <c r="D1222" s="2" t="s">
        <v>12616</v>
      </c>
      <c r="E1222" s="2" t="s">
        <v>12617</v>
      </c>
      <c r="G1222" s="3" t="s">
        <v>64</v>
      </c>
      <c r="I1222" s="3" t="s">
        <v>64</v>
      </c>
      <c r="J1222" s="3" t="s">
        <v>64</v>
      </c>
      <c r="K1222" s="3" t="s">
        <v>65</v>
      </c>
      <c r="L1222" s="2" t="s">
        <v>12618</v>
      </c>
      <c r="M1222" s="2" t="s">
        <v>12619</v>
      </c>
      <c r="N1222" s="3" t="s">
        <v>1530</v>
      </c>
      <c r="P1222" s="3" t="s">
        <v>69</v>
      </c>
      <c r="R1222" s="3" t="s">
        <v>9228</v>
      </c>
      <c r="S1222" s="4">
        <v>7</v>
      </c>
      <c r="T1222" s="4">
        <v>7</v>
      </c>
      <c r="U1222" s="5" t="s">
        <v>12609</v>
      </c>
      <c r="V1222" s="5" t="s">
        <v>12609</v>
      </c>
      <c r="W1222" s="5" t="s">
        <v>72</v>
      </c>
      <c r="X1222" s="5" t="s">
        <v>72</v>
      </c>
      <c r="Y1222" s="4">
        <v>458</v>
      </c>
      <c r="Z1222" s="4">
        <v>35</v>
      </c>
      <c r="AA1222" s="4">
        <v>111</v>
      </c>
      <c r="AB1222" s="4">
        <v>2</v>
      </c>
      <c r="AC1222" s="4">
        <v>18</v>
      </c>
      <c r="AD1222" s="4">
        <v>108</v>
      </c>
      <c r="AE1222" s="4">
        <v>151</v>
      </c>
      <c r="AF1222" s="4">
        <v>1</v>
      </c>
      <c r="AG1222" s="4">
        <v>8</v>
      </c>
      <c r="AH1222" s="4">
        <v>91</v>
      </c>
      <c r="AI1222" s="4">
        <v>110</v>
      </c>
      <c r="AJ1222" s="4">
        <v>19</v>
      </c>
      <c r="AK1222" s="4">
        <v>29</v>
      </c>
      <c r="AL1222" s="4">
        <v>47</v>
      </c>
      <c r="AM1222" s="4">
        <v>54</v>
      </c>
      <c r="AN1222" s="4">
        <v>0</v>
      </c>
      <c r="AO1222" s="4">
        <v>0</v>
      </c>
      <c r="AP1222" s="4">
        <v>24</v>
      </c>
      <c r="AQ1222" s="4">
        <v>50</v>
      </c>
      <c r="AR1222" s="3" t="s">
        <v>64</v>
      </c>
      <c r="AS1222" s="3" t="s">
        <v>64</v>
      </c>
      <c r="AT1222" s="3" t="s">
        <v>64</v>
      </c>
      <c r="AV1222" s="6" t="str">
        <f>HYPERLINK("http://mcgill.on.worldcat.org/oclc/50041403","Catalog Record")</f>
        <v>Catalog Record</v>
      </c>
      <c r="AW1222" s="6" t="str">
        <f>HYPERLINK("http://www.worldcat.org/oclc/50041403","WorldCat Record")</f>
        <v>WorldCat Record</v>
      </c>
      <c r="AX1222" s="3" t="s">
        <v>12620</v>
      </c>
      <c r="AY1222" s="3" t="s">
        <v>12621</v>
      </c>
      <c r="AZ1222" s="3" t="s">
        <v>12622</v>
      </c>
      <c r="BA1222" s="3" t="s">
        <v>12622</v>
      </c>
      <c r="BB1222" s="3" t="s">
        <v>12623</v>
      </c>
      <c r="BC1222" s="3" t="s">
        <v>78</v>
      </c>
      <c r="BD1222" s="3" t="s">
        <v>79</v>
      </c>
      <c r="BE1222" s="3" t="s">
        <v>12624</v>
      </c>
      <c r="BF1222" s="3" t="s">
        <v>12623</v>
      </c>
      <c r="BG1222" s="3" t="s">
        <v>12625</v>
      </c>
    </row>
    <row r="1223" spans="1:59" ht="58" x14ac:dyDescent="0.35">
      <c r="A1223" s="2" t="s">
        <v>59</v>
      </c>
      <c r="B1223" s="2" t="s">
        <v>94</v>
      </c>
      <c r="C1223" s="2" t="s">
        <v>12626</v>
      </c>
      <c r="D1223" s="2" t="s">
        <v>12627</v>
      </c>
      <c r="E1223" s="2" t="s">
        <v>12628</v>
      </c>
      <c r="G1223" s="3" t="s">
        <v>64</v>
      </c>
      <c r="I1223" s="3" t="s">
        <v>73</v>
      </c>
      <c r="J1223" s="3" t="s">
        <v>64</v>
      </c>
      <c r="K1223" s="3" t="s">
        <v>65</v>
      </c>
      <c r="L1223" s="2" t="s">
        <v>12629</v>
      </c>
      <c r="M1223" s="2" t="s">
        <v>12630</v>
      </c>
      <c r="N1223" s="3" t="s">
        <v>2265</v>
      </c>
      <c r="P1223" s="3" t="s">
        <v>69</v>
      </c>
      <c r="R1223" s="3" t="s">
        <v>9228</v>
      </c>
      <c r="S1223" s="4">
        <v>2</v>
      </c>
      <c r="T1223" s="4">
        <v>8</v>
      </c>
      <c r="U1223" s="5" t="s">
        <v>12631</v>
      </c>
      <c r="V1223" s="5" t="s">
        <v>12609</v>
      </c>
      <c r="W1223" s="5" t="s">
        <v>72</v>
      </c>
      <c r="X1223" s="5" t="s">
        <v>72</v>
      </c>
      <c r="Y1223" s="4">
        <v>491</v>
      </c>
      <c r="Z1223" s="4">
        <v>33</v>
      </c>
      <c r="AA1223" s="4">
        <v>35</v>
      </c>
      <c r="AB1223" s="4">
        <v>2</v>
      </c>
      <c r="AC1223" s="4">
        <v>2</v>
      </c>
      <c r="AD1223" s="4">
        <v>110</v>
      </c>
      <c r="AE1223" s="4">
        <v>112</v>
      </c>
      <c r="AF1223" s="4">
        <v>1</v>
      </c>
      <c r="AG1223" s="4">
        <v>1</v>
      </c>
      <c r="AH1223" s="4">
        <v>93</v>
      </c>
      <c r="AI1223" s="4">
        <v>94</v>
      </c>
      <c r="AJ1223" s="4">
        <v>18</v>
      </c>
      <c r="AK1223" s="4">
        <v>20</v>
      </c>
      <c r="AL1223" s="4">
        <v>51</v>
      </c>
      <c r="AM1223" s="4">
        <v>51</v>
      </c>
      <c r="AN1223" s="4">
        <v>0</v>
      </c>
      <c r="AO1223" s="4">
        <v>0</v>
      </c>
      <c r="AP1223" s="4">
        <v>24</v>
      </c>
      <c r="AQ1223" s="4">
        <v>26</v>
      </c>
      <c r="AR1223" s="3" t="s">
        <v>64</v>
      </c>
      <c r="AS1223" s="3" t="s">
        <v>64</v>
      </c>
      <c r="AT1223" s="3" t="s">
        <v>73</v>
      </c>
      <c r="AU1223" s="6" t="str">
        <f>HYPERLINK("http://catalog.hathitrust.org/Record/001152802","HathiTrust Record")</f>
        <v>HathiTrust Record</v>
      </c>
      <c r="AV1223" s="6" t="str">
        <f>HYPERLINK("http://mcgill.on.worldcat.org/oclc/22737","Catalog Record")</f>
        <v>Catalog Record</v>
      </c>
      <c r="AW1223" s="6" t="str">
        <f>HYPERLINK("http://www.worldcat.org/oclc/22737","WorldCat Record")</f>
        <v>WorldCat Record</v>
      </c>
      <c r="AX1223" s="3" t="s">
        <v>12632</v>
      </c>
      <c r="AY1223" s="3" t="s">
        <v>12633</v>
      </c>
      <c r="AZ1223" s="3" t="s">
        <v>12634</v>
      </c>
      <c r="BA1223" s="3" t="s">
        <v>12634</v>
      </c>
      <c r="BB1223" s="3" t="s">
        <v>12635</v>
      </c>
      <c r="BC1223" s="3" t="s">
        <v>78</v>
      </c>
      <c r="BD1223" s="3" t="s">
        <v>79</v>
      </c>
      <c r="BF1223" s="3" t="s">
        <v>12635</v>
      </c>
      <c r="BG1223" s="3" t="s">
        <v>12636</v>
      </c>
    </row>
    <row r="1224" spans="1:59" ht="58" x14ac:dyDescent="0.35">
      <c r="A1224" s="2" t="s">
        <v>59</v>
      </c>
      <c r="B1224" s="2" t="s">
        <v>94</v>
      </c>
      <c r="C1224" s="2" t="s">
        <v>12626</v>
      </c>
      <c r="D1224" s="2" t="s">
        <v>12627</v>
      </c>
      <c r="E1224" s="2" t="s">
        <v>12628</v>
      </c>
      <c r="G1224" s="3" t="s">
        <v>64</v>
      </c>
      <c r="I1224" s="3" t="s">
        <v>73</v>
      </c>
      <c r="J1224" s="3" t="s">
        <v>64</v>
      </c>
      <c r="K1224" s="3" t="s">
        <v>65</v>
      </c>
      <c r="L1224" s="2" t="s">
        <v>12629</v>
      </c>
      <c r="M1224" s="2" t="s">
        <v>12630</v>
      </c>
      <c r="N1224" s="3" t="s">
        <v>2265</v>
      </c>
      <c r="P1224" s="3" t="s">
        <v>69</v>
      </c>
      <c r="R1224" s="3" t="s">
        <v>9228</v>
      </c>
      <c r="S1224" s="4">
        <v>6</v>
      </c>
      <c r="T1224" s="4">
        <v>8</v>
      </c>
      <c r="U1224" s="5" t="s">
        <v>12609</v>
      </c>
      <c r="V1224" s="5" t="s">
        <v>12609</v>
      </c>
      <c r="W1224" s="5" t="s">
        <v>72</v>
      </c>
      <c r="X1224" s="5" t="s">
        <v>72</v>
      </c>
      <c r="Y1224" s="4">
        <v>491</v>
      </c>
      <c r="Z1224" s="4">
        <v>33</v>
      </c>
      <c r="AA1224" s="4">
        <v>35</v>
      </c>
      <c r="AB1224" s="4">
        <v>2</v>
      </c>
      <c r="AC1224" s="4">
        <v>2</v>
      </c>
      <c r="AD1224" s="4">
        <v>110</v>
      </c>
      <c r="AE1224" s="4">
        <v>112</v>
      </c>
      <c r="AF1224" s="4">
        <v>1</v>
      </c>
      <c r="AG1224" s="4">
        <v>1</v>
      </c>
      <c r="AH1224" s="4">
        <v>93</v>
      </c>
      <c r="AI1224" s="4">
        <v>94</v>
      </c>
      <c r="AJ1224" s="4">
        <v>18</v>
      </c>
      <c r="AK1224" s="4">
        <v>20</v>
      </c>
      <c r="AL1224" s="4">
        <v>51</v>
      </c>
      <c r="AM1224" s="4">
        <v>51</v>
      </c>
      <c r="AN1224" s="4">
        <v>0</v>
      </c>
      <c r="AO1224" s="4">
        <v>0</v>
      </c>
      <c r="AP1224" s="4">
        <v>24</v>
      </c>
      <c r="AQ1224" s="4">
        <v>26</v>
      </c>
      <c r="AR1224" s="3" t="s">
        <v>64</v>
      </c>
      <c r="AS1224" s="3" t="s">
        <v>64</v>
      </c>
      <c r="AT1224" s="3" t="s">
        <v>73</v>
      </c>
      <c r="AU1224" s="6" t="str">
        <f>HYPERLINK("http://catalog.hathitrust.org/Record/001152802","HathiTrust Record")</f>
        <v>HathiTrust Record</v>
      </c>
      <c r="AV1224" s="6" t="str">
        <f>HYPERLINK("http://mcgill.on.worldcat.org/oclc/22737","Catalog Record")</f>
        <v>Catalog Record</v>
      </c>
      <c r="AW1224" s="6" t="str">
        <f>HYPERLINK("http://www.worldcat.org/oclc/22737","WorldCat Record")</f>
        <v>WorldCat Record</v>
      </c>
      <c r="AX1224" s="3" t="s">
        <v>12632</v>
      </c>
      <c r="AY1224" s="3" t="s">
        <v>12633</v>
      </c>
      <c r="AZ1224" s="3" t="s">
        <v>12634</v>
      </c>
      <c r="BA1224" s="3" t="s">
        <v>12634</v>
      </c>
      <c r="BB1224" s="3" t="s">
        <v>12637</v>
      </c>
      <c r="BC1224" s="3" t="s">
        <v>78</v>
      </c>
      <c r="BD1224" s="3" t="s">
        <v>79</v>
      </c>
      <c r="BF1224" s="3" t="s">
        <v>12637</v>
      </c>
      <c r="BG1224" s="3" t="s">
        <v>12638</v>
      </c>
    </row>
    <row r="1225" spans="1:59" ht="58" x14ac:dyDescent="0.35">
      <c r="A1225" s="2" t="s">
        <v>59</v>
      </c>
      <c r="B1225" s="2" t="s">
        <v>94</v>
      </c>
      <c r="C1225" s="2" t="s">
        <v>12639</v>
      </c>
      <c r="D1225" s="2" t="s">
        <v>12640</v>
      </c>
      <c r="E1225" s="2" t="s">
        <v>12641</v>
      </c>
      <c r="G1225" s="3" t="s">
        <v>64</v>
      </c>
      <c r="I1225" s="3" t="s">
        <v>64</v>
      </c>
      <c r="J1225" s="3" t="s">
        <v>64</v>
      </c>
      <c r="K1225" s="3" t="s">
        <v>65</v>
      </c>
      <c r="M1225" s="2" t="s">
        <v>12642</v>
      </c>
      <c r="N1225" s="3" t="s">
        <v>214</v>
      </c>
      <c r="P1225" s="3" t="s">
        <v>69</v>
      </c>
      <c r="R1225" s="3" t="s">
        <v>9228</v>
      </c>
      <c r="S1225" s="4">
        <v>1</v>
      </c>
      <c r="T1225" s="4">
        <v>1</v>
      </c>
      <c r="U1225" s="5" t="s">
        <v>12643</v>
      </c>
      <c r="V1225" s="5" t="s">
        <v>12643</v>
      </c>
      <c r="W1225" s="5" t="s">
        <v>72</v>
      </c>
      <c r="X1225" s="5" t="s">
        <v>72</v>
      </c>
      <c r="Y1225" s="4">
        <v>29</v>
      </c>
      <c r="Z1225" s="4">
        <v>23</v>
      </c>
      <c r="AA1225" s="4">
        <v>57</v>
      </c>
      <c r="AB1225" s="4">
        <v>1</v>
      </c>
      <c r="AC1225" s="4">
        <v>3</v>
      </c>
      <c r="AD1225" s="4">
        <v>21</v>
      </c>
      <c r="AE1225" s="4">
        <v>38</v>
      </c>
      <c r="AF1225" s="4">
        <v>0</v>
      </c>
      <c r="AG1225" s="4">
        <v>1</v>
      </c>
      <c r="AH1225" s="4">
        <v>12</v>
      </c>
      <c r="AI1225" s="4">
        <v>13</v>
      </c>
      <c r="AJ1225" s="4">
        <v>16</v>
      </c>
      <c r="AK1225" s="4">
        <v>21</v>
      </c>
      <c r="AL1225" s="4">
        <v>2</v>
      </c>
      <c r="AM1225" s="4">
        <v>2</v>
      </c>
      <c r="AN1225" s="4">
        <v>0</v>
      </c>
      <c r="AO1225" s="4">
        <v>0</v>
      </c>
      <c r="AP1225" s="4">
        <v>18</v>
      </c>
      <c r="AQ1225" s="4">
        <v>34</v>
      </c>
      <c r="AR1225" s="3" t="s">
        <v>73</v>
      </c>
      <c r="AS1225" s="3" t="s">
        <v>64</v>
      </c>
      <c r="AT1225" s="3" t="s">
        <v>64</v>
      </c>
      <c r="AV1225" s="6" t="str">
        <f>HYPERLINK("http://mcgill.on.worldcat.org/oclc/521745102","Catalog Record")</f>
        <v>Catalog Record</v>
      </c>
      <c r="AW1225" s="6" t="str">
        <f>HYPERLINK("http://www.worldcat.org/oclc/521745102","WorldCat Record")</f>
        <v>WorldCat Record</v>
      </c>
      <c r="AX1225" s="3" t="s">
        <v>12644</v>
      </c>
      <c r="AY1225" s="3" t="s">
        <v>12645</v>
      </c>
      <c r="AZ1225" s="3" t="s">
        <v>12646</v>
      </c>
      <c r="BA1225" s="3" t="s">
        <v>12646</v>
      </c>
      <c r="BB1225" s="3" t="s">
        <v>12647</v>
      </c>
      <c r="BC1225" s="3" t="s">
        <v>78</v>
      </c>
      <c r="BD1225" s="3" t="s">
        <v>79</v>
      </c>
      <c r="BE1225" s="3" t="s">
        <v>12648</v>
      </c>
      <c r="BF1225" s="3" t="s">
        <v>12647</v>
      </c>
      <c r="BG1225" s="3" t="s">
        <v>12649</v>
      </c>
    </row>
    <row r="1226" spans="1:59" ht="58" x14ac:dyDescent="0.35">
      <c r="A1226" s="2" t="s">
        <v>59</v>
      </c>
      <c r="B1226" s="2" t="s">
        <v>94</v>
      </c>
      <c r="C1226" s="2" t="s">
        <v>12650</v>
      </c>
      <c r="D1226" s="2" t="s">
        <v>12651</v>
      </c>
      <c r="E1226" s="2" t="s">
        <v>12652</v>
      </c>
      <c r="G1226" s="3" t="s">
        <v>64</v>
      </c>
      <c r="I1226" s="3" t="s">
        <v>64</v>
      </c>
      <c r="J1226" s="3" t="s">
        <v>64</v>
      </c>
      <c r="K1226" s="3" t="s">
        <v>65</v>
      </c>
      <c r="L1226" s="2" t="s">
        <v>3609</v>
      </c>
      <c r="M1226" s="2" t="s">
        <v>12653</v>
      </c>
      <c r="N1226" s="3" t="s">
        <v>214</v>
      </c>
      <c r="P1226" s="3" t="s">
        <v>69</v>
      </c>
      <c r="R1226" s="3" t="s">
        <v>9228</v>
      </c>
      <c r="S1226" s="4">
        <v>3</v>
      </c>
      <c r="T1226" s="4">
        <v>3</v>
      </c>
      <c r="U1226" s="5" t="s">
        <v>12553</v>
      </c>
      <c r="V1226" s="5" t="s">
        <v>12553</v>
      </c>
      <c r="W1226" s="5" t="s">
        <v>72</v>
      </c>
      <c r="X1226" s="5" t="s">
        <v>72</v>
      </c>
      <c r="Y1226" s="4">
        <v>116</v>
      </c>
      <c r="Z1226" s="4">
        <v>11</v>
      </c>
      <c r="AA1226" s="4">
        <v>52</v>
      </c>
      <c r="AB1226" s="4">
        <v>2</v>
      </c>
      <c r="AC1226" s="4">
        <v>12</v>
      </c>
      <c r="AD1226" s="4">
        <v>43</v>
      </c>
      <c r="AE1226" s="4">
        <v>58</v>
      </c>
      <c r="AF1226" s="4">
        <v>1</v>
      </c>
      <c r="AG1226" s="4">
        <v>4</v>
      </c>
      <c r="AH1226" s="4">
        <v>40</v>
      </c>
      <c r="AI1226" s="4">
        <v>48</v>
      </c>
      <c r="AJ1226" s="4">
        <v>7</v>
      </c>
      <c r="AK1226" s="4">
        <v>12</v>
      </c>
      <c r="AL1226" s="4">
        <v>24</v>
      </c>
      <c r="AM1226" s="4">
        <v>28</v>
      </c>
      <c r="AN1226" s="4">
        <v>0</v>
      </c>
      <c r="AO1226" s="4">
        <v>0</v>
      </c>
      <c r="AP1226" s="4">
        <v>8</v>
      </c>
      <c r="AQ1226" s="4">
        <v>16</v>
      </c>
      <c r="AR1226" s="3" t="s">
        <v>64</v>
      </c>
      <c r="AS1226" s="3" t="s">
        <v>64</v>
      </c>
      <c r="AT1226" s="3" t="s">
        <v>64</v>
      </c>
      <c r="AV1226" s="6" t="str">
        <f>HYPERLINK("http://mcgill.on.worldcat.org/oclc/457010504","Catalog Record")</f>
        <v>Catalog Record</v>
      </c>
      <c r="AW1226" s="6" t="str">
        <f>HYPERLINK("http://www.worldcat.org/oclc/457010504","WorldCat Record")</f>
        <v>WorldCat Record</v>
      </c>
      <c r="AX1226" s="3" t="s">
        <v>12654</v>
      </c>
      <c r="AY1226" s="3" t="s">
        <v>12655</v>
      </c>
      <c r="AZ1226" s="3" t="s">
        <v>12656</v>
      </c>
      <c r="BA1226" s="3" t="s">
        <v>12656</v>
      </c>
      <c r="BB1226" s="3" t="s">
        <v>12657</v>
      </c>
      <c r="BC1226" s="3" t="s">
        <v>78</v>
      </c>
      <c r="BD1226" s="3" t="s">
        <v>79</v>
      </c>
      <c r="BE1226" s="3" t="s">
        <v>12658</v>
      </c>
      <c r="BF1226" s="3" t="s">
        <v>12657</v>
      </c>
      <c r="BG1226" s="3" t="s">
        <v>12659</v>
      </c>
    </row>
    <row r="1227" spans="1:59" ht="58" x14ac:dyDescent="0.35">
      <c r="A1227" s="2" t="s">
        <v>59</v>
      </c>
      <c r="B1227" s="2" t="s">
        <v>94</v>
      </c>
      <c r="C1227" s="2" t="s">
        <v>12660</v>
      </c>
      <c r="D1227" s="2" t="s">
        <v>12661</v>
      </c>
      <c r="E1227" s="2" t="s">
        <v>12662</v>
      </c>
      <c r="G1227" s="3" t="s">
        <v>64</v>
      </c>
      <c r="I1227" s="3" t="s">
        <v>64</v>
      </c>
      <c r="J1227" s="3" t="s">
        <v>64</v>
      </c>
      <c r="K1227" s="3" t="s">
        <v>65</v>
      </c>
      <c r="L1227" s="2" t="s">
        <v>12663</v>
      </c>
      <c r="M1227" s="2" t="s">
        <v>1904</v>
      </c>
      <c r="N1227" s="3" t="s">
        <v>328</v>
      </c>
      <c r="O1227" s="2" t="s">
        <v>1294</v>
      </c>
      <c r="P1227" s="3" t="s">
        <v>69</v>
      </c>
      <c r="R1227" s="3" t="s">
        <v>9228</v>
      </c>
      <c r="S1227" s="4">
        <v>0</v>
      </c>
      <c r="T1227" s="4">
        <v>0</v>
      </c>
      <c r="W1227" s="5" t="s">
        <v>72</v>
      </c>
      <c r="X1227" s="5" t="s">
        <v>72</v>
      </c>
      <c r="Y1227" s="4">
        <v>119</v>
      </c>
      <c r="Z1227" s="4">
        <v>6</v>
      </c>
      <c r="AA1227" s="4">
        <v>13</v>
      </c>
      <c r="AB1227" s="4">
        <v>1</v>
      </c>
      <c r="AC1227" s="4">
        <v>5</v>
      </c>
      <c r="AD1227" s="4">
        <v>44</v>
      </c>
      <c r="AE1227" s="4">
        <v>52</v>
      </c>
      <c r="AF1227" s="4">
        <v>0</v>
      </c>
      <c r="AG1227" s="4">
        <v>2</v>
      </c>
      <c r="AH1227" s="4">
        <v>41</v>
      </c>
      <c r="AI1227" s="4">
        <v>47</v>
      </c>
      <c r="AJ1227" s="4">
        <v>3</v>
      </c>
      <c r="AK1227" s="4">
        <v>8</v>
      </c>
      <c r="AL1227" s="4">
        <v>28</v>
      </c>
      <c r="AM1227" s="4">
        <v>31</v>
      </c>
      <c r="AN1227" s="4">
        <v>0</v>
      </c>
      <c r="AO1227" s="4">
        <v>0</v>
      </c>
      <c r="AP1227" s="4">
        <v>4</v>
      </c>
      <c r="AQ1227" s="4">
        <v>9</v>
      </c>
      <c r="AR1227" s="3" t="s">
        <v>64</v>
      </c>
      <c r="AS1227" s="3" t="s">
        <v>64</v>
      </c>
      <c r="AT1227" s="3" t="s">
        <v>64</v>
      </c>
      <c r="AV1227" s="6" t="str">
        <f>HYPERLINK("http://mcgill.on.worldcat.org/oclc/369141287","Catalog Record")</f>
        <v>Catalog Record</v>
      </c>
      <c r="AW1227" s="6" t="str">
        <f>HYPERLINK("http://www.worldcat.org/oclc/369141287","WorldCat Record")</f>
        <v>WorldCat Record</v>
      </c>
      <c r="AX1227" s="3" t="s">
        <v>12664</v>
      </c>
      <c r="AY1227" s="3" t="s">
        <v>12665</v>
      </c>
      <c r="AZ1227" s="3" t="s">
        <v>12666</v>
      </c>
      <c r="BA1227" s="3" t="s">
        <v>12666</v>
      </c>
      <c r="BB1227" s="3" t="s">
        <v>12667</v>
      </c>
      <c r="BC1227" s="3" t="s">
        <v>78</v>
      </c>
      <c r="BD1227" s="3" t="s">
        <v>79</v>
      </c>
      <c r="BE1227" s="3" t="s">
        <v>12668</v>
      </c>
      <c r="BF1227" s="3" t="s">
        <v>12667</v>
      </c>
      <c r="BG1227" s="3" t="s">
        <v>12669</v>
      </c>
    </row>
    <row r="1228" spans="1:59" ht="58" x14ac:dyDescent="0.35">
      <c r="A1228" s="2" t="s">
        <v>59</v>
      </c>
      <c r="B1228" s="2" t="s">
        <v>94</v>
      </c>
      <c r="C1228" s="2" t="s">
        <v>12670</v>
      </c>
      <c r="D1228" s="2" t="s">
        <v>12671</v>
      </c>
      <c r="E1228" s="2" t="s">
        <v>12672</v>
      </c>
      <c r="G1228" s="3" t="s">
        <v>64</v>
      </c>
      <c r="I1228" s="3" t="s">
        <v>64</v>
      </c>
      <c r="J1228" s="3" t="s">
        <v>64</v>
      </c>
      <c r="K1228" s="3" t="s">
        <v>65</v>
      </c>
      <c r="L1228" s="2" t="s">
        <v>12673</v>
      </c>
      <c r="M1228" s="2" t="s">
        <v>12674</v>
      </c>
      <c r="N1228" s="3" t="s">
        <v>1320</v>
      </c>
      <c r="P1228" s="3" t="s">
        <v>69</v>
      </c>
      <c r="R1228" s="3" t="s">
        <v>9228</v>
      </c>
      <c r="S1228" s="4">
        <v>14</v>
      </c>
      <c r="T1228" s="4">
        <v>14</v>
      </c>
      <c r="U1228" s="5" t="s">
        <v>10013</v>
      </c>
      <c r="V1228" s="5" t="s">
        <v>10013</v>
      </c>
      <c r="W1228" s="5" t="s">
        <v>72</v>
      </c>
      <c r="X1228" s="5" t="s">
        <v>72</v>
      </c>
      <c r="Y1228" s="4">
        <v>310</v>
      </c>
      <c r="Z1228" s="4">
        <v>17</v>
      </c>
      <c r="AA1228" s="4">
        <v>18</v>
      </c>
      <c r="AB1228" s="4">
        <v>1</v>
      </c>
      <c r="AC1228" s="4">
        <v>2</v>
      </c>
      <c r="AD1228" s="4">
        <v>96</v>
      </c>
      <c r="AE1228" s="4">
        <v>97</v>
      </c>
      <c r="AF1228" s="4">
        <v>0</v>
      </c>
      <c r="AG1228" s="4">
        <v>1</v>
      </c>
      <c r="AH1228" s="4">
        <v>87</v>
      </c>
      <c r="AI1228" s="4">
        <v>87</v>
      </c>
      <c r="AJ1228" s="4">
        <v>9</v>
      </c>
      <c r="AK1228" s="4">
        <v>10</v>
      </c>
      <c r="AL1228" s="4">
        <v>52</v>
      </c>
      <c r="AM1228" s="4">
        <v>52</v>
      </c>
      <c r="AN1228" s="4">
        <v>0</v>
      </c>
      <c r="AO1228" s="4">
        <v>0</v>
      </c>
      <c r="AP1228" s="4">
        <v>10</v>
      </c>
      <c r="AQ1228" s="4">
        <v>10</v>
      </c>
      <c r="AR1228" s="3" t="s">
        <v>64</v>
      </c>
      <c r="AS1228" s="3" t="s">
        <v>64</v>
      </c>
      <c r="AT1228" s="3" t="s">
        <v>64</v>
      </c>
      <c r="AV1228" s="6" t="str">
        <f>HYPERLINK("http://mcgill.on.worldcat.org/oclc/30666465","Catalog Record")</f>
        <v>Catalog Record</v>
      </c>
      <c r="AW1228" s="6" t="str">
        <f>HYPERLINK("http://www.worldcat.org/oclc/30666465","WorldCat Record")</f>
        <v>WorldCat Record</v>
      </c>
      <c r="AX1228" s="3" t="s">
        <v>12675</v>
      </c>
      <c r="AY1228" s="3" t="s">
        <v>12676</v>
      </c>
      <c r="AZ1228" s="3" t="s">
        <v>12677</v>
      </c>
      <c r="BA1228" s="3" t="s">
        <v>12677</v>
      </c>
      <c r="BB1228" s="3" t="s">
        <v>12678</v>
      </c>
      <c r="BC1228" s="3" t="s">
        <v>78</v>
      </c>
      <c r="BD1228" s="3" t="s">
        <v>79</v>
      </c>
      <c r="BE1228" s="3" t="s">
        <v>12679</v>
      </c>
      <c r="BF1228" s="3" t="s">
        <v>12678</v>
      </c>
      <c r="BG1228" s="3" t="s">
        <v>12680</v>
      </c>
    </row>
    <row r="1229" spans="1:59" ht="58" x14ac:dyDescent="0.35">
      <c r="A1229" s="2" t="s">
        <v>59</v>
      </c>
      <c r="B1229" s="2" t="s">
        <v>94</v>
      </c>
      <c r="C1229" s="2" t="s">
        <v>12681</v>
      </c>
      <c r="D1229" s="2" t="s">
        <v>12682</v>
      </c>
      <c r="E1229" s="2" t="s">
        <v>12683</v>
      </c>
      <c r="G1229" s="3" t="s">
        <v>64</v>
      </c>
      <c r="I1229" s="3" t="s">
        <v>64</v>
      </c>
      <c r="J1229" s="3" t="s">
        <v>64</v>
      </c>
      <c r="K1229" s="3" t="s">
        <v>65</v>
      </c>
      <c r="L1229" s="2" t="s">
        <v>12684</v>
      </c>
      <c r="M1229" s="2" t="s">
        <v>12685</v>
      </c>
      <c r="N1229" s="3" t="s">
        <v>136</v>
      </c>
      <c r="P1229" s="3" t="s">
        <v>69</v>
      </c>
      <c r="Q1229" s="2" t="s">
        <v>12686</v>
      </c>
      <c r="R1229" s="3" t="s">
        <v>9228</v>
      </c>
      <c r="S1229" s="4">
        <v>23</v>
      </c>
      <c r="T1229" s="4">
        <v>23</v>
      </c>
      <c r="U1229" s="5" t="s">
        <v>12609</v>
      </c>
      <c r="V1229" s="5" t="s">
        <v>12609</v>
      </c>
      <c r="W1229" s="5" t="s">
        <v>72</v>
      </c>
      <c r="X1229" s="5" t="s">
        <v>72</v>
      </c>
      <c r="Y1229" s="4">
        <v>291</v>
      </c>
      <c r="Z1229" s="4">
        <v>22</v>
      </c>
      <c r="AA1229" s="4">
        <v>22</v>
      </c>
      <c r="AB1229" s="4">
        <v>2</v>
      </c>
      <c r="AC1229" s="4">
        <v>2</v>
      </c>
      <c r="AD1229" s="4">
        <v>100</v>
      </c>
      <c r="AE1229" s="4">
        <v>100</v>
      </c>
      <c r="AF1229" s="4">
        <v>1</v>
      </c>
      <c r="AG1229" s="4">
        <v>1</v>
      </c>
      <c r="AH1229" s="4">
        <v>85</v>
      </c>
      <c r="AI1229" s="4">
        <v>85</v>
      </c>
      <c r="AJ1229" s="4">
        <v>14</v>
      </c>
      <c r="AK1229" s="4">
        <v>14</v>
      </c>
      <c r="AL1229" s="4">
        <v>47</v>
      </c>
      <c r="AM1229" s="4">
        <v>47</v>
      </c>
      <c r="AN1229" s="4">
        <v>0</v>
      </c>
      <c r="AO1229" s="4">
        <v>0</v>
      </c>
      <c r="AP1229" s="4">
        <v>19</v>
      </c>
      <c r="AQ1229" s="4">
        <v>19</v>
      </c>
      <c r="AR1229" s="3" t="s">
        <v>64</v>
      </c>
      <c r="AS1229" s="3" t="s">
        <v>64</v>
      </c>
      <c r="AT1229" s="3" t="s">
        <v>64</v>
      </c>
      <c r="AV1229" s="6" t="str">
        <f>HYPERLINK("http://mcgill.on.worldcat.org/oclc/43648687","Catalog Record")</f>
        <v>Catalog Record</v>
      </c>
      <c r="AW1229" s="6" t="str">
        <f>HYPERLINK("http://www.worldcat.org/oclc/43648687","WorldCat Record")</f>
        <v>WorldCat Record</v>
      </c>
      <c r="AX1229" s="3" t="s">
        <v>12687</v>
      </c>
      <c r="AY1229" s="3" t="s">
        <v>12688</v>
      </c>
      <c r="AZ1229" s="3" t="s">
        <v>12689</v>
      </c>
      <c r="BA1229" s="3" t="s">
        <v>12689</v>
      </c>
      <c r="BB1229" s="3" t="s">
        <v>12690</v>
      </c>
      <c r="BC1229" s="3" t="s">
        <v>78</v>
      </c>
      <c r="BD1229" s="3" t="s">
        <v>79</v>
      </c>
      <c r="BE1229" s="3" t="s">
        <v>12691</v>
      </c>
      <c r="BF1229" s="3" t="s">
        <v>12690</v>
      </c>
      <c r="BG1229" s="3" t="s">
        <v>12692</v>
      </c>
    </row>
    <row r="1230" spans="1:59" ht="58" x14ac:dyDescent="0.35">
      <c r="A1230" s="2" t="s">
        <v>59</v>
      </c>
      <c r="B1230" s="2" t="s">
        <v>94</v>
      </c>
      <c r="C1230" s="2" t="s">
        <v>12693</v>
      </c>
      <c r="D1230" s="2" t="s">
        <v>12694</v>
      </c>
      <c r="E1230" s="2" t="s">
        <v>12695</v>
      </c>
      <c r="G1230" s="3" t="s">
        <v>64</v>
      </c>
      <c r="I1230" s="3" t="s">
        <v>64</v>
      </c>
      <c r="J1230" s="3" t="s">
        <v>64</v>
      </c>
      <c r="K1230" s="3" t="s">
        <v>65</v>
      </c>
      <c r="L1230" s="2" t="s">
        <v>12696</v>
      </c>
      <c r="M1230" s="2" t="s">
        <v>510</v>
      </c>
      <c r="N1230" s="3" t="s">
        <v>499</v>
      </c>
      <c r="P1230" s="3" t="s">
        <v>69</v>
      </c>
      <c r="Q1230" s="2" t="s">
        <v>539</v>
      </c>
      <c r="R1230" s="3" t="s">
        <v>9228</v>
      </c>
      <c r="S1230" s="4">
        <v>15</v>
      </c>
      <c r="T1230" s="4">
        <v>15</v>
      </c>
      <c r="U1230" s="5" t="s">
        <v>137</v>
      </c>
      <c r="V1230" s="5" t="s">
        <v>137</v>
      </c>
      <c r="W1230" s="5" t="s">
        <v>72</v>
      </c>
      <c r="X1230" s="5" t="s">
        <v>72</v>
      </c>
      <c r="Y1230" s="4">
        <v>188</v>
      </c>
      <c r="Z1230" s="4">
        <v>18</v>
      </c>
      <c r="AA1230" s="4">
        <v>82</v>
      </c>
      <c r="AB1230" s="4">
        <v>2</v>
      </c>
      <c r="AC1230" s="4">
        <v>15</v>
      </c>
      <c r="AD1230" s="4">
        <v>55</v>
      </c>
      <c r="AE1230" s="4">
        <v>111</v>
      </c>
      <c r="AF1230" s="4">
        <v>1</v>
      </c>
      <c r="AG1230" s="4">
        <v>8</v>
      </c>
      <c r="AH1230" s="4">
        <v>46</v>
      </c>
      <c r="AI1230" s="4">
        <v>77</v>
      </c>
      <c r="AJ1230" s="4">
        <v>9</v>
      </c>
      <c r="AK1230" s="4">
        <v>21</v>
      </c>
      <c r="AL1230" s="4">
        <v>29</v>
      </c>
      <c r="AM1230" s="4">
        <v>39</v>
      </c>
      <c r="AN1230" s="4">
        <v>0</v>
      </c>
      <c r="AO1230" s="4">
        <v>0</v>
      </c>
      <c r="AP1230" s="4">
        <v>12</v>
      </c>
      <c r="AQ1230" s="4">
        <v>40</v>
      </c>
      <c r="AR1230" s="3" t="s">
        <v>64</v>
      </c>
      <c r="AS1230" s="3" t="s">
        <v>64</v>
      </c>
      <c r="AT1230" s="3" t="s">
        <v>64</v>
      </c>
      <c r="AV1230" s="6" t="str">
        <f>HYPERLINK("http://mcgill.on.worldcat.org/oclc/54966165","Catalog Record")</f>
        <v>Catalog Record</v>
      </c>
      <c r="AW1230" s="6" t="str">
        <f>HYPERLINK("http://www.worldcat.org/oclc/54966165","WorldCat Record")</f>
        <v>WorldCat Record</v>
      </c>
      <c r="AX1230" s="3" t="s">
        <v>12697</v>
      </c>
      <c r="AY1230" s="3" t="s">
        <v>12698</v>
      </c>
      <c r="AZ1230" s="3" t="s">
        <v>12699</v>
      </c>
      <c r="BA1230" s="3" t="s">
        <v>12699</v>
      </c>
      <c r="BB1230" s="3" t="s">
        <v>12700</v>
      </c>
      <c r="BC1230" s="3" t="s">
        <v>78</v>
      </c>
      <c r="BD1230" s="3" t="s">
        <v>79</v>
      </c>
      <c r="BE1230" s="3" t="s">
        <v>12701</v>
      </c>
      <c r="BF1230" s="3" t="s">
        <v>12700</v>
      </c>
      <c r="BG1230" s="3" t="s">
        <v>12702</v>
      </c>
    </row>
    <row r="1231" spans="1:59" ht="58" x14ac:dyDescent="0.35">
      <c r="A1231" s="2" t="s">
        <v>59</v>
      </c>
      <c r="B1231" s="2" t="s">
        <v>94</v>
      </c>
      <c r="C1231" s="2" t="s">
        <v>12703</v>
      </c>
      <c r="D1231" s="2" t="s">
        <v>12704</v>
      </c>
      <c r="E1231" s="2" t="s">
        <v>12705</v>
      </c>
      <c r="G1231" s="3" t="s">
        <v>64</v>
      </c>
      <c r="I1231" s="3" t="s">
        <v>64</v>
      </c>
      <c r="J1231" s="3" t="s">
        <v>64</v>
      </c>
      <c r="K1231" s="3" t="s">
        <v>65</v>
      </c>
      <c r="L1231" s="2" t="s">
        <v>12706</v>
      </c>
      <c r="M1231" s="2" t="s">
        <v>12707</v>
      </c>
      <c r="N1231" s="3" t="s">
        <v>499</v>
      </c>
      <c r="P1231" s="3" t="s">
        <v>69</v>
      </c>
      <c r="R1231" s="3" t="s">
        <v>9228</v>
      </c>
      <c r="S1231" s="4">
        <v>16</v>
      </c>
      <c r="T1231" s="4">
        <v>16</v>
      </c>
      <c r="U1231" s="5" t="s">
        <v>12708</v>
      </c>
      <c r="V1231" s="5" t="s">
        <v>12708</v>
      </c>
      <c r="W1231" s="5" t="s">
        <v>72</v>
      </c>
      <c r="X1231" s="5" t="s">
        <v>72</v>
      </c>
      <c r="Y1231" s="4">
        <v>253</v>
      </c>
      <c r="Z1231" s="4">
        <v>23</v>
      </c>
      <c r="AA1231" s="4">
        <v>95</v>
      </c>
      <c r="AB1231" s="4">
        <v>2</v>
      </c>
      <c r="AC1231" s="4">
        <v>14</v>
      </c>
      <c r="AD1231" s="4">
        <v>74</v>
      </c>
      <c r="AE1231" s="4">
        <v>129</v>
      </c>
      <c r="AF1231" s="4">
        <v>1</v>
      </c>
      <c r="AG1231" s="4">
        <v>8</v>
      </c>
      <c r="AH1231" s="4">
        <v>64</v>
      </c>
      <c r="AI1231" s="4">
        <v>92</v>
      </c>
      <c r="AJ1231" s="4">
        <v>12</v>
      </c>
      <c r="AK1231" s="4">
        <v>24</v>
      </c>
      <c r="AL1231" s="4">
        <v>36</v>
      </c>
      <c r="AM1231" s="4">
        <v>44</v>
      </c>
      <c r="AN1231" s="4">
        <v>0</v>
      </c>
      <c r="AO1231" s="4">
        <v>0</v>
      </c>
      <c r="AP1231" s="4">
        <v>14</v>
      </c>
      <c r="AQ1231" s="4">
        <v>45</v>
      </c>
      <c r="AR1231" s="3" t="s">
        <v>64</v>
      </c>
      <c r="AS1231" s="3" t="s">
        <v>64</v>
      </c>
      <c r="AT1231" s="3" t="s">
        <v>64</v>
      </c>
      <c r="AV1231" s="6" t="str">
        <f>HYPERLINK("http://mcgill.on.worldcat.org/oclc/57594115","Catalog Record")</f>
        <v>Catalog Record</v>
      </c>
      <c r="AW1231" s="6" t="str">
        <f>HYPERLINK("http://www.worldcat.org/oclc/57594115","WorldCat Record")</f>
        <v>WorldCat Record</v>
      </c>
      <c r="AX1231" s="3" t="s">
        <v>12709</v>
      </c>
      <c r="AY1231" s="3" t="s">
        <v>12710</v>
      </c>
      <c r="AZ1231" s="3" t="s">
        <v>12711</v>
      </c>
      <c r="BA1231" s="3" t="s">
        <v>12711</v>
      </c>
      <c r="BB1231" s="3" t="s">
        <v>12712</v>
      </c>
      <c r="BC1231" s="3" t="s">
        <v>78</v>
      </c>
      <c r="BD1231" s="3" t="s">
        <v>414</v>
      </c>
      <c r="BE1231" s="3" t="s">
        <v>12713</v>
      </c>
      <c r="BF1231" s="3" t="s">
        <v>12712</v>
      </c>
      <c r="BG1231" s="3" t="s">
        <v>12714</v>
      </c>
    </row>
    <row r="1232" spans="1:59" ht="58" x14ac:dyDescent="0.35">
      <c r="A1232" s="2" t="s">
        <v>59</v>
      </c>
      <c r="B1232" s="2" t="s">
        <v>94</v>
      </c>
      <c r="C1232" s="2" t="s">
        <v>12715</v>
      </c>
      <c r="D1232" s="2" t="s">
        <v>12716</v>
      </c>
      <c r="E1232" s="2" t="s">
        <v>12717</v>
      </c>
      <c r="G1232" s="3" t="s">
        <v>64</v>
      </c>
      <c r="I1232" s="3" t="s">
        <v>64</v>
      </c>
      <c r="J1232" s="3" t="s">
        <v>64</v>
      </c>
      <c r="K1232" s="3" t="s">
        <v>65</v>
      </c>
      <c r="L1232" s="2" t="s">
        <v>12718</v>
      </c>
      <c r="M1232" s="2" t="s">
        <v>12719</v>
      </c>
      <c r="N1232" s="3" t="s">
        <v>214</v>
      </c>
      <c r="P1232" s="3" t="s">
        <v>69</v>
      </c>
      <c r="Q1232" s="2" t="s">
        <v>12720</v>
      </c>
      <c r="R1232" s="3" t="s">
        <v>9228</v>
      </c>
      <c r="S1232" s="4">
        <v>1</v>
      </c>
      <c r="T1232" s="4">
        <v>1</v>
      </c>
      <c r="U1232" s="5" t="s">
        <v>12721</v>
      </c>
      <c r="V1232" s="5" t="s">
        <v>12721</v>
      </c>
      <c r="W1232" s="5" t="s">
        <v>72</v>
      </c>
      <c r="X1232" s="5" t="s">
        <v>72</v>
      </c>
      <c r="Y1232" s="4">
        <v>98</v>
      </c>
      <c r="Z1232" s="4">
        <v>8</v>
      </c>
      <c r="AA1232" s="4">
        <v>93</v>
      </c>
      <c r="AB1232" s="4">
        <v>1</v>
      </c>
      <c r="AC1232" s="4">
        <v>17</v>
      </c>
      <c r="AD1232" s="4">
        <v>36</v>
      </c>
      <c r="AE1232" s="4">
        <v>110</v>
      </c>
      <c r="AF1232" s="4">
        <v>0</v>
      </c>
      <c r="AG1232" s="4">
        <v>8</v>
      </c>
      <c r="AH1232" s="4">
        <v>33</v>
      </c>
      <c r="AI1232" s="4">
        <v>72</v>
      </c>
      <c r="AJ1232" s="4">
        <v>5</v>
      </c>
      <c r="AK1232" s="4">
        <v>20</v>
      </c>
      <c r="AL1232" s="4">
        <v>18</v>
      </c>
      <c r="AM1232" s="4">
        <v>39</v>
      </c>
      <c r="AN1232" s="4">
        <v>0</v>
      </c>
      <c r="AO1232" s="4">
        <v>0</v>
      </c>
      <c r="AP1232" s="4">
        <v>6</v>
      </c>
      <c r="AQ1232" s="4">
        <v>42</v>
      </c>
      <c r="AR1232" s="3" t="s">
        <v>64</v>
      </c>
      <c r="AS1232" s="3" t="s">
        <v>64</v>
      </c>
      <c r="AT1232" s="3" t="s">
        <v>64</v>
      </c>
      <c r="AV1232" s="6" t="str">
        <f>HYPERLINK("http://mcgill.on.worldcat.org/oclc/491904352","Catalog Record")</f>
        <v>Catalog Record</v>
      </c>
      <c r="AW1232" s="6" t="str">
        <f>HYPERLINK("http://www.worldcat.org/oclc/491904352","WorldCat Record")</f>
        <v>WorldCat Record</v>
      </c>
      <c r="AX1232" s="3" t="s">
        <v>12722</v>
      </c>
      <c r="AY1232" s="3" t="s">
        <v>12723</v>
      </c>
      <c r="AZ1232" s="3" t="s">
        <v>12724</v>
      </c>
      <c r="BA1232" s="3" t="s">
        <v>12724</v>
      </c>
      <c r="BB1232" s="3" t="s">
        <v>12725</v>
      </c>
      <c r="BC1232" s="3" t="s">
        <v>78</v>
      </c>
      <c r="BD1232" s="3" t="s">
        <v>79</v>
      </c>
      <c r="BE1232" s="3" t="s">
        <v>12726</v>
      </c>
      <c r="BF1232" s="3" t="s">
        <v>12725</v>
      </c>
      <c r="BG1232" s="3" t="s">
        <v>12727</v>
      </c>
    </row>
    <row r="1233" spans="1:59" ht="58" x14ac:dyDescent="0.35">
      <c r="A1233" s="2" t="s">
        <v>59</v>
      </c>
      <c r="B1233" s="2" t="s">
        <v>94</v>
      </c>
      <c r="C1233" s="2" t="s">
        <v>12728</v>
      </c>
      <c r="D1233" s="2" t="s">
        <v>12729</v>
      </c>
      <c r="E1233" s="2" t="s">
        <v>12730</v>
      </c>
      <c r="G1233" s="3" t="s">
        <v>64</v>
      </c>
      <c r="I1233" s="3" t="s">
        <v>64</v>
      </c>
      <c r="J1233" s="3" t="s">
        <v>64</v>
      </c>
      <c r="K1233" s="3" t="s">
        <v>65</v>
      </c>
      <c r="L1233" s="2" t="s">
        <v>12731</v>
      </c>
      <c r="M1233" s="2" t="s">
        <v>10012</v>
      </c>
      <c r="N1233" s="3" t="s">
        <v>705</v>
      </c>
      <c r="P1233" s="3" t="s">
        <v>69</v>
      </c>
      <c r="R1233" s="3" t="s">
        <v>9228</v>
      </c>
      <c r="S1233" s="4">
        <v>8</v>
      </c>
      <c r="T1233" s="4">
        <v>8</v>
      </c>
      <c r="U1233" s="5" t="s">
        <v>12732</v>
      </c>
      <c r="V1233" s="5" t="s">
        <v>12732</v>
      </c>
      <c r="W1233" s="5" t="s">
        <v>72</v>
      </c>
      <c r="X1233" s="5" t="s">
        <v>72</v>
      </c>
      <c r="Y1233" s="4">
        <v>148</v>
      </c>
      <c r="Z1233" s="4">
        <v>9</v>
      </c>
      <c r="AA1233" s="4">
        <v>13</v>
      </c>
      <c r="AB1233" s="4">
        <v>1</v>
      </c>
      <c r="AC1233" s="4">
        <v>3</v>
      </c>
      <c r="AD1233" s="4">
        <v>65</v>
      </c>
      <c r="AE1233" s="4">
        <v>68</v>
      </c>
      <c r="AF1233" s="4">
        <v>0</v>
      </c>
      <c r="AG1233" s="4">
        <v>0</v>
      </c>
      <c r="AH1233" s="4">
        <v>63</v>
      </c>
      <c r="AI1233" s="4">
        <v>65</v>
      </c>
      <c r="AJ1233" s="4">
        <v>6</v>
      </c>
      <c r="AK1233" s="4">
        <v>8</v>
      </c>
      <c r="AL1233" s="4">
        <v>36</v>
      </c>
      <c r="AM1233" s="4">
        <v>37</v>
      </c>
      <c r="AN1233" s="4">
        <v>0</v>
      </c>
      <c r="AO1233" s="4">
        <v>0</v>
      </c>
      <c r="AP1233" s="4">
        <v>6</v>
      </c>
      <c r="AQ1233" s="4">
        <v>8</v>
      </c>
      <c r="AR1233" s="3" t="s">
        <v>64</v>
      </c>
      <c r="AS1233" s="3" t="s">
        <v>64</v>
      </c>
      <c r="AT1233" s="3" t="s">
        <v>64</v>
      </c>
      <c r="AV1233" s="6" t="str">
        <f>HYPERLINK("http://mcgill.on.worldcat.org/oclc/33244915","Catalog Record")</f>
        <v>Catalog Record</v>
      </c>
      <c r="AW1233" s="6" t="str">
        <f>HYPERLINK("http://www.worldcat.org/oclc/33244915","WorldCat Record")</f>
        <v>WorldCat Record</v>
      </c>
      <c r="AX1233" s="3" t="s">
        <v>12733</v>
      </c>
      <c r="AY1233" s="3" t="s">
        <v>12734</v>
      </c>
      <c r="AZ1233" s="3" t="s">
        <v>12735</v>
      </c>
      <c r="BA1233" s="3" t="s">
        <v>12735</v>
      </c>
      <c r="BB1233" s="3" t="s">
        <v>12736</v>
      </c>
      <c r="BC1233" s="3" t="s">
        <v>78</v>
      </c>
      <c r="BD1233" s="3" t="s">
        <v>79</v>
      </c>
      <c r="BE1233" s="3" t="s">
        <v>12737</v>
      </c>
      <c r="BF1233" s="3" t="s">
        <v>12736</v>
      </c>
      <c r="BG1233" s="3" t="s">
        <v>12738</v>
      </c>
    </row>
    <row r="1234" spans="1:59" ht="58" x14ac:dyDescent="0.35">
      <c r="A1234" s="2" t="s">
        <v>59</v>
      </c>
      <c r="B1234" s="2" t="s">
        <v>94</v>
      </c>
      <c r="C1234" s="2" t="s">
        <v>12739</v>
      </c>
      <c r="D1234" s="2" t="s">
        <v>12740</v>
      </c>
      <c r="E1234" s="2" t="s">
        <v>12741</v>
      </c>
      <c r="G1234" s="3" t="s">
        <v>64</v>
      </c>
      <c r="I1234" s="3" t="s">
        <v>64</v>
      </c>
      <c r="J1234" s="3" t="s">
        <v>64</v>
      </c>
      <c r="K1234" s="3" t="s">
        <v>65</v>
      </c>
      <c r="L1234" s="2" t="s">
        <v>12742</v>
      </c>
      <c r="M1234" s="2" t="s">
        <v>3999</v>
      </c>
      <c r="N1234" s="3" t="s">
        <v>705</v>
      </c>
      <c r="P1234" s="3" t="s">
        <v>69</v>
      </c>
      <c r="Q1234" s="2" t="s">
        <v>12743</v>
      </c>
      <c r="R1234" s="3" t="s">
        <v>9228</v>
      </c>
      <c r="S1234" s="4">
        <v>3</v>
      </c>
      <c r="T1234" s="4">
        <v>3</v>
      </c>
      <c r="U1234" s="5" t="s">
        <v>12732</v>
      </c>
      <c r="V1234" s="5" t="s">
        <v>12732</v>
      </c>
      <c r="W1234" s="5" t="s">
        <v>72</v>
      </c>
      <c r="X1234" s="5" t="s">
        <v>72</v>
      </c>
      <c r="Y1234" s="4">
        <v>177</v>
      </c>
      <c r="Z1234" s="4">
        <v>10</v>
      </c>
      <c r="AA1234" s="4">
        <v>16</v>
      </c>
      <c r="AB1234" s="4">
        <v>1</v>
      </c>
      <c r="AC1234" s="4">
        <v>3</v>
      </c>
      <c r="AD1234" s="4">
        <v>77</v>
      </c>
      <c r="AE1234" s="4">
        <v>84</v>
      </c>
      <c r="AF1234" s="4">
        <v>0</v>
      </c>
      <c r="AG1234" s="4">
        <v>1</v>
      </c>
      <c r="AH1234" s="4">
        <v>72</v>
      </c>
      <c r="AI1234" s="4">
        <v>75</v>
      </c>
      <c r="AJ1234" s="4">
        <v>7</v>
      </c>
      <c r="AK1234" s="4">
        <v>10</v>
      </c>
      <c r="AL1234" s="4">
        <v>45</v>
      </c>
      <c r="AM1234" s="4">
        <v>46</v>
      </c>
      <c r="AN1234" s="4">
        <v>0</v>
      </c>
      <c r="AO1234" s="4">
        <v>0</v>
      </c>
      <c r="AP1234" s="4">
        <v>8</v>
      </c>
      <c r="AQ1234" s="4">
        <v>13</v>
      </c>
      <c r="AR1234" s="3" t="s">
        <v>64</v>
      </c>
      <c r="AS1234" s="3" t="s">
        <v>64</v>
      </c>
      <c r="AT1234" s="3" t="s">
        <v>64</v>
      </c>
      <c r="AV1234" s="6" t="str">
        <f>HYPERLINK("http://mcgill.on.worldcat.org/oclc/33359496","Catalog Record")</f>
        <v>Catalog Record</v>
      </c>
      <c r="AW1234" s="6" t="str">
        <f>HYPERLINK("http://www.worldcat.org/oclc/33359496","WorldCat Record")</f>
        <v>WorldCat Record</v>
      </c>
      <c r="AX1234" s="3" t="s">
        <v>12744</v>
      </c>
      <c r="AY1234" s="3" t="s">
        <v>12745</v>
      </c>
      <c r="AZ1234" s="3" t="s">
        <v>12746</v>
      </c>
      <c r="BA1234" s="3" t="s">
        <v>12746</v>
      </c>
      <c r="BB1234" s="3" t="s">
        <v>12747</v>
      </c>
      <c r="BC1234" s="3" t="s">
        <v>78</v>
      </c>
      <c r="BD1234" s="3" t="s">
        <v>79</v>
      </c>
      <c r="BE1234" s="3" t="s">
        <v>12748</v>
      </c>
      <c r="BF1234" s="3" t="s">
        <v>12747</v>
      </c>
      <c r="BG1234" s="3" t="s">
        <v>12749</v>
      </c>
    </row>
    <row r="1235" spans="1:59" ht="58" x14ac:dyDescent="0.35">
      <c r="A1235" s="2" t="s">
        <v>59</v>
      </c>
      <c r="B1235" s="2" t="s">
        <v>94</v>
      </c>
      <c r="C1235" s="2" t="s">
        <v>12750</v>
      </c>
      <c r="D1235" s="2" t="s">
        <v>12751</v>
      </c>
      <c r="E1235" s="2" t="s">
        <v>12752</v>
      </c>
      <c r="G1235" s="3" t="s">
        <v>64</v>
      </c>
      <c r="I1235" s="3" t="s">
        <v>64</v>
      </c>
      <c r="J1235" s="3" t="s">
        <v>64</v>
      </c>
      <c r="K1235" s="3" t="s">
        <v>65</v>
      </c>
      <c r="L1235" s="2" t="s">
        <v>12753</v>
      </c>
      <c r="M1235" s="2" t="s">
        <v>12754</v>
      </c>
      <c r="N1235" s="3" t="s">
        <v>733</v>
      </c>
      <c r="P1235" s="3" t="s">
        <v>69</v>
      </c>
      <c r="R1235" s="3" t="s">
        <v>9228</v>
      </c>
      <c r="S1235" s="4">
        <v>29</v>
      </c>
      <c r="T1235" s="4">
        <v>29</v>
      </c>
      <c r="U1235" s="5" t="s">
        <v>5018</v>
      </c>
      <c r="V1235" s="5" t="s">
        <v>5018</v>
      </c>
      <c r="W1235" s="5" t="s">
        <v>72</v>
      </c>
      <c r="X1235" s="5" t="s">
        <v>72</v>
      </c>
      <c r="Y1235" s="4">
        <v>295</v>
      </c>
      <c r="Z1235" s="4">
        <v>26</v>
      </c>
      <c r="AA1235" s="4">
        <v>38</v>
      </c>
      <c r="AB1235" s="4">
        <v>1</v>
      </c>
      <c r="AC1235" s="4">
        <v>3</v>
      </c>
      <c r="AD1235" s="4">
        <v>89</v>
      </c>
      <c r="AE1235" s="4">
        <v>123</v>
      </c>
      <c r="AF1235" s="4">
        <v>0</v>
      </c>
      <c r="AG1235" s="4">
        <v>1</v>
      </c>
      <c r="AH1235" s="4">
        <v>74</v>
      </c>
      <c r="AI1235" s="4">
        <v>102</v>
      </c>
      <c r="AJ1235" s="4">
        <v>10</v>
      </c>
      <c r="AK1235" s="4">
        <v>19</v>
      </c>
      <c r="AL1235" s="4">
        <v>41</v>
      </c>
      <c r="AM1235" s="4">
        <v>55</v>
      </c>
      <c r="AN1235" s="4">
        <v>0</v>
      </c>
      <c r="AO1235" s="4">
        <v>0</v>
      </c>
      <c r="AP1235" s="4">
        <v>19</v>
      </c>
      <c r="AQ1235" s="4">
        <v>26</v>
      </c>
      <c r="AR1235" s="3" t="s">
        <v>64</v>
      </c>
      <c r="AS1235" s="3" t="s">
        <v>64</v>
      </c>
      <c r="AT1235" s="3" t="s">
        <v>64</v>
      </c>
      <c r="AV1235" s="6" t="str">
        <f>HYPERLINK("http://mcgill.on.worldcat.org/oclc/8552371","Catalog Record")</f>
        <v>Catalog Record</v>
      </c>
      <c r="AW1235" s="6" t="str">
        <f>HYPERLINK("http://www.worldcat.org/oclc/8552371","WorldCat Record")</f>
        <v>WorldCat Record</v>
      </c>
      <c r="AX1235" s="3" t="s">
        <v>12755</v>
      </c>
      <c r="AY1235" s="3" t="s">
        <v>12756</v>
      </c>
      <c r="AZ1235" s="3" t="s">
        <v>12757</v>
      </c>
      <c r="BA1235" s="3" t="s">
        <v>12757</v>
      </c>
      <c r="BB1235" s="3" t="s">
        <v>12758</v>
      </c>
      <c r="BC1235" s="3" t="s">
        <v>78</v>
      </c>
      <c r="BD1235" s="3" t="s">
        <v>79</v>
      </c>
      <c r="BE1235" s="3" t="s">
        <v>12759</v>
      </c>
      <c r="BF1235" s="3" t="s">
        <v>12758</v>
      </c>
      <c r="BG1235" s="3" t="s">
        <v>12760</v>
      </c>
    </row>
    <row r="1236" spans="1:59" ht="58" x14ac:dyDescent="0.35">
      <c r="A1236" s="2" t="s">
        <v>59</v>
      </c>
      <c r="B1236" s="2" t="s">
        <v>94</v>
      </c>
      <c r="C1236" s="2" t="s">
        <v>12761</v>
      </c>
      <c r="D1236" s="2" t="s">
        <v>12762</v>
      </c>
      <c r="E1236" s="2" t="s">
        <v>12763</v>
      </c>
      <c r="F1236" s="3" t="s">
        <v>3660</v>
      </c>
      <c r="G1236" s="3" t="s">
        <v>73</v>
      </c>
      <c r="I1236" s="3" t="s">
        <v>64</v>
      </c>
      <c r="J1236" s="3" t="s">
        <v>64</v>
      </c>
      <c r="K1236" s="3" t="s">
        <v>65</v>
      </c>
      <c r="M1236" s="2" t="s">
        <v>12764</v>
      </c>
      <c r="N1236" s="3" t="s">
        <v>422</v>
      </c>
      <c r="P1236" s="3" t="s">
        <v>69</v>
      </c>
      <c r="R1236" s="3" t="s">
        <v>9228</v>
      </c>
      <c r="S1236" s="4">
        <v>14</v>
      </c>
      <c r="T1236" s="4">
        <v>40</v>
      </c>
      <c r="U1236" s="5" t="s">
        <v>10013</v>
      </c>
      <c r="V1236" s="5" t="s">
        <v>10013</v>
      </c>
      <c r="W1236" s="5" t="s">
        <v>72</v>
      </c>
      <c r="X1236" s="5" t="s">
        <v>72</v>
      </c>
      <c r="Y1236" s="4">
        <v>376</v>
      </c>
      <c r="Z1236" s="4">
        <v>28</v>
      </c>
      <c r="AA1236" s="4">
        <v>29</v>
      </c>
      <c r="AB1236" s="4">
        <v>3</v>
      </c>
      <c r="AC1236" s="4">
        <v>4</v>
      </c>
      <c r="AD1236" s="4">
        <v>92</v>
      </c>
      <c r="AE1236" s="4">
        <v>93</v>
      </c>
      <c r="AF1236" s="4">
        <v>1</v>
      </c>
      <c r="AG1236" s="4">
        <v>2</v>
      </c>
      <c r="AH1236" s="4">
        <v>82</v>
      </c>
      <c r="AI1236" s="4">
        <v>82</v>
      </c>
      <c r="AJ1236" s="4">
        <v>14</v>
      </c>
      <c r="AK1236" s="4">
        <v>15</v>
      </c>
      <c r="AL1236" s="4">
        <v>44</v>
      </c>
      <c r="AM1236" s="4">
        <v>44</v>
      </c>
      <c r="AN1236" s="4">
        <v>0</v>
      </c>
      <c r="AO1236" s="4">
        <v>0</v>
      </c>
      <c r="AP1236" s="4">
        <v>17</v>
      </c>
      <c r="AQ1236" s="4">
        <v>17</v>
      </c>
      <c r="AR1236" s="3" t="s">
        <v>64</v>
      </c>
      <c r="AS1236" s="3" t="s">
        <v>64</v>
      </c>
      <c r="AT1236" s="3" t="s">
        <v>64</v>
      </c>
      <c r="AV1236" s="6" t="str">
        <f>HYPERLINK("http://mcgill.on.worldcat.org/oclc/46937581","Catalog Record")</f>
        <v>Catalog Record</v>
      </c>
      <c r="AW1236" s="6" t="str">
        <f>HYPERLINK("http://www.worldcat.org/oclc/46937581","WorldCat Record")</f>
        <v>WorldCat Record</v>
      </c>
      <c r="AX1236" s="3" t="s">
        <v>12765</v>
      </c>
      <c r="AY1236" s="3" t="s">
        <v>12766</v>
      </c>
      <c r="AZ1236" s="3" t="s">
        <v>12767</v>
      </c>
      <c r="BA1236" s="3" t="s">
        <v>12767</v>
      </c>
      <c r="BB1236" s="3" t="s">
        <v>12768</v>
      </c>
      <c r="BC1236" s="3" t="s">
        <v>78</v>
      </c>
      <c r="BD1236" s="3" t="s">
        <v>79</v>
      </c>
      <c r="BE1236" s="3" t="s">
        <v>12769</v>
      </c>
      <c r="BF1236" s="3" t="s">
        <v>12768</v>
      </c>
      <c r="BG1236" s="3" t="s">
        <v>12770</v>
      </c>
    </row>
    <row r="1237" spans="1:59" ht="58" x14ac:dyDescent="0.35">
      <c r="A1237" s="2" t="s">
        <v>59</v>
      </c>
      <c r="B1237" s="2" t="s">
        <v>94</v>
      </c>
      <c r="C1237" s="2" t="s">
        <v>12761</v>
      </c>
      <c r="D1237" s="2" t="s">
        <v>12762</v>
      </c>
      <c r="E1237" s="2" t="s">
        <v>12763</v>
      </c>
      <c r="F1237" s="3" t="s">
        <v>388</v>
      </c>
      <c r="G1237" s="3" t="s">
        <v>73</v>
      </c>
      <c r="I1237" s="3" t="s">
        <v>64</v>
      </c>
      <c r="J1237" s="3" t="s">
        <v>64</v>
      </c>
      <c r="K1237" s="3" t="s">
        <v>65</v>
      </c>
      <c r="M1237" s="2" t="s">
        <v>12764</v>
      </c>
      <c r="N1237" s="3" t="s">
        <v>422</v>
      </c>
      <c r="P1237" s="3" t="s">
        <v>69</v>
      </c>
      <c r="R1237" s="3" t="s">
        <v>9228</v>
      </c>
      <c r="S1237" s="4">
        <v>13</v>
      </c>
      <c r="T1237" s="4">
        <v>40</v>
      </c>
      <c r="U1237" s="5" t="s">
        <v>12771</v>
      </c>
      <c r="V1237" s="5" t="s">
        <v>10013</v>
      </c>
      <c r="W1237" s="5" t="s">
        <v>72</v>
      </c>
      <c r="X1237" s="5" t="s">
        <v>72</v>
      </c>
      <c r="Y1237" s="4">
        <v>376</v>
      </c>
      <c r="Z1237" s="4">
        <v>28</v>
      </c>
      <c r="AA1237" s="4">
        <v>29</v>
      </c>
      <c r="AB1237" s="4">
        <v>3</v>
      </c>
      <c r="AC1237" s="4">
        <v>4</v>
      </c>
      <c r="AD1237" s="4">
        <v>92</v>
      </c>
      <c r="AE1237" s="4">
        <v>93</v>
      </c>
      <c r="AF1237" s="4">
        <v>1</v>
      </c>
      <c r="AG1237" s="4">
        <v>2</v>
      </c>
      <c r="AH1237" s="4">
        <v>82</v>
      </c>
      <c r="AI1237" s="4">
        <v>82</v>
      </c>
      <c r="AJ1237" s="4">
        <v>14</v>
      </c>
      <c r="AK1237" s="4">
        <v>15</v>
      </c>
      <c r="AL1237" s="4">
        <v>44</v>
      </c>
      <c r="AM1237" s="4">
        <v>44</v>
      </c>
      <c r="AN1237" s="4">
        <v>0</v>
      </c>
      <c r="AO1237" s="4">
        <v>0</v>
      </c>
      <c r="AP1237" s="4">
        <v>17</v>
      </c>
      <c r="AQ1237" s="4">
        <v>17</v>
      </c>
      <c r="AR1237" s="3" t="s">
        <v>64</v>
      </c>
      <c r="AS1237" s="3" t="s">
        <v>64</v>
      </c>
      <c r="AT1237" s="3" t="s">
        <v>64</v>
      </c>
      <c r="AV1237" s="6" t="str">
        <f>HYPERLINK("http://mcgill.on.worldcat.org/oclc/46937581","Catalog Record")</f>
        <v>Catalog Record</v>
      </c>
      <c r="AW1237" s="6" t="str">
        <f>HYPERLINK("http://www.worldcat.org/oclc/46937581","WorldCat Record")</f>
        <v>WorldCat Record</v>
      </c>
      <c r="AX1237" s="3" t="s">
        <v>12765</v>
      </c>
      <c r="AY1237" s="3" t="s">
        <v>12766</v>
      </c>
      <c r="AZ1237" s="3" t="s">
        <v>12767</v>
      </c>
      <c r="BA1237" s="3" t="s">
        <v>12767</v>
      </c>
      <c r="BB1237" s="3" t="s">
        <v>12772</v>
      </c>
      <c r="BC1237" s="3" t="s">
        <v>78</v>
      </c>
      <c r="BD1237" s="3" t="s">
        <v>79</v>
      </c>
      <c r="BE1237" s="3" t="s">
        <v>12769</v>
      </c>
      <c r="BF1237" s="3" t="s">
        <v>12772</v>
      </c>
      <c r="BG1237" s="3" t="s">
        <v>12773</v>
      </c>
    </row>
    <row r="1238" spans="1:59" ht="58" x14ac:dyDescent="0.35">
      <c r="A1238" s="2" t="s">
        <v>59</v>
      </c>
      <c r="B1238" s="2" t="s">
        <v>94</v>
      </c>
      <c r="C1238" s="2" t="s">
        <v>12761</v>
      </c>
      <c r="D1238" s="2" t="s">
        <v>12762</v>
      </c>
      <c r="E1238" s="2" t="s">
        <v>12763</v>
      </c>
      <c r="F1238" s="3" t="s">
        <v>399</v>
      </c>
      <c r="G1238" s="3" t="s">
        <v>73</v>
      </c>
      <c r="I1238" s="3" t="s">
        <v>64</v>
      </c>
      <c r="J1238" s="3" t="s">
        <v>64</v>
      </c>
      <c r="K1238" s="3" t="s">
        <v>65</v>
      </c>
      <c r="M1238" s="2" t="s">
        <v>12764</v>
      </c>
      <c r="N1238" s="3" t="s">
        <v>422</v>
      </c>
      <c r="P1238" s="3" t="s">
        <v>69</v>
      </c>
      <c r="R1238" s="3" t="s">
        <v>9228</v>
      </c>
      <c r="S1238" s="4">
        <v>13</v>
      </c>
      <c r="T1238" s="4">
        <v>40</v>
      </c>
      <c r="U1238" s="5" t="s">
        <v>12774</v>
      </c>
      <c r="V1238" s="5" t="s">
        <v>10013</v>
      </c>
      <c r="W1238" s="5" t="s">
        <v>72</v>
      </c>
      <c r="X1238" s="5" t="s">
        <v>72</v>
      </c>
      <c r="Y1238" s="4">
        <v>376</v>
      </c>
      <c r="Z1238" s="4">
        <v>28</v>
      </c>
      <c r="AA1238" s="4">
        <v>29</v>
      </c>
      <c r="AB1238" s="4">
        <v>3</v>
      </c>
      <c r="AC1238" s="4">
        <v>4</v>
      </c>
      <c r="AD1238" s="4">
        <v>92</v>
      </c>
      <c r="AE1238" s="4">
        <v>93</v>
      </c>
      <c r="AF1238" s="4">
        <v>1</v>
      </c>
      <c r="AG1238" s="4">
        <v>2</v>
      </c>
      <c r="AH1238" s="4">
        <v>82</v>
      </c>
      <c r="AI1238" s="4">
        <v>82</v>
      </c>
      <c r="AJ1238" s="4">
        <v>14</v>
      </c>
      <c r="AK1238" s="4">
        <v>15</v>
      </c>
      <c r="AL1238" s="4">
        <v>44</v>
      </c>
      <c r="AM1238" s="4">
        <v>44</v>
      </c>
      <c r="AN1238" s="4">
        <v>0</v>
      </c>
      <c r="AO1238" s="4">
        <v>0</v>
      </c>
      <c r="AP1238" s="4">
        <v>17</v>
      </c>
      <c r="AQ1238" s="4">
        <v>17</v>
      </c>
      <c r="AR1238" s="3" t="s">
        <v>64</v>
      </c>
      <c r="AS1238" s="3" t="s">
        <v>64</v>
      </c>
      <c r="AT1238" s="3" t="s">
        <v>64</v>
      </c>
      <c r="AV1238" s="6" t="str">
        <f>HYPERLINK("http://mcgill.on.worldcat.org/oclc/46937581","Catalog Record")</f>
        <v>Catalog Record</v>
      </c>
      <c r="AW1238" s="6" t="str">
        <f>HYPERLINK("http://www.worldcat.org/oclc/46937581","WorldCat Record")</f>
        <v>WorldCat Record</v>
      </c>
      <c r="AX1238" s="3" t="s">
        <v>12765</v>
      </c>
      <c r="AY1238" s="3" t="s">
        <v>12766</v>
      </c>
      <c r="AZ1238" s="3" t="s">
        <v>12767</v>
      </c>
      <c r="BA1238" s="3" t="s">
        <v>12767</v>
      </c>
      <c r="BB1238" s="3" t="s">
        <v>12775</v>
      </c>
      <c r="BC1238" s="3" t="s">
        <v>78</v>
      </c>
      <c r="BD1238" s="3" t="s">
        <v>79</v>
      </c>
      <c r="BE1238" s="3" t="s">
        <v>12769</v>
      </c>
      <c r="BF1238" s="3" t="s">
        <v>12775</v>
      </c>
      <c r="BG1238" s="3" t="s">
        <v>12776</v>
      </c>
    </row>
    <row r="1239" spans="1:59" ht="58" x14ac:dyDescent="0.35">
      <c r="A1239" s="2" t="s">
        <v>59</v>
      </c>
      <c r="B1239" s="2" t="s">
        <v>94</v>
      </c>
      <c r="C1239" s="2" t="s">
        <v>12777</v>
      </c>
      <c r="D1239" s="2" t="s">
        <v>12778</v>
      </c>
      <c r="E1239" s="2" t="s">
        <v>12779</v>
      </c>
      <c r="G1239" s="3" t="s">
        <v>64</v>
      </c>
      <c r="I1239" s="3" t="s">
        <v>64</v>
      </c>
      <c r="J1239" s="3" t="s">
        <v>64</v>
      </c>
      <c r="K1239" s="3" t="s">
        <v>65</v>
      </c>
      <c r="L1239" s="2" t="s">
        <v>12780</v>
      </c>
      <c r="M1239" s="2" t="s">
        <v>5089</v>
      </c>
      <c r="N1239" s="3" t="s">
        <v>214</v>
      </c>
      <c r="P1239" s="3" t="s">
        <v>69</v>
      </c>
      <c r="Q1239" s="2" t="s">
        <v>5134</v>
      </c>
      <c r="R1239" s="3" t="s">
        <v>9228</v>
      </c>
      <c r="S1239" s="4">
        <v>3</v>
      </c>
      <c r="T1239" s="4">
        <v>3</v>
      </c>
      <c r="U1239" s="5" t="s">
        <v>1555</v>
      </c>
      <c r="V1239" s="5" t="s">
        <v>1555</v>
      </c>
      <c r="W1239" s="5" t="s">
        <v>72</v>
      </c>
      <c r="X1239" s="5" t="s">
        <v>72</v>
      </c>
      <c r="Y1239" s="4">
        <v>107</v>
      </c>
      <c r="Z1239" s="4">
        <v>7</v>
      </c>
      <c r="AA1239" s="4">
        <v>104</v>
      </c>
      <c r="AB1239" s="4">
        <v>1</v>
      </c>
      <c r="AC1239" s="4">
        <v>20</v>
      </c>
      <c r="AD1239" s="4">
        <v>60</v>
      </c>
      <c r="AE1239" s="4">
        <v>140</v>
      </c>
      <c r="AF1239" s="4">
        <v>0</v>
      </c>
      <c r="AG1239" s="4">
        <v>8</v>
      </c>
      <c r="AH1239" s="4">
        <v>59</v>
      </c>
      <c r="AI1239" s="4">
        <v>100</v>
      </c>
      <c r="AJ1239" s="4">
        <v>4</v>
      </c>
      <c r="AK1239" s="4">
        <v>23</v>
      </c>
      <c r="AL1239" s="4">
        <v>33</v>
      </c>
      <c r="AM1239" s="4">
        <v>54</v>
      </c>
      <c r="AN1239" s="4">
        <v>0</v>
      </c>
      <c r="AO1239" s="4">
        <v>0</v>
      </c>
      <c r="AP1239" s="4">
        <v>5</v>
      </c>
      <c r="AQ1239" s="4">
        <v>45</v>
      </c>
      <c r="AR1239" s="3" t="s">
        <v>64</v>
      </c>
      <c r="AS1239" s="3" t="s">
        <v>64</v>
      </c>
      <c r="AT1239" s="3" t="s">
        <v>64</v>
      </c>
      <c r="AV1239" s="6" t="str">
        <f>HYPERLINK("http://mcgill.on.worldcat.org/oclc/674933184","Catalog Record")</f>
        <v>Catalog Record</v>
      </c>
      <c r="AW1239" s="6" t="str">
        <f>HYPERLINK("http://www.worldcat.org/oclc/674933184","WorldCat Record")</f>
        <v>WorldCat Record</v>
      </c>
      <c r="AX1239" s="3" t="s">
        <v>12781</v>
      </c>
      <c r="AY1239" s="3" t="s">
        <v>12782</v>
      </c>
      <c r="AZ1239" s="3" t="s">
        <v>12783</v>
      </c>
      <c r="BA1239" s="3" t="s">
        <v>12783</v>
      </c>
      <c r="BB1239" s="3" t="s">
        <v>12784</v>
      </c>
      <c r="BC1239" s="3" t="s">
        <v>78</v>
      </c>
      <c r="BD1239" s="3" t="s">
        <v>79</v>
      </c>
      <c r="BE1239" s="3" t="s">
        <v>12785</v>
      </c>
      <c r="BF1239" s="3" t="s">
        <v>12784</v>
      </c>
      <c r="BG1239" s="3" t="s">
        <v>12786</v>
      </c>
    </row>
    <row r="1240" spans="1:59" ht="58" x14ac:dyDescent="0.35">
      <c r="A1240" s="2" t="s">
        <v>59</v>
      </c>
      <c r="B1240" s="2" t="s">
        <v>94</v>
      </c>
      <c r="C1240" s="2" t="s">
        <v>12787</v>
      </c>
      <c r="D1240" s="2" t="s">
        <v>12788</v>
      </c>
      <c r="E1240" s="2" t="s">
        <v>12789</v>
      </c>
      <c r="G1240" s="3" t="s">
        <v>64</v>
      </c>
      <c r="I1240" s="3" t="s">
        <v>64</v>
      </c>
      <c r="J1240" s="3" t="s">
        <v>64</v>
      </c>
      <c r="K1240" s="3" t="s">
        <v>65</v>
      </c>
      <c r="L1240" s="2" t="s">
        <v>12790</v>
      </c>
      <c r="M1240" s="2" t="s">
        <v>12791</v>
      </c>
      <c r="N1240" s="3" t="s">
        <v>499</v>
      </c>
      <c r="O1240" s="2" t="s">
        <v>1294</v>
      </c>
      <c r="P1240" s="3" t="s">
        <v>69</v>
      </c>
      <c r="R1240" s="3" t="s">
        <v>9228</v>
      </c>
      <c r="S1240" s="4">
        <v>10</v>
      </c>
      <c r="T1240" s="4">
        <v>10</v>
      </c>
      <c r="U1240" s="5" t="s">
        <v>12609</v>
      </c>
      <c r="V1240" s="5" t="s">
        <v>12609</v>
      </c>
      <c r="W1240" s="5" t="s">
        <v>72</v>
      </c>
      <c r="X1240" s="5" t="s">
        <v>72</v>
      </c>
      <c r="Y1240" s="4">
        <v>148</v>
      </c>
      <c r="Z1240" s="4">
        <v>17</v>
      </c>
      <c r="AA1240" s="4">
        <v>33</v>
      </c>
      <c r="AB1240" s="4">
        <v>1</v>
      </c>
      <c r="AC1240" s="4">
        <v>4</v>
      </c>
      <c r="AD1240" s="4">
        <v>81</v>
      </c>
      <c r="AE1240" s="4">
        <v>97</v>
      </c>
      <c r="AF1240" s="4">
        <v>0</v>
      </c>
      <c r="AG1240" s="4">
        <v>1</v>
      </c>
      <c r="AH1240" s="4">
        <v>71</v>
      </c>
      <c r="AI1240" s="4">
        <v>79</v>
      </c>
      <c r="AJ1240" s="4">
        <v>13</v>
      </c>
      <c r="AK1240" s="4">
        <v>15</v>
      </c>
      <c r="AL1240" s="4">
        <v>42</v>
      </c>
      <c r="AM1240" s="4">
        <v>44</v>
      </c>
      <c r="AN1240" s="4">
        <v>0</v>
      </c>
      <c r="AO1240" s="4">
        <v>0</v>
      </c>
      <c r="AP1240" s="4">
        <v>13</v>
      </c>
      <c r="AQ1240" s="4">
        <v>21</v>
      </c>
      <c r="AR1240" s="3" t="s">
        <v>64</v>
      </c>
      <c r="AS1240" s="3" t="s">
        <v>64</v>
      </c>
      <c r="AT1240" s="3" t="s">
        <v>64</v>
      </c>
      <c r="AV1240" s="6" t="str">
        <f>HYPERLINK("http://mcgill.on.worldcat.org/oclc/58789131","Catalog Record")</f>
        <v>Catalog Record</v>
      </c>
      <c r="AW1240" s="6" t="str">
        <f>HYPERLINK("http://www.worldcat.org/oclc/58789131","WorldCat Record")</f>
        <v>WorldCat Record</v>
      </c>
      <c r="AX1240" s="3" t="s">
        <v>12792</v>
      </c>
      <c r="AY1240" s="3" t="s">
        <v>12793</v>
      </c>
      <c r="AZ1240" s="3" t="s">
        <v>12794</v>
      </c>
      <c r="BA1240" s="3" t="s">
        <v>12794</v>
      </c>
      <c r="BB1240" s="3" t="s">
        <v>12795</v>
      </c>
      <c r="BC1240" s="3" t="s">
        <v>78</v>
      </c>
      <c r="BD1240" s="3" t="s">
        <v>79</v>
      </c>
      <c r="BE1240" s="3" t="s">
        <v>12796</v>
      </c>
      <c r="BF1240" s="3" t="s">
        <v>12795</v>
      </c>
      <c r="BG1240" s="3" t="s">
        <v>12797</v>
      </c>
    </row>
    <row r="1241" spans="1:59" ht="58" x14ac:dyDescent="0.35">
      <c r="A1241" s="2" t="s">
        <v>59</v>
      </c>
      <c r="B1241" s="2" t="s">
        <v>94</v>
      </c>
      <c r="C1241" s="2" t="s">
        <v>12798</v>
      </c>
      <c r="D1241" s="2" t="s">
        <v>12799</v>
      </c>
      <c r="E1241" s="2" t="s">
        <v>12800</v>
      </c>
      <c r="G1241" s="3" t="s">
        <v>64</v>
      </c>
      <c r="I1241" s="3" t="s">
        <v>64</v>
      </c>
      <c r="J1241" s="3" t="s">
        <v>64</v>
      </c>
      <c r="K1241" s="3" t="s">
        <v>65</v>
      </c>
      <c r="L1241" s="2" t="s">
        <v>12801</v>
      </c>
      <c r="M1241" s="2" t="s">
        <v>12802</v>
      </c>
      <c r="N1241" s="3" t="s">
        <v>1645</v>
      </c>
      <c r="P1241" s="3" t="s">
        <v>69</v>
      </c>
      <c r="Q1241" s="2" t="s">
        <v>12803</v>
      </c>
      <c r="R1241" s="3" t="s">
        <v>9228</v>
      </c>
      <c r="S1241" s="4">
        <v>1</v>
      </c>
      <c r="T1241" s="4">
        <v>1</v>
      </c>
      <c r="U1241" s="5" t="s">
        <v>12732</v>
      </c>
      <c r="V1241" s="5" t="s">
        <v>12732</v>
      </c>
      <c r="W1241" s="5" t="s">
        <v>72</v>
      </c>
      <c r="X1241" s="5" t="s">
        <v>72</v>
      </c>
      <c r="Y1241" s="4">
        <v>201</v>
      </c>
      <c r="Z1241" s="4">
        <v>12</v>
      </c>
      <c r="AA1241" s="4">
        <v>13</v>
      </c>
      <c r="AB1241" s="4">
        <v>3</v>
      </c>
      <c r="AC1241" s="4">
        <v>4</v>
      </c>
      <c r="AD1241" s="4">
        <v>68</v>
      </c>
      <c r="AE1241" s="4">
        <v>69</v>
      </c>
      <c r="AF1241" s="4">
        <v>2</v>
      </c>
      <c r="AG1241" s="4">
        <v>3</v>
      </c>
      <c r="AH1241" s="4">
        <v>59</v>
      </c>
      <c r="AI1241" s="4">
        <v>59</v>
      </c>
      <c r="AJ1241" s="4">
        <v>6</v>
      </c>
      <c r="AK1241" s="4">
        <v>7</v>
      </c>
      <c r="AL1241" s="4">
        <v>43</v>
      </c>
      <c r="AM1241" s="4">
        <v>43</v>
      </c>
      <c r="AN1241" s="4">
        <v>0</v>
      </c>
      <c r="AO1241" s="4">
        <v>0</v>
      </c>
      <c r="AP1241" s="4">
        <v>9</v>
      </c>
      <c r="AQ1241" s="4">
        <v>9</v>
      </c>
      <c r="AR1241" s="3" t="s">
        <v>64</v>
      </c>
      <c r="AS1241" s="3" t="s">
        <v>64</v>
      </c>
      <c r="AT1241" s="3" t="s">
        <v>64</v>
      </c>
      <c r="AV1241" s="6" t="str">
        <f>HYPERLINK("http://mcgill.on.worldcat.org/oclc/954038027","Catalog Record")</f>
        <v>Catalog Record</v>
      </c>
      <c r="AW1241" s="6" t="str">
        <f>HYPERLINK("http://www.worldcat.org/oclc/954038027","WorldCat Record")</f>
        <v>WorldCat Record</v>
      </c>
      <c r="AX1241" s="3" t="s">
        <v>12804</v>
      </c>
      <c r="AY1241" s="3" t="s">
        <v>12805</v>
      </c>
      <c r="AZ1241" s="3" t="s">
        <v>12806</v>
      </c>
      <c r="BA1241" s="3" t="s">
        <v>12806</v>
      </c>
      <c r="BB1241" s="3" t="s">
        <v>12807</v>
      </c>
      <c r="BC1241" s="3" t="s">
        <v>78</v>
      </c>
      <c r="BD1241" s="3" t="s">
        <v>79</v>
      </c>
      <c r="BE1241" s="3" t="s">
        <v>12808</v>
      </c>
      <c r="BF1241" s="3" t="s">
        <v>12807</v>
      </c>
      <c r="BG1241" s="3" t="s">
        <v>12809</v>
      </c>
    </row>
    <row r="1242" spans="1:59" ht="58" x14ac:dyDescent="0.35">
      <c r="A1242" s="2" t="s">
        <v>59</v>
      </c>
      <c r="B1242" s="2" t="s">
        <v>94</v>
      </c>
      <c r="C1242" s="2" t="s">
        <v>12810</v>
      </c>
      <c r="D1242" s="2" t="s">
        <v>12811</v>
      </c>
      <c r="E1242" s="2" t="s">
        <v>12812</v>
      </c>
      <c r="G1242" s="3" t="s">
        <v>64</v>
      </c>
      <c r="I1242" s="3" t="s">
        <v>64</v>
      </c>
      <c r="J1242" s="3" t="s">
        <v>64</v>
      </c>
      <c r="K1242" s="3" t="s">
        <v>65</v>
      </c>
      <c r="L1242" s="2" t="s">
        <v>12813</v>
      </c>
      <c r="M1242" s="2" t="s">
        <v>12814</v>
      </c>
      <c r="N1242" s="3" t="s">
        <v>1530</v>
      </c>
      <c r="P1242" s="3" t="s">
        <v>69</v>
      </c>
      <c r="R1242" s="3" t="s">
        <v>9228</v>
      </c>
      <c r="S1242" s="4">
        <v>24</v>
      </c>
      <c r="T1242" s="4">
        <v>24</v>
      </c>
      <c r="U1242" s="5" t="s">
        <v>12815</v>
      </c>
      <c r="V1242" s="5" t="s">
        <v>12815</v>
      </c>
      <c r="W1242" s="5" t="s">
        <v>72</v>
      </c>
      <c r="X1242" s="5" t="s">
        <v>72</v>
      </c>
      <c r="Y1242" s="4">
        <v>292</v>
      </c>
      <c r="Z1242" s="4">
        <v>27</v>
      </c>
      <c r="AA1242" s="4">
        <v>64</v>
      </c>
      <c r="AB1242" s="4">
        <v>2</v>
      </c>
      <c r="AC1242" s="4">
        <v>11</v>
      </c>
      <c r="AD1242" s="4">
        <v>95</v>
      </c>
      <c r="AE1242" s="4">
        <v>115</v>
      </c>
      <c r="AF1242" s="4">
        <v>0</v>
      </c>
      <c r="AG1242" s="4">
        <v>3</v>
      </c>
      <c r="AH1242" s="4">
        <v>83</v>
      </c>
      <c r="AI1242" s="4">
        <v>95</v>
      </c>
      <c r="AJ1242" s="4">
        <v>14</v>
      </c>
      <c r="AK1242" s="4">
        <v>20</v>
      </c>
      <c r="AL1242" s="4">
        <v>42</v>
      </c>
      <c r="AM1242" s="4">
        <v>49</v>
      </c>
      <c r="AN1242" s="4">
        <v>0</v>
      </c>
      <c r="AO1242" s="4">
        <v>0</v>
      </c>
      <c r="AP1242" s="4">
        <v>18</v>
      </c>
      <c r="AQ1242" s="4">
        <v>28</v>
      </c>
      <c r="AR1242" s="3" t="s">
        <v>64</v>
      </c>
      <c r="AS1242" s="3" t="s">
        <v>64</v>
      </c>
      <c r="AT1242" s="3" t="s">
        <v>73</v>
      </c>
      <c r="AU1242" s="6" t="str">
        <f>HYPERLINK("http://catalog.hathitrust.org/Record/004293343","HathiTrust Record")</f>
        <v>HathiTrust Record</v>
      </c>
      <c r="AV1242" s="6" t="str">
        <f>HYPERLINK("http://mcgill.on.worldcat.org/oclc/51259805","Catalog Record")</f>
        <v>Catalog Record</v>
      </c>
      <c r="AW1242" s="6" t="str">
        <f>HYPERLINK("http://www.worldcat.org/oclc/51259805","WorldCat Record")</f>
        <v>WorldCat Record</v>
      </c>
      <c r="AX1242" s="3" t="s">
        <v>12816</v>
      </c>
      <c r="AY1242" s="3" t="s">
        <v>12817</v>
      </c>
      <c r="AZ1242" s="3" t="s">
        <v>12818</v>
      </c>
      <c r="BA1242" s="3" t="s">
        <v>12818</v>
      </c>
      <c r="BB1242" s="3" t="s">
        <v>12819</v>
      </c>
      <c r="BC1242" s="3" t="s">
        <v>78</v>
      </c>
      <c r="BD1242" s="3" t="s">
        <v>79</v>
      </c>
      <c r="BE1242" s="3" t="s">
        <v>12820</v>
      </c>
      <c r="BF1242" s="3" t="s">
        <v>12819</v>
      </c>
      <c r="BG1242" s="3" t="s">
        <v>12821</v>
      </c>
    </row>
    <row r="1243" spans="1:59" ht="58" x14ac:dyDescent="0.35">
      <c r="A1243" s="2" t="s">
        <v>59</v>
      </c>
      <c r="B1243" s="2" t="s">
        <v>94</v>
      </c>
      <c r="C1243" s="2" t="s">
        <v>12822</v>
      </c>
      <c r="D1243" s="2" t="s">
        <v>12823</v>
      </c>
      <c r="E1243" s="2" t="s">
        <v>12824</v>
      </c>
      <c r="G1243" s="3" t="s">
        <v>64</v>
      </c>
      <c r="I1243" s="3" t="s">
        <v>64</v>
      </c>
      <c r="J1243" s="3" t="s">
        <v>64</v>
      </c>
      <c r="K1243" s="3" t="s">
        <v>65</v>
      </c>
      <c r="L1243" s="2" t="s">
        <v>12825</v>
      </c>
      <c r="M1243" s="2" t="s">
        <v>12826</v>
      </c>
      <c r="N1243" s="3" t="s">
        <v>538</v>
      </c>
      <c r="P1243" s="3" t="s">
        <v>69</v>
      </c>
      <c r="R1243" s="3" t="s">
        <v>9228</v>
      </c>
      <c r="S1243" s="4">
        <v>9</v>
      </c>
      <c r="T1243" s="4">
        <v>9</v>
      </c>
      <c r="U1243" s="5" t="s">
        <v>5460</v>
      </c>
      <c r="V1243" s="5" t="s">
        <v>5460</v>
      </c>
      <c r="W1243" s="5" t="s">
        <v>72</v>
      </c>
      <c r="X1243" s="5" t="s">
        <v>72</v>
      </c>
      <c r="Y1243" s="4">
        <v>433</v>
      </c>
      <c r="Z1243" s="4">
        <v>26</v>
      </c>
      <c r="AA1243" s="4">
        <v>83</v>
      </c>
      <c r="AB1243" s="4">
        <v>2</v>
      </c>
      <c r="AC1243" s="4">
        <v>14</v>
      </c>
      <c r="AD1243" s="4">
        <v>95</v>
      </c>
      <c r="AE1243" s="4">
        <v>131</v>
      </c>
      <c r="AF1243" s="4">
        <v>1</v>
      </c>
      <c r="AG1243" s="4">
        <v>8</v>
      </c>
      <c r="AH1243" s="4">
        <v>82</v>
      </c>
      <c r="AI1243" s="4">
        <v>98</v>
      </c>
      <c r="AJ1243" s="4">
        <v>15</v>
      </c>
      <c r="AK1243" s="4">
        <v>23</v>
      </c>
      <c r="AL1243" s="4">
        <v>42</v>
      </c>
      <c r="AM1243" s="4">
        <v>48</v>
      </c>
      <c r="AN1243" s="4">
        <v>0</v>
      </c>
      <c r="AO1243" s="4">
        <v>0</v>
      </c>
      <c r="AP1243" s="4">
        <v>20</v>
      </c>
      <c r="AQ1243" s="4">
        <v>43</v>
      </c>
      <c r="AR1243" s="3" t="s">
        <v>64</v>
      </c>
      <c r="AS1243" s="3" t="s">
        <v>64</v>
      </c>
      <c r="AT1243" s="3" t="s">
        <v>73</v>
      </c>
      <c r="AU1243" s="6" t="str">
        <f>HYPERLINK("http://catalog.hathitrust.org/Record/005589558","HathiTrust Record")</f>
        <v>HathiTrust Record</v>
      </c>
      <c r="AV1243" s="6" t="str">
        <f>HYPERLINK("http://mcgill.on.worldcat.org/oclc/76901996","Catalog Record")</f>
        <v>Catalog Record</v>
      </c>
      <c r="AW1243" s="6" t="str">
        <f>HYPERLINK("http://www.worldcat.org/oclc/76901996","WorldCat Record")</f>
        <v>WorldCat Record</v>
      </c>
      <c r="AX1243" s="3" t="s">
        <v>12827</v>
      </c>
      <c r="AY1243" s="3" t="s">
        <v>12828</v>
      </c>
      <c r="AZ1243" s="3" t="s">
        <v>12829</v>
      </c>
      <c r="BA1243" s="3" t="s">
        <v>12829</v>
      </c>
      <c r="BB1243" s="3" t="s">
        <v>12830</v>
      </c>
      <c r="BC1243" s="3" t="s">
        <v>78</v>
      </c>
      <c r="BD1243" s="3" t="s">
        <v>79</v>
      </c>
      <c r="BE1243" s="3" t="s">
        <v>12831</v>
      </c>
      <c r="BF1243" s="3" t="s">
        <v>12830</v>
      </c>
      <c r="BG1243" s="3" t="s">
        <v>12832</v>
      </c>
    </row>
    <row r="1244" spans="1:59" ht="58" x14ac:dyDescent="0.35">
      <c r="A1244" s="2" t="s">
        <v>59</v>
      </c>
      <c r="B1244" s="2" t="s">
        <v>94</v>
      </c>
      <c r="C1244" s="2" t="s">
        <v>12833</v>
      </c>
      <c r="D1244" s="2" t="s">
        <v>12834</v>
      </c>
      <c r="E1244" s="2" t="s">
        <v>12835</v>
      </c>
      <c r="G1244" s="3" t="s">
        <v>64</v>
      </c>
      <c r="I1244" s="3" t="s">
        <v>64</v>
      </c>
      <c r="J1244" s="3" t="s">
        <v>64</v>
      </c>
      <c r="K1244" s="3" t="s">
        <v>65</v>
      </c>
      <c r="L1244" s="2" t="s">
        <v>12836</v>
      </c>
      <c r="M1244" s="2" t="s">
        <v>12837</v>
      </c>
      <c r="N1244" s="3" t="s">
        <v>252</v>
      </c>
      <c r="P1244" s="3" t="s">
        <v>69</v>
      </c>
      <c r="Q1244" s="2" t="s">
        <v>12838</v>
      </c>
      <c r="R1244" s="3" t="s">
        <v>9228</v>
      </c>
      <c r="S1244" s="4">
        <v>18</v>
      </c>
      <c r="T1244" s="4">
        <v>18</v>
      </c>
      <c r="U1244" s="5" t="s">
        <v>12609</v>
      </c>
      <c r="V1244" s="5" t="s">
        <v>12609</v>
      </c>
      <c r="W1244" s="5" t="s">
        <v>72</v>
      </c>
      <c r="X1244" s="5" t="s">
        <v>72</v>
      </c>
      <c r="Y1244" s="4">
        <v>536</v>
      </c>
      <c r="Z1244" s="4">
        <v>28</v>
      </c>
      <c r="AA1244" s="4">
        <v>28</v>
      </c>
      <c r="AB1244" s="4">
        <v>2</v>
      </c>
      <c r="AC1244" s="4">
        <v>2</v>
      </c>
      <c r="AD1244" s="4">
        <v>116</v>
      </c>
      <c r="AE1244" s="4">
        <v>116</v>
      </c>
      <c r="AF1244" s="4">
        <v>1</v>
      </c>
      <c r="AG1244" s="4">
        <v>1</v>
      </c>
      <c r="AH1244" s="4">
        <v>102</v>
      </c>
      <c r="AI1244" s="4">
        <v>102</v>
      </c>
      <c r="AJ1244" s="4">
        <v>16</v>
      </c>
      <c r="AK1244" s="4">
        <v>16</v>
      </c>
      <c r="AL1244" s="4">
        <v>55</v>
      </c>
      <c r="AM1244" s="4">
        <v>55</v>
      </c>
      <c r="AN1244" s="4">
        <v>0</v>
      </c>
      <c r="AO1244" s="4">
        <v>0</v>
      </c>
      <c r="AP1244" s="4">
        <v>22</v>
      </c>
      <c r="AQ1244" s="4">
        <v>22</v>
      </c>
      <c r="AR1244" s="3" t="s">
        <v>64</v>
      </c>
      <c r="AS1244" s="3" t="s">
        <v>64</v>
      </c>
      <c r="AT1244" s="3" t="s">
        <v>73</v>
      </c>
      <c r="AU1244" s="6" t="str">
        <f>HYPERLINK("http://catalog.hathitrust.org/Record/001152813","HathiTrust Record")</f>
        <v>HathiTrust Record</v>
      </c>
      <c r="AV1244" s="6" t="str">
        <f>HYPERLINK("http://mcgill.on.worldcat.org/oclc/714558","Catalog Record")</f>
        <v>Catalog Record</v>
      </c>
      <c r="AW1244" s="6" t="str">
        <f>HYPERLINK("http://www.worldcat.org/oclc/714558","WorldCat Record")</f>
        <v>WorldCat Record</v>
      </c>
      <c r="AX1244" s="3" t="s">
        <v>12839</v>
      </c>
      <c r="AY1244" s="3" t="s">
        <v>12840</v>
      </c>
      <c r="AZ1244" s="3" t="s">
        <v>12841</v>
      </c>
      <c r="BA1244" s="3" t="s">
        <v>12841</v>
      </c>
      <c r="BB1244" s="3" t="s">
        <v>12842</v>
      </c>
      <c r="BC1244" s="3" t="s">
        <v>78</v>
      </c>
      <c r="BD1244" s="3" t="s">
        <v>79</v>
      </c>
      <c r="BE1244" s="3" t="s">
        <v>12843</v>
      </c>
      <c r="BF1244" s="3" t="s">
        <v>12842</v>
      </c>
      <c r="BG1244" s="3" t="s">
        <v>12844</v>
      </c>
    </row>
    <row r="1245" spans="1:59" ht="58" x14ac:dyDescent="0.35">
      <c r="A1245" s="2" t="s">
        <v>59</v>
      </c>
      <c r="B1245" s="2" t="s">
        <v>94</v>
      </c>
      <c r="C1245" s="2" t="s">
        <v>12845</v>
      </c>
      <c r="D1245" s="2" t="s">
        <v>12846</v>
      </c>
      <c r="E1245" s="2" t="s">
        <v>12847</v>
      </c>
      <c r="G1245" s="3" t="s">
        <v>64</v>
      </c>
      <c r="I1245" s="3" t="s">
        <v>64</v>
      </c>
      <c r="J1245" s="3" t="s">
        <v>64</v>
      </c>
      <c r="K1245" s="3" t="s">
        <v>65</v>
      </c>
      <c r="L1245" s="2" t="s">
        <v>12848</v>
      </c>
      <c r="M1245" s="2" t="s">
        <v>12342</v>
      </c>
      <c r="N1245" s="3" t="s">
        <v>214</v>
      </c>
      <c r="P1245" s="3" t="s">
        <v>69</v>
      </c>
      <c r="Q1245" s="2" t="s">
        <v>12849</v>
      </c>
      <c r="R1245" s="3" t="s">
        <v>9228</v>
      </c>
      <c r="S1245" s="4">
        <v>4</v>
      </c>
      <c r="T1245" s="4">
        <v>4</v>
      </c>
      <c r="U1245" s="5" t="s">
        <v>12850</v>
      </c>
      <c r="V1245" s="5" t="s">
        <v>12850</v>
      </c>
      <c r="W1245" s="5" t="s">
        <v>72</v>
      </c>
      <c r="X1245" s="5" t="s">
        <v>72</v>
      </c>
      <c r="Y1245" s="4">
        <v>101</v>
      </c>
      <c r="Z1245" s="4">
        <v>14</v>
      </c>
      <c r="AA1245" s="4">
        <v>79</v>
      </c>
      <c r="AB1245" s="4">
        <v>2</v>
      </c>
      <c r="AC1245" s="4">
        <v>15</v>
      </c>
      <c r="AD1245" s="4">
        <v>41</v>
      </c>
      <c r="AE1245" s="4">
        <v>114</v>
      </c>
      <c r="AF1245" s="4">
        <v>1</v>
      </c>
      <c r="AG1245" s="4">
        <v>8</v>
      </c>
      <c r="AH1245" s="4">
        <v>33</v>
      </c>
      <c r="AI1245" s="4">
        <v>79</v>
      </c>
      <c r="AJ1245" s="4">
        <v>9</v>
      </c>
      <c r="AK1245" s="4">
        <v>22</v>
      </c>
      <c r="AL1245" s="4">
        <v>21</v>
      </c>
      <c r="AM1245" s="4">
        <v>41</v>
      </c>
      <c r="AN1245" s="4">
        <v>0</v>
      </c>
      <c r="AO1245" s="4">
        <v>0</v>
      </c>
      <c r="AP1245" s="4">
        <v>12</v>
      </c>
      <c r="AQ1245" s="4">
        <v>43</v>
      </c>
      <c r="AR1245" s="3" t="s">
        <v>64</v>
      </c>
      <c r="AS1245" s="3" t="s">
        <v>64</v>
      </c>
      <c r="AT1245" s="3" t="s">
        <v>64</v>
      </c>
      <c r="AV1245" s="6" t="str">
        <f>HYPERLINK("http://mcgill.on.worldcat.org/oclc/432998203","Catalog Record")</f>
        <v>Catalog Record</v>
      </c>
      <c r="AW1245" s="6" t="str">
        <f>HYPERLINK("http://www.worldcat.org/oclc/432998203","WorldCat Record")</f>
        <v>WorldCat Record</v>
      </c>
      <c r="AX1245" s="3" t="s">
        <v>12851</v>
      </c>
      <c r="AY1245" s="3" t="s">
        <v>12852</v>
      </c>
      <c r="AZ1245" s="3" t="s">
        <v>12853</v>
      </c>
      <c r="BA1245" s="3" t="s">
        <v>12853</v>
      </c>
      <c r="BB1245" s="3" t="s">
        <v>12854</v>
      </c>
      <c r="BC1245" s="3" t="s">
        <v>78</v>
      </c>
      <c r="BD1245" s="3" t="s">
        <v>79</v>
      </c>
      <c r="BE1245" s="3" t="s">
        <v>12855</v>
      </c>
      <c r="BF1245" s="3" t="s">
        <v>12854</v>
      </c>
      <c r="BG1245" s="3" t="s">
        <v>12856</v>
      </c>
    </row>
    <row r="1246" spans="1:59" ht="58" x14ac:dyDescent="0.35">
      <c r="A1246" s="2" t="s">
        <v>59</v>
      </c>
      <c r="B1246" s="2" t="s">
        <v>94</v>
      </c>
      <c r="C1246" s="2" t="s">
        <v>12857</v>
      </c>
      <c r="D1246" s="2" t="s">
        <v>12858</v>
      </c>
      <c r="E1246" s="2" t="s">
        <v>12859</v>
      </c>
      <c r="G1246" s="3" t="s">
        <v>64</v>
      </c>
      <c r="I1246" s="3" t="s">
        <v>64</v>
      </c>
      <c r="J1246" s="3" t="s">
        <v>64</v>
      </c>
      <c r="K1246" s="3" t="s">
        <v>65</v>
      </c>
      <c r="L1246" s="2" t="s">
        <v>12860</v>
      </c>
      <c r="M1246" s="2" t="s">
        <v>12861</v>
      </c>
      <c r="N1246" s="3" t="s">
        <v>3312</v>
      </c>
      <c r="P1246" s="3" t="s">
        <v>162</v>
      </c>
      <c r="R1246" s="3" t="s">
        <v>9228</v>
      </c>
      <c r="S1246" s="4">
        <v>12</v>
      </c>
      <c r="T1246" s="4">
        <v>12</v>
      </c>
      <c r="U1246" s="5" t="s">
        <v>1322</v>
      </c>
      <c r="V1246" s="5" t="s">
        <v>1322</v>
      </c>
      <c r="W1246" s="5" t="s">
        <v>72</v>
      </c>
      <c r="X1246" s="5" t="s">
        <v>72</v>
      </c>
      <c r="Y1246" s="4">
        <v>47</v>
      </c>
      <c r="Z1246" s="4">
        <v>2</v>
      </c>
      <c r="AA1246" s="4">
        <v>2</v>
      </c>
      <c r="AB1246" s="4">
        <v>1</v>
      </c>
      <c r="AC1246" s="4">
        <v>1</v>
      </c>
      <c r="AD1246" s="4">
        <v>18</v>
      </c>
      <c r="AE1246" s="4">
        <v>18</v>
      </c>
      <c r="AF1246" s="4">
        <v>0</v>
      </c>
      <c r="AG1246" s="4">
        <v>0</v>
      </c>
      <c r="AH1246" s="4">
        <v>18</v>
      </c>
      <c r="AI1246" s="4">
        <v>18</v>
      </c>
      <c r="AJ1246" s="4">
        <v>1</v>
      </c>
      <c r="AK1246" s="4">
        <v>1</v>
      </c>
      <c r="AL1246" s="4">
        <v>15</v>
      </c>
      <c r="AM1246" s="4">
        <v>15</v>
      </c>
      <c r="AN1246" s="4">
        <v>0</v>
      </c>
      <c r="AO1246" s="4">
        <v>0</v>
      </c>
      <c r="AP1246" s="4">
        <v>1</v>
      </c>
      <c r="AQ1246" s="4">
        <v>1</v>
      </c>
      <c r="AR1246" s="3" t="s">
        <v>64</v>
      </c>
      <c r="AS1246" s="3" t="s">
        <v>64</v>
      </c>
      <c r="AT1246" s="3" t="s">
        <v>73</v>
      </c>
      <c r="AU1246" s="6" t="str">
        <f>HYPERLINK("http://catalog.hathitrust.org/Record/008224703","HathiTrust Record")</f>
        <v>HathiTrust Record</v>
      </c>
      <c r="AV1246" s="6" t="str">
        <f>HYPERLINK("http://mcgill.on.worldcat.org/oclc/3773347","Catalog Record")</f>
        <v>Catalog Record</v>
      </c>
      <c r="AW1246" s="6" t="str">
        <f>HYPERLINK("http://www.worldcat.org/oclc/3773347","WorldCat Record")</f>
        <v>WorldCat Record</v>
      </c>
      <c r="AX1246" s="3" t="s">
        <v>12862</v>
      </c>
      <c r="AY1246" s="3" t="s">
        <v>12863</v>
      </c>
      <c r="AZ1246" s="3" t="s">
        <v>12864</v>
      </c>
      <c r="BA1246" s="3" t="s">
        <v>12864</v>
      </c>
      <c r="BB1246" s="3" t="s">
        <v>12865</v>
      </c>
      <c r="BC1246" s="3" t="s">
        <v>78</v>
      </c>
      <c r="BD1246" s="3" t="s">
        <v>79</v>
      </c>
      <c r="BF1246" s="3" t="s">
        <v>12865</v>
      </c>
      <c r="BG1246" s="3" t="s">
        <v>12866</v>
      </c>
    </row>
    <row r="1247" spans="1:59" ht="58" x14ac:dyDescent="0.35">
      <c r="A1247" s="2" t="s">
        <v>59</v>
      </c>
      <c r="B1247" s="2" t="s">
        <v>94</v>
      </c>
      <c r="C1247" s="2" t="s">
        <v>12867</v>
      </c>
      <c r="D1247" s="2" t="s">
        <v>12868</v>
      </c>
      <c r="E1247" s="2" t="s">
        <v>12869</v>
      </c>
      <c r="G1247" s="3" t="s">
        <v>64</v>
      </c>
      <c r="I1247" s="3" t="s">
        <v>64</v>
      </c>
      <c r="J1247" s="3" t="s">
        <v>64</v>
      </c>
      <c r="K1247" s="3" t="s">
        <v>65</v>
      </c>
      <c r="L1247" s="2" t="s">
        <v>12870</v>
      </c>
      <c r="M1247" s="2" t="s">
        <v>12871</v>
      </c>
      <c r="N1247" s="3" t="s">
        <v>733</v>
      </c>
      <c r="P1247" s="3" t="s">
        <v>69</v>
      </c>
      <c r="Q1247" s="2" t="s">
        <v>12872</v>
      </c>
      <c r="R1247" s="3" t="s">
        <v>9228</v>
      </c>
      <c r="S1247" s="4">
        <v>6</v>
      </c>
      <c r="T1247" s="4">
        <v>6</v>
      </c>
      <c r="U1247" s="5" t="s">
        <v>12873</v>
      </c>
      <c r="V1247" s="5" t="s">
        <v>12873</v>
      </c>
      <c r="W1247" s="5" t="s">
        <v>72</v>
      </c>
      <c r="X1247" s="5" t="s">
        <v>72</v>
      </c>
      <c r="Y1247" s="4">
        <v>555</v>
      </c>
      <c r="Z1247" s="4">
        <v>24</v>
      </c>
      <c r="AA1247" s="4">
        <v>24</v>
      </c>
      <c r="AB1247" s="4">
        <v>2</v>
      </c>
      <c r="AC1247" s="4">
        <v>2</v>
      </c>
      <c r="AD1247" s="4">
        <v>120</v>
      </c>
      <c r="AE1247" s="4">
        <v>120</v>
      </c>
      <c r="AF1247" s="4">
        <v>1</v>
      </c>
      <c r="AG1247" s="4">
        <v>1</v>
      </c>
      <c r="AH1247" s="4">
        <v>105</v>
      </c>
      <c r="AI1247" s="4">
        <v>105</v>
      </c>
      <c r="AJ1247" s="4">
        <v>16</v>
      </c>
      <c r="AK1247" s="4">
        <v>16</v>
      </c>
      <c r="AL1247" s="4">
        <v>59</v>
      </c>
      <c r="AM1247" s="4">
        <v>59</v>
      </c>
      <c r="AN1247" s="4">
        <v>0</v>
      </c>
      <c r="AO1247" s="4">
        <v>0</v>
      </c>
      <c r="AP1247" s="4">
        <v>20</v>
      </c>
      <c r="AQ1247" s="4">
        <v>20</v>
      </c>
      <c r="AR1247" s="3" t="s">
        <v>64</v>
      </c>
      <c r="AS1247" s="3" t="s">
        <v>64</v>
      </c>
      <c r="AT1247" s="3" t="s">
        <v>73</v>
      </c>
      <c r="AU1247" s="6" t="str">
        <f>HYPERLINK("http://catalog.hathitrust.org/Record/000236990","HathiTrust Record")</f>
        <v>HathiTrust Record</v>
      </c>
      <c r="AV1247" s="6" t="str">
        <f>HYPERLINK("http://mcgill.on.worldcat.org/oclc/9323841","Catalog Record")</f>
        <v>Catalog Record</v>
      </c>
      <c r="AW1247" s="6" t="str">
        <f>HYPERLINK("http://www.worldcat.org/oclc/9323841","WorldCat Record")</f>
        <v>WorldCat Record</v>
      </c>
      <c r="AX1247" s="3" t="s">
        <v>12874</v>
      </c>
      <c r="AY1247" s="3" t="s">
        <v>12875</v>
      </c>
      <c r="AZ1247" s="3" t="s">
        <v>12876</v>
      </c>
      <c r="BA1247" s="3" t="s">
        <v>12876</v>
      </c>
      <c r="BB1247" s="3" t="s">
        <v>12877</v>
      </c>
      <c r="BC1247" s="3" t="s">
        <v>78</v>
      </c>
      <c r="BD1247" s="3" t="s">
        <v>79</v>
      </c>
      <c r="BE1247" s="3" t="s">
        <v>12878</v>
      </c>
      <c r="BF1247" s="3" t="s">
        <v>12877</v>
      </c>
      <c r="BG1247" s="3" t="s">
        <v>12879</v>
      </c>
    </row>
    <row r="1248" spans="1:59" ht="58" x14ac:dyDescent="0.35">
      <c r="A1248" s="2" t="s">
        <v>59</v>
      </c>
      <c r="B1248" s="2" t="s">
        <v>94</v>
      </c>
      <c r="C1248" s="2" t="s">
        <v>12880</v>
      </c>
      <c r="D1248" s="2" t="s">
        <v>12881</v>
      </c>
      <c r="E1248" s="2" t="s">
        <v>12882</v>
      </c>
      <c r="G1248" s="3" t="s">
        <v>64</v>
      </c>
      <c r="I1248" s="3" t="s">
        <v>64</v>
      </c>
      <c r="J1248" s="3" t="s">
        <v>64</v>
      </c>
      <c r="K1248" s="3" t="s">
        <v>65</v>
      </c>
      <c r="L1248" s="2" t="s">
        <v>11809</v>
      </c>
      <c r="M1248" s="2" t="s">
        <v>12883</v>
      </c>
      <c r="N1248" s="3" t="s">
        <v>1320</v>
      </c>
      <c r="P1248" s="3" t="s">
        <v>69</v>
      </c>
      <c r="R1248" s="3" t="s">
        <v>9228</v>
      </c>
      <c r="S1248" s="4">
        <v>3</v>
      </c>
      <c r="T1248" s="4">
        <v>3</v>
      </c>
      <c r="U1248" s="5" t="s">
        <v>11888</v>
      </c>
      <c r="V1248" s="5" t="s">
        <v>11888</v>
      </c>
      <c r="W1248" s="5" t="s">
        <v>72</v>
      </c>
      <c r="X1248" s="5" t="s">
        <v>72</v>
      </c>
      <c r="Y1248" s="4">
        <v>163</v>
      </c>
      <c r="Z1248" s="4">
        <v>14</v>
      </c>
      <c r="AA1248" s="4">
        <v>14</v>
      </c>
      <c r="AB1248" s="4">
        <v>1</v>
      </c>
      <c r="AC1248" s="4">
        <v>1</v>
      </c>
      <c r="AD1248" s="4">
        <v>85</v>
      </c>
      <c r="AE1248" s="4">
        <v>85</v>
      </c>
      <c r="AF1248" s="4">
        <v>0</v>
      </c>
      <c r="AG1248" s="4">
        <v>0</v>
      </c>
      <c r="AH1248" s="4">
        <v>75</v>
      </c>
      <c r="AI1248" s="4">
        <v>75</v>
      </c>
      <c r="AJ1248" s="4">
        <v>9</v>
      </c>
      <c r="AK1248" s="4">
        <v>9</v>
      </c>
      <c r="AL1248" s="4">
        <v>46</v>
      </c>
      <c r="AM1248" s="4">
        <v>46</v>
      </c>
      <c r="AN1248" s="4">
        <v>0</v>
      </c>
      <c r="AO1248" s="4">
        <v>0</v>
      </c>
      <c r="AP1248" s="4">
        <v>9</v>
      </c>
      <c r="AQ1248" s="4">
        <v>9</v>
      </c>
      <c r="AR1248" s="3" t="s">
        <v>64</v>
      </c>
      <c r="AS1248" s="3" t="s">
        <v>64</v>
      </c>
      <c r="AT1248" s="3" t="s">
        <v>73</v>
      </c>
      <c r="AU1248" s="6" t="str">
        <f>HYPERLINK("http://catalog.hathitrust.org/Record/002987169","HathiTrust Record")</f>
        <v>HathiTrust Record</v>
      </c>
      <c r="AV1248" s="6" t="str">
        <f>HYPERLINK("http://mcgill.on.worldcat.org/oclc/30594008","Catalog Record")</f>
        <v>Catalog Record</v>
      </c>
      <c r="AW1248" s="6" t="str">
        <f>HYPERLINK("http://www.worldcat.org/oclc/30594008","WorldCat Record")</f>
        <v>WorldCat Record</v>
      </c>
      <c r="AX1248" s="3" t="s">
        <v>12884</v>
      </c>
      <c r="AY1248" s="3" t="s">
        <v>12885</v>
      </c>
      <c r="AZ1248" s="3" t="s">
        <v>12886</v>
      </c>
      <c r="BA1248" s="3" t="s">
        <v>12886</v>
      </c>
      <c r="BB1248" s="3" t="s">
        <v>12887</v>
      </c>
      <c r="BC1248" s="3" t="s">
        <v>78</v>
      </c>
      <c r="BD1248" s="3" t="s">
        <v>79</v>
      </c>
      <c r="BE1248" s="3" t="s">
        <v>12888</v>
      </c>
      <c r="BF1248" s="3" t="s">
        <v>12887</v>
      </c>
      <c r="BG1248" s="3" t="s">
        <v>12889</v>
      </c>
    </row>
    <row r="1249" spans="1:59" ht="58" x14ac:dyDescent="0.35">
      <c r="A1249" s="2" t="s">
        <v>59</v>
      </c>
      <c r="B1249" s="2" t="s">
        <v>94</v>
      </c>
      <c r="C1249" s="2" t="s">
        <v>12890</v>
      </c>
      <c r="D1249" s="2" t="s">
        <v>12891</v>
      </c>
      <c r="E1249" s="2" t="s">
        <v>12892</v>
      </c>
      <c r="G1249" s="3" t="s">
        <v>64</v>
      </c>
      <c r="I1249" s="3" t="s">
        <v>64</v>
      </c>
      <c r="J1249" s="3" t="s">
        <v>64</v>
      </c>
      <c r="K1249" s="3" t="s">
        <v>65</v>
      </c>
      <c r="L1249" s="2" t="s">
        <v>12893</v>
      </c>
      <c r="M1249" s="2" t="s">
        <v>12894</v>
      </c>
      <c r="N1249" s="3" t="s">
        <v>449</v>
      </c>
      <c r="P1249" s="3" t="s">
        <v>69</v>
      </c>
      <c r="R1249" s="3" t="s">
        <v>9228</v>
      </c>
      <c r="S1249" s="4">
        <v>14</v>
      </c>
      <c r="T1249" s="4">
        <v>14</v>
      </c>
      <c r="U1249" s="5" t="s">
        <v>5934</v>
      </c>
      <c r="V1249" s="5" t="s">
        <v>5934</v>
      </c>
      <c r="W1249" s="5" t="s">
        <v>72</v>
      </c>
      <c r="X1249" s="5" t="s">
        <v>72</v>
      </c>
      <c r="Y1249" s="4">
        <v>116</v>
      </c>
      <c r="Z1249" s="4">
        <v>11</v>
      </c>
      <c r="AA1249" s="4">
        <v>23</v>
      </c>
      <c r="AB1249" s="4">
        <v>1</v>
      </c>
      <c r="AC1249" s="4">
        <v>7</v>
      </c>
      <c r="AD1249" s="4">
        <v>49</v>
      </c>
      <c r="AE1249" s="4">
        <v>71</v>
      </c>
      <c r="AF1249" s="4">
        <v>0</v>
      </c>
      <c r="AG1249" s="4">
        <v>3</v>
      </c>
      <c r="AH1249" s="4">
        <v>46</v>
      </c>
      <c r="AI1249" s="4">
        <v>61</v>
      </c>
      <c r="AJ1249" s="4">
        <v>9</v>
      </c>
      <c r="AK1249" s="4">
        <v>16</v>
      </c>
      <c r="AL1249" s="4">
        <v>27</v>
      </c>
      <c r="AM1249" s="4">
        <v>34</v>
      </c>
      <c r="AN1249" s="4">
        <v>0</v>
      </c>
      <c r="AO1249" s="4">
        <v>0</v>
      </c>
      <c r="AP1249" s="4">
        <v>9</v>
      </c>
      <c r="AQ1249" s="4">
        <v>17</v>
      </c>
      <c r="AR1249" s="3" t="s">
        <v>64</v>
      </c>
      <c r="AS1249" s="3" t="s">
        <v>64</v>
      </c>
      <c r="AT1249" s="3" t="s">
        <v>64</v>
      </c>
      <c r="AV1249" s="6" t="str">
        <f>HYPERLINK("http://mcgill.on.worldcat.org/oclc/229445926","Catalog Record")</f>
        <v>Catalog Record</v>
      </c>
      <c r="AW1249" s="6" t="str">
        <f>HYPERLINK("http://www.worldcat.org/oclc/229445926","WorldCat Record")</f>
        <v>WorldCat Record</v>
      </c>
      <c r="AX1249" s="3" t="s">
        <v>12895</v>
      </c>
      <c r="AY1249" s="3" t="s">
        <v>12896</v>
      </c>
      <c r="AZ1249" s="3" t="s">
        <v>12897</v>
      </c>
      <c r="BA1249" s="3" t="s">
        <v>12897</v>
      </c>
      <c r="BB1249" s="3" t="s">
        <v>12898</v>
      </c>
      <c r="BC1249" s="3" t="s">
        <v>78</v>
      </c>
      <c r="BD1249" s="3" t="s">
        <v>79</v>
      </c>
      <c r="BE1249" s="3" t="s">
        <v>12899</v>
      </c>
      <c r="BF1249" s="3" t="s">
        <v>12898</v>
      </c>
      <c r="BG1249" s="3" t="s">
        <v>12900</v>
      </c>
    </row>
    <row r="1250" spans="1:59" ht="58" x14ac:dyDescent="0.35">
      <c r="A1250" s="2" t="s">
        <v>59</v>
      </c>
      <c r="B1250" s="2" t="s">
        <v>94</v>
      </c>
      <c r="C1250" s="2" t="s">
        <v>12901</v>
      </c>
      <c r="D1250" s="2" t="s">
        <v>12902</v>
      </c>
      <c r="E1250" s="2" t="s">
        <v>12903</v>
      </c>
      <c r="G1250" s="3" t="s">
        <v>64</v>
      </c>
      <c r="I1250" s="3" t="s">
        <v>64</v>
      </c>
      <c r="J1250" s="3" t="s">
        <v>64</v>
      </c>
      <c r="K1250" s="3" t="s">
        <v>65</v>
      </c>
      <c r="M1250" s="2" t="s">
        <v>12904</v>
      </c>
      <c r="N1250" s="3" t="s">
        <v>377</v>
      </c>
      <c r="P1250" s="3" t="s">
        <v>69</v>
      </c>
      <c r="Q1250" s="2" t="s">
        <v>12905</v>
      </c>
      <c r="R1250" s="3" t="s">
        <v>9228</v>
      </c>
      <c r="S1250" s="4">
        <v>1</v>
      </c>
      <c r="T1250" s="4">
        <v>1</v>
      </c>
      <c r="U1250" s="5" t="s">
        <v>5031</v>
      </c>
      <c r="V1250" s="5" t="s">
        <v>5031</v>
      </c>
      <c r="W1250" s="5" t="s">
        <v>72</v>
      </c>
      <c r="X1250" s="5" t="s">
        <v>72</v>
      </c>
      <c r="Y1250" s="4">
        <v>98</v>
      </c>
      <c r="Z1250" s="4">
        <v>9</v>
      </c>
      <c r="AA1250" s="4">
        <v>14</v>
      </c>
      <c r="AB1250" s="4">
        <v>1</v>
      </c>
      <c r="AC1250" s="4">
        <v>2</v>
      </c>
      <c r="AD1250" s="4">
        <v>44</v>
      </c>
      <c r="AE1250" s="4">
        <v>55</v>
      </c>
      <c r="AF1250" s="4">
        <v>0</v>
      </c>
      <c r="AG1250" s="4">
        <v>0</v>
      </c>
      <c r="AH1250" s="4">
        <v>42</v>
      </c>
      <c r="AI1250" s="4">
        <v>51</v>
      </c>
      <c r="AJ1250" s="4">
        <v>6</v>
      </c>
      <c r="AK1250" s="4">
        <v>6</v>
      </c>
      <c r="AL1250" s="4">
        <v>27</v>
      </c>
      <c r="AM1250" s="4">
        <v>32</v>
      </c>
      <c r="AN1250" s="4">
        <v>0</v>
      </c>
      <c r="AO1250" s="4">
        <v>0</v>
      </c>
      <c r="AP1250" s="4">
        <v>6</v>
      </c>
      <c r="AQ1250" s="4">
        <v>7</v>
      </c>
      <c r="AR1250" s="3" t="s">
        <v>64</v>
      </c>
      <c r="AS1250" s="3" t="s">
        <v>64</v>
      </c>
      <c r="AT1250" s="3" t="s">
        <v>64</v>
      </c>
      <c r="AV1250" s="6" t="str">
        <f>HYPERLINK("http://mcgill.on.worldcat.org/oclc/791490433","Catalog Record")</f>
        <v>Catalog Record</v>
      </c>
      <c r="AW1250" s="6" t="str">
        <f>HYPERLINK("http://www.worldcat.org/oclc/791490433","WorldCat Record")</f>
        <v>WorldCat Record</v>
      </c>
      <c r="AX1250" s="3" t="s">
        <v>12906</v>
      </c>
      <c r="AY1250" s="3" t="s">
        <v>12907</v>
      </c>
      <c r="AZ1250" s="3" t="s">
        <v>12908</v>
      </c>
      <c r="BA1250" s="3" t="s">
        <v>12908</v>
      </c>
      <c r="BB1250" s="3" t="s">
        <v>12909</v>
      </c>
      <c r="BC1250" s="3" t="s">
        <v>78</v>
      </c>
      <c r="BD1250" s="3" t="s">
        <v>79</v>
      </c>
      <c r="BE1250" s="3" t="s">
        <v>12910</v>
      </c>
      <c r="BF1250" s="3" t="s">
        <v>12909</v>
      </c>
      <c r="BG1250" s="3" t="s">
        <v>12911</v>
      </c>
    </row>
    <row r="1251" spans="1:59" ht="58" x14ac:dyDescent="0.35">
      <c r="A1251" s="2" t="s">
        <v>59</v>
      </c>
      <c r="B1251" s="2" t="s">
        <v>94</v>
      </c>
      <c r="C1251" s="2" t="s">
        <v>12912</v>
      </c>
      <c r="D1251" s="2" t="s">
        <v>12913</v>
      </c>
      <c r="E1251" s="2" t="s">
        <v>12914</v>
      </c>
      <c r="G1251" s="3" t="s">
        <v>64</v>
      </c>
      <c r="I1251" s="3" t="s">
        <v>64</v>
      </c>
      <c r="J1251" s="3" t="s">
        <v>64</v>
      </c>
      <c r="K1251" s="3" t="s">
        <v>65</v>
      </c>
      <c r="M1251" s="2" t="s">
        <v>6841</v>
      </c>
      <c r="N1251" s="3" t="s">
        <v>377</v>
      </c>
      <c r="P1251" s="3" t="s">
        <v>69</v>
      </c>
      <c r="Q1251" s="2" t="s">
        <v>12915</v>
      </c>
      <c r="R1251" s="3" t="s">
        <v>9228</v>
      </c>
      <c r="S1251" s="4">
        <v>1</v>
      </c>
      <c r="T1251" s="4">
        <v>1</v>
      </c>
      <c r="U1251" s="5" t="s">
        <v>12916</v>
      </c>
      <c r="V1251" s="5" t="s">
        <v>12916</v>
      </c>
      <c r="W1251" s="5" t="s">
        <v>72</v>
      </c>
      <c r="X1251" s="5" t="s">
        <v>72</v>
      </c>
      <c r="Y1251" s="4">
        <v>102</v>
      </c>
      <c r="Z1251" s="4">
        <v>8</v>
      </c>
      <c r="AA1251" s="4">
        <v>109</v>
      </c>
      <c r="AB1251" s="4">
        <v>1</v>
      </c>
      <c r="AC1251" s="4">
        <v>17</v>
      </c>
      <c r="AD1251" s="4">
        <v>57</v>
      </c>
      <c r="AE1251" s="4">
        <v>138</v>
      </c>
      <c r="AF1251" s="4">
        <v>0</v>
      </c>
      <c r="AG1251" s="4">
        <v>8</v>
      </c>
      <c r="AH1251" s="4">
        <v>56</v>
      </c>
      <c r="AI1251" s="4">
        <v>98</v>
      </c>
      <c r="AJ1251" s="4">
        <v>6</v>
      </c>
      <c r="AK1251" s="4">
        <v>23</v>
      </c>
      <c r="AL1251" s="4">
        <v>32</v>
      </c>
      <c r="AM1251" s="4">
        <v>53</v>
      </c>
      <c r="AN1251" s="4">
        <v>0</v>
      </c>
      <c r="AO1251" s="4">
        <v>0</v>
      </c>
      <c r="AP1251" s="4">
        <v>6</v>
      </c>
      <c r="AQ1251" s="4">
        <v>46</v>
      </c>
      <c r="AR1251" s="3" t="s">
        <v>64</v>
      </c>
      <c r="AS1251" s="3" t="s">
        <v>64</v>
      </c>
      <c r="AT1251" s="3" t="s">
        <v>64</v>
      </c>
      <c r="AV1251" s="6" t="str">
        <f>HYPERLINK("http://mcgill.on.worldcat.org/oclc/812531808","Catalog Record")</f>
        <v>Catalog Record</v>
      </c>
      <c r="AW1251" s="6" t="str">
        <f>HYPERLINK("http://www.worldcat.org/oclc/812531808","WorldCat Record")</f>
        <v>WorldCat Record</v>
      </c>
      <c r="AX1251" s="3" t="s">
        <v>12917</v>
      </c>
      <c r="AY1251" s="3" t="s">
        <v>12918</v>
      </c>
      <c r="AZ1251" s="3" t="s">
        <v>12919</v>
      </c>
      <c r="BA1251" s="3" t="s">
        <v>12919</v>
      </c>
      <c r="BB1251" s="3" t="s">
        <v>12920</v>
      </c>
      <c r="BC1251" s="3" t="s">
        <v>78</v>
      </c>
      <c r="BD1251" s="3" t="s">
        <v>79</v>
      </c>
      <c r="BE1251" s="3" t="s">
        <v>12921</v>
      </c>
      <c r="BF1251" s="3" t="s">
        <v>12920</v>
      </c>
      <c r="BG1251" s="3" t="s">
        <v>12922</v>
      </c>
    </row>
    <row r="1252" spans="1:59" ht="58" x14ac:dyDescent="0.35">
      <c r="A1252" s="2" t="s">
        <v>59</v>
      </c>
      <c r="B1252" s="2" t="s">
        <v>94</v>
      </c>
      <c r="C1252" s="2" t="s">
        <v>12923</v>
      </c>
      <c r="D1252" s="2" t="s">
        <v>12924</v>
      </c>
      <c r="E1252" s="2" t="s">
        <v>12925</v>
      </c>
      <c r="G1252" s="3" t="s">
        <v>64</v>
      </c>
      <c r="I1252" s="3" t="s">
        <v>64</v>
      </c>
      <c r="J1252" s="3" t="s">
        <v>64</v>
      </c>
      <c r="K1252" s="3" t="s">
        <v>65</v>
      </c>
      <c r="M1252" s="2" t="s">
        <v>12926</v>
      </c>
      <c r="N1252" s="3" t="s">
        <v>449</v>
      </c>
      <c r="P1252" s="3" t="s">
        <v>69</v>
      </c>
      <c r="Q1252" s="2" t="s">
        <v>12905</v>
      </c>
      <c r="R1252" s="3" t="s">
        <v>9228</v>
      </c>
      <c r="S1252" s="4">
        <v>11</v>
      </c>
      <c r="T1252" s="4">
        <v>11</v>
      </c>
      <c r="U1252" s="5" t="s">
        <v>6096</v>
      </c>
      <c r="V1252" s="5" t="s">
        <v>6096</v>
      </c>
      <c r="W1252" s="5" t="s">
        <v>72</v>
      </c>
      <c r="X1252" s="5" t="s">
        <v>72</v>
      </c>
      <c r="Y1252" s="4">
        <v>158</v>
      </c>
      <c r="Z1252" s="4">
        <v>15</v>
      </c>
      <c r="AA1252" s="4">
        <v>19</v>
      </c>
      <c r="AB1252" s="4">
        <v>1</v>
      </c>
      <c r="AC1252" s="4">
        <v>2</v>
      </c>
      <c r="AD1252" s="4">
        <v>70</v>
      </c>
      <c r="AE1252" s="4">
        <v>72</v>
      </c>
      <c r="AF1252" s="4">
        <v>0</v>
      </c>
      <c r="AG1252" s="4">
        <v>0</v>
      </c>
      <c r="AH1252" s="4">
        <v>65</v>
      </c>
      <c r="AI1252" s="4">
        <v>67</v>
      </c>
      <c r="AJ1252" s="4">
        <v>11</v>
      </c>
      <c r="AK1252" s="4">
        <v>11</v>
      </c>
      <c r="AL1252" s="4">
        <v>34</v>
      </c>
      <c r="AM1252" s="4">
        <v>35</v>
      </c>
      <c r="AN1252" s="4">
        <v>0</v>
      </c>
      <c r="AO1252" s="4">
        <v>0</v>
      </c>
      <c r="AP1252" s="4">
        <v>11</v>
      </c>
      <c r="AQ1252" s="4">
        <v>11</v>
      </c>
      <c r="AR1252" s="3" t="s">
        <v>64</v>
      </c>
      <c r="AS1252" s="3" t="s">
        <v>64</v>
      </c>
      <c r="AT1252" s="3" t="s">
        <v>64</v>
      </c>
      <c r="AV1252" s="6" t="str">
        <f>HYPERLINK("http://mcgill.on.worldcat.org/oclc/190876862","Catalog Record")</f>
        <v>Catalog Record</v>
      </c>
      <c r="AW1252" s="6" t="str">
        <f>HYPERLINK("http://www.worldcat.org/oclc/190876862","WorldCat Record")</f>
        <v>WorldCat Record</v>
      </c>
      <c r="AX1252" s="3" t="s">
        <v>12927</v>
      </c>
      <c r="AY1252" s="3" t="s">
        <v>12928</v>
      </c>
      <c r="AZ1252" s="3" t="s">
        <v>12929</v>
      </c>
      <c r="BA1252" s="3" t="s">
        <v>12929</v>
      </c>
      <c r="BB1252" s="3" t="s">
        <v>12930</v>
      </c>
      <c r="BC1252" s="3" t="s">
        <v>78</v>
      </c>
      <c r="BD1252" s="3" t="s">
        <v>79</v>
      </c>
      <c r="BE1252" s="3" t="s">
        <v>12931</v>
      </c>
      <c r="BF1252" s="3" t="s">
        <v>12930</v>
      </c>
      <c r="BG1252" s="3" t="s">
        <v>12932</v>
      </c>
    </row>
    <row r="1253" spans="1:59" ht="58" x14ac:dyDescent="0.35">
      <c r="A1253" s="2" t="s">
        <v>59</v>
      </c>
      <c r="B1253" s="2" t="s">
        <v>94</v>
      </c>
      <c r="C1253" s="2" t="s">
        <v>12933</v>
      </c>
      <c r="D1253" s="2" t="s">
        <v>12934</v>
      </c>
      <c r="E1253" s="2" t="s">
        <v>12935</v>
      </c>
      <c r="G1253" s="3" t="s">
        <v>64</v>
      </c>
      <c r="I1253" s="3" t="s">
        <v>64</v>
      </c>
      <c r="J1253" s="3" t="s">
        <v>64</v>
      </c>
      <c r="K1253" s="3" t="s">
        <v>65</v>
      </c>
      <c r="M1253" s="2" t="s">
        <v>12936</v>
      </c>
      <c r="N1253" s="3" t="s">
        <v>3563</v>
      </c>
      <c r="P1253" s="3" t="s">
        <v>69</v>
      </c>
      <c r="Q1253" s="2" t="s">
        <v>12937</v>
      </c>
      <c r="R1253" s="3" t="s">
        <v>9228</v>
      </c>
      <c r="S1253" s="4">
        <v>31</v>
      </c>
      <c r="T1253" s="4">
        <v>31</v>
      </c>
      <c r="U1253" s="5" t="s">
        <v>12609</v>
      </c>
      <c r="V1253" s="5" t="s">
        <v>12609</v>
      </c>
      <c r="W1253" s="5" t="s">
        <v>72</v>
      </c>
      <c r="X1253" s="5" t="s">
        <v>72</v>
      </c>
      <c r="Y1253" s="4">
        <v>233</v>
      </c>
      <c r="Z1253" s="4">
        <v>22</v>
      </c>
      <c r="AA1253" s="4">
        <v>24</v>
      </c>
      <c r="AB1253" s="4">
        <v>1</v>
      </c>
      <c r="AC1253" s="4">
        <v>2</v>
      </c>
      <c r="AD1253" s="4">
        <v>96</v>
      </c>
      <c r="AE1253" s="4">
        <v>97</v>
      </c>
      <c r="AF1253" s="4">
        <v>0</v>
      </c>
      <c r="AG1253" s="4">
        <v>1</v>
      </c>
      <c r="AH1253" s="4">
        <v>83</v>
      </c>
      <c r="AI1253" s="4">
        <v>83</v>
      </c>
      <c r="AJ1253" s="4">
        <v>14</v>
      </c>
      <c r="AK1253" s="4">
        <v>15</v>
      </c>
      <c r="AL1253" s="4">
        <v>47</v>
      </c>
      <c r="AM1253" s="4">
        <v>47</v>
      </c>
      <c r="AN1253" s="4">
        <v>0</v>
      </c>
      <c r="AO1253" s="4">
        <v>0</v>
      </c>
      <c r="AP1253" s="4">
        <v>17</v>
      </c>
      <c r="AQ1253" s="4">
        <v>18</v>
      </c>
      <c r="AR1253" s="3" t="s">
        <v>64</v>
      </c>
      <c r="AS1253" s="3" t="s">
        <v>64</v>
      </c>
      <c r="AT1253" s="3" t="s">
        <v>64</v>
      </c>
      <c r="AV1253" s="6" t="str">
        <f>HYPERLINK("http://mcgill.on.worldcat.org/oclc/24319100","Catalog Record")</f>
        <v>Catalog Record</v>
      </c>
      <c r="AW1253" s="6" t="str">
        <f>HYPERLINK("http://www.worldcat.org/oclc/24319100","WorldCat Record")</f>
        <v>WorldCat Record</v>
      </c>
      <c r="AX1253" s="3" t="s">
        <v>12938</v>
      </c>
      <c r="AY1253" s="3" t="s">
        <v>12939</v>
      </c>
      <c r="AZ1253" s="3" t="s">
        <v>12940</v>
      </c>
      <c r="BA1253" s="3" t="s">
        <v>12940</v>
      </c>
      <c r="BB1253" s="3" t="s">
        <v>12941</v>
      </c>
      <c r="BC1253" s="3" t="s">
        <v>78</v>
      </c>
      <c r="BD1253" s="3" t="s">
        <v>79</v>
      </c>
      <c r="BE1253" s="3" t="s">
        <v>12942</v>
      </c>
      <c r="BF1253" s="3" t="s">
        <v>12941</v>
      </c>
      <c r="BG1253" s="3" t="s">
        <v>12943</v>
      </c>
    </row>
    <row r="1254" spans="1:59" ht="58" x14ac:dyDescent="0.35">
      <c r="A1254" s="2" t="s">
        <v>59</v>
      </c>
      <c r="B1254" s="2" t="s">
        <v>94</v>
      </c>
      <c r="C1254" s="2" t="s">
        <v>12944</v>
      </c>
      <c r="D1254" s="2" t="s">
        <v>12945</v>
      </c>
      <c r="E1254" s="2" t="s">
        <v>12946</v>
      </c>
      <c r="G1254" s="3" t="s">
        <v>64</v>
      </c>
      <c r="I1254" s="3" t="s">
        <v>64</v>
      </c>
      <c r="J1254" s="3" t="s">
        <v>64</v>
      </c>
      <c r="K1254" s="3" t="s">
        <v>65</v>
      </c>
      <c r="M1254" s="2" t="s">
        <v>10628</v>
      </c>
      <c r="N1254" s="3" t="s">
        <v>214</v>
      </c>
      <c r="P1254" s="3" t="s">
        <v>69</v>
      </c>
      <c r="R1254" s="3" t="s">
        <v>9228</v>
      </c>
      <c r="S1254" s="4">
        <v>1</v>
      </c>
      <c r="T1254" s="4">
        <v>1</v>
      </c>
      <c r="U1254" s="5" t="s">
        <v>12947</v>
      </c>
      <c r="V1254" s="5" t="s">
        <v>12947</v>
      </c>
      <c r="W1254" s="5" t="s">
        <v>72</v>
      </c>
      <c r="X1254" s="5" t="s">
        <v>72</v>
      </c>
      <c r="Y1254" s="4">
        <v>321</v>
      </c>
      <c r="Z1254" s="4">
        <v>25</v>
      </c>
      <c r="AA1254" s="4">
        <v>101</v>
      </c>
      <c r="AB1254" s="4">
        <v>2</v>
      </c>
      <c r="AC1254" s="4">
        <v>18</v>
      </c>
      <c r="AD1254" s="4">
        <v>71</v>
      </c>
      <c r="AE1254" s="4">
        <v>129</v>
      </c>
      <c r="AF1254" s="4">
        <v>1</v>
      </c>
      <c r="AG1254" s="4">
        <v>8</v>
      </c>
      <c r="AH1254" s="4">
        <v>60</v>
      </c>
      <c r="AI1254" s="4">
        <v>90</v>
      </c>
      <c r="AJ1254" s="4">
        <v>13</v>
      </c>
      <c r="AK1254" s="4">
        <v>24</v>
      </c>
      <c r="AL1254" s="4">
        <v>34</v>
      </c>
      <c r="AM1254" s="4">
        <v>48</v>
      </c>
      <c r="AN1254" s="4">
        <v>0</v>
      </c>
      <c r="AO1254" s="4">
        <v>0</v>
      </c>
      <c r="AP1254" s="4">
        <v>15</v>
      </c>
      <c r="AQ1254" s="4">
        <v>45</v>
      </c>
      <c r="AR1254" s="3" t="s">
        <v>64</v>
      </c>
      <c r="AS1254" s="3" t="s">
        <v>64</v>
      </c>
      <c r="AT1254" s="3" t="s">
        <v>64</v>
      </c>
      <c r="AV1254" s="6" t="str">
        <f>HYPERLINK("http://mcgill.on.worldcat.org/oclc/421532200","Catalog Record")</f>
        <v>Catalog Record</v>
      </c>
      <c r="AW1254" s="6" t="str">
        <f>HYPERLINK("http://www.worldcat.org/oclc/421532200","WorldCat Record")</f>
        <v>WorldCat Record</v>
      </c>
      <c r="AX1254" s="3" t="s">
        <v>12948</v>
      </c>
      <c r="AY1254" s="3" t="s">
        <v>12949</v>
      </c>
      <c r="AZ1254" s="3" t="s">
        <v>12950</v>
      </c>
      <c r="BA1254" s="3" t="s">
        <v>12950</v>
      </c>
      <c r="BB1254" s="3" t="s">
        <v>12951</v>
      </c>
      <c r="BC1254" s="3" t="s">
        <v>78</v>
      </c>
      <c r="BD1254" s="3" t="s">
        <v>79</v>
      </c>
      <c r="BE1254" s="3" t="s">
        <v>12952</v>
      </c>
      <c r="BF1254" s="3" t="s">
        <v>12951</v>
      </c>
      <c r="BG1254" s="3" t="s">
        <v>12953</v>
      </c>
    </row>
    <row r="1255" spans="1:59" ht="58" x14ac:dyDescent="0.35">
      <c r="A1255" s="2" t="s">
        <v>59</v>
      </c>
      <c r="B1255" s="2" t="s">
        <v>94</v>
      </c>
      <c r="C1255" s="2" t="s">
        <v>12954</v>
      </c>
      <c r="D1255" s="2" t="s">
        <v>12955</v>
      </c>
      <c r="E1255" s="2" t="s">
        <v>12956</v>
      </c>
      <c r="G1255" s="3" t="s">
        <v>64</v>
      </c>
      <c r="I1255" s="3" t="s">
        <v>64</v>
      </c>
      <c r="J1255" s="3" t="s">
        <v>64</v>
      </c>
      <c r="K1255" s="3" t="s">
        <v>65</v>
      </c>
      <c r="L1255" s="2" t="s">
        <v>12957</v>
      </c>
      <c r="M1255" s="2" t="s">
        <v>12958</v>
      </c>
      <c r="N1255" s="3" t="s">
        <v>5739</v>
      </c>
      <c r="P1255" s="3" t="s">
        <v>69</v>
      </c>
      <c r="R1255" s="3" t="s">
        <v>9228</v>
      </c>
      <c r="S1255" s="4">
        <v>8</v>
      </c>
      <c r="T1255" s="4">
        <v>8</v>
      </c>
      <c r="U1255" s="5" t="s">
        <v>12959</v>
      </c>
      <c r="V1255" s="5" t="s">
        <v>12959</v>
      </c>
      <c r="W1255" s="5" t="s">
        <v>72</v>
      </c>
      <c r="X1255" s="5" t="s">
        <v>72</v>
      </c>
      <c r="Y1255" s="4">
        <v>2</v>
      </c>
      <c r="Z1255" s="4">
        <v>2</v>
      </c>
      <c r="AA1255" s="4">
        <v>44</v>
      </c>
      <c r="AB1255" s="4">
        <v>1</v>
      </c>
      <c r="AC1255" s="4">
        <v>5</v>
      </c>
      <c r="AD1255" s="4">
        <v>1</v>
      </c>
      <c r="AE1255" s="4">
        <v>131</v>
      </c>
      <c r="AF1255" s="4">
        <v>0</v>
      </c>
      <c r="AG1255" s="4">
        <v>3</v>
      </c>
      <c r="AH1255" s="4">
        <v>1</v>
      </c>
      <c r="AI1255" s="4">
        <v>104</v>
      </c>
      <c r="AJ1255" s="4">
        <v>1</v>
      </c>
      <c r="AK1255" s="4">
        <v>22</v>
      </c>
      <c r="AL1255" s="4">
        <v>0</v>
      </c>
      <c r="AM1255" s="4">
        <v>58</v>
      </c>
      <c r="AN1255" s="4">
        <v>0</v>
      </c>
      <c r="AO1255" s="4">
        <v>0</v>
      </c>
      <c r="AP1255" s="4">
        <v>1</v>
      </c>
      <c r="AQ1255" s="4">
        <v>33</v>
      </c>
      <c r="AR1255" s="3" t="s">
        <v>64</v>
      </c>
      <c r="AS1255" s="3" t="s">
        <v>64</v>
      </c>
      <c r="AT1255" s="3" t="s">
        <v>64</v>
      </c>
      <c r="AV1255" s="6" t="str">
        <f>HYPERLINK("http://mcgill.on.worldcat.org/oclc/289644115","Catalog Record")</f>
        <v>Catalog Record</v>
      </c>
      <c r="AW1255" s="6" t="str">
        <f>HYPERLINK("http://www.worldcat.org/oclc/289644115","WorldCat Record")</f>
        <v>WorldCat Record</v>
      </c>
      <c r="AX1255" s="3" t="s">
        <v>12960</v>
      </c>
      <c r="AY1255" s="3" t="s">
        <v>12961</v>
      </c>
      <c r="AZ1255" s="3" t="s">
        <v>12962</v>
      </c>
      <c r="BA1255" s="3" t="s">
        <v>12962</v>
      </c>
      <c r="BB1255" s="3" t="s">
        <v>12963</v>
      </c>
      <c r="BC1255" s="3" t="s">
        <v>78</v>
      </c>
      <c r="BD1255" s="3" t="s">
        <v>79</v>
      </c>
      <c r="BF1255" s="3" t="s">
        <v>12963</v>
      </c>
      <c r="BG1255" s="3" t="s">
        <v>12964</v>
      </c>
    </row>
    <row r="1256" spans="1:59" ht="58" x14ac:dyDescent="0.35">
      <c r="A1256" s="2" t="s">
        <v>59</v>
      </c>
      <c r="B1256" s="2" t="s">
        <v>94</v>
      </c>
      <c r="C1256" s="2" t="s">
        <v>12965</v>
      </c>
      <c r="D1256" s="2" t="s">
        <v>12966</v>
      </c>
      <c r="E1256" s="2" t="s">
        <v>12967</v>
      </c>
      <c r="G1256" s="3" t="s">
        <v>64</v>
      </c>
      <c r="I1256" s="3" t="s">
        <v>64</v>
      </c>
      <c r="J1256" s="3" t="s">
        <v>64</v>
      </c>
      <c r="K1256" s="3" t="s">
        <v>65</v>
      </c>
      <c r="L1256" s="2" t="s">
        <v>12968</v>
      </c>
      <c r="M1256" s="2" t="s">
        <v>12791</v>
      </c>
      <c r="N1256" s="3" t="s">
        <v>499</v>
      </c>
      <c r="O1256" s="2" t="s">
        <v>1294</v>
      </c>
      <c r="P1256" s="3" t="s">
        <v>69</v>
      </c>
      <c r="R1256" s="3" t="s">
        <v>9228</v>
      </c>
      <c r="S1256" s="4">
        <v>17</v>
      </c>
      <c r="T1256" s="4">
        <v>17</v>
      </c>
      <c r="U1256" s="5" t="s">
        <v>2312</v>
      </c>
      <c r="V1256" s="5" t="s">
        <v>2312</v>
      </c>
      <c r="W1256" s="5" t="s">
        <v>72</v>
      </c>
      <c r="X1256" s="5" t="s">
        <v>72</v>
      </c>
      <c r="Y1256" s="4">
        <v>172</v>
      </c>
      <c r="Z1256" s="4">
        <v>14</v>
      </c>
      <c r="AA1256" s="4">
        <v>32</v>
      </c>
      <c r="AB1256" s="4">
        <v>1</v>
      </c>
      <c r="AC1256" s="4">
        <v>4</v>
      </c>
      <c r="AD1256" s="4">
        <v>76</v>
      </c>
      <c r="AE1256" s="4">
        <v>96</v>
      </c>
      <c r="AF1256" s="4">
        <v>0</v>
      </c>
      <c r="AG1256" s="4">
        <v>1</v>
      </c>
      <c r="AH1256" s="4">
        <v>69</v>
      </c>
      <c r="AI1256" s="4">
        <v>81</v>
      </c>
      <c r="AJ1256" s="4">
        <v>11</v>
      </c>
      <c r="AK1256" s="4">
        <v>14</v>
      </c>
      <c r="AL1256" s="4">
        <v>42</v>
      </c>
      <c r="AM1256" s="4">
        <v>46</v>
      </c>
      <c r="AN1256" s="4">
        <v>0</v>
      </c>
      <c r="AO1256" s="4">
        <v>0</v>
      </c>
      <c r="AP1256" s="4">
        <v>10</v>
      </c>
      <c r="AQ1256" s="4">
        <v>21</v>
      </c>
      <c r="AR1256" s="3" t="s">
        <v>64</v>
      </c>
      <c r="AS1256" s="3" t="s">
        <v>64</v>
      </c>
      <c r="AT1256" s="3" t="s">
        <v>64</v>
      </c>
      <c r="AV1256" s="6" t="str">
        <f>HYPERLINK("http://mcgill.on.worldcat.org/oclc/60550476","Catalog Record")</f>
        <v>Catalog Record</v>
      </c>
      <c r="AW1256" s="6" t="str">
        <f>HYPERLINK("http://www.worldcat.org/oclc/60550476","WorldCat Record")</f>
        <v>WorldCat Record</v>
      </c>
      <c r="AX1256" s="3" t="s">
        <v>12969</v>
      </c>
      <c r="AY1256" s="3" t="s">
        <v>12970</v>
      </c>
      <c r="AZ1256" s="3" t="s">
        <v>12971</v>
      </c>
      <c r="BA1256" s="3" t="s">
        <v>12971</v>
      </c>
      <c r="BB1256" s="3" t="s">
        <v>12972</v>
      </c>
      <c r="BC1256" s="3" t="s">
        <v>78</v>
      </c>
      <c r="BD1256" s="3" t="s">
        <v>79</v>
      </c>
      <c r="BE1256" s="3" t="s">
        <v>12973</v>
      </c>
      <c r="BF1256" s="3" t="s">
        <v>12972</v>
      </c>
      <c r="BG1256" s="3" t="s">
        <v>12974</v>
      </c>
    </row>
    <row r="1257" spans="1:59" ht="58" x14ac:dyDescent="0.35">
      <c r="A1257" s="2" t="s">
        <v>59</v>
      </c>
      <c r="B1257" s="2" t="s">
        <v>94</v>
      </c>
      <c r="C1257" s="2" t="s">
        <v>12975</v>
      </c>
      <c r="D1257" s="2" t="s">
        <v>12976</v>
      </c>
      <c r="E1257" s="2" t="s">
        <v>12977</v>
      </c>
      <c r="G1257" s="3" t="s">
        <v>64</v>
      </c>
      <c r="I1257" s="3" t="s">
        <v>64</v>
      </c>
      <c r="J1257" s="3" t="s">
        <v>64</v>
      </c>
      <c r="K1257" s="3" t="s">
        <v>65</v>
      </c>
      <c r="L1257" s="2" t="s">
        <v>12978</v>
      </c>
      <c r="M1257" s="2" t="s">
        <v>12979</v>
      </c>
      <c r="N1257" s="3" t="s">
        <v>365</v>
      </c>
      <c r="P1257" s="3" t="s">
        <v>69</v>
      </c>
      <c r="R1257" s="3" t="s">
        <v>9228</v>
      </c>
      <c r="S1257" s="4">
        <v>20</v>
      </c>
      <c r="T1257" s="4">
        <v>20</v>
      </c>
      <c r="U1257" s="5" t="s">
        <v>2312</v>
      </c>
      <c r="V1257" s="5" t="s">
        <v>2312</v>
      </c>
      <c r="W1257" s="5" t="s">
        <v>72</v>
      </c>
      <c r="X1257" s="5" t="s">
        <v>72</v>
      </c>
      <c r="Y1257" s="4">
        <v>446</v>
      </c>
      <c r="Z1257" s="4">
        <v>25</v>
      </c>
      <c r="AA1257" s="4">
        <v>35</v>
      </c>
      <c r="AB1257" s="4">
        <v>2</v>
      </c>
      <c r="AC1257" s="4">
        <v>4</v>
      </c>
      <c r="AD1257" s="4">
        <v>100</v>
      </c>
      <c r="AE1257" s="4">
        <v>107</v>
      </c>
      <c r="AF1257" s="4">
        <v>1</v>
      </c>
      <c r="AG1257" s="4">
        <v>2</v>
      </c>
      <c r="AH1257" s="4">
        <v>87</v>
      </c>
      <c r="AI1257" s="4">
        <v>92</v>
      </c>
      <c r="AJ1257" s="4">
        <v>11</v>
      </c>
      <c r="AK1257" s="4">
        <v>17</v>
      </c>
      <c r="AL1257" s="4">
        <v>50</v>
      </c>
      <c r="AM1257" s="4">
        <v>50</v>
      </c>
      <c r="AN1257" s="4">
        <v>0</v>
      </c>
      <c r="AO1257" s="4">
        <v>4</v>
      </c>
      <c r="AP1257" s="4">
        <v>16</v>
      </c>
      <c r="AQ1257" s="4">
        <v>23</v>
      </c>
      <c r="AR1257" s="3" t="s">
        <v>64</v>
      </c>
      <c r="AS1257" s="3" t="s">
        <v>73</v>
      </c>
      <c r="AT1257" s="3" t="s">
        <v>64</v>
      </c>
      <c r="AU1257" s="6" t="str">
        <f>HYPERLINK("http://catalog.hathitrust.org/Record/000906954","HathiTrust Record")</f>
        <v>HathiTrust Record</v>
      </c>
      <c r="AV1257" s="6" t="str">
        <f>HYPERLINK("http://mcgill.on.worldcat.org/oclc/11950857","Catalog Record")</f>
        <v>Catalog Record</v>
      </c>
      <c r="AW1257" s="6" t="str">
        <f>HYPERLINK("http://www.worldcat.org/oclc/11950857","WorldCat Record")</f>
        <v>WorldCat Record</v>
      </c>
      <c r="AX1257" s="3" t="s">
        <v>12980</v>
      </c>
      <c r="AY1257" s="3" t="s">
        <v>12981</v>
      </c>
      <c r="AZ1257" s="3" t="s">
        <v>12982</v>
      </c>
      <c r="BA1257" s="3" t="s">
        <v>12982</v>
      </c>
      <c r="BB1257" s="3" t="s">
        <v>12983</v>
      </c>
      <c r="BC1257" s="3" t="s">
        <v>78</v>
      </c>
      <c r="BD1257" s="3" t="s">
        <v>79</v>
      </c>
      <c r="BF1257" s="3" t="s">
        <v>12983</v>
      </c>
      <c r="BG1257" s="3" t="s">
        <v>12984</v>
      </c>
    </row>
    <row r="1258" spans="1:59" ht="58" x14ac:dyDescent="0.35">
      <c r="A1258" s="2" t="s">
        <v>59</v>
      </c>
      <c r="B1258" s="2" t="s">
        <v>94</v>
      </c>
      <c r="C1258" s="2" t="s">
        <v>12985</v>
      </c>
      <c r="D1258" s="2" t="s">
        <v>12986</v>
      </c>
      <c r="E1258" s="2" t="s">
        <v>12987</v>
      </c>
      <c r="G1258" s="3" t="s">
        <v>64</v>
      </c>
      <c r="I1258" s="3" t="s">
        <v>64</v>
      </c>
      <c r="J1258" s="3" t="s">
        <v>64</v>
      </c>
      <c r="K1258" s="3" t="s">
        <v>65</v>
      </c>
      <c r="L1258" s="2" t="s">
        <v>12978</v>
      </c>
      <c r="M1258" s="2" t="s">
        <v>12988</v>
      </c>
      <c r="N1258" s="3" t="s">
        <v>214</v>
      </c>
      <c r="P1258" s="3" t="s">
        <v>69</v>
      </c>
      <c r="R1258" s="3" t="s">
        <v>9228</v>
      </c>
      <c r="S1258" s="4">
        <v>5</v>
      </c>
      <c r="T1258" s="4">
        <v>5</v>
      </c>
      <c r="U1258" s="5" t="s">
        <v>12553</v>
      </c>
      <c r="V1258" s="5" t="s">
        <v>12553</v>
      </c>
      <c r="W1258" s="5" t="s">
        <v>72</v>
      </c>
      <c r="X1258" s="5" t="s">
        <v>72</v>
      </c>
      <c r="Y1258" s="4">
        <v>122</v>
      </c>
      <c r="Z1258" s="4">
        <v>14</v>
      </c>
      <c r="AA1258" s="4">
        <v>99</v>
      </c>
      <c r="AB1258" s="4">
        <v>1</v>
      </c>
      <c r="AC1258" s="4">
        <v>17</v>
      </c>
      <c r="AD1258" s="4">
        <v>50</v>
      </c>
      <c r="AE1258" s="4">
        <v>124</v>
      </c>
      <c r="AF1258" s="4">
        <v>0</v>
      </c>
      <c r="AG1258" s="4">
        <v>8</v>
      </c>
      <c r="AH1258" s="4">
        <v>45</v>
      </c>
      <c r="AI1258" s="4">
        <v>87</v>
      </c>
      <c r="AJ1258" s="4">
        <v>9</v>
      </c>
      <c r="AK1258" s="4">
        <v>23</v>
      </c>
      <c r="AL1258" s="4">
        <v>29</v>
      </c>
      <c r="AM1258" s="4">
        <v>49</v>
      </c>
      <c r="AN1258" s="4">
        <v>5</v>
      </c>
      <c r="AO1258" s="4">
        <v>5</v>
      </c>
      <c r="AP1258" s="4">
        <v>8</v>
      </c>
      <c r="AQ1258" s="4">
        <v>43</v>
      </c>
      <c r="AR1258" s="3" t="s">
        <v>64</v>
      </c>
      <c r="AS1258" s="3" t="s">
        <v>64</v>
      </c>
      <c r="AT1258" s="3" t="s">
        <v>73</v>
      </c>
      <c r="AU1258" s="6" t="str">
        <f>HYPERLINK("http://catalog.hathitrust.org/Record/011227750","HathiTrust Record")</f>
        <v>HathiTrust Record</v>
      </c>
      <c r="AV1258" s="6" t="str">
        <f>HYPERLINK("http://mcgill.on.worldcat.org/oclc/495475332","Catalog Record")</f>
        <v>Catalog Record</v>
      </c>
      <c r="AW1258" s="6" t="str">
        <f>HYPERLINK("http://www.worldcat.org/oclc/495475332","WorldCat Record")</f>
        <v>WorldCat Record</v>
      </c>
      <c r="AX1258" s="3" t="s">
        <v>12989</v>
      </c>
      <c r="AY1258" s="3" t="s">
        <v>12990</v>
      </c>
      <c r="AZ1258" s="3" t="s">
        <v>12991</v>
      </c>
      <c r="BA1258" s="3" t="s">
        <v>12991</v>
      </c>
      <c r="BB1258" s="3" t="s">
        <v>12992</v>
      </c>
      <c r="BC1258" s="3" t="s">
        <v>78</v>
      </c>
      <c r="BD1258" s="3" t="s">
        <v>79</v>
      </c>
      <c r="BE1258" s="3" t="s">
        <v>12993</v>
      </c>
      <c r="BF1258" s="3" t="s">
        <v>12992</v>
      </c>
      <c r="BG1258" s="3" t="s">
        <v>12994</v>
      </c>
    </row>
    <row r="1259" spans="1:59" ht="58" x14ac:dyDescent="0.35">
      <c r="A1259" s="2" t="s">
        <v>59</v>
      </c>
      <c r="B1259" s="2" t="s">
        <v>94</v>
      </c>
      <c r="C1259" s="2" t="s">
        <v>12995</v>
      </c>
      <c r="D1259" s="2" t="s">
        <v>12996</v>
      </c>
      <c r="E1259" s="2" t="s">
        <v>12997</v>
      </c>
      <c r="G1259" s="3" t="s">
        <v>64</v>
      </c>
      <c r="I1259" s="3" t="s">
        <v>64</v>
      </c>
      <c r="J1259" s="3" t="s">
        <v>64</v>
      </c>
      <c r="K1259" s="3" t="s">
        <v>65</v>
      </c>
      <c r="L1259" s="2" t="s">
        <v>12998</v>
      </c>
      <c r="M1259" s="2" t="s">
        <v>12999</v>
      </c>
      <c r="N1259" s="3" t="s">
        <v>274</v>
      </c>
      <c r="P1259" s="3" t="s">
        <v>69</v>
      </c>
      <c r="Q1259" s="2" t="s">
        <v>13000</v>
      </c>
      <c r="R1259" s="3" t="s">
        <v>9228</v>
      </c>
      <c r="S1259" s="4">
        <v>9</v>
      </c>
      <c r="T1259" s="4">
        <v>9</v>
      </c>
      <c r="U1259" s="5" t="s">
        <v>7686</v>
      </c>
      <c r="V1259" s="5" t="s">
        <v>7686</v>
      </c>
      <c r="W1259" s="5" t="s">
        <v>72</v>
      </c>
      <c r="X1259" s="5" t="s">
        <v>72</v>
      </c>
      <c r="Y1259" s="4">
        <v>75</v>
      </c>
      <c r="Z1259" s="4">
        <v>6</v>
      </c>
      <c r="AA1259" s="4">
        <v>20</v>
      </c>
      <c r="AB1259" s="4">
        <v>1</v>
      </c>
      <c r="AC1259" s="4">
        <v>2</v>
      </c>
      <c r="AD1259" s="4">
        <v>23</v>
      </c>
      <c r="AE1259" s="4">
        <v>81</v>
      </c>
      <c r="AF1259" s="4">
        <v>0</v>
      </c>
      <c r="AG1259" s="4">
        <v>1</v>
      </c>
      <c r="AH1259" s="4">
        <v>21</v>
      </c>
      <c r="AI1259" s="4">
        <v>73</v>
      </c>
      <c r="AJ1259" s="4">
        <v>4</v>
      </c>
      <c r="AK1259" s="4">
        <v>13</v>
      </c>
      <c r="AL1259" s="4">
        <v>14</v>
      </c>
      <c r="AM1259" s="4">
        <v>42</v>
      </c>
      <c r="AN1259" s="4">
        <v>0</v>
      </c>
      <c r="AO1259" s="4">
        <v>0</v>
      </c>
      <c r="AP1259" s="4">
        <v>4</v>
      </c>
      <c r="AQ1259" s="4">
        <v>14</v>
      </c>
      <c r="AR1259" s="3" t="s">
        <v>64</v>
      </c>
      <c r="AS1259" s="3" t="s">
        <v>64</v>
      </c>
      <c r="AT1259" s="3" t="s">
        <v>73</v>
      </c>
      <c r="AU1259" s="6" t="str">
        <f>HYPERLINK("http://catalog.hathitrust.org/Record/000910802","HathiTrust Record")</f>
        <v>HathiTrust Record</v>
      </c>
      <c r="AV1259" s="6" t="str">
        <f>HYPERLINK("http://mcgill.on.worldcat.org/oclc/59096230","Catalog Record")</f>
        <v>Catalog Record</v>
      </c>
      <c r="AW1259" s="6" t="str">
        <f>HYPERLINK("http://www.worldcat.org/oclc/59096230","WorldCat Record")</f>
        <v>WorldCat Record</v>
      </c>
      <c r="AX1259" s="3" t="s">
        <v>13001</v>
      </c>
      <c r="AY1259" s="3" t="s">
        <v>13002</v>
      </c>
      <c r="AZ1259" s="3" t="s">
        <v>13003</v>
      </c>
      <c r="BA1259" s="3" t="s">
        <v>13003</v>
      </c>
      <c r="BB1259" s="3" t="s">
        <v>13004</v>
      </c>
      <c r="BC1259" s="3" t="s">
        <v>78</v>
      </c>
      <c r="BD1259" s="3" t="s">
        <v>79</v>
      </c>
      <c r="BE1259" s="3" t="s">
        <v>13005</v>
      </c>
      <c r="BF1259" s="3" t="s">
        <v>13004</v>
      </c>
      <c r="BG1259" s="3" t="s">
        <v>13006</v>
      </c>
    </row>
    <row r="1260" spans="1:59" ht="58" x14ac:dyDescent="0.35">
      <c r="A1260" s="2" t="s">
        <v>59</v>
      </c>
      <c r="B1260" s="2" t="s">
        <v>94</v>
      </c>
      <c r="C1260" s="2" t="s">
        <v>13007</v>
      </c>
      <c r="D1260" s="2" t="s">
        <v>13008</v>
      </c>
      <c r="E1260" s="2" t="s">
        <v>13009</v>
      </c>
      <c r="G1260" s="3" t="s">
        <v>64</v>
      </c>
      <c r="I1260" s="3" t="s">
        <v>64</v>
      </c>
      <c r="J1260" s="3" t="s">
        <v>64</v>
      </c>
      <c r="K1260" s="3" t="s">
        <v>65</v>
      </c>
      <c r="L1260" s="2" t="s">
        <v>13010</v>
      </c>
      <c r="M1260" s="2" t="s">
        <v>13011</v>
      </c>
      <c r="N1260" s="3" t="s">
        <v>68</v>
      </c>
      <c r="P1260" s="3" t="s">
        <v>69</v>
      </c>
      <c r="Q1260" s="2" t="s">
        <v>539</v>
      </c>
      <c r="R1260" s="3" t="s">
        <v>9228</v>
      </c>
      <c r="S1260" s="4">
        <v>6</v>
      </c>
      <c r="T1260" s="4">
        <v>6</v>
      </c>
      <c r="U1260" s="5" t="s">
        <v>12732</v>
      </c>
      <c r="V1260" s="5" t="s">
        <v>12732</v>
      </c>
      <c r="W1260" s="5" t="s">
        <v>72</v>
      </c>
      <c r="X1260" s="5" t="s">
        <v>72</v>
      </c>
      <c r="Y1260" s="4">
        <v>160</v>
      </c>
      <c r="Z1260" s="4">
        <v>10</v>
      </c>
      <c r="AA1260" s="4">
        <v>77</v>
      </c>
      <c r="AB1260" s="4">
        <v>2</v>
      </c>
      <c r="AC1260" s="4">
        <v>15</v>
      </c>
      <c r="AD1260" s="4">
        <v>56</v>
      </c>
      <c r="AE1260" s="4">
        <v>112</v>
      </c>
      <c r="AF1260" s="4">
        <v>1</v>
      </c>
      <c r="AG1260" s="4">
        <v>8</v>
      </c>
      <c r="AH1260" s="4">
        <v>47</v>
      </c>
      <c r="AI1260" s="4">
        <v>79</v>
      </c>
      <c r="AJ1260" s="4">
        <v>8</v>
      </c>
      <c r="AK1260" s="4">
        <v>22</v>
      </c>
      <c r="AL1260" s="4">
        <v>34</v>
      </c>
      <c r="AM1260" s="4">
        <v>42</v>
      </c>
      <c r="AN1260" s="4">
        <v>0</v>
      </c>
      <c r="AO1260" s="4">
        <v>0</v>
      </c>
      <c r="AP1260" s="4">
        <v>9</v>
      </c>
      <c r="AQ1260" s="4">
        <v>40</v>
      </c>
      <c r="AR1260" s="3" t="s">
        <v>64</v>
      </c>
      <c r="AS1260" s="3" t="s">
        <v>64</v>
      </c>
      <c r="AT1260" s="3" t="s">
        <v>64</v>
      </c>
      <c r="AV1260" s="6" t="str">
        <f>HYPERLINK("http://mcgill.on.worldcat.org/oclc/61440747","Catalog Record")</f>
        <v>Catalog Record</v>
      </c>
      <c r="AW1260" s="6" t="str">
        <f>HYPERLINK("http://www.worldcat.org/oclc/61440747","WorldCat Record")</f>
        <v>WorldCat Record</v>
      </c>
      <c r="AX1260" s="3" t="s">
        <v>13012</v>
      </c>
      <c r="AY1260" s="3" t="s">
        <v>13013</v>
      </c>
      <c r="AZ1260" s="3" t="s">
        <v>13014</v>
      </c>
      <c r="BA1260" s="3" t="s">
        <v>13014</v>
      </c>
      <c r="BB1260" s="3" t="s">
        <v>13015</v>
      </c>
      <c r="BC1260" s="3" t="s">
        <v>78</v>
      </c>
      <c r="BD1260" s="3" t="s">
        <v>79</v>
      </c>
      <c r="BE1260" s="3" t="s">
        <v>13016</v>
      </c>
      <c r="BF1260" s="3" t="s">
        <v>13015</v>
      </c>
      <c r="BG1260" s="3" t="s">
        <v>13017</v>
      </c>
    </row>
    <row r="1261" spans="1:59" ht="58" x14ac:dyDescent="0.35">
      <c r="A1261" s="2" t="s">
        <v>59</v>
      </c>
      <c r="B1261" s="2" t="s">
        <v>94</v>
      </c>
      <c r="C1261" s="2" t="s">
        <v>13018</v>
      </c>
      <c r="D1261" s="2" t="s">
        <v>13019</v>
      </c>
      <c r="E1261" s="2" t="s">
        <v>13020</v>
      </c>
      <c r="G1261" s="3" t="s">
        <v>64</v>
      </c>
      <c r="I1261" s="3" t="s">
        <v>64</v>
      </c>
      <c r="J1261" s="3" t="s">
        <v>64</v>
      </c>
      <c r="K1261" s="3" t="s">
        <v>65</v>
      </c>
      <c r="M1261" s="2" t="s">
        <v>13021</v>
      </c>
      <c r="N1261" s="3" t="s">
        <v>524</v>
      </c>
      <c r="P1261" s="3" t="s">
        <v>69</v>
      </c>
      <c r="Q1261" s="2" t="s">
        <v>539</v>
      </c>
      <c r="R1261" s="3" t="s">
        <v>9228</v>
      </c>
      <c r="S1261" s="4">
        <v>1</v>
      </c>
      <c r="T1261" s="4">
        <v>1</v>
      </c>
      <c r="U1261" s="5" t="s">
        <v>13022</v>
      </c>
      <c r="V1261" s="5" t="s">
        <v>13022</v>
      </c>
      <c r="W1261" s="5" t="s">
        <v>72</v>
      </c>
      <c r="X1261" s="5" t="s">
        <v>72</v>
      </c>
      <c r="Y1261" s="4">
        <v>73</v>
      </c>
      <c r="Z1261" s="4">
        <v>4</v>
      </c>
      <c r="AA1261" s="4">
        <v>75</v>
      </c>
      <c r="AB1261" s="4">
        <v>1</v>
      </c>
      <c r="AC1261" s="4">
        <v>15</v>
      </c>
      <c r="AD1261" s="4">
        <v>20</v>
      </c>
      <c r="AE1261" s="4">
        <v>105</v>
      </c>
      <c r="AF1261" s="4">
        <v>0</v>
      </c>
      <c r="AG1261" s="4">
        <v>8</v>
      </c>
      <c r="AH1261" s="4">
        <v>19</v>
      </c>
      <c r="AI1261" s="4">
        <v>71</v>
      </c>
      <c r="AJ1261" s="4">
        <v>3</v>
      </c>
      <c r="AK1261" s="4">
        <v>20</v>
      </c>
      <c r="AL1261" s="4">
        <v>11</v>
      </c>
      <c r="AM1261" s="4">
        <v>35</v>
      </c>
      <c r="AN1261" s="4">
        <v>0</v>
      </c>
      <c r="AO1261" s="4">
        <v>0</v>
      </c>
      <c r="AP1261" s="4">
        <v>3</v>
      </c>
      <c r="AQ1261" s="4">
        <v>40</v>
      </c>
      <c r="AR1261" s="3" t="s">
        <v>64</v>
      </c>
      <c r="AS1261" s="3" t="s">
        <v>64</v>
      </c>
      <c r="AT1261" s="3" t="s">
        <v>64</v>
      </c>
      <c r="AV1261" s="6" t="str">
        <f>HYPERLINK("http://mcgill.on.worldcat.org/oclc/166383057","Catalog Record")</f>
        <v>Catalog Record</v>
      </c>
      <c r="AW1261" s="6" t="str">
        <f>HYPERLINK("http://www.worldcat.org/oclc/166383057","WorldCat Record")</f>
        <v>WorldCat Record</v>
      </c>
      <c r="AX1261" s="3" t="s">
        <v>13023</v>
      </c>
      <c r="AY1261" s="3" t="s">
        <v>13024</v>
      </c>
      <c r="AZ1261" s="3" t="s">
        <v>13025</v>
      </c>
      <c r="BA1261" s="3" t="s">
        <v>13025</v>
      </c>
      <c r="BB1261" s="3" t="s">
        <v>13026</v>
      </c>
      <c r="BC1261" s="3" t="s">
        <v>78</v>
      </c>
      <c r="BD1261" s="3" t="s">
        <v>79</v>
      </c>
      <c r="BE1261" s="3" t="s">
        <v>13027</v>
      </c>
      <c r="BF1261" s="3" t="s">
        <v>13026</v>
      </c>
      <c r="BG1261" s="3" t="s">
        <v>13028</v>
      </c>
    </row>
    <row r="1262" spans="1:59" ht="58" x14ac:dyDescent="0.35">
      <c r="A1262" s="2" t="s">
        <v>59</v>
      </c>
      <c r="B1262" s="2" t="s">
        <v>94</v>
      </c>
      <c r="C1262" s="2" t="s">
        <v>13029</v>
      </c>
      <c r="D1262" s="2" t="s">
        <v>13030</v>
      </c>
      <c r="E1262" s="2" t="s">
        <v>13031</v>
      </c>
      <c r="G1262" s="3" t="s">
        <v>64</v>
      </c>
      <c r="I1262" s="3" t="s">
        <v>64</v>
      </c>
      <c r="J1262" s="3" t="s">
        <v>64</v>
      </c>
      <c r="K1262" s="3" t="s">
        <v>65</v>
      </c>
      <c r="L1262" s="2" t="s">
        <v>5496</v>
      </c>
      <c r="M1262" s="2" t="s">
        <v>13032</v>
      </c>
      <c r="N1262" s="3" t="s">
        <v>340</v>
      </c>
      <c r="P1262" s="3" t="s">
        <v>69</v>
      </c>
      <c r="R1262" s="3" t="s">
        <v>9228</v>
      </c>
      <c r="S1262" s="4">
        <v>7</v>
      </c>
      <c r="T1262" s="4">
        <v>7</v>
      </c>
      <c r="U1262" s="5" t="s">
        <v>639</v>
      </c>
      <c r="V1262" s="5" t="s">
        <v>639</v>
      </c>
      <c r="W1262" s="5" t="s">
        <v>72</v>
      </c>
      <c r="X1262" s="5" t="s">
        <v>72</v>
      </c>
      <c r="Y1262" s="4">
        <v>568</v>
      </c>
      <c r="Z1262" s="4">
        <v>40</v>
      </c>
      <c r="AA1262" s="4">
        <v>42</v>
      </c>
      <c r="AB1262" s="4">
        <v>2</v>
      </c>
      <c r="AC1262" s="4">
        <v>4</v>
      </c>
      <c r="AD1262" s="4">
        <v>108</v>
      </c>
      <c r="AE1262" s="4">
        <v>132</v>
      </c>
      <c r="AF1262" s="4">
        <v>1</v>
      </c>
      <c r="AG1262" s="4">
        <v>3</v>
      </c>
      <c r="AH1262" s="4">
        <v>85</v>
      </c>
      <c r="AI1262" s="4">
        <v>107</v>
      </c>
      <c r="AJ1262" s="4">
        <v>18</v>
      </c>
      <c r="AK1262" s="4">
        <v>20</v>
      </c>
      <c r="AL1262" s="4">
        <v>44</v>
      </c>
      <c r="AM1262" s="4">
        <v>56</v>
      </c>
      <c r="AN1262" s="4">
        <v>0</v>
      </c>
      <c r="AO1262" s="4">
        <v>0</v>
      </c>
      <c r="AP1262" s="4">
        <v>29</v>
      </c>
      <c r="AQ1262" s="4">
        <v>30</v>
      </c>
      <c r="AR1262" s="3" t="s">
        <v>64</v>
      </c>
      <c r="AS1262" s="3" t="s">
        <v>64</v>
      </c>
      <c r="AT1262" s="3" t="s">
        <v>73</v>
      </c>
      <c r="AU1262" s="6" t="str">
        <f>HYPERLINK("http://catalog.hathitrust.org/Record/004062059","HathiTrust Record")</f>
        <v>HathiTrust Record</v>
      </c>
      <c r="AV1262" s="6" t="str">
        <f>HYPERLINK("http://mcgill.on.worldcat.org/oclc/40043529","Catalog Record")</f>
        <v>Catalog Record</v>
      </c>
      <c r="AW1262" s="6" t="str">
        <f>HYPERLINK("http://www.worldcat.org/oclc/40043529","WorldCat Record")</f>
        <v>WorldCat Record</v>
      </c>
      <c r="AX1262" s="3" t="s">
        <v>13033</v>
      </c>
      <c r="AY1262" s="3" t="s">
        <v>13034</v>
      </c>
      <c r="AZ1262" s="3" t="s">
        <v>13035</v>
      </c>
      <c r="BA1262" s="3" t="s">
        <v>13035</v>
      </c>
      <c r="BB1262" s="3" t="s">
        <v>13036</v>
      </c>
      <c r="BC1262" s="3" t="s">
        <v>78</v>
      </c>
      <c r="BD1262" s="3" t="s">
        <v>79</v>
      </c>
      <c r="BE1262" s="3" t="s">
        <v>13037</v>
      </c>
      <c r="BF1262" s="3" t="s">
        <v>13036</v>
      </c>
      <c r="BG1262" s="3" t="s">
        <v>13038</v>
      </c>
    </row>
    <row r="1263" spans="1:59" ht="87" x14ac:dyDescent="0.35">
      <c r="A1263" s="2" t="s">
        <v>59</v>
      </c>
      <c r="B1263" s="2" t="s">
        <v>94</v>
      </c>
      <c r="C1263" s="2" t="s">
        <v>13039</v>
      </c>
      <c r="D1263" s="2" t="s">
        <v>13040</v>
      </c>
      <c r="E1263" s="2" t="s">
        <v>13041</v>
      </c>
      <c r="G1263" s="3" t="s">
        <v>64</v>
      </c>
      <c r="I1263" s="3" t="s">
        <v>64</v>
      </c>
      <c r="J1263" s="3" t="s">
        <v>64</v>
      </c>
      <c r="K1263" s="3" t="s">
        <v>65</v>
      </c>
      <c r="M1263" s="2" t="s">
        <v>13042</v>
      </c>
      <c r="N1263" s="3" t="s">
        <v>473</v>
      </c>
      <c r="P1263" s="3" t="s">
        <v>69</v>
      </c>
      <c r="R1263" s="3" t="s">
        <v>9228</v>
      </c>
      <c r="S1263" s="4">
        <v>47</v>
      </c>
      <c r="T1263" s="4">
        <v>47</v>
      </c>
      <c r="U1263" s="5" t="s">
        <v>11609</v>
      </c>
      <c r="V1263" s="5" t="s">
        <v>11609</v>
      </c>
      <c r="W1263" s="5" t="s">
        <v>72</v>
      </c>
      <c r="X1263" s="5" t="s">
        <v>72</v>
      </c>
      <c r="Y1263" s="4">
        <v>129</v>
      </c>
      <c r="Z1263" s="4">
        <v>61</v>
      </c>
      <c r="AA1263" s="4">
        <v>64</v>
      </c>
      <c r="AB1263" s="4">
        <v>2</v>
      </c>
      <c r="AC1263" s="4">
        <v>5</v>
      </c>
      <c r="AD1263" s="4">
        <v>73</v>
      </c>
      <c r="AE1263" s="4">
        <v>76</v>
      </c>
      <c r="AF1263" s="4">
        <v>1</v>
      </c>
      <c r="AG1263" s="4">
        <v>4</v>
      </c>
      <c r="AH1263" s="4">
        <v>45</v>
      </c>
      <c r="AI1263" s="4">
        <v>46</v>
      </c>
      <c r="AJ1263" s="4">
        <v>25</v>
      </c>
      <c r="AK1263" s="4">
        <v>28</v>
      </c>
      <c r="AL1263" s="4">
        <v>21</v>
      </c>
      <c r="AM1263" s="4">
        <v>21</v>
      </c>
      <c r="AN1263" s="4">
        <v>0</v>
      </c>
      <c r="AO1263" s="4">
        <v>0</v>
      </c>
      <c r="AP1263" s="4">
        <v>38</v>
      </c>
      <c r="AQ1263" s="4">
        <v>40</v>
      </c>
      <c r="AR1263" s="3" t="s">
        <v>73</v>
      </c>
      <c r="AS1263" s="3" t="s">
        <v>64</v>
      </c>
      <c r="AT1263" s="3" t="s">
        <v>73</v>
      </c>
      <c r="AU1263" s="6" t="str">
        <f>HYPERLINK("http://catalog.hathitrust.org/Record/002477106","HathiTrust Record")</f>
        <v>HathiTrust Record</v>
      </c>
      <c r="AV1263" s="6" t="str">
        <f>HYPERLINK("http://mcgill.on.worldcat.org/oclc/26809873","Catalog Record")</f>
        <v>Catalog Record</v>
      </c>
      <c r="AW1263" s="6" t="str">
        <f>HYPERLINK("http://www.worldcat.org/oclc/26809873","WorldCat Record")</f>
        <v>WorldCat Record</v>
      </c>
      <c r="AX1263" s="3" t="s">
        <v>13043</v>
      </c>
      <c r="AY1263" s="3" t="s">
        <v>13044</v>
      </c>
      <c r="AZ1263" s="3" t="s">
        <v>13045</v>
      </c>
      <c r="BA1263" s="3" t="s">
        <v>13045</v>
      </c>
      <c r="BB1263" s="3" t="s">
        <v>13046</v>
      </c>
      <c r="BC1263" s="3" t="s">
        <v>78</v>
      </c>
      <c r="BD1263" s="3" t="s">
        <v>79</v>
      </c>
      <c r="BE1263" s="3" t="s">
        <v>13047</v>
      </c>
      <c r="BF1263" s="3" t="s">
        <v>13046</v>
      </c>
      <c r="BG1263" s="3" t="s">
        <v>13048</v>
      </c>
    </row>
    <row r="1264" spans="1:59" ht="58" x14ac:dyDescent="0.35">
      <c r="A1264" s="2" t="s">
        <v>59</v>
      </c>
      <c r="B1264" s="2" t="s">
        <v>94</v>
      </c>
      <c r="C1264" s="2" t="s">
        <v>13049</v>
      </c>
      <c r="D1264" s="2" t="s">
        <v>13050</v>
      </c>
      <c r="E1264" s="2" t="s">
        <v>13051</v>
      </c>
      <c r="G1264" s="3" t="s">
        <v>64</v>
      </c>
      <c r="I1264" s="3" t="s">
        <v>64</v>
      </c>
      <c r="J1264" s="3" t="s">
        <v>64</v>
      </c>
      <c r="K1264" s="3" t="s">
        <v>65</v>
      </c>
      <c r="L1264" s="2" t="s">
        <v>13052</v>
      </c>
      <c r="M1264" s="2" t="s">
        <v>13053</v>
      </c>
      <c r="N1264" s="3" t="s">
        <v>315</v>
      </c>
      <c r="P1264" s="3" t="s">
        <v>69</v>
      </c>
      <c r="Q1264" s="2" t="s">
        <v>13054</v>
      </c>
      <c r="R1264" s="3" t="s">
        <v>9228</v>
      </c>
      <c r="S1264" s="4">
        <v>13</v>
      </c>
      <c r="T1264" s="4">
        <v>13</v>
      </c>
      <c r="U1264" s="5" t="s">
        <v>11609</v>
      </c>
      <c r="V1264" s="5" t="s">
        <v>11609</v>
      </c>
      <c r="W1264" s="5" t="s">
        <v>72</v>
      </c>
      <c r="X1264" s="5" t="s">
        <v>72</v>
      </c>
      <c r="Y1264" s="4">
        <v>38</v>
      </c>
      <c r="Z1264" s="4">
        <v>30</v>
      </c>
      <c r="AA1264" s="4">
        <v>32</v>
      </c>
      <c r="AB1264" s="4">
        <v>2</v>
      </c>
      <c r="AC1264" s="4">
        <v>4</v>
      </c>
      <c r="AD1264" s="4">
        <v>23</v>
      </c>
      <c r="AE1264" s="4">
        <v>26</v>
      </c>
      <c r="AF1264" s="4">
        <v>1</v>
      </c>
      <c r="AG1264" s="4">
        <v>3</v>
      </c>
      <c r="AH1264" s="4">
        <v>12</v>
      </c>
      <c r="AI1264" s="4">
        <v>14</v>
      </c>
      <c r="AJ1264" s="4">
        <v>17</v>
      </c>
      <c r="AK1264" s="4">
        <v>18</v>
      </c>
      <c r="AL1264" s="4">
        <v>2</v>
      </c>
      <c r="AM1264" s="4">
        <v>2</v>
      </c>
      <c r="AN1264" s="4">
        <v>0</v>
      </c>
      <c r="AO1264" s="4">
        <v>0</v>
      </c>
      <c r="AP1264" s="4">
        <v>20</v>
      </c>
      <c r="AQ1264" s="4">
        <v>22</v>
      </c>
      <c r="AR1264" s="3" t="s">
        <v>73</v>
      </c>
      <c r="AS1264" s="3" t="s">
        <v>64</v>
      </c>
      <c r="AT1264" s="3" t="s">
        <v>64</v>
      </c>
      <c r="AV1264" s="6" t="str">
        <f>HYPERLINK("http://mcgill.on.worldcat.org/oclc/16179610","Catalog Record")</f>
        <v>Catalog Record</v>
      </c>
      <c r="AW1264" s="6" t="str">
        <f>HYPERLINK("http://www.worldcat.org/oclc/16179610","WorldCat Record")</f>
        <v>WorldCat Record</v>
      </c>
      <c r="AX1264" s="3" t="s">
        <v>13055</v>
      </c>
      <c r="AY1264" s="3" t="s">
        <v>13056</v>
      </c>
      <c r="AZ1264" s="3" t="s">
        <v>13057</v>
      </c>
      <c r="BA1264" s="3" t="s">
        <v>13057</v>
      </c>
      <c r="BB1264" s="3" t="s">
        <v>13058</v>
      </c>
      <c r="BC1264" s="3" t="s">
        <v>78</v>
      </c>
      <c r="BD1264" s="3" t="s">
        <v>79</v>
      </c>
      <c r="BE1264" s="3" t="s">
        <v>13059</v>
      </c>
      <c r="BF1264" s="3" t="s">
        <v>13058</v>
      </c>
      <c r="BG1264" s="3" t="s">
        <v>13060</v>
      </c>
    </row>
    <row r="1265" spans="1:59" ht="58" x14ac:dyDescent="0.35">
      <c r="A1265" s="2" t="s">
        <v>59</v>
      </c>
      <c r="B1265" s="2" t="s">
        <v>94</v>
      </c>
      <c r="C1265" s="2" t="s">
        <v>13061</v>
      </c>
      <c r="D1265" s="2" t="s">
        <v>13062</v>
      </c>
      <c r="E1265" s="2" t="s">
        <v>13063</v>
      </c>
      <c r="G1265" s="3" t="s">
        <v>64</v>
      </c>
      <c r="I1265" s="3" t="s">
        <v>64</v>
      </c>
      <c r="J1265" s="3" t="s">
        <v>64</v>
      </c>
      <c r="K1265" s="3" t="s">
        <v>65</v>
      </c>
      <c r="L1265" s="2" t="s">
        <v>13064</v>
      </c>
      <c r="M1265" s="2" t="s">
        <v>12293</v>
      </c>
      <c r="N1265" s="3" t="s">
        <v>407</v>
      </c>
      <c r="P1265" s="3" t="s">
        <v>69</v>
      </c>
      <c r="Q1265" s="2" t="s">
        <v>13065</v>
      </c>
      <c r="R1265" s="3" t="s">
        <v>9228</v>
      </c>
      <c r="S1265" s="4">
        <v>49</v>
      </c>
      <c r="T1265" s="4">
        <v>49</v>
      </c>
      <c r="U1265" s="5" t="s">
        <v>11609</v>
      </c>
      <c r="V1265" s="5" t="s">
        <v>11609</v>
      </c>
      <c r="W1265" s="5" t="s">
        <v>72</v>
      </c>
      <c r="X1265" s="5" t="s">
        <v>72</v>
      </c>
      <c r="Y1265" s="4">
        <v>283</v>
      </c>
      <c r="Z1265" s="4">
        <v>43</v>
      </c>
      <c r="AA1265" s="4">
        <v>44</v>
      </c>
      <c r="AB1265" s="4">
        <v>4</v>
      </c>
      <c r="AC1265" s="4">
        <v>5</v>
      </c>
      <c r="AD1265" s="4">
        <v>107</v>
      </c>
      <c r="AE1265" s="4">
        <v>108</v>
      </c>
      <c r="AF1265" s="4">
        <v>1</v>
      </c>
      <c r="AG1265" s="4">
        <v>2</v>
      </c>
      <c r="AH1265" s="4">
        <v>85</v>
      </c>
      <c r="AI1265" s="4">
        <v>85</v>
      </c>
      <c r="AJ1265" s="4">
        <v>19</v>
      </c>
      <c r="AK1265" s="4">
        <v>20</v>
      </c>
      <c r="AL1265" s="4">
        <v>45</v>
      </c>
      <c r="AM1265" s="4">
        <v>45</v>
      </c>
      <c r="AN1265" s="4">
        <v>0</v>
      </c>
      <c r="AO1265" s="4">
        <v>0</v>
      </c>
      <c r="AP1265" s="4">
        <v>29</v>
      </c>
      <c r="AQ1265" s="4">
        <v>30</v>
      </c>
      <c r="AR1265" s="3" t="s">
        <v>64</v>
      </c>
      <c r="AS1265" s="3" t="s">
        <v>64</v>
      </c>
      <c r="AT1265" s="3" t="s">
        <v>73</v>
      </c>
      <c r="AU1265" s="6" t="str">
        <f>HYPERLINK("http://catalog.hathitrust.org/Record/000838708","HathiTrust Record")</f>
        <v>HathiTrust Record</v>
      </c>
      <c r="AV1265" s="6" t="str">
        <f>HYPERLINK("http://mcgill.on.worldcat.org/oclc/13358061","Catalog Record")</f>
        <v>Catalog Record</v>
      </c>
      <c r="AW1265" s="6" t="str">
        <f>HYPERLINK("http://www.worldcat.org/oclc/13358061","WorldCat Record")</f>
        <v>WorldCat Record</v>
      </c>
      <c r="AX1265" s="3" t="s">
        <v>13066</v>
      </c>
      <c r="AY1265" s="3" t="s">
        <v>13067</v>
      </c>
      <c r="AZ1265" s="3" t="s">
        <v>13068</v>
      </c>
      <c r="BA1265" s="3" t="s">
        <v>13068</v>
      </c>
      <c r="BB1265" s="3" t="s">
        <v>13069</v>
      </c>
      <c r="BC1265" s="3" t="s">
        <v>78</v>
      </c>
      <c r="BD1265" s="3" t="s">
        <v>79</v>
      </c>
      <c r="BE1265" s="3" t="s">
        <v>13070</v>
      </c>
      <c r="BF1265" s="3" t="s">
        <v>13069</v>
      </c>
      <c r="BG1265" s="3" t="s">
        <v>13071</v>
      </c>
    </row>
    <row r="1266" spans="1:59" ht="58" x14ac:dyDescent="0.35">
      <c r="A1266" s="2" t="s">
        <v>59</v>
      </c>
      <c r="B1266" s="2" t="s">
        <v>94</v>
      </c>
      <c r="C1266" s="2" t="s">
        <v>13072</v>
      </c>
      <c r="D1266" s="2" t="s">
        <v>13073</v>
      </c>
      <c r="E1266" s="2" t="s">
        <v>13074</v>
      </c>
      <c r="G1266" s="3" t="s">
        <v>64</v>
      </c>
      <c r="I1266" s="3" t="s">
        <v>64</v>
      </c>
      <c r="J1266" s="3" t="s">
        <v>64</v>
      </c>
      <c r="K1266" s="3" t="s">
        <v>65</v>
      </c>
      <c r="L1266" s="2" t="s">
        <v>13075</v>
      </c>
      <c r="M1266" s="2" t="s">
        <v>13076</v>
      </c>
      <c r="N1266" s="3" t="s">
        <v>274</v>
      </c>
      <c r="P1266" s="3" t="s">
        <v>69</v>
      </c>
      <c r="R1266" s="3" t="s">
        <v>9228</v>
      </c>
      <c r="S1266" s="4">
        <v>39</v>
      </c>
      <c r="T1266" s="4">
        <v>39</v>
      </c>
      <c r="U1266" s="5" t="s">
        <v>11609</v>
      </c>
      <c r="V1266" s="5" t="s">
        <v>11609</v>
      </c>
      <c r="W1266" s="5" t="s">
        <v>72</v>
      </c>
      <c r="X1266" s="5" t="s">
        <v>72</v>
      </c>
      <c r="Y1266" s="4">
        <v>132</v>
      </c>
      <c r="Z1266" s="4">
        <v>72</v>
      </c>
      <c r="AA1266" s="4">
        <v>78</v>
      </c>
      <c r="AB1266" s="4">
        <v>6</v>
      </c>
      <c r="AC1266" s="4">
        <v>9</v>
      </c>
      <c r="AD1266" s="4">
        <v>66</v>
      </c>
      <c r="AE1266" s="4">
        <v>70</v>
      </c>
      <c r="AF1266" s="4">
        <v>2</v>
      </c>
      <c r="AG1266" s="4">
        <v>4</v>
      </c>
      <c r="AH1266" s="4">
        <v>37</v>
      </c>
      <c r="AI1266" s="4">
        <v>37</v>
      </c>
      <c r="AJ1266" s="4">
        <v>24</v>
      </c>
      <c r="AK1266" s="4">
        <v>26</v>
      </c>
      <c r="AL1266" s="4">
        <v>18</v>
      </c>
      <c r="AM1266" s="4">
        <v>18</v>
      </c>
      <c r="AN1266" s="4">
        <v>1</v>
      </c>
      <c r="AO1266" s="4">
        <v>1</v>
      </c>
      <c r="AP1266" s="4">
        <v>40</v>
      </c>
      <c r="AQ1266" s="4">
        <v>43</v>
      </c>
      <c r="AR1266" s="3" t="s">
        <v>73</v>
      </c>
      <c r="AS1266" s="3" t="s">
        <v>64</v>
      </c>
      <c r="AT1266" s="3" t="s">
        <v>73</v>
      </c>
      <c r="AU1266" s="6" t="str">
        <f>HYPERLINK("http://catalog.hathitrust.org/Record/009516675","HathiTrust Record")</f>
        <v>HathiTrust Record</v>
      </c>
      <c r="AV1266" s="6" t="str">
        <f>HYPERLINK("http://mcgill.on.worldcat.org/oclc/19886773","Catalog Record")</f>
        <v>Catalog Record</v>
      </c>
      <c r="AW1266" s="6" t="str">
        <f>HYPERLINK("http://www.worldcat.org/oclc/19886773","WorldCat Record")</f>
        <v>WorldCat Record</v>
      </c>
      <c r="AX1266" s="3" t="s">
        <v>13077</v>
      </c>
      <c r="AY1266" s="3" t="s">
        <v>13078</v>
      </c>
      <c r="AZ1266" s="3" t="s">
        <v>13079</v>
      </c>
      <c r="BA1266" s="3" t="s">
        <v>13079</v>
      </c>
      <c r="BB1266" s="3" t="s">
        <v>13080</v>
      </c>
      <c r="BC1266" s="3" t="s">
        <v>78</v>
      </c>
      <c r="BD1266" s="3" t="s">
        <v>79</v>
      </c>
      <c r="BE1266" s="3" t="s">
        <v>13081</v>
      </c>
      <c r="BF1266" s="3" t="s">
        <v>13080</v>
      </c>
      <c r="BG1266" s="3" t="s">
        <v>13082</v>
      </c>
    </row>
    <row r="1267" spans="1:59" ht="58" x14ac:dyDescent="0.35">
      <c r="A1267" s="2" t="s">
        <v>59</v>
      </c>
      <c r="B1267" s="2" t="s">
        <v>94</v>
      </c>
      <c r="C1267" s="2" t="s">
        <v>13083</v>
      </c>
      <c r="D1267" s="2" t="s">
        <v>13084</v>
      </c>
      <c r="E1267" s="2" t="s">
        <v>13085</v>
      </c>
      <c r="G1267" s="3" t="s">
        <v>64</v>
      </c>
      <c r="I1267" s="3" t="s">
        <v>64</v>
      </c>
      <c r="J1267" s="3" t="s">
        <v>64</v>
      </c>
      <c r="K1267" s="3" t="s">
        <v>65</v>
      </c>
      <c r="L1267" s="2" t="s">
        <v>13086</v>
      </c>
      <c r="M1267" s="2" t="s">
        <v>13087</v>
      </c>
      <c r="N1267" s="3" t="s">
        <v>422</v>
      </c>
      <c r="P1267" s="3" t="s">
        <v>69</v>
      </c>
      <c r="R1267" s="3" t="s">
        <v>9228</v>
      </c>
      <c r="S1267" s="4">
        <v>23</v>
      </c>
      <c r="T1267" s="4">
        <v>23</v>
      </c>
      <c r="U1267" s="5" t="s">
        <v>5499</v>
      </c>
      <c r="V1267" s="5" t="s">
        <v>5499</v>
      </c>
      <c r="W1267" s="5" t="s">
        <v>72</v>
      </c>
      <c r="X1267" s="5" t="s">
        <v>72</v>
      </c>
      <c r="Y1267" s="4">
        <v>169</v>
      </c>
      <c r="Z1267" s="4">
        <v>55</v>
      </c>
      <c r="AA1267" s="4">
        <v>125</v>
      </c>
      <c r="AB1267" s="4">
        <v>3</v>
      </c>
      <c r="AC1267" s="4">
        <v>22</v>
      </c>
      <c r="AD1267" s="4">
        <v>103</v>
      </c>
      <c r="AE1267" s="4">
        <v>151</v>
      </c>
      <c r="AF1267" s="4">
        <v>1</v>
      </c>
      <c r="AG1267" s="4">
        <v>9</v>
      </c>
      <c r="AH1267" s="4">
        <v>75</v>
      </c>
      <c r="AI1267" s="4">
        <v>99</v>
      </c>
      <c r="AJ1267" s="4">
        <v>21</v>
      </c>
      <c r="AK1267" s="4">
        <v>30</v>
      </c>
      <c r="AL1267" s="4">
        <v>39</v>
      </c>
      <c r="AM1267" s="4">
        <v>47</v>
      </c>
      <c r="AN1267" s="4">
        <v>0</v>
      </c>
      <c r="AO1267" s="4">
        <v>0</v>
      </c>
      <c r="AP1267" s="4">
        <v>36</v>
      </c>
      <c r="AQ1267" s="4">
        <v>60</v>
      </c>
      <c r="AR1267" s="3" t="s">
        <v>73</v>
      </c>
      <c r="AS1267" s="3" t="s">
        <v>64</v>
      </c>
      <c r="AT1267" s="3" t="s">
        <v>64</v>
      </c>
      <c r="AV1267" s="6" t="str">
        <f>HYPERLINK("http://mcgill.on.worldcat.org/oclc/43846989","Catalog Record")</f>
        <v>Catalog Record</v>
      </c>
      <c r="AW1267" s="6" t="str">
        <f>HYPERLINK("http://www.worldcat.org/oclc/43846989","WorldCat Record")</f>
        <v>WorldCat Record</v>
      </c>
      <c r="AX1267" s="3" t="s">
        <v>13088</v>
      </c>
      <c r="AY1267" s="3" t="s">
        <v>13089</v>
      </c>
      <c r="AZ1267" s="3" t="s">
        <v>13090</v>
      </c>
      <c r="BA1267" s="3" t="s">
        <v>13090</v>
      </c>
      <c r="BB1267" s="3" t="s">
        <v>13091</v>
      </c>
      <c r="BC1267" s="3" t="s">
        <v>78</v>
      </c>
      <c r="BD1267" s="3" t="s">
        <v>79</v>
      </c>
      <c r="BE1267" s="3" t="s">
        <v>13092</v>
      </c>
      <c r="BF1267" s="3" t="s">
        <v>13091</v>
      </c>
      <c r="BG1267" s="3" t="s">
        <v>13093</v>
      </c>
    </row>
    <row r="1268" spans="1:59" ht="58" x14ac:dyDescent="0.35">
      <c r="A1268" s="2" t="s">
        <v>59</v>
      </c>
      <c r="B1268" s="2" t="s">
        <v>94</v>
      </c>
      <c r="C1268" s="2" t="s">
        <v>13094</v>
      </c>
      <c r="D1268" s="2" t="s">
        <v>13095</v>
      </c>
      <c r="E1268" s="2" t="s">
        <v>13096</v>
      </c>
      <c r="G1268" s="3" t="s">
        <v>64</v>
      </c>
      <c r="I1268" s="3" t="s">
        <v>64</v>
      </c>
      <c r="J1268" s="3" t="s">
        <v>64</v>
      </c>
      <c r="K1268" s="3" t="s">
        <v>65</v>
      </c>
      <c r="L1268" s="2" t="s">
        <v>13097</v>
      </c>
      <c r="M1268" s="2" t="s">
        <v>13098</v>
      </c>
      <c r="N1268" s="3" t="s">
        <v>1247</v>
      </c>
      <c r="P1268" s="3" t="s">
        <v>69</v>
      </c>
      <c r="Q1268" s="2" t="s">
        <v>12872</v>
      </c>
      <c r="R1268" s="3" t="s">
        <v>9228</v>
      </c>
      <c r="S1268" s="4">
        <v>2</v>
      </c>
      <c r="T1268" s="4">
        <v>2</v>
      </c>
      <c r="U1268" s="5" t="s">
        <v>5499</v>
      </c>
      <c r="V1268" s="5" t="s">
        <v>5499</v>
      </c>
      <c r="W1268" s="5" t="s">
        <v>72</v>
      </c>
      <c r="X1268" s="5" t="s">
        <v>72</v>
      </c>
      <c r="Y1268" s="4">
        <v>410</v>
      </c>
      <c r="Z1268" s="4">
        <v>24</v>
      </c>
      <c r="AA1268" s="4">
        <v>25</v>
      </c>
      <c r="AB1268" s="4">
        <v>2</v>
      </c>
      <c r="AC1268" s="4">
        <v>3</v>
      </c>
      <c r="AD1268" s="4">
        <v>109</v>
      </c>
      <c r="AE1268" s="4">
        <v>110</v>
      </c>
      <c r="AF1268" s="4">
        <v>1</v>
      </c>
      <c r="AG1268" s="4">
        <v>2</v>
      </c>
      <c r="AH1268" s="4">
        <v>94</v>
      </c>
      <c r="AI1268" s="4">
        <v>95</v>
      </c>
      <c r="AJ1268" s="4">
        <v>17</v>
      </c>
      <c r="AK1268" s="4">
        <v>18</v>
      </c>
      <c r="AL1268" s="4">
        <v>49</v>
      </c>
      <c r="AM1268" s="4">
        <v>49</v>
      </c>
      <c r="AN1268" s="4">
        <v>0</v>
      </c>
      <c r="AO1268" s="4">
        <v>0</v>
      </c>
      <c r="AP1268" s="4">
        <v>21</v>
      </c>
      <c r="AQ1268" s="4">
        <v>22</v>
      </c>
      <c r="AR1268" s="3" t="s">
        <v>64</v>
      </c>
      <c r="AS1268" s="3" t="s">
        <v>64</v>
      </c>
      <c r="AT1268" s="3" t="s">
        <v>73</v>
      </c>
      <c r="AU1268" s="6" t="str">
        <f>HYPERLINK("http://catalog.hathitrust.org/Record/010666148","HathiTrust Record")</f>
        <v>HathiTrust Record</v>
      </c>
      <c r="AV1268" s="6" t="str">
        <f>HYPERLINK("http://mcgill.on.worldcat.org/oclc/1088715","Catalog Record")</f>
        <v>Catalog Record</v>
      </c>
      <c r="AW1268" s="6" t="str">
        <f>HYPERLINK("http://www.worldcat.org/oclc/1088715","WorldCat Record")</f>
        <v>WorldCat Record</v>
      </c>
      <c r="AX1268" s="3" t="s">
        <v>13099</v>
      </c>
      <c r="AY1268" s="3" t="s">
        <v>13100</v>
      </c>
      <c r="AZ1268" s="3" t="s">
        <v>13101</v>
      </c>
      <c r="BA1268" s="3" t="s">
        <v>13101</v>
      </c>
      <c r="BB1268" s="3" t="s">
        <v>13102</v>
      </c>
      <c r="BC1268" s="3" t="s">
        <v>78</v>
      </c>
      <c r="BD1268" s="3" t="s">
        <v>79</v>
      </c>
      <c r="BE1268" s="3" t="s">
        <v>13103</v>
      </c>
      <c r="BF1268" s="3" t="s">
        <v>13102</v>
      </c>
      <c r="BG1268" s="3" t="s">
        <v>13104</v>
      </c>
    </row>
    <row r="1269" spans="1:59" ht="58" x14ac:dyDescent="0.35">
      <c r="A1269" s="2" t="s">
        <v>59</v>
      </c>
      <c r="B1269" s="2" t="s">
        <v>94</v>
      </c>
      <c r="C1269" s="2" t="s">
        <v>13105</v>
      </c>
      <c r="D1269" s="2" t="s">
        <v>13106</v>
      </c>
      <c r="E1269" s="2" t="s">
        <v>13107</v>
      </c>
      <c r="G1269" s="3" t="s">
        <v>64</v>
      </c>
      <c r="I1269" s="3" t="s">
        <v>64</v>
      </c>
      <c r="J1269" s="3" t="s">
        <v>64</v>
      </c>
      <c r="K1269" s="3" t="s">
        <v>65</v>
      </c>
      <c r="L1269" s="2" t="s">
        <v>13108</v>
      </c>
      <c r="M1269" s="2" t="s">
        <v>13109</v>
      </c>
      <c r="N1269" s="3" t="s">
        <v>538</v>
      </c>
      <c r="O1269" s="2" t="s">
        <v>1294</v>
      </c>
      <c r="P1269" s="3" t="s">
        <v>69</v>
      </c>
      <c r="Q1269" s="2" t="s">
        <v>13110</v>
      </c>
      <c r="R1269" s="3" t="s">
        <v>9228</v>
      </c>
      <c r="S1269" s="4">
        <v>2</v>
      </c>
      <c r="T1269" s="4">
        <v>2</v>
      </c>
      <c r="U1269" s="5" t="s">
        <v>13111</v>
      </c>
      <c r="V1269" s="5" t="s">
        <v>13111</v>
      </c>
      <c r="W1269" s="5" t="s">
        <v>72</v>
      </c>
      <c r="X1269" s="5" t="s">
        <v>72</v>
      </c>
      <c r="Y1269" s="4">
        <v>126</v>
      </c>
      <c r="Z1269" s="4">
        <v>9</v>
      </c>
      <c r="AA1269" s="4">
        <v>10</v>
      </c>
      <c r="AB1269" s="4">
        <v>1</v>
      </c>
      <c r="AC1269" s="4">
        <v>2</v>
      </c>
      <c r="AD1269" s="4">
        <v>67</v>
      </c>
      <c r="AE1269" s="4">
        <v>68</v>
      </c>
      <c r="AF1269" s="4">
        <v>0</v>
      </c>
      <c r="AG1269" s="4">
        <v>1</v>
      </c>
      <c r="AH1269" s="4">
        <v>63</v>
      </c>
      <c r="AI1269" s="4">
        <v>64</v>
      </c>
      <c r="AJ1269" s="4">
        <v>7</v>
      </c>
      <c r="AK1269" s="4">
        <v>8</v>
      </c>
      <c r="AL1269" s="4">
        <v>37</v>
      </c>
      <c r="AM1269" s="4">
        <v>37</v>
      </c>
      <c r="AN1269" s="4">
        <v>0</v>
      </c>
      <c r="AO1269" s="4">
        <v>0</v>
      </c>
      <c r="AP1269" s="4">
        <v>7</v>
      </c>
      <c r="AQ1269" s="4">
        <v>8</v>
      </c>
      <c r="AR1269" s="3" t="s">
        <v>64</v>
      </c>
      <c r="AS1269" s="3" t="s">
        <v>64</v>
      </c>
      <c r="AT1269" s="3" t="s">
        <v>73</v>
      </c>
      <c r="AU1269" s="6" t="str">
        <f>HYPERLINK("http://catalog.hathitrust.org/Record/005546722","HathiTrust Record")</f>
        <v>HathiTrust Record</v>
      </c>
      <c r="AV1269" s="6" t="str">
        <f>HYPERLINK("http://mcgill.on.worldcat.org/oclc/71800668","Catalog Record")</f>
        <v>Catalog Record</v>
      </c>
      <c r="AW1269" s="6" t="str">
        <f>HYPERLINK("http://www.worldcat.org/oclc/71800668","WorldCat Record")</f>
        <v>WorldCat Record</v>
      </c>
      <c r="AX1269" s="3" t="s">
        <v>13112</v>
      </c>
      <c r="AY1269" s="3" t="s">
        <v>13113</v>
      </c>
      <c r="AZ1269" s="3" t="s">
        <v>13114</v>
      </c>
      <c r="BA1269" s="3" t="s">
        <v>13114</v>
      </c>
      <c r="BB1269" s="3" t="s">
        <v>13115</v>
      </c>
      <c r="BC1269" s="3" t="s">
        <v>78</v>
      </c>
      <c r="BD1269" s="3" t="s">
        <v>79</v>
      </c>
      <c r="BE1269" s="3" t="s">
        <v>13116</v>
      </c>
      <c r="BF1269" s="3" t="s">
        <v>13115</v>
      </c>
      <c r="BG1269" s="3" t="s">
        <v>13117</v>
      </c>
    </row>
    <row r="1270" spans="1:59" ht="58" x14ac:dyDescent="0.35">
      <c r="A1270" s="2" t="s">
        <v>59</v>
      </c>
      <c r="B1270" s="2" t="s">
        <v>94</v>
      </c>
      <c r="C1270" s="2" t="s">
        <v>13118</v>
      </c>
      <c r="D1270" s="2" t="s">
        <v>13119</v>
      </c>
      <c r="E1270" s="2" t="s">
        <v>13120</v>
      </c>
      <c r="G1270" s="3" t="s">
        <v>64</v>
      </c>
      <c r="I1270" s="3" t="s">
        <v>64</v>
      </c>
      <c r="J1270" s="3" t="s">
        <v>64</v>
      </c>
      <c r="K1270" s="3" t="s">
        <v>65</v>
      </c>
      <c r="M1270" s="2" t="s">
        <v>13121</v>
      </c>
      <c r="N1270" s="3" t="s">
        <v>499</v>
      </c>
      <c r="P1270" s="3" t="s">
        <v>69</v>
      </c>
      <c r="Q1270" s="2" t="s">
        <v>13122</v>
      </c>
      <c r="R1270" s="3" t="s">
        <v>9228</v>
      </c>
      <c r="S1270" s="4">
        <v>15</v>
      </c>
      <c r="T1270" s="4">
        <v>15</v>
      </c>
      <c r="U1270" s="5" t="s">
        <v>6096</v>
      </c>
      <c r="V1270" s="5" t="s">
        <v>6096</v>
      </c>
      <c r="W1270" s="5" t="s">
        <v>72</v>
      </c>
      <c r="X1270" s="5" t="s">
        <v>72</v>
      </c>
      <c r="Y1270" s="4">
        <v>263</v>
      </c>
      <c r="Z1270" s="4">
        <v>18</v>
      </c>
      <c r="AA1270" s="4">
        <v>106</v>
      </c>
      <c r="AB1270" s="4">
        <v>2</v>
      </c>
      <c r="AC1270" s="4">
        <v>18</v>
      </c>
      <c r="AD1270" s="4">
        <v>78</v>
      </c>
      <c r="AE1270" s="4">
        <v>140</v>
      </c>
      <c r="AF1270" s="4">
        <v>1</v>
      </c>
      <c r="AG1270" s="4">
        <v>8</v>
      </c>
      <c r="AH1270" s="4">
        <v>73</v>
      </c>
      <c r="AI1270" s="4">
        <v>102</v>
      </c>
      <c r="AJ1270" s="4">
        <v>11</v>
      </c>
      <c r="AK1270" s="4">
        <v>23</v>
      </c>
      <c r="AL1270" s="4">
        <v>44</v>
      </c>
      <c r="AM1270" s="4">
        <v>54</v>
      </c>
      <c r="AN1270" s="4">
        <v>0</v>
      </c>
      <c r="AO1270" s="4">
        <v>0</v>
      </c>
      <c r="AP1270" s="4">
        <v>12</v>
      </c>
      <c r="AQ1270" s="4">
        <v>46</v>
      </c>
      <c r="AR1270" s="3" t="s">
        <v>64</v>
      </c>
      <c r="AS1270" s="3" t="s">
        <v>64</v>
      </c>
      <c r="AT1270" s="3" t="s">
        <v>64</v>
      </c>
      <c r="AV1270" s="6" t="str">
        <f>HYPERLINK("http://mcgill.on.worldcat.org/oclc/57594878","Catalog Record")</f>
        <v>Catalog Record</v>
      </c>
      <c r="AW1270" s="6" t="str">
        <f>HYPERLINK("http://www.worldcat.org/oclc/57594878","WorldCat Record")</f>
        <v>WorldCat Record</v>
      </c>
      <c r="AX1270" s="3" t="s">
        <v>13123</v>
      </c>
      <c r="AY1270" s="3" t="s">
        <v>13124</v>
      </c>
      <c r="AZ1270" s="3" t="s">
        <v>13125</v>
      </c>
      <c r="BA1270" s="3" t="s">
        <v>13125</v>
      </c>
      <c r="BB1270" s="3" t="s">
        <v>13126</v>
      </c>
      <c r="BC1270" s="3" t="s">
        <v>78</v>
      </c>
      <c r="BD1270" s="3" t="s">
        <v>79</v>
      </c>
      <c r="BE1270" s="3" t="s">
        <v>13127</v>
      </c>
      <c r="BF1270" s="3" t="s">
        <v>13126</v>
      </c>
      <c r="BG1270" s="3" t="s">
        <v>13128</v>
      </c>
    </row>
    <row r="1271" spans="1:59" ht="58" x14ac:dyDescent="0.35">
      <c r="A1271" s="2" t="s">
        <v>59</v>
      </c>
      <c r="B1271" s="2" t="s">
        <v>94</v>
      </c>
      <c r="C1271" s="2" t="s">
        <v>13129</v>
      </c>
      <c r="D1271" s="2" t="s">
        <v>13130</v>
      </c>
      <c r="E1271" s="2" t="s">
        <v>13131</v>
      </c>
      <c r="G1271" s="3" t="s">
        <v>64</v>
      </c>
      <c r="I1271" s="3" t="s">
        <v>73</v>
      </c>
      <c r="J1271" s="3" t="s">
        <v>64</v>
      </c>
      <c r="K1271" s="3" t="s">
        <v>65</v>
      </c>
      <c r="M1271" s="2" t="s">
        <v>11438</v>
      </c>
      <c r="N1271" s="3" t="s">
        <v>1764</v>
      </c>
      <c r="P1271" s="3" t="s">
        <v>69</v>
      </c>
      <c r="Q1271" s="2" t="s">
        <v>13132</v>
      </c>
      <c r="R1271" s="3" t="s">
        <v>9228</v>
      </c>
      <c r="S1271" s="4">
        <v>20</v>
      </c>
      <c r="T1271" s="4">
        <v>38</v>
      </c>
      <c r="U1271" s="5" t="s">
        <v>13133</v>
      </c>
      <c r="V1271" s="5" t="s">
        <v>13134</v>
      </c>
      <c r="W1271" s="5" t="s">
        <v>72</v>
      </c>
      <c r="X1271" s="5" t="s">
        <v>72</v>
      </c>
      <c r="Y1271" s="4">
        <v>242</v>
      </c>
      <c r="Z1271" s="4">
        <v>19</v>
      </c>
      <c r="AA1271" s="4">
        <v>21</v>
      </c>
      <c r="AB1271" s="4">
        <v>4</v>
      </c>
      <c r="AC1271" s="4">
        <v>6</v>
      </c>
      <c r="AD1271" s="4">
        <v>93</v>
      </c>
      <c r="AE1271" s="4">
        <v>95</v>
      </c>
      <c r="AF1271" s="4">
        <v>2</v>
      </c>
      <c r="AG1271" s="4">
        <v>4</v>
      </c>
      <c r="AH1271" s="4">
        <v>82</v>
      </c>
      <c r="AI1271" s="4">
        <v>83</v>
      </c>
      <c r="AJ1271" s="4">
        <v>13</v>
      </c>
      <c r="AK1271" s="4">
        <v>15</v>
      </c>
      <c r="AL1271" s="4">
        <v>45</v>
      </c>
      <c r="AM1271" s="4">
        <v>45</v>
      </c>
      <c r="AN1271" s="4">
        <v>0</v>
      </c>
      <c r="AO1271" s="4">
        <v>0</v>
      </c>
      <c r="AP1271" s="4">
        <v>15</v>
      </c>
      <c r="AQ1271" s="4">
        <v>17</v>
      </c>
      <c r="AR1271" s="3" t="s">
        <v>64</v>
      </c>
      <c r="AS1271" s="3" t="s">
        <v>64</v>
      </c>
      <c r="AT1271" s="3" t="s">
        <v>64</v>
      </c>
      <c r="AV1271" s="6" t="str">
        <f>HYPERLINK("http://mcgill.on.worldcat.org/oclc/8535954","Catalog Record")</f>
        <v>Catalog Record</v>
      </c>
      <c r="AW1271" s="6" t="str">
        <f>HYPERLINK("http://www.worldcat.org/oclc/8535954","WorldCat Record")</f>
        <v>WorldCat Record</v>
      </c>
      <c r="AX1271" s="3" t="s">
        <v>13135</v>
      </c>
      <c r="AY1271" s="3" t="s">
        <v>13136</v>
      </c>
      <c r="AZ1271" s="3" t="s">
        <v>13137</v>
      </c>
      <c r="BA1271" s="3" t="s">
        <v>13137</v>
      </c>
      <c r="BB1271" s="3" t="s">
        <v>13138</v>
      </c>
      <c r="BC1271" s="3" t="s">
        <v>78</v>
      </c>
      <c r="BD1271" s="3" t="s">
        <v>79</v>
      </c>
      <c r="BE1271" s="3" t="s">
        <v>13139</v>
      </c>
      <c r="BF1271" s="3" t="s">
        <v>13138</v>
      </c>
      <c r="BG1271" s="3" t="s">
        <v>13140</v>
      </c>
    </row>
    <row r="1272" spans="1:59" ht="58" x14ac:dyDescent="0.35">
      <c r="A1272" s="2" t="s">
        <v>59</v>
      </c>
      <c r="B1272" s="2" t="s">
        <v>94</v>
      </c>
      <c r="C1272" s="2" t="s">
        <v>13129</v>
      </c>
      <c r="D1272" s="2" t="s">
        <v>13130</v>
      </c>
      <c r="E1272" s="2" t="s">
        <v>13131</v>
      </c>
      <c r="G1272" s="3" t="s">
        <v>64</v>
      </c>
      <c r="I1272" s="3" t="s">
        <v>73</v>
      </c>
      <c r="J1272" s="3" t="s">
        <v>64</v>
      </c>
      <c r="K1272" s="3" t="s">
        <v>65</v>
      </c>
      <c r="M1272" s="2" t="s">
        <v>11438</v>
      </c>
      <c r="N1272" s="3" t="s">
        <v>1764</v>
      </c>
      <c r="P1272" s="3" t="s">
        <v>69</v>
      </c>
      <c r="Q1272" s="2" t="s">
        <v>13132</v>
      </c>
      <c r="R1272" s="3" t="s">
        <v>9228</v>
      </c>
      <c r="S1272" s="4">
        <v>18</v>
      </c>
      <c r="T1272" s="4">
        <v>38</v>
      </c>
      <c r="U1272" s="5" t="s">
        <v>13134</v>
      </c>
      <c r="V1272" s="5" t="s">
        <v>13134</v>
      </c>
      <c r="W1272" s="5" t="s">
        <v>72</v>
      </c>
      <c r="X1272" s="5" t="s">
        <v>72</v>
      </c>
      <c r="Y1272" s="4">
        <v>242</v>
      </c>
      <c r="Z1272" s="4">
        <v>19</v>
      </c>
      <c r="AA1272" s="4">
        <v>21</v>
      </c>
      <c r="AB1272" s="4">
        <v>4</v>
      </c>
      <c r="AC1272" s="4">
        <v>6</v>
      </c>
      <c r="AD1272" s="4">
        <v>93</v>
      </c>
      <c r="AE1272" s="4">
        <v>95</v>
      </c>
      <c r="AF1272" s="4">
        <v>2</v>
      </c>
      <c r="AG1272" s="4">
        <v>4</v>
      </c>
      <c r="AH1272" s="4">
        <v>82</v>
      </c>
      <c r="AI1272" s="4">
        <v>83</v>
      </c>
      <c r="AJ1272" s="4">
        <v>13</v>
      </c>
      <c r="AK1272" s="4">
        <v>15</v>
      </c>
      <c r="AL1272" s="4">
        <v>45</v>
      </c>
      <c r="AM1272" s="4">
        <v>45</v>
      </c>
      <c r="AN1272" s="4">
        <v>0</v>
      </c>
      <c r="AO1272" s="4">
        <v>0</v>
      </c>
      <c r="AP1272" s="4">
        <v>15</v>
      </c>
      <c r="AQ1272" s="4">
        <v>17</v>
      </c>
      <c r="AR1272" s="3" t="s">
        <v>64</v>
      </c>
      <c r="AS1272" s="3" t="s">
        <v>64</v>
      </c>
      <c r="AT1272" s="3" t="s">
        <v>64</v>
      </c>
      <c r="AV1272" s="6" t="str">
        <f>HYPERLINK("http://mcgill.on.worldcat.org/oclc/8535954","Catalog Record")</f>
        <v>Catalog Record</v>
      </c>
      <c r="AW1272" s="6" t="str">
        <f>HYPERLINK("http://www.worldcat.org/oclc/8535954","WorldCat Record")</f>
        <v>WorldCat Record</v>
      </c>
      <c r="AX1272" s="3" t="s">
        <v>13135</v>
      </c>
      <c r="AY1272" s="3" t="s">
        <v>13136</v>
      </c>
      <c r="AZ1272" s="3" t="s">
        <v>13137</v>
      </c>
      <c r="BA1272" s="3" t="s">
        <v>13137</v>
      </c>
      <c r="BB1272" s="3" t="s">
        <v>13141</v>
      </c>
      <c r="BC1272" s="3" t="s">
        <v>78</v>
      </c>
      <c r="BD1272" s="3" t="s">
        <v>79</v>
      </c>
      <c r="BE1272" s="3" t="s">
        <v>13139</v>
      </c>
      <c r="BF1272" s="3" t="s">
        <v>13141</v>
      </c>
      <c r="BG1272" s="3" t="s">
        <v>13142</v>
      </c>
    </row>
    <row r="1273" spans="1:59" ht="58" x14ac:dyDescent="0.35">
      <c r="A1273" s="2" t="s">
        <v>59</v>
      </c>
      <c r="B1273" s="2" t="s">
        <v>94</v>
      </c>
      <c r="C1273" s="2" t="s">
        <v>13143</v>
      </c>
      <c r="D1273" s="2" t="s">
        <v>13144</v>
      </c>
      <c r="E1273" s="2" t="s">
        <v>13145</v>
      </c>
      <c r="G1273" s="3" t="s">
        <v>64</v>
      </c>
      <c r="I1273" s="3" t="s">
        <v>64</v>
      </c>
      <c r="J1273" s="3" t="s">
        <v>64</v>
      </c>
      <c r="K1273" s="3" t="s">
        <v>65</v>
      </c>
      <c r="M1273" s="2" t="s">
        <v>13146</v>
      </c>
      <c r="N1273" s="3" t="s">
        <v>1530</v>
      </c>
      <c r="P1273" s="3" t="s">
        <v>69</v>
      </c>
      <c r="R1273" s="3" t="s">
        <v>9228</v>
      </c>
      <c r="S1273" s="4">
        <v>5</v>
      </c>
      <c r="T1273" s="4">
        <v>5</v>
      </c>
      <c r="U1273" s="5" t="s">
        <v>4181</v>
      </c>
      <c r="V1273" s="5" t="s">
        <v>4181</v>
      </c>
      <c r="W1273" s="5" t="s">
        <v>72</v>
      </c>
      <c r="X1273" s="5" t="s">
        <v>72</v>
      </c>
      <c r="Y1273" s="4">
        <v>25</v>
      </c>
      <c r="Z1273" s="4">
        <v>1</v>
      </c>
      <c r="AA1273" s="4">
        <v>17</v>
      </c>
      <c r="AB1273" s="4">
        <v>1</v>
      </c>
      <c r="AC1273" s="4">
        <v>2</v>
      </c>
      <c r="AD1273" s="4">
        <v>10</v>
      </c>
      <c r="AE1273" s="4">
        <v>78</v>
      </c>
      <c r="AF1273" s="4">
        <v>0</v>
      </c>
      <c r="AG1273" s="4">
        <v>1</v>
      </c>
      <c r="AH1273" s="4">
        <v>10</v>
      </c>
      <c r="AI1273" s="4">
        <v>70</v>
      </c>
      <c r="AJ1273" s="4">
        <v>0</v>
      </c>
      <c r="AK1273" s="4">
        <v>11</v>
      </c>
      <c r="AL1273" s="4">
        <v>5</v>
      </c>
      <c r="AM1273" s="4">
        <v>42</v>
      </c>
      <c r="AN1273" s="4">
        <v>0</v>
      </c>
      <c r="AO1273" s="4">
        <v>0</v>
      </c>
      <c r="AP1273" s="4">
        <v>0</v>
      </c>
      <c r="AQ1273" s="4">
        <v>13</v>
      </c>
      <c r="AR1273" s="3" t="s">
        <v>64</v>
      </c>
      <c r="AS1273" s="3" t="s">
        <v>64</v>
      </c>
      <c r="AT1273" s="3" t="s">
        <v>73</v>
      </c>
      <c r="AU1273" s="6" t="str">
        <f>HYPERLINK("http://catalog.hathitrust.org/Record/004263249","HathiTrust Record")</f>
        <v>HathiTrust Record</v>
      </c>
      <c r="AV1273" s="6" t="str">
        <f>HYPERLINK("http://mcgill.on.worldcat.org/oclc/52511536","Catalog Record")</f>
        <v>Catalog Record</v>
      </c>
      <c r="AW1273" s="6" t="str">
        <f>HYPERLINK("http://www.worldcat.org/oclc/52511536","WorldCat Record")</f>
        <v>WorldCat Record</v>
      </c>
      <c r="AX1273" s="3" t="s">
        <v>13147</v>
      </c>
      <c r="AY1273" s="3" t="s">
        <v>13148</v>
      </c>
      <c r="AZ1273" s="3" t="s">
        <v>13149</v>
      </c>
      <c r="BA1273" s="3" t="s">
        <v>13149</v>
      </c>
      <c r="BB1273" s="3" t="s">
        <v>13150</v>
      </c>
      <c r="BC1273" s="3" t="s">
        <v>78</v>
      </c>
      <c r="BD1273" s="3" t="s">
        <v>79</v>
      </c>
      <c r="BE1273" s="3" t="s">
        <v>13151</v>
      </c>
      <c r="BF1273" s="3" t="s">
        <v>13150</v>
      </c>
      <c r="BG1273" s="3" t="s">
        <v>13152</v>
      </c>
    </row>
    <row r="1274" spans="1:59" ht="72.5" x14ac:dyDescent="0.35">
      <c r="A1274" s="2" t="s">
        <v>59</v>
      </c>
      <c r="B1274" s="2" t="s">
        <v>94</v>
      </c>
      <c r="C1274" s="2" t="s">
        <v>13153</v>
      </c>
      <c r="D1274" s="2" t="s">
        <v>13154</v>
      </c>
      <c r="E1274" s="2" t="s">
        <v>13155</v>
      </c>
      <c r="G1274" s="3" t="s">
        <v>64</v>
      </c>
      <c r="I1274" s="3" t="s">
        <v>64</v>
      </c>
      <c r="J1274" s="3" t="s">
        <v>64</v>
      </c>
      <c r="K1274" s="3" t="s">
        <v>65</v>
      </c>
      <c r="M1274" s="2" t="s">
        <v>13156</v>
      </c>
      <c r="N1274" s="3" t="s">
        <v>328</v>
      </c>
      <c r="P1274" s="3" t="s">
        <v>69</v>
      </c>
      <c r="Q1274" s="2" t="s">
        <v>13157</v>
      </c>
      <c r="R1274" s="3" t="s">
        <v>9228</v>
      </c>
      <c r="S1274" s="4">
        <v>2</v>
      </c>
      <c r="T1274" s="4">
        <v>2</v>
      </c>
      <c r="U1274" s="5" t="s">
        <v>13158</v>
      </c>
      <c r="V1274" s="5" t="s">
        <v>13158</v>
      </c>
      <c r="W1274" s="5" t="s">
        <v>72</v>
      </c>
      <c r="X1274" s="5" t="s">
        <v>72</v>
      </c>
      <c r="Y1274" s="4">
        <v>64</v>
      </c>
      <c r="Z1274" s="4">
        <v>5</v>
      </c>
      <c r="AA1274" s="4">
        <v>26</v>
      </c>
      <c r="AB1274" s="4">
        <v>1</v>
      </c>
      <c r="AC1274" s="4">
        <v>5</v>
      </c>
      <c r="AD1274" s="4">
        <v>27</v>
      </c>
      <c r="AE1274" s="4">
        <v>37</v>
      </c>
      <c r="AF1274" s="4">
        <v>0</v>
      </c>
      <c r="AG1274" s="4">
        <v>0</v>
      </c>
      <c r="AH1274" s="4">
        <v>26</v>
      </c>
      <c r="AI1274" s="4">
        <v>31</v>
      </c>
      <c r="AJ1274" s="4">
        <v>3</v>
      </c>
      <c r="AK1274" s="4">
        <v>5</v>
      </c>
      <c r="AL1274" s="4">
        <v>19</v>
      </c>
      <c r="AM1274" s="4">
        <v>21</v>
      </c>
      <c r="AN1274" s="4">
        <v>0</v>
      </c>
      <c r="AO1274" s="4">
        <v>0</v>
      </c>
      <c r="AP1274" s="4">
        <v>3</v>
      </c>
      <c r="AQ1274" s="4">
        <v>9</v>
      </c>
      <c r="AR1274" s="3" t="s">
        <v>64</v>
      </c>
      <c r="AS1274" s="3" t="s">
        <v>64</v>
      </c>
      <c r="AT1274" s="3" t="s">
        <v>64</v>
      </c>
      <c r="AV1274" s="6" t="str">
        <f>HYPERLINK("http://mcgill.on.worldcat.org/oclc/609541215","Catalog Record")</f>
        <v>Catalog Record</v>
      </c>
      <c r="AW1274" s="6" t="str">
        <f>HYPERLINK("http://www.worldcat.org/oclc/609541215","WorldCat Record")</f>
        <v>WorldCat Record</v>
      </c>
      <c r="AX1274" s="3" t="s">
        <v>13159</v>
      </c>
      <c r="AY1274" s="3" t="s">
        <v>13160</v>
      </c>
      <c r="AZ1274" s="3" t="s">
        <v>13161</v>
      </c>
      <c r="BA1274" s="3" t="s">
        <v>13161</v>
      </c>
      <c r="BB1274" s="3" t="s">
        <v>13162</v>
      </c>
      <c r="BC1274" s="3" t="s">
        <v>78</v>
      </c>
      <c r="BD1274" s="3" t="s">
        <v>79</v>
      </c>
      <c r="BE1274" s="3" t="s">
        <v>13163</v>
      </c>
      <c r="BF1274" s="3" t="s">
        <v>13162</v>
      </c>
      <c r="BG1274" s="3" t="s">
        <v>13164</v>
      </c>
    </row>
    <row r="1275" spans="1:59" ht="58" x14ac:dyDescent="0.35">
      <c r="A1275" s="2" t="s">
        <v>59</v>
      </c>
      <c r="B1275" s="2" t="s">
        <v>94</v>
      </c>
      <c r="C1275" s="2" t="s">
        <v>13165</v>
      </c>
      <c r="D1275" s="2" t="s">
        <v>13166</v>
      </c>
      <c r="E1275" s="2" t="s">
        <v>13167</v>
      </c>
      <c r="G1275" s="3" t="s">
        <v>64</v>
      </c>
      <c r="I1275" s="3" t="s">
        <v>64</v>
      </c>
      <c r="J1275" s="3" t="s">
        <v>64</v>
      </c>
      <c r="K1275" s="3" t="s">
        <v>65</v>
      </c>
      <c r="M1275" s="2" t="s">
        <v>13168</v>
      </c>
      <c r="N1275" s="3" t="s">
        <v>214</v>
      </c>
      <c r="P1275" s="3" t="s">
        <v>69</v>
      </c>
      <c r="R1275" s="3" t="s">
        <v>9228</v>
      </c>
      <c r="S1275" s="4">
        <v>0</v>
      </c>
      <c r="T1275" s="4">
        <v>0</v>
      </c>
      <c r="W1275" s="5" t="s">
        <v>72</v>
      </c>
      <c r="X1275" s="5" t="s">
        <v>72</v>
      </c>
      <c r="Y1275" s="4">
        <v>77</v>
      </c>
      <c r="Z1275" s="4">
        <v>5</v>
      </c>
      <c r="AA1275" s="4">
        <v>44</v>
      </c>
      <c r="AB1275" s="4">
        <v>1</v>
      </c>
      <c r="AC1275" s="4">
        <v>8</v>
      </c>
      <c r="AD1275" s="4">
        <v>30</v>
      </c>
      <c r="AE1275" s="4">
        <v>46</v>
      </c>
      <c r="AF1275" s="4">
        <v>0</v>
      </c>
      <c r="AG1275" s="4">
        <v>1</v>
      </c>
      <c r="AH1275" s="4">
        <v>28</v>
      </c>
      <c r="AI1275" s="4">
        <v>40</v>
      </c>
      <c r="AJ1275" s="4">
        <v>3</v>
      </c>
      <c r="AK1275" s="4">
        <v>6</v>
      </c>
      <c r="AL1275" s="4">
        <v>19</v>
      </c>
      <c r="AM1275" s="4">
        <v>26</v>
      </c>
      <c r="AN1275" s="4">
        <v>0</v>
      </c>
      <c r="AO1275" s="4">
        <v>0</v>
      </c>
      <c r="AP1275" s="4">
        <v>3</v>
      </c>
      <c r="AQ1275" s="4">
        <v>10</v>
      </c>
      <c r="AR1275" s="3" t="s">
        <v>64</v>
      </c>
      <c r="AS1275" s="3" t="s">
        <v>64</v>
      </c>
      <c r="AT1275" s="3" t="s">
        <v>64</v>
      </c>
      <c r="AV1275" s="6" t="str">
        <f>HYPERLINK("http://mcgill.on.worldcat.org/oclc/553364956","Catalog Record")</f>
        <v>Catalog Record</v>
      </c>
      <c r="AW1275" s="6" t="str">
        <f>HYPERLINK("http://www.worldcat.org/oclc/553364956","WorldCat Record")</f>
        <v>WorldCat Record</v>
      </c>
      <c r="AX1275" s="3" t="s">
        <v>13169</v>
      </c>
      <c r="AY1275" s="3" t="s">
        <v>13170</v>
      </c>
      <c r="AZ1275" s="3" t="s">
        <v>13171</v>
      </c>
      <c r="BA1275" s="3" t="s">
        <v>13171</v>
      </c>
      <c r="BB1275" s="3" t="s">
        <v>13172</v>
      </c>
      <c r="BC1275" s="3" t="s">
        <v>78</v>
      </c>
      <c r="BD1275" s="3" t="s">
        <v>79</v>
      </c>
      <c r="BE1275" s="3" t="s">
        <v>13173</v>
      </c>
      <c r="BF1275" s="3" t="s">
        <v>13172</v>
      </c>
      <c r="BG1275" s="3" t="s">
        <v>13174</v>
      </c>
    </row>
    <row r="1276" spans="1:59" ht="58" x14ac:dyDescent="0.35">
      <c r="A1276" s="2" t="s">
        <v>59</v>
      </c>
      <c r="B1276" s="2" t="s">
        <v>94</v>
      </c>
      <c r="C1276" s="2" t="s">
        <v>13175</v>
      </c>
      <c r="D1276" s="2" t="s">
        <v>13176</v>
      </c>
      <c r="E1276" s="2" t="s">
        <v>13177</v>
      </c>
      <c r="G1276" s="3" t="s">
        <v>64</v>
      </c>
      <c r="I1276" s="3" t="s">
        <v>64</v>
      </c>
      <c r="J1276" s="3" t="s">
        <v>64</v>
      </c>
      <c r="K1276" s="3" t="s">
        <v>65</v>
      </c>
      <c r="L1276" s="2" t="s">
        <v>13178</v>
      </c>
      <c r="M1276" s="2" t="s">
        <v>13179</v>
      </c>
      <c r="N1276" s="3" t="s">
        <v>524</v>
      </c>
      <c r="P1276" s="3" t="s">
        <v>69</v>
      </c>
      <c r="R1276" s="3" t="s">
        <v>9228</v>
      </c>
      <c r="S1276" s="4">
        <v>6</v>
      </c>
      <c r="T1276" s="4">
        <v>6</v>
      </c>
      <c r="U1276" s="5" t="s">
        <v>13180</v>
      </c>
      <c r="V1276" s="5" t="s">
        <v>13180</v>
      </c>
      <c r="W1276" s="5" t="s">
        <v>72</v>
      </c>
      <c r="X1276" s="5" t="s">
        <v>72</v>
      </c>
      <c r="Y1276" s="4">
        <v>543</v>
      </c>
      <c r="Z1276" s="4">
        <v>20</v>
      </c>
      <c r="AA1276" s="4">
        <v>37</v>
      </c>
      <c r="AB1276" s="4">
        <v>1</v>
      </c>
      <c r="AC1276" s="4">
        <v>4</v>
      </c>
      <c r="AD1276" s="4">
        <v>70</v>
      </c>
      <c r="AE1276" s="4">
        <v>79</v>
      </c>
      <c r="AF1276" s="4">
        <v>0</v>
      </c>
      <c r="AG1276" s="4">
        <v>0</v>
      </c>
      <c r="AH1276" s="4">
        <v>65</v>
      </c>
      <c r="AI1276" s="4">
        <v>71</v>
      </c>
      <c r="AJ1276" s="4">
        <v>8</v>
      </c>
      <c r="AK1276" s="4">
        <v>8</v>
      </c>
      <c r="AL1276" s="4">
        <v>39</v>
      </c>
      <c r="AM1276" s="4">
        <v>42</v>
      </c>
      <c r="AN1276" s="4">
        <v>0</v>
      </c>
      <c r="AO1276" s="4">
        <v>0</v>
      </c>
      <c r="AP1276" s="4">
        <v>9</v>
      </c>
      <c r="AQ1276" s="4">
        <v>12</v>
      </c>
      <c r="AR1276" s="3" t="s">
        <v>64</v>
      </c>
      <c r="AS1276" s="3" t="s">
        <v>64</v>
      </c>
      <c r="AT1276" s="3" t="s">
        <v>64</v>
      </c>
      <c r="AV1276" s="6" t="str">
        <f>HYPERLINK("http://mcgill.on.worldcat.org/oclc/858935268","Catalog Record")</f>
        <v>Catalog Record</v>
      </c>
      <c r="AW1276" s="6" t="str">
        <f>HYPERLINK("http://www.worldcat.org/oclc/858935268","WorldCat Record")</f>
        <v>WorldCat Record</v>
      </c>
      <c r="AX1276" s="3" t="s">
        <v>13181</v>
      </c>
      <c r="AY1276" s="3" t="s">
        <v>13182</v>
      </c>
      <c r="AZ1276" s="3" t="s">
        <v>13183</v>
      </c>
      <c r="BA1276" s="3" t="s">
        <v>13183</v>
      </c>
      <c r="BB1276" s="3" t="s">
        <v>13184</v>
      </c>
      <c r="BC1276" s="3" t="s">
        <v>78</v>
      </c>
      <c r="BD1276" s="3" t="s">
        <v>79</v>
      </c>
      <c r="BE1276" s="3" t="s">
        <v>13185</v>
      </c>
      <c r="BF1276" s="3" t="s">
        <v>13184</v>
      </c>
      <c r="BG1276" s="3" t="s">
        <v>13186</v>
      </c>
    </row>
    <row r="1277" spans="1:59" ht="58" x14ac:dyDescent="0.35">
      <c r="A1277" s="2" t="s">
        <v>59</v>
      </c>
      <c r="B1277" s="2" t="s">
        <v>94</v>
      </c>
      <c r="C1277" s="2" t="s">
        <v>13187</v>
      </c>
      <c r="D1277" s="2" t="s">
        <v>13188</v>
      </c>
      <c r="E1277" s="2" t="s">
        <v>13189</v>
      </c>
      <c r="G1277" s="3" t="s">
        <v>64</v>
      </c>
      <c r="I1277" s="3" t="s">
        <v>64</v>
      </c>
      <c r="J1277" s="3" t="s">
        <v>64</v>
      </c>
      <c r="K1277" s="3" t="s">
        <v>65</v>
      </c>
      <c r="M1277" s="2" t="s">
        <v>13190</v>
      </c>
      <c r="N1277" s="3" t="s">
        <v>705</v>
      </c>
      <c r="P1277" s="3" t="s">
        <v>69</v>
      </c>
      <c r="R1277" s="3" t="s">
        <v>9228</v>
      </c>
      <c r="S1277" s="4">
        <v>8</v>
      </c>
      <c r="T1277" s="4">
        <v>8</v>
      </c>
      <c r="U1277" s="5" t="s">
        <v>13191</v>
      </c>
      <c r="V1277" s="5" t="s">
        <v>13191</v>
      </c>
      <c r="W1277" s="5" t="s">
        <v>72</v>
      </c>
      <c r="X1277" s="5" t="s">
        <v>72</v>
      </c>
      <c r="Y1277" s="4">
        <v>138</v>
      </c>
      <c r="Z1277" s="4">
        <v>12</v>
      </c>
      <c r="AA1277" s="4">
        <v>90</v>
      </c>
      <c r="AB1277" s="4">
        <v>1</v>
      </c>
      <c r="AC1277" s="4">
        <v>17</v>
      </c>
      <c r="AD1277" s="4">
        <v>56</v>
      </c>
      <c r="AE1277" s="4">
        <v>118</v>
      </c>
      <c r="AF1277" s="4">
        <v>0</v>
      </c>
      <c r="AG1277" s="4">
        <v>8</v>
      </c>
      <c r="AH1277" s="4">
        <v>52</v>
      </c>
      <c r="AI1277" s="4">
        <v>83</v>
      </c>
      <c r="AJ1277" s="4">
        <v>6</v>
      </c>
      <c r="AK1277" s="4">
        <v>20</v>
      </c>
      <c r="AL1277" s="4">
        <v>33</v>
      </c>
      <c r="AM1277" s="4">
        <v>44</v>
      </c>
      <c r="AN1277" s="4">
        <v>0</v>
      </c>
      <c r="AO1277" s="4">
        <v>0</v>
      </c>
      <c r="AP1277" s="4">
        <v>8</v>
      </c>
      <c r="AQ1277" s="4">
        <v>42</v>
      </c>
      <c r="AR1277" s="3" t="s">
        <v>64</v>
      </c>
      <c r="AS1277" s="3" t="s">
        <v>64</v>
      </c>
      <c r="AT1277" s="3" t="s">
        <v>64</v>
      </c>
      <c r="AV1277" s="6" t="str">
        <f>HYPERLINK("http://mcgill.on.worldcat.org/oclc/34517173","Catalog Record")</f>
        <v>Catalog Record</v>
      </c>
      <c r="AW1277" s="6" t="str">
        <f>HYPERLINK("http://www.worldcat.org/oclc/34517173","WorldCat Record")</f>
        <v>WorldCat Record</v>
      </c>
      <c r="AX1277" s="3" t="s">
        <v>13192</v>
      </c>
      <c r="AY1277" s="3" t="s">
        <v>13193</v>
      </c>
      <c r="AZ1277" s="3" t="s">
        <v>13194</v>
      </c>
      <c r="BA1277" s="3" t="s">
        <v>13194</v>
      </c>
      <c r="BB1277" s="3" t="s">
        <v>13195</v>
      </c>
      <c r="BC1277" s="3" t="s">
        <v>78</v>
      </c>
      <c r="BD1277" s="3" t="s">
        <v>79</v>
      </c>
      <c r="BE1277" s="3" t="s">
        <v>13196</v>
      </c>
      <c r="BF1277" s="3" t="s">
        <v>13195</v>
      </c>
      <c r="BG1277" s="3" t="s">
        <v>13197</v>
      </c>
    </row>
    <row r="1278" spans="1:59" ht="58" x14ac:dyDescent="0.35">
      <c r="A1278" s="2" t="s">
        <v>59</v>
      </c>
      <c r="B1278" s="2" t="s">
        <v>94</v>
      </c>
      <c r="C1278" s="2" t="s">
        <v>13198</v>
      </c>
      <c r="D1278" s="2" t="s">
        <v>13199</v>
      </c>
      <c r="E1278" s="2" t="s">
        <v>13200</v>
      </c>
      <c r="G1278" s="3" t="s">
        <v>64</v>
      </c>
      <c r="I1278" s="3" t="s">
        <v>64</v>
      </c>
      <c r="J1278" s="3" t="s">
        <v>64</v>
      </c>
      <c r="K1278" s="3" t="s">
        <v>65</v>
      </c>
      <c r="L1278" s="2" t="s">
        <v>13201</v>
      </c>
      <c r="M1278" s="2" t="s">
        <v>13202</v>
      </c>
      <c r="N1278" s="3" t="s">
        <v>651</v>
      </c>
      <c r="O1278" s="2" t="s">
        <v>6385</v>
      </c>
      <c r="P1278" s="3" t="s">
        <v>69</v>
      </c>
      <c r="R1278" s="3" t="s">
        <v>9228</v>
      </c>
      <c r="S1278" s="4">
        <v>5</v>
      </c>
      <c r="T1278" s="4">
        <v>5</v>
      </c>
      <c r="U1278" s="5" t="s">
        <v>7903</v>
      </c>
      <c r="V1278" s="5" t="s">
        <v>7903</v>
      </c>
      <c r="W1278" s="5" t="s">
        <v>72</v>
      </c>
      <c r="X1278" s="5" t="s">
        <v>72</v>
      </c>
      <c r="Y1278" s="4">
        <v>121</v>
      </c>
      <c r="Z1278" s="4">
        <v>5</v>
      </c>
      <c r="AA1278" s="4">
        <v>13</v>
      </c>
      <c r="AB1278" s="4">
        <v>1</v>
      </c>
      <c r="AC1278" s="4">
        <v>1</v>
      </c>
      <c r="AD1278" s="4">
        <v>25</v>
      </c>
      <c r="AE1278" s="4">
        <v>43</v>
      </c>
      <c r="AF1278" s="4">
        <v>0</v>
      </c>
      <c r="AG1278" s="4">
        <v>0</v>
      </c>
      <c r="AH1278" s="4">
        <v>24</v>
      </c>
      <c r="AI1278" s="4">
        <v>39</v>
      </c>
      <c r="AJ1278" s="4">
        <v>2</v>
      </c>
      <c r="AK1278" s="4">
        <v>6</v>
      </c>
      <c r="AL1278" s="4">
        <v>13</v>
      </c>
      <c r="AM1278" s="4">
        <v>24</v>
      </c>
      <c r="AN1278" s="4">
        <v>5</v>
      </c>
      <c r="AO1278" s="4">
        <v>5</v>
      </c>
      <c r="AP1278" s="4">
        <v>3</v>
      </c>
      <c r="AQ1278" s="4">
        <v>7</v>
      </c>
      <c r="AR1278" s="3" t="s">
        <v>64</v>
      </c>
      <c r="AS1278" s="3" t="s">
        <v>64</v>
      </c>
      <c r="AT1278" s="3" t="s">
        <v>73</v>
      </c>
      <c r="AU1278" s="6" t="str">
        <f>HYPERLINK("http://catalog.hathitrust.org/Record/010634900","HathiTrust Record")</f>
        <v>HathiTrust Record</v>
      </c>
      <c r="AV1278" s="6" t="str">
        <f>HYPERLINK("http://mcgill.on.worldcat.org/oclc/51108776","Catalog Record")</f>
        <v>Catalog Record</v>
      </c>
      <c r="AW1278" s="6" t="str">
        <f>HYPERLINK("http://www.worldcat.org/oclc/51108776","WorldCat Record")</f>
        <v>WorldCat Record</v>
      </c>
      <c r="AX1278" s="3" t="s">
        <v>13203</v>
      </c>
      <c r="AY1278" s="3" t="s">
        <v>13204</v>
      </c>
      <c r="AZ1278" s="3" t="s">
        <v>13205</v>
      </c>
      <c r="BA1278" s="3" t="s">
        <v>13205</v>
      </c>
      <c r="BB1278" s="3" t="s">
        <v>13206</v>
      </c>
      <c r="BC1278" s="3" t="s">
        <v>78</v>
      </c>
      <c r="BD1278" s="3" t="s">
        <v>79</v>
      </c>
      <c r="BE1278" s="3" t="s">
        <v>13207</v>
      </c>
      <c r="BF1278" s="3" t="s">
        <v>13206</v>
      </c>
      <c r="BG1278" s="3" t="s">
        <v>13208</v>
      </c>
    </row>
    <row r="1279" spans="1:59" ht="58" x14ac:dyDescent="0.35">
      <c r="A1279" s="2" t="s">
        <v>59</v>
      </c>
      <c r="B1279" s="2" t="s">
        <v>94</v>
      </c>
      <c r="C1279" s="2" t="s">
        <v>13209</v>
      </c>
      <c r="D1279" s="2" t="s">
        <v>13210</v>
      </c>
      <c r="E1279" s="2" t="s">
        <v>13211</v>
      </c>
      <c r="G1279" s="3" t="s">
        <v>64</v>
      </c>
      <c r="I1279" s="3" t="s">
        <v>64</v>
      </c>
      <c r="J1279" s="3" t="s">
        <v>64</v>
      </c>
      <c r="K1279" s="3" t="s">
        <v>65</v>
      </c>
      <c r="L1279" s="2" t="s">
        <v>13201</v>
      </c>
      <c r="M1279" s="2" t="s">
        <v>13212</v>
      </c>
      <c r="N1279" s="3" t="s">
        <v>214</v>
      </c>
      <c r="O1279" s="2" t="s">
        <v>638</v>
      </c>
      <c r="P1279" s="3" t="s">
        <v>69</v>
      </c>
      <c r="R1279" s="3" t="s">
        <v>9228</v>
      </c>
      <c r="S1279" s="4">
        <v>0</v>
      </c>
      <c r="T1279" s="4">
        <v>0</v>
      </c>
      <c r="W1279" s="5" t="s">
        <v>72</v>
      </c>
      <c r="X1279" s="5" t="s">
        <v>72</v>
      </c>
      <c r="Y1279" s="4">
        <v>139</v>
      </c>
      <c r="Z1279" s="4">
        <v>10</v>
      </c>
      <c r="AA1279" s="4">
        <v>10</v>
      </c>
      <c r="AB1279" s="4">
        <v>1</v>
      </c>
      <c r="AC1279" s="4">
        <v>1</v>
      </c>
      <c r="AD1279" s="4">
        <v>24</v>
      </c>
      <c r="AE1279" s="4">
        <v>24</v>
      </c>
      <c r="AF1279" s="4">
        <v>0</v>
      </c>
      <c r="AG1279" s="4">
        <v>0</v>
      </c>
      <c r="AH1279" s="4">
        <v>20</v>
      </c>
      <c r="AI1279" s="4">
        <v>20</v>
      </c>
      <c r="AJ1279" s="4">
        <v>6</v>
      </c>
      <c r="AK1279" s="4">
        <v>6</v>
      </c>
      <c r="AL1279" s="4">
        <v>12</v>
      </c>
      <c r="AM1279" s="4">
        <v>12</v>
      </c>
      <c r="AN1279" s="4">
        <v>0</v>
      </c>
      <c r="AO1279" s="4">
        <v>0</v>
      </c>
      <c r="AP1279" s="4">
        <v>6</v>
      </c>
      <c r="AQ1279" s="4">
        <v>6</v>
      </c>
      <c r="AR1279" s="3" t="s">
        <v>64</v>
      </c>
      <c r="AS1279" s="3" t="s">
        <v>64</v>
      </c>
      <c r="AT1279" s="3" t="s">
        <v>64</v>
      </c>
      <c r="AV1279" s="6" t="str">
        <f>HYPERLINK("http://mcgill.on.worldcat.org/oclc/667248128","Catalog Record")</f>
        <v>Catalog Record</v>
      </c>
      <c r="AW1279" s="6" t="str">
        <f>HYPERLINK("http://www.worldcat.org/oclc/667248128","WorldCat Record")</f>
        <v>WorldCat Record</v>
      </c>
      <c r="AX1279" s="3" t="s">
        <v>13213</v>
      </c>
      <c r="AY1279" s="3" t="s">
        <v>13214</v>
      </c>
      <c r="AZ1279" s="3" t="s">
        <v>13215</v>
      </c>
      <c r="BA1279" s="3" t="s">
        <v>13215</v>
      </c>
      <c r="BB1279" s="3" t="s">
        <v>13216</v>
      </c>
      <c r="BC1279" s="3" t="s">
        <v>78</v>
      </c>
      <c r="BD1279" s="3" t="s">
        <v>79</v>
      </c>
      <c r="BE1279" s="3" t="s">
        <v>13217</v>
      </c>
      <c r="BF1279" s="3" t="s">
        <v>13216</v>
      </c>
      <c r="BG1279" s="3" t="s">
        <v>13218</v>
      </c>
    </row>
    <row r="1280" spans="1:59" ht="58" x14ac:dyDescent="0.35">
      <c r="A1280" s="2" t="s">
        <v>59</v>
      </c>
      <c r="B1280" s="2" t="s">
        <v>94</v>
      </c>
      <c r="C1280" s="2" t="s">
        <v>13219</v>
      </c>
      <c r="D1280" s="2" t="s">
        <v>13220</v>
      </c>
      <c r="E1280" s="2" t="s">
        <v>13221</v>
      </c>
      <c r="G1280" s="3" t="s">
        <v>64</v>
      </c>
      <c r="I1280" s="3" t="s">
        <v>64</v>
      </c>
      <c r="J1280" s="3" t="s">
        <v>64</v>
      </c>
      <c r="K1280" s="3" t="s">
        <v>65</v>
      </c>
      <c r="M1280" s="2" t="s">
        <v>13222</v>
      </c>
      <c r="N1280" s="3" t="s">
        <v>449</v>
      </c>
      <c r="P1280" s="3" t="s">
        <v>69</v>
      </c>
      <c r="Q1280" s="2" t="s">
        <v>13223</v>
      </c>
      <c r="R1280" s="3" t="s">
        <v>9228</v>
      </c>
      <c r="S1280" s="4">
        <v>1</v>
      </c>
      <c r="T1280" s="4">
        <v>1</v>
      </c>
      <c r="U1280" s="5" t="s">
        <v>13224</v>
      </c>
      <c r="V1280" s="5" t="s">
        <v>13224</v>
      </c>
      <c r="W1280" s="5" t="s">
        <v>72</v>
      </c>
      <c r="X1280" s="5" t="s">
        <v>72</v>
      </c>
      <c r="Y1280" s="4">
        <v>104</v>
      </c>
      <c r="Z1280" s="4">
        <v>10</v>
      </c>
      <c r="AA1280" s="4">
        <v>14</v>
      </c>
      <c r="AB1280" s="4">
        <v>1</v>
      </c>
      <c r="AC1280" s="4">
        <v>4</v>
      </c>
      <c r="AD1280" s="4">
        <v>40</v>
      </c>
      <c r="AE1280" s="4">
        <v>45</v>
      </c>
      <c r="AF1280" s="4">
        <v>0</v>
      </c>
      <c r="AG1280" s="4">
        <v>0</v>
      </c>
      <c r="AH1280" s="4">
        <v>35</v>
      </c>
      <c r="AI1280" s="4">
        <v>39</v>
      </c>
      <c r="AJ1280" s="4">
        <v>7</v>
      </c>
      <c r="AK1280" s="4">
        <v>7</v>
      </c>
      <c r="AL1280" s="4">
        <v>24</v>
      </c>
      <c r="AM1280" s="4">
        <v>26</v>
      </c>
      <c r="AN1280" s="4">
        <v>0</v>
      </c>
      <c r="AO1280" s="4">
        <v>0</v>
      </c>
      <c r="AP1280" s="4">
        <v>8</v>
      </c>
      <c r="AQ1280" s="4">
        <v>9</v>
      </c>
      <c r="AR1280" s="3" t="s">
        <v>64</v>
      </c>
      <c r="AS1280" s="3" t="s">
        <v>64</v>
      </c>
      <c r="AT1280" s="3" t="s">
        <v>64</v>
      </c>
      <c r="AV1280" s="6" t="str">
        <f>HYPERLINK("http://mcgill.on.worldcat.org/oclc/191872967","Catalog Record")</f>
        <v>Catalog Record</v>
      </c>
      <c r="AW1280" s="6" t="str">
        <f>HYPERLINK("http://www.worldcat.org/oclc/191872967","WorldCat Record")</f>
        <v>WorldCat Record</v>
      </c>
      <c r="AX1280" s="3" t="s">
        <v>13225</v>
      </c>
      <c r="AY1280" s="3" t="s">
        <v>13226</v>
      </c>
      <c r="AZ1280" s="3" t="s">
        <v>13227</v>
      </c>
      <c r="BA1280" s="3" t="s">
        <v>13227</v>
      </c>
      <c r="BB1280" s="3" t="s">
        <v>13228</v>
      </c>
      <c r="BC1280" s="3" t="s">
        <v>78</v>
      </c>
      <c r="BD1280" s="3" t="s">
        <v>79</v>
      </c>
      <c r="BE1280" s="3" t="s">
        <v>13229</v>
      </c>
      <c r="BF1280" s="3" t="s">
        <v>13228</v>
      </c>
      <c r="BG1280" s="3" t="s">
        <v>13230</v>
      </c>
    </row>
    <row r="1281" spans="1:59" ht="58" x14ac:dyDescent="0.35">
      <c r="A1281" s="2" t="s">
        <v>59</v>
      </c>
      <c r="B1281" s="2" t="s">
        <v>94</v>
      </c>
      <c r="C1281" s="2" t="s">
        <v>13231</v>
      </c>
      <c r="D1281" s="2" t="s">
        <v>13232</v>
      </c>
      <c r="E1281" s="2" t="s">
        <v>13233</v>
      </c>
      <c r="G1281" s="3" t="s">
        <v>64</v>
      </c>
      <c r="I1281" s="3" t="s">
        <v>64</v>
      </c>
      <c r="J1281" s="3" t="s">
        <v>64</v>
      </c>
      <c r="K1281" s="3" t="s">
        <v>65</v>
      </c>
      <c r="L1281" s="2" t="s">
        <v>4391</v>
      </c>
      <c r="M1281" s="2" t="s">
        <v>13234</v>
      </c>
      <c r="N1281" s="3" t="s">
        <v>161</v>
      </c>
      <c r="P1281" s="3" t="s">
        <v>69</v>
      </c>
      <c r="R1281" s="3" t="s">
        <v>9228</v>
      </c>
      <c r="S1281" s="4">
        <v>3</v>
      </c>
      <c r="T1281" s="4">
        <v>3</v>
      </c>
      <c r="U1281" s="5" t="s">
        <v>4393</v>
      </c>
      <c r="V1281" s="5" t="s">
        <v>4393</v>
      </c>
      <c r="W1281" s="5" t="s">
        <v>72</v>
      </c>
      <c r="X1281" s="5" t="s">
        <v>72</v>
      </c>
      <c r="Y1281" s="4">
        <v>279</v>
      </c>
      <c r="Z1281" s="4">
        <v>11</v>
      </c>
      <c r="AA1281" s="4">
        <v>41</v>
      </c>
      <c r="AB1281" s="4">
        <v>1</v>
      </c>
      <c r="AC1281" s="4">
        <v>7</v>
      </c>
      <c r="AD1281" s="4">
        <v>77</v>
      </c>
      <c r="AE1281" s="4">
        <v>119</v>
      </c>
      <c r="AF1281" s="4">
        <v>0</v>
      </c>
      <c r="AG1281" s="4">
        <v>4</v>
      </c>
      <c r="AH1281" s="4">
        <v>69</v>
      </c>
      <c r="AI1281" s="4">
        <v>96</v>
      </c>
      <c r="AJ1281" s="4">
        <v>5</v>
      </c>
      <c r="AK1281" s="4">
        <v>22</v>
      </c>
      <c r="AL1281" s="4">
        <v>45</v>
      </c>
      <c r="AM1281" s="4">
        <v>56</v>
      </c>
      <c r="AN1281" s="4">
        <v>0</v>
      </c>
      <c r="AO1281" s="4">
        <v>0</v>
      </c>
      <c r="AP1281" s="4">
        <v>7</v>
      </c>
      <c r="AQ1281" s="4">
        <v>28</v>
      </c>
      <c r="AR1281" s="3" t="s">
        <v>64</v>
      </c>
      <c r="AS1281" s="3" t="s">
        <v>64</v>
      </c>
      <c r="AT1281" s="3" t="s">
        <v>73</v>
      </c>
      <c r="AU1281" s="6" t="str">
        <f>HYPERLINK("http://catalog.hathitrust.org/Record/001047967","HathiTrust Record")</f>
        <v>HathiTrust Record</v>
      </c>
      <c r="AV1281" s="6" t="str">
        <f>HYPERLINK("http://mcgill.on.worldcat.org/oclc/691544","Catalog Record")</f>
        <v>Catalog Record</v>
      </c>
      <c r="AW1281" s="6" t="str">
        <f>HYPERLINK("http://www.worldcat.org/oclc/691544","WorldCat Record")</f>
        <v>WorldCat Record</v>
      </c>
      <c r="AX1281" s="3" t="s">
        <v>13235</v>
      </c>
      <c r="AY1281" s="3" t="s">
        <v>13236</v>
      </c>
      <c r="AZ1281" s="3" t="s">
        <v>13237</v>
      </c>
      <c r="BA1281" s="3" t="s">
        <v>13237</v>
      </c>
      <c r="BB1281" s="3" t="s">
        <v>13238</v>
      </c>
      <c r="BC1281" s="3" t="s">
        <v>78</v>
      </c>
      <c r="BD1281" s="3" t="s">
        <v>79</v>
      </c>
      <c r="BF1281" s="3" t="s">
        <v>13238</v>
      </c>
      <c r="BG1281" s="3" t="s">
        <v>13239</v>
      </c>
    </row>
    <row r="1282" spans="1:59" ht="58" x14ac:dyDescent="0.35">
      <c r="A1282" s="2" t="s">
        <v>59</v>
      </c>
      <c r="B1282" s="2" t="s">
        <v>94</v>
      </c>
      <c r="C1282" s="2" t="s">
        <v>13240</v>
      </c>
      <c r="D1282" s="2" t="s">
        <v>13241</v>
      </c>
      <c r="E1282" s="2" t="s">
        <v>13242</v>
      </c>
      <c r="G1282" s="3" t="s">
        <v>64</v>
      </c>
      <c r="I1282" s="3" t="s">
        <v>64</v>
      </c>
      <c r="J1282" s="3" t="s">
        <v>64</v>
      </c>
      <c r="K1282" s="3" t="s">
        <v>65</v>
      </c>
      <c r="L1282" s="2" t="s">
        <v>13243</v>
      </c>
      <c r="M1282" s="2" t="s">
        <v>13244</v>
      </c>
      <c r="N1282" s="3" t="s">
        <v>214</v>
      </c>
      <c r="P1282" s="3" t="s">
        <v>69</v>
      </c>
      <c r="Q1282" s="2" t="s">
        <v>7915</v>
      </c>
      <c r="R1282" s="3" t="s">
        <v>9228</v>
      </c>
      <c r="S1282" s="4">
        <v>1</v>
      </c>
      <c r="T1282" s="4">
        <v>1</v>
      </c>
      <c r="U1282" s="5" t="s">
        <v>7903</v>
      </c>
      <c r="V1282" s="5" t="s">
        <v>7903</v>
      </c>
      <c r="W1282" s="5" t="s">
        <v>72</v>
      </c>
      <c r="X1282" s="5" t="s">
        <v>72</v>
      </c>
      <c r="Y1282" s="4">
        <v>98</v>
      </c>
      <c r="Z1282" s="4">
        <v>7</v>
      </c>
      <c r="AA1282" s="4">
        <v>12</v>
      </c>
      <c r="AB1282" s="4">
        <v>1</v>
      </c>
      <c r="AC1282" s="4">
        <v>4</v>
      </c>
      <c r="AD1282" s="4">
        <v>41</v>
      </c>
      <c r="AE1282" s="4">
        <v>48</v>
      </c>
      <c r="AF1282" s="4">
        <v>0</v>
      </c>
      <c r="AG1282" s="4">
        <v>1</v>
      </c>
      <c r="AH1282" s="4">
        <v>39</v>
      </c>
      <c r="AI1282" s="4">
        <v>45</v>
      </c>
      <c r="AJ1282" s="4">
        <v>5</v>
      </c>
      <c r="AK1282" s="4">
        <v>8</v>
      </c>
      <c r="AL1282" s="4">
        <v>26</v>
      </c>
      <c r="AM1282" s="4">
        <v>29</v>
      </c>
      <c r="AN1282" s="4">
        <v>0</v>
      </c>
      <c r="AO1282" s="4">
        <v>0</v>
      </c>
      <c r="AP1282" s="4">
        <v>5</v>
      </c>
      <c r="AQ1282" s="4">
        <v>8</v>
      </c>
      <c r="AR1282" s="3" t="s">
        <v>64</v>
      </c>
      <c r="AS1282" s="3" t="s">
        <v>64</v>
      </c>
      <c r="AT1282" s="3" t="s">
        <v>64</v>
      </c>
      <c r="AV1282" s="6" t="str">
        <f>HYPERLINK("http://mcgill.on.worldcat.org/oclc/428030700","Catalog Record")</f>
        <v>Catalog Record</v>
      </c>
      <c r="AW1282" s="6" t="str">
        <f>HYPERLINK("http://www.worldcat.org/oclc/428030700","WorldCat Record")</f>
        <v>WorldCat Record</v>
      </c>
      <c r="AX1282" s="3" t="s">
        <v>13245</v>
      </c>
      <c r="AY1282" s="3" t="s">
        <v>13246</v>
      </c>
      <c r="AZ1282" s="3" t="s">
        <v>13247</v>
      </c>
      <c r="BA1282" s="3" t="s">
        <v>13247</v>
      </c>
      <c r="BB1282" s="3" t="s">
        <v>13248</v>
      </c>
      <c r="BC1282" s="3" t="s">
        <v>78</v>
      </c>
      <c r="BD1282" s="3" t="s">
        <v>79</v>
      </c>
      <c r="BE1282" s="3" t="s">
        <v>13249</v>
      </c>
      <c r="BF1282" s="3" t="s">
        <v>13248</v>
      </c>
      <c r="BG1282" s="3" t="s">
        <v>13250</v>
      </c>
    </row>
    <row r="1283" spans="1:59" ht="58" x14ac:dyDescent="0.35">
      <c r="A1283" s="2" t="s">
        <v>59</v>
      </c>
      <c r="B1283" s="2" t="s">
        <v>94</v>
      </c>
      <c r="C1283" s="2" t="s">
        <v>13251</v>
      </c>
      <c r="D1283" s="2" t="s">
        <v>13252</v>
      </c>
      <c r="E1283" s="2" t="s">
        <v>13253</v>
      </c>
      <c r="G1283" s="3" t="s">
        <v>64</v>
      </c>
      <c r="I1283" s="3" t="s">
        <v>64</v>
      </c>
      <c r="J1283" s="3" t="s">
        <v>64</v>
      </c>
      <c r="K1283" s="3" t="s">
        <v>65</v>
      </c>
      <c r="L1283" s="2" t="s">
        <v>13254</v>
      </c>
      <c r="M1283" s="2" t="s">
        <v>13255</v>
      </c>
      <c r="N1283" s="3" t="s">
        <v>175</v>
      </c>
      <c r="P1283" s="3" t="s">
        <v>69</v>
      </c>
      <c r="R1283" s="3" t="s">
        <v>9228</v>
      </c>
      <c r="S1283" s="4">
        <v>0</v>
      </c>
      <c r="T1283" s="4">
        <v>0</v>
      </c>
      <c r="W1283" s="5" t="s">
        <v>72</v>
      </c>
      <c r="X1283" s="5" t="s">
        <v>72</v>
      </c>
      <c r="Y1283" s="4">
        <v>90</v>
      </c>
      <c r="Z1283" s="4">
        <v>9</v>
      </c>
      <c r="AA1283" s="4">
        <v>74</v>
      </c>
      <c r="AB1283" s="4">
        <v>1</v>
      </c>
      <c r="AC1283" s="4">
        <v>15</v>
      </c>
      <c r="AD1283" s="4">
        <v>34</v>
      </c>
      <c r="AE1283" s="4">
        <v>95</v>
      </c>
      <c r="AF1283" s="4">
        <v>0</v>
      </c>
      <c r="AG1283" s="4">
        <v>8</v>
      </c>
      <c r="AH1283" s="4">
        <v>32</v>
      </c>
      <c r="AI1283" s="4">
        <v>66</v>
      </c>
      <c r="AJ1283" s="4">
        <v>5</v>
      </c>
      <c r="AK1283" s="4">
        <v>21</v>
      </c>
      <c r="AL1283" s="4">
        <v>21</v>
      </c>
      <c r="AM1283" s="4">
        <v>35</v>
      </c>
      <c r="AN1283" s="4">
        <v>0</v>
      </c>
      <c r="AO1283" s="4">
        <v>0</v>
      </c>
      <c r="AP1283" s="4">
        <v>5</v>
      </c>
      <c r="AQ1283" s="4">
        <v>38</v>
      </c>
      <c r="AR1283" s="3" t="s">
        <v>64</v>
      </c>
      <c r="AS1283" s="3" t="s">
        <v>64</v>
      </c>
      <c r="AT1283" s="3" t="s">
        <v>64</v>
      </c>
      <c r="AV1283" s="6" t="str">
        <f>HYPERLINK("http://mcgill.on.worldcat.org/oclc/868380566","Catalog Record")</f>
        <v>Catalog Record</v>
      </c>
      <c r="AW1283" s="6" t="str">
        <f>HYPERLINK("http://www.worldcat.org/oclc/868380566","WorldCat Record")</f>
        <v>WorldCat Record</v>
      </c>
      <c r="AX1283" s="3" t="s">
        <v>13256</v>
      </c>
      <c r="AY1283" s="3" t="s">
        <v>13257</v>
      </c>
      <c r="AZ1283" s="3" t="s">
        <v>13258</v>
      </c>
      <c r="BA1283" s="3" t="s">
        <v>13258</v>
      </c>
      <c r="BB1283" s="3" t="s">
        <v>13259</v>
      </c>
      <c r="BC1283" s="3" t="s">
        <v>78</v>
      </c>
      <c r="BD1283" s="3" t="s">
        <v>79</v>
      </c>
      <c r="BE1283" s="3" t="s">
        <v>13260</v>
      </c>
      <c r="BF1283" s="3" t="s">
        <v>13259</v>
      </c>
      <c r="BG1283" s="3" t="s">
        <v>13261</v>
      </c>
    </row>
    <row r="1284" spans="1:59" ht="58" x14ac:dyDescent="0.35">
      <c r="A1284" s="2" t="s">
        <v>59</v>
      </c>
      <c r="B1284" s="2" t="s">
        <v>94</v>
      </c>
      <c r="C1284" s="2" t="s">
        <v>13262</v>
      </c>
      <c r="D1284" s="2" t="s">
        <v>13263</v>
      </c>
      <c r="E1284" s="2" t="s">
        <v>13264</v>
      </c>
      <c r="G1284" s="3" t="s">
        <v>64</v>
      </c>
      <c r="I1284" s="3" t="s">
        <v>64</v>
      </c>
      <c r="J1284" s="3" t="s">
        <v>64</v>
      </c>
      <c r="K1284" s="3" t="s">
        <v>65</v>
      </c>
      <c r="L1284" s="2" t="s">
        <v>13265</v>
      </c>
      <c r="M1284" s="2" t="s">
        <v>921</v>
      </c>
      <c r="N1284" s="3" t="s">
        <v>377</v>
      </c>
      <c r="P1284" s="3" t="s">
        <v>69</v>
      </c>
      <c r="R1284" s="3" t="s">
        <v>9228</v>
      </c>
      <c r="S1284" s="4">
        <v>0</v>
      </c>
      <c r="T1284" s="4">
        <v>0</v>
      </c>
      <c r="W1284" s="5" t="s">
        <v>72</v>
      </c>
      <c r="X1284" s="5" t="s">
        <v>72</v>
      </c>
      <c r="Y1284" s="4">
        <v>90</v>
      </c>
      <c r="Z1284" s="4">
        <v>7</v>
      </c>
      <c r="AA1284" s="4">
        <v>10</v>
      </c>
      <c r="AB1284" s="4">
        <v>1</v>
      </c>
      <c r="AC1284" s="4">
        <v>4</v>
      </c>
      <c r="AD1284" s="4">
        <v>42</v>
      </c>
      <c r="AE1284" s="4">
        <v>43</v>
      </c>
      <c r="AF1284" s="4">
        <v>0</v>
      </c>
      <c r="AG1284" s="4">
        <v>1</v>
      </c>
      <c r="AH1284" s="4">
        <v>42</v>
      </c>
      <c r="AI1284" s="4">
        <v>43</v>
      </c>
      <c r="AJ1284" s="4">
        <v>5</v>
      </c>
      <c r="AK1284" s="4">
        <v>6</v>
      </c>
      <c r="AL1284" s="4">
        <v>25</v>
      </c>
      <c r="AM1284" s="4">
        <v>25</v>
      </c>
      <c r="AN1284" s="4">
        <v>0</v>
      </c>
      <c r="AO1284" s="4">
        <v>0</v>
      </c>
      <c r="AP1284" s="4">
        <v>5</v>
      </c>
      <c r="AQ1284" s="4">
        <v>6</v>
      </c>
      <c r="AR1284" s="3" t="s">
        <v>64</v>
      </c>
      <c r="AS1284" s="3" t="s">
        <v>64</v>
      </c>
      <c r="AT1284" s="3" t="s">
        <v>64</v>
      </c>
      <c r="AV1284" s="6" t="str">
        <f>HYPERLINK("http://mcgill.on.worldcat.org/oclc/769471066","Catalog Record")</f>
        <v>Catalog Record</v>
      </c>
      <c r="AW1284" s="6" t="str">
        <f>HYPERLINK("http://www.worldcat.org/oclc/769471066","WorldCat Record")</f>
        <v>WorldCat Record</v>
      </c>
      <c r="AX1284" s="3" t="s">
        <v>13266</v>
      </c>
      <c r="AY1284" s="3" t="s">
        <v>13267</v>
      </c>
      <c r="AZ1284" s="3" t="s">
        <v>13268</v>
      </c>
      <c r="BA1284" s="3" t="s">
        <v>13268</v>
      </c>
      <c r="BB1284" s="3" t="s">
        <v>13269</v>
      </c>
      <c r="BC1284" s="3" t="s">
        <v>78</v>
      </c>
      <c r="BD1284" s="3" t="s">
        <v>79</v>
      </c>
      <c r="BE1284" s="3" t="s">
        <v>13270</v>
      </c>
      <c r="BF1284" s="3" t="s">
        <v>13269</v>
      </c>
      <c r="BG1284" s="3" t="s">
        <v>13271</v>
      </c>
    </row>
    <row r="1285" spans="1:59" ht="58" x14ac:dyDescent="0.35">
      <c r="A1285" s="2" t="s">
        <v>59</v>
      </c>
      <c r="B1285" s="2" t="s">
        <v>94</v>
      </c>
      <c r="C1285" s="2" t="s">
        <v>13272</v>
      </c>
      <c r="D1285" s="2" t="s">
        <v>13273</v>
      </c>
      <c r="E1285" s="2" t="s">
        <v>13274</v>
      </c>
      <c r="G1285" s="3" t="s">
        <v>64</v>
      </c>
      <c r="I1285" s="3" t="s">
        <v>73</v>
      </c>
      <c r="J1285" s="3" t="s">
        <v>64</v>
      </c>
      <c r="K1285" s="3" t="s">
        <v>65</v>
      </c>
      <c r="L1285" s="2" t="s">
        <v>13275</v>
      </c>
      <c r="M1285" s="2" t="s">
        <v>13276</v>
      </c>
      <c r="N1285" s="3" t="s">
        <v>1320</v>
      </c>
      <c r="P1285" s="3" t="s">
        <v>69</v>
      </c>
      <c r="R1285" s="3" t="s">
        <v>9228</v>
      </c>
      <c r="S1285" s="4">
        <v>4</v>
      </c>
      <c r="T1285" s="4">
        <v>17</v>
      </c>
      <c r="U1285" s="5" t="s">
        <v>7854</v>
      </c>
      <c r="V1285" s="5" t="s">
        <v>13277</v>
      </c>
      <c r="W1285" s="5" t="s">
        <v>72</v>
      </c>
      <c r="X1285" s="5" t="s">
        <v>72</v>
      </c>
      <c r="Y1285" s="4">
        <v>258</v>
      </c>
      <c r="Z1285" s="4">
        <v>15</v>
      </c>
      <c r="AA1285" s="4">
        <v>19</v>
      </c>
      <c r="AB1285" s="4">
        <v>1</v>
      </c>
      <c r="AC1285" s="4">
        <v>4</v>
      </c>
      <c r="AD1285" s="4">
        <v>68</v>
      </c>
      <c r="AE1285" s="4">
        <v>70</v>
      </c>
      <c r="AF1285" s="4">
        <v>0</v>
      </c>
      <c r="AG1285" s="4">
        <v>0</v>
      </c>
      <c r="AH1285" s="4">
        <v>61</v>
      </c>
      <c r="AI1285" s="4">
        <v>62</v>
      </c>
      <c r="AJ1285" s="4">
        <v>6</v>
      </c>
      <c r="AK1285" s="4">
        <v>7</v>
      </c>
      <c r="AL1285" s="4">
        <v>37</v>
      </c>
      <c r="AM1285" s="4">
        <v>37</v>
      </c>
      <c r="AN1285" s="4">
        <v>0</v>
      </c>
      <c r="AO1285" s="4">
        <v>0</v>
      </c>
      <c r="AP1285" s="4">
        <v>10</v>
      </c>
      <c r="AQ1285" s="4">
        <v>11</v>
      </c>
      <c r="AR1285" s="3" t="s">
        <v>64</v>
      </c>
      <c r="AS1285" s="3" t="s">
        <v>64</v>
      </c>
      <c r="AT1285" s="3" t="s">
        <v>64</v>
      </c>
      <c r="AV1285" s="6" t="str">
        <f>HYPERLINK("http://mcgill.on.worldcat.org/oclc/32090471","Catalog Record")</f>
        <v>Catalog Record</v>
      </c>
      <c r="AW1285" s="6" t="str">
        <f>HYPERLINK("http://www.worldcat.org/oclc/32090471","WorldCat Record")</f>
        <v>WorldCat Record</v>
      </c>
      <c r="AX1285" s="3" t="s">
        <v>13278</v>
      </c>
      <c r="AY1285" s="3" t="s">
        <v>13279</v>
      </c>
      <c r="AZ1285" s="3" t="s">
        <v>13280</v>
      </c>
      <c r="BA1285" s="3" t="s">
        <v>13280</v>
      </c>
      <c r="BB1285" s="3" t="s">
        <v>13281</v>
      </c>
      <c r="BC1285" s="3" t="s">
        <v>78</v>
      </c>
      <c r="BD1285" s="3" t="s">
        <v>79</v>
      </c>
      <c r="BE1285" s="3" t="s">
        <v>13282</v>
      </c>
      <c r="BF1285" s="3" t="s">
        <v>13281</v>
      </c>
      <c r="BG1285" s="3" t="s">
        <v>13283</v>
      </c>
    </row>
    <row r="1286" spans="1:59" ht="58" x14ac:dyDescent="0.35">
      <c r="A1286" s="2" t="s">
        <v>59</v>
      </c>
      <c r="B1286" s="2" t="s">
        <v>94</v>
      </c>
      <c r="C1286" s="2" t="s">
        <v>13284</v>
      </c>
      <c r="D1286" s="2" t="s">
        <v>13285</v>
      </c>
      <c r="E1286" s="2" t="s">
        <v>13274</v>
      </c>
      <c r="G1286" s="3" t="s">
        <v>64</v>
      </c>
      <c r="I1286" s="3" t="s">
        <v>73</v>
      </c>
      <c r="J1286" s="3" t="s">
        <v>64</v>
      </c>
      <c r="K1286" s="3" t="s">
        <v>65</v>
      </c>
      <c r="L1286" s="2" t="s">
        <v>13275</v>
      </c>
      <c r="M1286" s="2" t="s">
        <v>13276</v>
      </c>
      <c r="N1286" s="3" t="s">
        <v>1320</v>
      </c>
      <c r="P1286" s="3" t="s">
        <v>69</v>
      </c>
      <c r="R1286" s="3" t="s">
        <v>9228</v>
      </c>
      <c r="S1286" s="4">
        <v>13</v>
      </c>
      <c r="T1286" s="4">
        <v>17</v>
      </c>
      <c r="U1286" s="5" t="s">
        <v>13277</v>
      </c>
      <c r="V1286" s="5" t="s">
        <v>13277</v>
      </c>
      <c r="W1286" s="5" t="s">
        <v>72</v>
      </c>
      <c r="X1286" s="5" t="s">
        <v>72</v>
      </c>
      <c r="Y1286" s="4">
        <v>258</v>
      </c>
      <c r="Z1286" s="4">
        <v>15</v>
      </c>
      <c r="AA1286" s="4">
        <v>19</v>
      </c>
      <c r="AB1286" s="4">
        <v>1</v>
      </c>
      <c r="AC1286" s="4">
        <v>4</v>
      </c>
      <c r="AD1286" s="4">
        <v>68</v>
      </c>
      <c r="AE1286" s="4">
        <v>70</v>
      </c>
      <c r="AF1286" s="4">
        <v>0</v>
      </c>
      <c r="AG1286" s="4">
        <v>0</v>
      </c>
      <c r="AH1286" s="4">
        <v>61</v>
      </c>
      <c r="AI1286" s="4">
        <v>62</v>
      </c>
      <c r="AJ1286" s="4">
        <v>6</v>
      </c>
      <c r="AK1286" s="4">
        <v>7</v>
      </c>
      <c r="AL1286" s="4">
        <v>37</v>
      </c>
      <c r="AM1286" s="4">
        <v>37</v>
      </c>
      <c r="AN1286" s="4">
        <v>0</v>
      </c>
      <c r="AO1286" s="4">
        <v>0</v>
      </c>
      <c r="AP1286" s="4">
        <v>10</v>
      </c>
      <c r="AQ1286" s="4">
        <v>11</v>
      </c>
      <c r="AR1286" s="3" t="s">
        <v>64</v>
      </c>
      <c r="AS1286" s="3" t="s">
        <v>64</v>
      </c>
      <c r="AT1286" s="3" t="s">
        <v>64</v>
      </c>
      <c r="AV1286" s="6" t="str">
        <f>HYPERLINK("http://mcgill.on.worldcat.org/oclc/32090471","Catalog Record")</f>
        <v>Catalog Record</v>
      </c>
      <c r="AW1286" s="6" t="str">
        <f>HYPERLINK("http://www.worldcat.org/oclc/32090471","WorldCat Record")</f>
        <v>WorldCat Record</v>
      </c>
      <c r="AX1286" s="3" t="s">
        <v>13278</v>
      </c>
      <c r="AY1286" s="3" t="s">
        <v>13279</v>
      </c>
      <c r="AZ1286" s="3" t="s">
        <v>13280</v>
      </c>
      <c r="BA1286" s="3" t="s">
        <v>13280</v>
      </c>
      <c r="BB1286" s="3" t="s">
        <v>13286</v>
      </c>
      <c r="BC1286" s="3" t="s">
        <v>78</v>
      </c>
      <c r="BD1286" s="3" t="s">
        <v>79</v>
      </c>
      <c r="BE1286" s="3" t="s">
        <v>13282</v>
      </c>
      <c r="BF1286" s="3" t="s">
        <v>13286</v>
      </c>
      <c r="BG1286" s="3" t="s">
        <v>13287</v>
      </c>
    </row>
    <row r="1287" spans="1:59" ht="58" x14ac:dyDescent="0.35">
      <c r="A1287" s="2" t="s">
        <v>59</v>
      </c>
      <c r="B1287" s="2" t="s">
        <v>94</v>
      </c>
      <c r="C1287" s="2" t="s">
        <v>13288</v>
      </c>
      <c r="D1287" s="2" t="s">
        <v>13289</v>
      </c>
      <c r="E1287" s="2" t="s">
        <v>13290</v>
      </c>
      <c r="G1287" s="3" t="s">
        <v>64</v>
      </c>
      <c r="I1287" s="3" t="s">
        <v>64</v>
      </c>
      <c r="J1287" s="3" t="s">
        <v>64</v>
      </c>
      <c r="K1287" s="3" t="s">
        <v>65</v>
      </c>
      <c r="L1287" s="2" t="s">
        <v>13291</v>
      </c>
      <c r="M1287" s="2" t="s">
        <v>13292</v>
      </c>
      <c r="N1287" s="3" t="s">
        <v>264</v>
      </c>
      <c r="P1287" s="3" t="s">
        <v>69</v>
      </c>
      <c r="R1287" s="3" t="s">
        <v>9228</v>
      </c>
      <c r="S1287" s="4">
        <v>15</v>
      </c>
      <c r="T1287" s="4">
        <v>15</v>
      </c>
      <c r="U1287" s="5" t="s">
        <v>8295</v>
      </c>
      <c r="V1287" s="5" t="s">
        <v>8295</v>
      </c>
      <c r="W1287" s="5" t="s">
        <v>72</v>
      </c>
      <c r="X1287" s="5" t="s">
        <v>72</v>
      </c>
      <c r="Y1287" s="4">
        <v>607</v>
      </c>
      <c r="Z1287" s="4">
        <v>47</v>
      </c>
      <c r="AA1287" s="4">
        <v>52</v>
      </c>
      <c r="AB1287" s="4">
        <v>4</v>
      </c>
      <c r="AC1287" s="4">
        <v>7</v>
      </c>
      <c r="AD1287" s="4">
        <v>128</v>
      </c>
      <c r="AE1287" s="4">
        <v>132</v>
      </c>
      <c r="AF1287" s="4">
        <v>2</v>
      </c>
      <c r="AG1287" s="4">
        <v>2</v>
      </c>
      <c r="AH1287" s="4">
        <v>99</v>
      </c>
      <c r="AI1287" s="4">
        <v>103</v>
      </c>
      <c r="AJ1287" s="4">
        <v>21</v>
      </c>
      <c r="AK1287" s="4">
        <v>21</v>
      </c>
      <c r="AL1287" s="4">
        <v>55</v>
      </c>
      <c r="AM1287" s="4">
        <v>57</v>
      </c>
      <c r="AN1287" s="4">
        <v>0</v>
      </c>
      <c r="AO1287" s="4">
        <v>0</v>
      </c>
      <c r="AP1287" s="4">
        <v>36</v>
      </c>
      <c r="AQ1287" s="4">
        <v>36</v>
      </c>
      <c r="AR1287" s="3" t="s">
        <v>64</v>
      </c>
      <c r="AS1287" s="3" t="s">
        <v>64</v>
      </c>
      <c r="AT1287" s="3" t="s">
        <v>64</v>
      </c>
      <c r="AV1287" s="6" t="str">
        <f>HYPERLINK("http://mcgill.on.worldcat.org/oclc/2645722","Catalog Record")</f>
        <v>Catalog Record</v>
      </c>
      <c r="AW1287" s="6" t="str">
        <f>HYPERLINK("http://www.worldcat.org/oclc/2645722","WorldCat Record")</f>
        <v>WorldCat Record</v>
      </c>
      <c r="AX1287" s="3" t="s">
        <v>13293</v>
      </c>
      <c r="AY1287" s="3" t="s">
        <v>13294</v>
      </c>
      <c r="AZ1287" s="3" t="s">
        <v>13295</v>
      </c>
      <c r="BA1287" s="3" t="s">
        <v>13295</v>
      </c>
      <c r="BB1287" s="3" t="s">
        <v>13296</v>
      </c>
      <c r="BC1287" s="3" t="s">
        <v>78</v>
      </c>
      <c r="BD1287" s="3" t="s">
        <v>79</v>
      </c>
      <c r="BE1287" s="3" t="s">
        <v>13297</v>
      </c>
      <c r="BF1287" s="3" t="s">
        <v>13296</v>
      </c>
      <c r="BG1287" s="3" t="s">
        <v>13298</v>
      </c>
    </row>
    <row r="1288" spans="1:59" ht="58" x14ac:dyDescent="0.35">
      <c r="A1288" s="2" t="s">
        <v>59</v>
      </c>
      <c r="B1288" s="2" t="s">
        <v>94</v>
      </c>
      <c r="C1288" s="2" t="s">
        <v>13299</v>
      </c>
      <c r="D1288" s="2" t="s">
        <v>13300</v>
      </c>
      <c r="E1288" s="2" t="s">
        <v>13301</v>
      </c>
      <c r="G1288" s="3" t="s">
        <v>64</v>
      </c>
      <c r="I1288" s="3" t="s">
        <v>64</v>
      </c>
      <c r="J1288" s="3" t="s">
        <v>64</v>
      </c>
      <c r="K1288" s="3" t="s">
        <v>65</v>
      </c>
      <c r="L1288" s="2" t="s">
        <v>13302</v>
      </c>
      <c r="M1288" s="2" t="s">
        <v>13303</v>
      </c>
      <c r="N1288" s="3" t="s">
        <v>486</v>
      </c>
      <c r="P1288" s="3" t="s">
        <v>69</v>
      </c>
      <c r="R1288" s="3" t="s">
        <v>9228</v>
      </c>
      <c r="S1288" s="4">
        <v>29</v>
      </c>
      <c r="T1288" s="4">
        <v>29</v>
      </c>
      <c r="U1288" s="5" t="s">
        <v>8295</v>
      </c>
      <c r="V1288" s="5" t="s">
        <v>8295</v>
      </c>
      <c r="W1288" s="5" t="s">
        <v>72</v>
      </c>
      <c r="X1288" s="5" t="s">
        <v>72</v>
      </c>
      <c r="Y1288" s="4">
        <v>461</v>
      </c>
      <c r="Z1288" s="4">
        <v>35</v>
      </c>
      <c r="AA1288" s="4">
        <v>38</v>
      </c>
      <c r="AB1288" s="4">
        <v>3</v>
      </c>
      <c r="AC1288" s="4">
        <v>6</v>
      </c>
      <c r="AD1288" s="4">
        <v>116</v>
      </c>
      <c r="AE1288" s="4">
        <v>119</v>
      </c>
      <c r="AF1288" s="4">
        <v>2</v>
      </c>
      <c r="AG1288" s="4">
        <v>5</v>
      </c>
      <c r="AH1288" s="4">
        <v>98</v>
      </c>
      <c r="AI1288" s="4">
        <v>99</v>
      </c>
      <c r="AJ1288" s="4">
        <v>19</v>
      </c>
      <c r="AK1288" s="4">
        <v>22</v>
      </c>
      <c r="AL1288" s="4">
        <v>53</v>
      </c>
      <c r="AM1288" s="4">
        <v>53</v>
      </c>
      <c r="AN1288" s="4">
        <v>0</v>
      </c>
      <c r="AO1288" s="4">
        <v>0</v>
      </c>
      <c r="AP1288" s="4">
        <v>27</v>
      </c>
      <c r="AQ1288" s="4">
        <v>29</v>
      </c>
      <c r="AR1288" s="3" t="s">
        <v>64</v>
      </c>
      <c r="AS1288" s="3" t="s">
        <v>64</v>
      </c>
      <c r="AT1288" s="3" t="s">
        <v>73</v>
      </c>
      <c r="AU1288" s="6" t="str">
        <f>HYPERLINK("http://catalog.hathitrust.org/Record/000738809","HathiTrust Record")</f>
        <v>HathiTrust Record</v>
      </c>
      <c r="AV1288" s="6" t="str">
        <f>HYPERLINK("http://mcgill.on.worldcat.org/oclc/6142431","Catalog Record")</f>
        <v>Catalog Record</v>
      </c>
      <c r="AW1288" s="6" t="str">
        <f>HYPERLINK("http://www.worldcat.org/oclc/6142431","WorldCat Record")</f>
        <v>WorldCat Record</v>
      </c>
      <c r="AX1288" s="3" t="s">
        <v>13304</v>
      </c>
      <c r="AY1288" s="3" t="s">
        <v>13305</v>
      </c>
      <c r="AZ1288" s="3" t="s">
        <v>13306</v>
      </c>
      <c r="BA1288" s="3" t="s">
        <v>13306</v>
      </c>
      <c r="BB1288" s="3" t="s">
        <v>13307</v>
      </c>
      <c r="BC1288" s="3" t="s">
        <v>78</v>
      </c>
      <c r="BD1288" s="3" t="s">
        <v>79</v>
      </c>
      <c r="BE1288" s="3" t="s">
        <v>13308</v>
      </c>
      <c r="BF1288" s="3" t="s">
        <v>13307</v>
      </c>
      <c r="BG1288" s="3" t="s">
        <v>13309</v>
      </c>
    </row>
    <row r="1289" spans="1:59" ht="58" x14ac:dyDescent="0.35">
      <c r="A1289" s="2" t="s">
        <v>59</v>
      </c>
      <c r="B1289" s="2" t="s">
        <v>94</v>
      </c>
      <c r="C1289" s="2" t="s">
        <v>13310</v>
      </c>
      <c r="D1289" s="2" t="s">
        <v>13311</v>
      </c>
      <c r="E1289" s="2" t="s">
        <v>13312</v>
      </c>
      <c r="G1289" s="3" t="s">
        <v>64</v>
      </c>
      <c r="I1289" s="3" t="s">
        <v>64</v>
      </c>
      <c r="J1289" s="3" t="s">
        <v>64</v>
      </c>
      <c r="K1289" s="3" t="s">
        <v>65</v>
      </c>
      <c r="L1289" s="2" t="s">
        <v>13313</v>
      </c>
      <c r="M1289" s="2" t="s">
        <v>13314</v>
      </c>
      <c r="N1289" s="3" t="s">
        <v>377</v>
      </c>
      <c r="O1289" s="2" t="s">
        <v>525</v>
      </c>
      <c r="P1289" s="3" t="s">
        <v>69</v>
      </c>
      <c r="R1289" s="3" t="s">
        <v>9228</v>
      </c>
      <c r="S1289" s="4">
        <v>1</v>
      </c>
      <c r="T1289" s="4">
        <v>1</v>
      </c>
      <c r="U1289" s="5" t="s">
        <v>13315</v>
      </c>
      <c r="V1289" s="5" t="s">
        <v>13315</v>
      </c>
      <c r="W1289" s="5" t="s">
        <v>72</v>
      </c>
      <c r="X1289" s="5" t="s">
        <v>72</v>
      </c>
      <c r="Y1289" s="4">
        <v>123</v>
      </c>
      <c r="Z1289" s="4">
        <v>14</v>
      </c>
      <c r="AA1289" s="4">
        <v>37</v>
      </c>
      <c r="AB1289" s="4">
        <v>1</v>
      </c>
      <c r="AC1289" s="4">
        <v>7</v>
      </c>
      <c r="AD1289" s="4">
        <v>65</v>
      </c>
      <c r="AE1289" s="4">
        <v>93</v>
      </c>
      <c r="AF1289" s="4">
        <v>0</v>
      </c>
      <c r="AG1289" s="4">
        <v>3</v>
      </c>
      <c r="AH1289" s="4">
        <v>58</v>
      </c>
      <c r="AI1289" s="4">
        <v>73</v>
      </c>
      <c r="AJ1289" s="4">
        <v>12</v>
      </c>
      <c r="AK1289" s="4">
        <v>21</v>
      </c>
      <c r="AL1289" s="4">
        <v>32</v>
      </c>
      <c r="AM1289" s="4">
        <v>39</v>
      </c>
      <c r="AN1289" s="4">
        <v>0</v>
      </c>
      <c r="AO1289" s="4">
        <v>0</v>
      </c>
      <c r="AP1289" s="4">
        <v>13</v>
      </c>
      <c r="AQ1289" s="4">
        <v>29</v>
      </c>
      <c r="AR1289" s="3" t="s">
        <v>64</v>
      </c>
      <c r="AS1289" s="3" t="s">
        <v>64</v>
      </c>
      <c r="AT1289" s="3" t="s">
        <v>64</v>
      </c>
      <c r="AV1289" s="6" t="str">
        <f>HYPERLINK("http://mcgill.on.worldcat.org/oclc/773428571","Catalog Record")</f>
        <v>Catalog Record</v>
      </c>
      <c r="AW1289" s="6" t="str">
        <f>HYPERLINK("http://www.worldcat.org/oclc/773428571","WorldCat Record")</f>
        <v>WorldCat Record</v>
      </c>
      <c r="AX1289" s="3" t="s">
        <v>13316</v>
      </c>
      <c r="AY1289" s="3" t="s">
        <v>13317</v>
      </c>
      <c r="AZ1289" s="3" t="s">
        <v>13318</v>
      </c>
      <c r="BA1289" s="3" t="s">
        <v>13318</v>
      </c>
      <c r="BB1289" s="3" t="s">
        <v>13319</v>
      </c>
      <c r="BC1289" s="3" t="s">
        <v>78</v>
      </c>
      <c r="BD1289" s="3" t="s">
        <v>79</v>
      </c>
      <c r="BE1289" s="3" t="s">
        <v>13320</v>
      </c>
      <c r="BF1289" s="3" t="s">
        <v>13319</v>
      </c>
      <c r="BG1289" s="3" t="s">
        <v>13321</v>
      </c>
    </row>
    <row r="1290" spans="1:59" ht="58" x14ac:dyDescent="0.35">
      <c r="A1290" s="2" t="s">
        <v>59</v>
      </c>
      <c r="B1290" s="2" t="s">
        <v>94</v>
      </c>
      <c r="C1290" s="2" t="s">
        <v>13322</v>
      </c>
      <c r="D1290" s="2" t="s">
        <v>13323</v>
      </c>
      <c r="E1290" s="2" t="s">
        <v>13324</v>
      </c>
      <c r="G1290" s="3" t="s">
        <v>64</v>
      </c>
      <c r="I1290" s="3" t="s">
        <v>64</v>
      </c>
      <c r="J1290" s="3" t="s">
        <v>64</v>
      </c>
      <c r="K1290" s="3" t="s">
        <v>65</v>
      </c>
      <c r="L1290" s="2" t="s">
        <v>13325</v>
      </c>
      <c r="M1290" s="2" t="s">
        <v>13326</v>
      </c>
      <c r="N1290" s="3" t="s">
        <v>264</v>
      </c>
      <c r="P1290" s="3" t="s">
        <v>69</v>
      </c>
      <c r="Q1290" s="2" t="s">
        <v>13327</v>
      </c>
      <c r="R1290" s="3" t="s">
        <v>9228</v>
      </c>
      <c r="S1290" s="4">
        <v>15</v>
      </c>
      <c r="T1290" s="4">
        <v>15</v>
      </c>
      <c r="U1290" s="5" t="s">
        <v>6894</v>
      </c>
      <c r="V1290" s="5" t="s">
        <v>6894</v>
      </c>
      <c r="W1290" s="5" t="s">
        <v>72</v>
      </c>
      <c r="X1290" s="5" t="s">
        <v>72</v>
      </c>
      <c r="Y1290" s="4">
        <v>142</v>
      </c>
      <c r="Z1290" s="4">
        <v>11</v>
      </c>
      <c r="AA1290" s="4">
        <v>25</v>
      </c>
      <c r="AB1290" s="4">
        <v>2</v>
      </c>
      <c r="AC1290" s="4">
        <v>2</v>
      </c>
      <c r="AD1290" s="4">
        <v>34</v>
      </c>
      <c r="AE1290" s="4">
        <v>65</v>
      </c>
      <c r="AF1290" s="4">
        <v>0</v>
      </c>
      <c r="AG1290" s="4">
        <v>0</v>
      </c>
      <c r="AH1290" s="4">
        <v>30</v>
      </c>
      <c r="AI1290" s="4">
        <v>56</v>
      </c>
      <c r="AJ1290" s="4">
        <v>2</v>
      </c>
      <c r="AK1290" s="4">
        <v>11</v>
      </c>
      <c r="AL1290" s="4">
        <v>19</v>
      </c>
      <c r="AM1290" s="4">
        <v>30</v>
      </c>
      <c r="AN1290" s="4">
        <v>0</v>
      </c>
      <c r="AO1290" s="4">
        <v>5</v>
      </c>
      <c r="AP1290" s="4">
        <v>4</v>
      </c>
      <c r="AQ1290" s="4">
        <v>14</v>
      </c>
      <c r="AR1290" s="3" t="s">
        <v>64</v>
      </c>
      <c r="AS1290" s="3" t="s">
        <v>64</v>
      </c>
      <c r="AT1290" s="3" t="s">
        <v>73</v>
      </c>
      <c r="AU1290" s="6" t="str">
        <f>HYPERLINK("http://catalog.hathitrust.org/Record/000726591","HathiTrust Record")</f>
        <v>HathiTrust Record</v>
      </c>
      <c r="AV1290" s="6" t="str">
        <f>HYPERLINK("http://mcgill.on.worldcat.org/oclc/2346727","Catalog Record")</f>
        <v>Catalog Record</v>
      </c>
      <c r="AW1290" s="6" t="str">
        <f>HYPERLINK("http://www.worldcat.org/oclc/2346727","WorldCat Record")</f>
        <v>WorldCat Record</v>
      </c>
      <c r="AX1290" s="3" t="s">
        <v>13328</v>
      </c>
      <c r="AY1290" s="3" t="s">
        <v>13329</v>
      </c>
      <c r="AZ1290" s="3" t="s">
        <v>13330</v>
      </c>
      <c r="BA1290" s="3" t="s">
        <v>13330</v>
      </c>
      <c r="BB1290" s="3" t="s">
        <v>13331</v>
      </c>
      <c r="BC1290" s="3" t="s">
        <v>78</v>
      </c>
      <c r="BD1290" s="3" t="s">
        <v>79</v>
      </c>
      <c r="BE1290" s="3" t="s">
        <v>13332</v>
      </c>
      <c r="BF1290" s="3" t="s">
        <v>13331</v>
      </c>
      <c r="BG1290" s="3" t="s">
        <v>13333</v>
      </c>
    </row>
    <row r="1291" spans="1:59" ht="58" x14ac:dyDescent="0.35">
      <c r="A1291" s="2" t="s">
        <v>59</v>
      </c>
      <c r="B1291" s="2" t="s">
        <v>94</v>
      </c>
      <c r="C1291" s="2" t="s">
        <v>13334</v>
      </c>
      <c r="D1291" s="2" t="s">
        <v>13335</v>
      </c>
      <c r="E1291" s="2" t="s">
        <v>13336</v>
      </c>
      <c r="G1291" s="3" t="s">
        <v>64</v>
      </c>
      <c r="I1291" s="3" t="s">
        <v>64</v>
      </c>
      <c r="J1291" s="3" t="s">
        <v>64</v>
      </c>
      <c r="K1291" s="3" t="s">
        <v>65</v>
      </c>
      <c r="L1291" s="2" t="s">
        <v>13337</v>
      </c>
      <c r="M1291" s="2" t="s">
        <v>8382</v>
      </c>
      <c r="N1291" s="3" t="s">
        <v>524</v>
      </c>
      <c r="P1291" s="3" t="s">
        <v>69</v>
      </c>
      <c r="R1291" s="3" t="s">
        <v>9228</v>
      </c>
      <c r="S1291" s="4">
        <v>0</v>
      </c>
      <c r="T1291" s="4">
        <v>0</v>
      </c>
      <c r="W1291" s="5" t="s">
        <v>72</v>
      </c>
      <c r="X1291" s="5" t="s">
        <v>72</v>
      </c>
      <c r="Y1291" s="4">
        <v>65</v>
      </c>
      <c r="Z1291" s="4">
        <v>4</v>
      </c>
      <c r="AA1291" s="4">
        <v>105</v>
      </c>
      <c r="AB1291" s="4">
        <v>1</v>
      </c>
      <c r="AC1291" s="4">
        <v>17</v>
      </c>
      <c r="AD1291" s="4">
        <v>40</v>
      </c>
      <c r="AE1291" s="4">
        <v>126</v>
      </c>
      <c r="AF1291" s="4">
        <v>0</v>
      </c>
      <c r="AG1291" s="4">
        <v>8</v>
      </c>
      <c r="AH1291" s="4">
        <v>39</v>
      </c>
      <c r="AI1291" s="4">
        <v>86</v>
      </c>
      <c r="AJ1291" s="4">
        <v>3</v>
      </c>
      <c r="AK1291" s="4">
        <v>21</v>
      </c>
      <c r="AL1291" s="4">
        <v>19</v>
      </c>
      <c r="AM1291" s="4">
        <v>46</v>
      </c>
      <c r="AN1291" s="4">
        <v>0</v>
      </c>
      <c r="AO1291" s="4">
        <v>0</v>
      </c>
      <c r="AP1291" s="4">
        <v>3</v>
      </c>
      <c r="AQ1291" s="4">
        <v>44</v>
      </c>
      <c r="AR1291" s="3" t="s">
        <v>64</v>
      </c>
      <c r="AS1291" s="3" t="s">
        <v>64</v>
      </c>
      <c r="AT1291" s="3" t="s">
        <v>64</v>
      </c>
      <c r="AV1291" s="6" t="str">
        <f>HYPERLINK("http://mcgill.on.worldcat.org/oclc/841206083","Catalog Record")</f>
        <v>Catalog Record</v>
      </c>
      <c r="AW1291" s="6" t="str">
        <f>HYPERLINK("http://www.worldcat.org/oclc/841206083","WorldCat Record")</f>
        <v>WorldCat Record</v>
      </c>
      <c r="AX1291" s="3" t="s">
        <v>13338</v>
      </c>
      <c r="AY1291" s="3" t="s">
        <v>13339</v>
      </c>
      <c r="AZ1291" s="3" t="s">
        <v>13340</v>
      </c>
      <c r="BA1291" s="3" t="s">
        <v>13340</v>
      </c>
      <c r="BB1291" s="3" t="s">
        <v>13341</v>
      </c>
      <c r="BC1291" s="3" t="s">
        <v>78</v>
      </c>
      <c r="BD1291" s="3" t="s">
        <v>79</v>
      </c>
      <c r="BE1291" s="3" t="s">
        <v>13342</v>
      </c>
      <c r="BF1291" s="3" t="s">
        <v>13341</v>
      </c>
      <c r="BG1291" s="3" t="s">
        <v>13343</v>
      </c>
    </row>
    <row r="1292" spans="1:59" ht="58" x14ac:dyDescent="0.35">
      <c r="A1292" s="2" t="s">
        <v>59</v>
      </c>
      <c r="B1292" s="2" t="s">
        <v>94</v>
      </c>
      <c r="C1292" s="2" t="s">
        <v>13344</v>
      </c>
      <c r="D1292" s="2" t="s">
        <v>13345</v>
      </c>
      <c r="E1292" s="2" t="s">
        <v>13346</v>
      </c>
      <c r="G1292" s="3" t="s">
        <v>64</v>
      </c>
      <c r="I1292" s="3" t="s">
        <v>64</v>
      </c>
      <c r="J1292" s="3" t="s">
        <v>64</v>
      </c>
      <c r="K1292" s="3" t="s">
        <v>65</v>
      </c>
      <c r="L1292" s="2" t="s">
        <v>13347</v>
      </c>
      <c r="M1292" s="2" t="s">
        <v>13348</v>
      </c>
      <c r="N1292" s="3" t="s">
        <v>719</v>
      </c>
      <c r="P1292" s="3" t="s">
        <v>69</v>
      </c>
      <c r="R1292" s="3" t="s">
        <v>9228</v>
      </c>
      <c r="S1292" s="4">
        <v>7</v>
      </c>
      <c r="T1292" s="4">
        <v>7</v>
      </c>
      <c r="U1292" s="5" t="s">
        <v>1042</v>
      </c>
      <c r="V1292" s="5" t="s">
        <v>1042</v>
      </c>
      <c r="W1292" s="5" t="s">
        <v>72</v>
      </c>
      <c r="X1292" s="5" t="s">
        <v>72</v>
      </c>
      <c r="Y1292" s="4">
        <v>284</v>
      </c>
      <c r="Z1292" s="4">
        <v>27</v>
      </c>
      <c r="AA1292" s="4">
        <v>27</v>
      </c>
      <c r="AB1292" s="4">
        <v>2</v>
      </c>
      <c r="AC1292" s="4">
        <v>2</v>
      </c>
      <c r="AD1292" s="4">
        <v>105</v>
      </c>
      <c r="AE1292" s="4">
        <v>105</v>
      </c>
      <c r="AF1292" s="4">
        <v>1</v>
      </c>
      <c r="AG1292" s="4">
        <v>1</v>
      </c>
      <c r="AH1292" s="4">
        <v>92</v>
      </c>
      <c r="AI1292" s="4">
        <v>92</v>
      </c>
      <c r="AJ1292" s="4">
        <v>16</v>
      </c>
      <c r="AK1292" s="4">
        <v>16</v>
      </c>
      <c r="AL1292" s="4">
        <v>52</v>
      </c>
      <c r="AM1292" s="4">
        <v>52</v>
      </c>
      <c r="AN1292" s="4">
        <v>0</v>
      </c>
      <c r="AO1292" s="4">
        <v>0</v>
      </c>
      <c r="AP1292" s="4">
        <v>22</v>
      </c>
      <c r="AQ1292" s="4">
        <v>22</v>
      </c>
      <c r="AR1292" s="3" t="s">
        <v>64</v>
      </c>
      <c r="AS1292" s="3" t="s">
        <v>64</v>
      </c>
      <c r="AT1292" s="3" t="s">
        <v>73</v>
      </c>
      <c r="AU1292" s="6" t="str">
        <f>HYPERLINK("http://catalog.hathitrust.org/Record/000123303","HathiTrust Record")</f>
        <v>HathiTrust Record</v>
      </c>
      <c r="AV1292" s="6" t="str">
        <f>HYPERLINK("http://mcgill.on.worldcat.org/oclc/10323262","Catalog Record")</f>
        <v>Catalog Record</v>
      </c>
      <c r="AW1292" s="6" t="str">
        <f>HYPERLINK("http://www.worldcat.org/oclc/10323262","WorldCat Record")</f>
        <v>WorldCat Record</v>
      </c>
      <c r="AX1292" s="3" t="s">
        <v>13349</v>
      </c>
      <c r="AY1292" s="3" t="s">
        <v>13350</v>
      </c>
      <c r="AZ1292" s="3" t="s">
        <v>13351</v>
      </c>
      <c r="BA1292" s="3" t="s">
        <v>13351</v>
      </c>
      <c r="BB1292" s="3" t="s">
        <v>13352</v>
      </c>
      <c r="BC1292" s="3" t="s">
        <v>78</v>
      </c>
      <c r="BD1292" s="3" t="s">
        <v>79</v>
      </c>
      <c r="BE1292" s="3" t="s">
        <v>13353</v>
      </c>
      <c r="BF1292" s="3" t="s">
        <v>13352</v>
      </c>
      <c r="BG1292" s="3" t="s">
        <v>13354</v>
      </c>
    </row>
    <row r="1293" spans="1:59" ht="58" x14ac:dyDescent="0.35">
      <c r="A1293" s="2" t="s">
        <v>59</v>
      </c>
      <c r="B1293" s="2" t="s">
        <v>94</v>
      </c>
      <c r="C1293" s="2" t="s">
        <v>13355</v>
      </c>
      <c r="D1293" s="2" t="s">
        <v>13356</v>
      </c>
      <c r="E1293" s="2" t="s">
        <v>13357</v>
      </c>
      <c r="G1293" s="3" t="s">
        <v>64</v>
      </c>
      <c r="I1293" s="3" t="s">
        <v>64</v>
      </c>
      <c r="J1293" s="3" t="s">
        <v>64</v>
      </c>
      <c r="K1293" s="3" t="s">
        <v>65</v>
      </c>
      <c r="L1293" s="2" t="s">
        <v>13358</v>
      </c>
      <c r="M1293" s="2" t="s">
        <v>13359</v>
      </c>
      <c r="N1293" s="3" t="s">
        <v>719</v>
      </c>
      <c r="P1293" s="3" t="s">
        <v>69</v>
      </c>
      <c r="R1293" s="3" t="s">
        <v>9228</v>
      </c>
      <c r="S1293" s="4">
        <v>14</v>
      </c>
      <c r="T1293" s="4">
        <v>14</v>
      </c>
      <c r="U1293" s="5" t="s">
        <v>9617</v>
      </c>
      <c r="V1293" s="5" t="s">
        <v>9617</v>
      </c>
      <c r="W1293" s="5" t="s">
        <v>72</v>
      </c>
      <c r="X1293" s="5" t="s">
        <v>72</v>
      </c>
      <c r="Y1293" s="4">
        <v>277</v>
      </c>
      <c r="Z1293" s="4">
        <v>26</v>
      </c>
      <c r="AA1293" s="4">
        <v>27</v>
      </c>
      <c r="AB1293" s="4">
        <v>1</v>
      </c>
      <c r="AC1293" s="4">
        <v>1</v>
      </c>
      <c r="AD1293" s="4">
        <v>109</v>
      </c>
      <c r="AE1293" s="4">
        <v>110</v>
      </c>
      <c r="AF1293" s="4">
        <v>0</v>
      </c>
      <c r="AG1293" s="4">
        <v>0</v>
      </c>
      <c r="AH1293" s="4">
        <v>97</v>
      </c>
      <c r="AI1293" s="4">
        <v>97</v>
      </c>
      <c r="AJ1293" s="4">
        <v>15</v>
      </c>
      <c r="AK1293" s="4">
        <v>16</v>
      </c>
      <c r="AL1293" s="4">
        <v>54</v>
      </c>
      <c r="AM1293" s="4">
        <v>54</v>
      </c>
      <c r="AN1293" s="4">
        <v>0</v>
      </c>
      <c r="AO1293" s="4">
        <v>0</v>
      </c>
      <c r="AP1293" s="4">
        <v>20</v>
      </c>
      <c r="AQ1293" s="4">
        <v>21</v>
      </c>
      <c r="AR1293" s="3" t="s">
        <v>64</v>
      </c>
      <c r="AS1293" s="3" t="s">
        <v>64</v>
      </c>
      <c r="AT1293" s="3" t="s">
        <v>64</v>
      </c>
      <c r="AV1293" s="6" t="str">
        <f>HYPERLINK("http://mcgill.on.worldcat.org/oclc/11534782","Catalog Record")</f>
        <v>Catalog Record</v>
      </c>
      <c r="AW1293" s="6" t="str">
        <f>HYPERLINK("http://www.worldcat.org/oclc/11534782","WorldCat Record")</f>
        <v>WorldCat Record</v>
      </c>
      <c r="AX1293" s="3" t="s">
        <v>13360</v>
      </c>
      <c r="AY1293" s="3" t="s">
        <v>13361</v>
      </c>
      <c r="AZ1293" s="3" t="s">
        <v>13362</v>
      </c>
      <c r="BA1293" s="3" t="s">
        <v>13362</v>
      </c>
      <c r="BB1293" s="3" t="s">
        <v>13363</v>
      </c>
      <c r="BC1293" s="3" t="s">
        <v>78</v>
      </c>
      <c r="BD1293" s="3" t="s">
        <v>79</v>
      </c>
      <c r="BE1293" s="3" t="s">
        <v>13364</v>
      </c>
      <c r="BF1293" s="3" t="s">
        <v>13363</v>
      </c>
      <c r="BG1293" s="3" t="s">
        <v>13365</v>
      </c>
    </row>
    <row r="1294" spans="1:59" ht="58" x14ac:dyDescent="0.35">
      <c r="A1294" s="2" t="s">
        <v>59</v>
      </c>
      <c r="B1294" s="2" t="s">
        <v>94</v>
      </c>
      <c r="C1294" s="2" t="s">
        <v>13366</v>
      </c>
      <c r="D1294" s="2" t="s">
        <v>13367</v>
      </c>
      <c r="E1294" s="2" t="s">
        <v>13368</v>
      </c>
      <c r="G1294" s="3" t="s">
        <v>64</v>
      </c>
      <c r="I1294" s="3" t="s">
        <v>64</v>
      </c>
      <c r="J1294" s="3" t="s">
        <v>64</v>
      </c>
      <c r="K1294" s="3" t="s">
        <v>65</v>
      </c>
      <c r="L1294" s="2" t="s">
        <v>13369</v>
      </c>
      <c r="M1294" s="2" t="s">
        <v>13370</v>
      </c>
      <c r="N1294" s="3" t="s">
        <v>1320</v>
      </c>
      <c r="P1294" s="3" t="s">
        <v>69</v>
      </c>
      <c r="Q1294" s="2" t="s">
        <v>13371</v>
      </c>
      <c r="R1294" s="3" t="s">
        <v>9228</v>
      </c>
      <c r="S1294" s="4">
        <v>16</v>
      </c>
      <c r="T1294" s="4">
        <v>16</v>
      </c>
      <c r="U1294" s="5" t="s">
        <v>13372</v>
      </c>
      <c r="V1294" s="5" t="s">
        <v>13372</v>
      </c>
      <c r="W1294" s="5" t="s">
        <v>72</v>
      </c>
      <c r="X1294" s="5" t="s">
        <v>72</v>
      </c>
      <c r="Y1294" s="4">
        <v>213</v>
      </c>
      <c r="Z1294" s="4">
        <v>14</v>
      </c>
      <c r="AA1294" s="4">
        <v>37</v>
      </c>
      <c r="AB1294" s="4">
        <v>1</v>
      </c>
      <c r="AC1294" s="4">
        <v>3</v>
      </c>
      <c r="AD1294" s="4">
        <v>75</v>
      </c>
      <c r="AE1294" s="4">
        <v>98</v>
      </c>
      <c r="AF1294" s="4">
        <v>0</v>
      </c>
      <c r="AG1294" s="4">
        <v>0</v>
      </c>
      <c r="AH1294" s="4">
        <v>67</v>
      </c>
      <c r="AI1294" s="4">
        <v>84</v>
      </c>
      <c r="AJ1294" s="4">
        <v>9</v>
      </c>
      <c r="AK1294" s="4">
        <v>10</v>
      </c>
      <c r="AL1294" s="4">
        <v>44</v>
      </c>
      <c r="AM1294" s="4">
        <v>51</v>
      </c>
      <c r="AN1294" s="4">
        <v>0</v>
      </c>
      <c r="AO1294" s="4">
        <v>0</v>
      </c>
      <c r="AP1294" s="4">
        <v>11</v>
      </c>
      <c r="AQ1294" s="4">
        <v>17</v>
      </c>
      <c r="AR1294" s="3" t="s">
        <v>64</v>
      </c>
      <c r="AS1294" s="3" t="s">
        <v>64</v>
      </c>
      <c r="AT1294" s="3" t="s">
        <v>64</v>
      </c>
      <c r="AV1294" s="6" t="str">
        <f>HYPERLINK("http://mcgill.on.worldcat.org/oclc/30518757","Catalog Record")</f>
        <v>Catalog Record</v>
      </c>
      <c r="AW1294" s="6" t="str">
        <f>HYPERLINK("http://www.worldcat.org/oclc/30518757","WorldCat Record")</f>
        <v>WorldCat Record</v>
      </c>
      <c r="AX1294" s="3" t="s">
        <v>13373</v>
      </c>
      <c r="AY1294" s="3" t="s">
        <v>13374</v>
      </c>
      <c r="AZ1294" s="3" t="s">
        <v>13375</v>
      </c>
      <c r="BA1294" s="3" t="s">
        <v>13375</v>
      </c>
      <c r="BB1294" s="3" t="s">
        <v>13376</v>
      </c>
      <c r="BC1294" s="3" t="s">
        <v>78</v>
      </c>
      <c r="BD1294" s="3" t="s">
        <v>79</v>
      </c>
      <c r="BE1294" s="3" t="s">
        <v>13377</v>
      </c>
      <c r="BF1294" s="3" t="s">
        <v>13376</v>
      </c>
      <c r="BG1294" s="3" t="s">
        <v>13378</v>
      </c>
    </row>
    <row r="1295" spans="1:59" ht="58" x14ac:dyDescent="0.35">
      <c r="A1295" s="2" t="s">
        <v>59</v>
      </c>
      <c r="B1295" s="2" t="s">
        <v>94</v>
      </c>
      <c r="C1295" s="2" t="s">
        <v>13379</v>
      </c>
      <c r="D1295" s="2" t="s">
        <v>13380</v>
      </c>
      <c r="E1295" s="2" t="s">
        <v>13381</v>
      </c>
      <c r="G1295" s="3" t="s">
        <v>64</v>
      </c>
      <c r="I1295" s="3" t="s">
        <v>64</v>
      </c>
      <c r="J1295" s="3" t="s">
        <v>64</v>
      </c>
      <c r="K1295" s="3" t="s">
        <v>65</v>
      </c>
      <c r="L1295" s="2" t="s">
        <v>13382</v>
      </c>
      <c r="M1295" s="2" t="s">
        <v>13383</v>
      </c>
      <c r="N1295" s="3" t="s">
        <v>340</v>
      </c>
      <c r="P1295" s="3" t="s">
        <v>69</v>
      </c>
      <c r="R1295" s="3" t="s">
        <v>9228</v>
      </c>
      <c r="S1295" s="4">
        <v>3</v>
      </c>
      <c r="T1295" s="4">
        <v>3</v>
      </c>
      <c r="U1295" s="5" t="s">
        <v>13384</v>
      </c>
      <c r="V1295" s="5" t="s">
        <v>13384</v>
      </c>
      <c r="W1295" s="5" t="s">
        <v>72</v>
      </c>
      <c r="X1295" s="5" t="s">
        <v>72</v>
      </c>
      <c r="Y1295" s="4">
        <v>225</v>
      </c>
      <c r="Z1295" s="4">
        <v>15</v>
      </c>
      <c r="AA1295" s="4">
        <v>19</v>
      </c>
      <c r="AB1295" s="4">
        <v>1</v>
      </c>
      <c r="AC1295" s="4">
        <v>2</v>
      </c>
      <c r="AD1295" s="4">
        <v>80</v>
      </c>
      <c r="AE1295" s="4">
        <v>96</v>
      </c>
      <c r="AF1295" s="4">
        <v>0</v>
      </c>
      <c r="AG1295" s="4">
        <v>1</v>
      </c>
      <c r="AH1295" s="4">
        <v>73</v>
      </c>
      <c r="AI1295" s="4">
        <v>88</v>
      </c>
      <c r="AJ1295" s="4">
        <v>7</v>
      </c>
      <c r="AK1295" s="4">
        <v>11</v>
      </c>
      <c r="AL1295" s="4">
        <v>41</v>
      </c>
      <c r="AM1295" s="4">
        <v>49</v>
      </c>
      <c r="AN1295" s="4">
        <v>0</v>
      </c>
      <c r="AO1295" s="4">
        <v>0</v>
      </c>
      <c r="AP1295" s="4">
        <v>11</v>
      </c>
      <c r="AQ1295" s="4">
        <v>15</v>
      </c>
      <c r="AR1295" s="3" t="s">
        <v>64</v>
      </c>
      <c r="AS1295" s="3" t="s">
        <v>64</v>
      </c>
      <c r="AT1295" s="3" t="s">
        <v>64</v>
      </c>
      <c r="AV1295" s="6" t="str">
        <f>HYPERLINK("http://mcgill.on.worldcat.org/oclc/36284300","Catalog Record")</f>
        <v>Catalog Record</v>
      </c>
      <c r="AW1295" s="6" t="str">
        <f>HYPERLINK("http://www.worldcat.org/oclc/36284300","WorldCat Record")</f>
        <v>WorldCat Record</v>
      </c>
      <c r="AX1295" s="3" t="s">
        <v>13385</v>
      </c>
      <c r="AY1295" s="3" t="s">
        <v>13386</v>
      </c>
      <c r="AZ1295" s="3" t="s">
        <v>13387</v>
      </c>
      <c r="BA1295" s="3" t="s">
        <v>13387</v>
      </c>
      <c r="BB1295" s="3" t="s">
        <v>13388</v>
      </c>
      <c r="BC1295" s="3" t="s">
        <v>78</v>
      </c>
      <c r="BD1295" s="3" t="s">
        <v>79</v>
      </c>
      <c r="BE1295" s="3" t="s">
        <v>13389</v>
      </c>
      <c r="BF1295" s="3" t="s">
        <v>13388</v>
      </c>
      <c r="BG1295" s="3" t="s">
        <v>13390</v>
      </c>
    </row>
    <row r="1296" spans="1:59" ht="58" x14ac:dyDescent="0.35">
      <c r="A1296" s="2" t="s">
        <v>59</v>
      </c>
      <c r="B1296" s="2" t="s">
        <v>94</v>
      </c>
      <c r="C1296" s="2" t="s">
        <v>13391</v>
      </c>
      <c r="D1296" s="2" t="s">
        <v>13392</v>
      </c>
      <c r="E1296" s="2" t="s">
        <v>13393</v>
      </c>
      <c r="G1296" s="3" t="s">
        <v>64</v>
      </c>
      <c r="I1296" s="3" t="s">
        <v>64</v>
      </c>
      <c r="J1296" s="3" t="s">
        <v>64</v>
      </c>
      <c r="K1296" s="3" t="s">
        <v>65</v>
      </c>
      <c r="L1296" s="2" t="s">
        <v>13394</v>
      </c>
      <c r="M1296" s="2" t="s">
        <v>13395</v>
      </c>
      <c r="N1296" s="3" t="s">
        <v>175</v>
      </c>
      <c r="P1296" s="3" t="s">
        <v>69</v>
      </c>
      <c r="R1296" s="3" t="s">
        <v>9228</v>
      </c>
      <c r="S1296" s="4">
        <v>0</v>
      </c>
      <c r="T1296" s="4">
        <v>0</v>
      </c>
      <c r="W1296" s="5" t="s">
        <v>72</v>
      </c>
      <c r="X1296" s="5" t="s">
        <v>72</v>
      </c>
      <c r="Y1296" s="4">
        <v>8</v>
      </c>
      <c r="Z1296" s="4">
        <v>3</v>
      </c>
      <c r="AA1296" s="4">
        <v>3</v>
      </c>
      <c r="AB1296" s="4">
        <v>1</v>
      </c>
      <c r="AC1296" s="4">
        <v>1</v>
      </c>
      <c r="AD1296" s="4">
        <v>2</v>
      </c>
      <c r="AE1296" s="4">
        <v>2</v>
      </c>
      <c r="AF1296" s="4">
        <v>0</v>
      </c>
      <c r="AG1296" s="4">
        <v>0</v>
      </c>
      <c r="AH1296" s="4">
        <v>1</v>
      </c>
      <c r="AI1296" s="4">
        <v>1</v>
      </c>
      <c r="AJ1296" s="4">
        <v>0</v>
      </c>
      <c r="AK1296" s="4">
        <v>0</v>
      </c>
      <c r="AL1296" s="4">
        <v>1</v>
      </c>
      <c r="AM1296" s="4">
        <v>1</v>
      </c>
      <c r="AN1296" s="4">
        <v>0</v>
      </c>
      <c r="AO1296" s="4">
        <v>0</v>
      </c>
      <c r="AP1296" s="4">
        <v>1</v>
      </c>
      <c r="AQ1296" s="4">
        <v>1</v>
      </c>
      <c r="AR1296" s="3" t="s">
        <v>64</v>
      </c>
      <c r="AS1296" s="3" t="s">
        <v>64</v>
      </c>
      <c r="AT1296" s="3" t="s">
        <v>64</v>
      </c>
      <c r="AV1296" s="6" t="str">
        <f>HYPERLINK("http://mcgill.on.worldcat.org/oclc/866857097","Catalog Record")</f>
        <v>Catalog Record</v>
      </c>
      <c r="AW1296" s="6" t="str">
        <f>HYPERLINK("http://www.worldcat.org/oclc/866857097","WorldCat Record")</f>
        <v>WorldCat Record</v>
      </c>
      <c r="AX1296" s="3" t="s">
        <v>13396</v>
      </c>
      <c r="AY1296" s="3" t="s">
        <v>13397</v>
      </c>
      <c r="AZ1296" s="3" t="s">
        <v>13398</v>
      </c>
      <c r="BA1296" s="3" t="s">
        <v>13398</v>
      </c>
      <c r="BB1296" s="3" t="s">
        <v>13399</v>
      </c>
      <c r="BC1296" s="3" t="s">
        <v>78</v>
      </c>
      <c r="BD1296" s="3" t="s">
        <v>79</v>
      </c>
      <c r="BE1296" s="3" t="s">
        <v>13400</v>
      </c>
      <c r="BF1296" s="3" t="s">
        <v>13399</v>
      </c>
      <c r="BG1296" s="3" t="s">
        <v>13401</v>
      </c>
    </row>
    <row r="1297" spans="1:59" ht="58" x14ac:dyDescent="0.35">
      <c r="A1297" s="2" t="s">
        <v>59</v>
      </c>
      <c r="B1297" s="2" t="s">
        <v>94</v>
      </c>
      <c r="C1297" s="2" t="s">
        <v>13402</v>
      </c>
      <c r="D1297" s="2" t="s">
        <v>13403</v>
      </c>
      <c r="E1297" s="2" t="s">
        <v>13404</v>
      </c>
      <c r="G1297" s="3" t="s">
        <v>64</v>
      </c>
      <c r="I1297" s="3" t="s">
        <v>73</v>
      </c>
      <c r="J1297" s="3" t="s">
        <v>64</v>
      </c>
      <c r="K1297" s="3" t="s">
        <v>65</v>
      </c>
      <c r="L1297" s="2" t="s">
        <v>13405</v>
      </c>
      <c r="M1297" s="2" t="s">
        <v>13406</v>
      </c>
      <c r="N1297" s="3" t="s">
        <v>3411</v>
      </c>
      <c r="P1297" s="3" t="s">
        <v>69</v>
      </c>
      <c r="R1297" s="3" t="s">
        <v>9228</v>
      </c>
      <c r="S1297" s="4">
        <v>5</v>
      </c>
      <c r="T1297" s="4">
        <v>6</v>
      </c>
      <c r="U1297" s="5" t="s">
        <v>13407</v>
      </c>
      <c r="V1297" s="5" t="s">
        <v>13407</v>
      </c>
      <c r="W1297" s="5" t="s">
        <v>72</v>
      </c>
      <c r="X1297" s="5" t="s">
        <v>72</v>
      </c>
      <c r="Y1297" s="4">
        <v>52</v>
      </c>
      <c r="Z1297" s="4">
        <v>32</v>
      </c>
      <c r="AA1297" s="4">
        <v>35</v>
      </c>
      <c r="AB1297" s="4">
        <v>3</v>
      </c>
      <c r="AC1297" s="4">
        <v>5</v>
      </c>
      <c r="AD1297" s="4">
        <v>28</v>
      </c>
      <c r="AE1297" s="4">
        <v>30</v>
      </c>
      <c r="AF1297" s="4">
        <v>2</v>
      </c>
      <c r="AG1297" s="4">
        <v>3</v>
      </c>
      <c r="AH1297" s="4">
        <v>15</v>
      </c>
      <c r="AI1297" s="4">
        <v>17</v>
      </c>
      <c r="AJ1297" s="4">
        <v>12</v>
      </c>
      <c r="AK1297" s="4">
        <v>14</v>
      </c>
      <c r="AL1297" s="4">
        <v>7</v>
      </c>
      <c r="AM1297" s="4">
        <v>7</v>
      </c>
      <c r="AN1297" s="4">
        <v>0</v>
      </c>
      <c r="AO1297" s="4">
        <v>0</v>
      </c>
      <c r="AP1297" s="4">
        <v>19</v>
      </c>
      <c r="AQ1297" s="4">
        <v>21</v>
      </c>
      <c r="AR1297" s="3" t="s">
        <v>73</v>
      </c>
      <c r="AS1297" s="3" t="s">
        <v>64</v>
      </c>
      <c r="AT1297" s="3" t="s">
        <v>64</v>
      </c>
      <c r="AV1297" s="6" t="str">
        <f>HYPERLINK("http://mcgill.on.worldcat.org/oclc/4089336","Catalog Record")</f>
        <v>Catalog Record</v>
      </c>
      <c r="AW1297" s="6" t="str">
        <f>HYPERLINK("http://www.worldcat.org/oclc/4089336","WorldCat Record")</f>
        <v>WorldCat Record</v>
      </c>
      <c r="AX1297" s="3" t="s">
        <v>13408</v>
      </c>
      <c r="AY1297" s="3" t="s">
        <v>13409</v>
      </c>
      <c r="AZ1297" s="3" t="s">
        <v>13410</v>
      </c>
      <c r="BA1297" s="3" t="s">
        <v>13410</v>
      </c>
      <c r="BB1297" s="3" t="s">
        <v>13411</v>
      </c>
      <c r="BC1297" s="3" t="s">
        <v>78</v>
      </c>
      <c r="BD1297" s="3" t="s">
        <v>79</v>
      </c>
      <c r="BF1297" s="3" t="s">
        <v>13411</v>
      </c>
      <c r="BG1297" s="3" t="s">
        <v>13412</v>
      </c>
    </row>
    <row r="1298" spans="1:59" ht="58" x14ac:dyDescent="0.35">
      <c r="A1298" s="2" t="s">
        <v>59</v>
      </c>
      <c r="B1298" s="2" t="s">
        <v>94</v>
      </c>
      <c r="C1298" s="2" t="s">
        <v>13413</v>
      </c>
      <c r="D1298" s="2" t="s">
        <v>13414</v>
      </c>
      <c r="E1298" s="2" t="s">
        <v>13415</v>
      </c>
      <c r="G1298" s="3" t="s">
        <v>64</v>
      </c>
      <c r="I1298" s="3" t="s">
        <v>64</v>
      </c>
      <c r="J1298" s="3" t="s">
        <v>64</v>
      </c>
      <c r="K1298" s="3" t="s">
        <v>65</v>
      </c>
      <c r="L1298" s="2" t="s">
        <v>8071</v>
      </c>
      <c r="M1298" s="2" t="s">
        <v>13416</v>
      </c>
      <c r="N1298" s="3" t="s">
        <v>148</v>
      </c>
      <c r="P1298" s="3" t="s">
        <v>69</v>
      </c>
      <c r="R1298" s="3" t="s">
        <v>9228</v>
      </c>
      <c r="S1298" s="4">
        <v>19</v>
      </c>
      <c r="T1298" s="4">
        <v>19</v>
      </c>
      <c r="U1298" s="5" t="s">
        <v>13417</v>
      </c>
      <c r="V1298" s="5" t="s">
        <v>13417</v>
      </c>
      <c r="W1298" s="5" t="s">
        <v>72</v>
      </c>
      <c r="X1298" s="5" t="s">
        <v>72</v>
      </c>
      <c r="Y1298" s="4">
        <v>52</v>
      </c>
      <c r="Z1298" s="4">
        <v>26</v>
      </c>
      <c r="AA1298" s="4">
        <v>98</v>
      </c>
      <c r="AB1298" s="4">
        <v>1</v>
      </c>
      <c r="AC1298" s="4">
        <v>11</v>
      </c>
      <c r="AD1298" s="4">
        <v>25</v>
      </c>
      <c r="AE1298" s="4">
        <v>77</v>
      </c>
      <c r="AF1298" s="4">
        <v>0</v>
      </c>
      <c r="AG1298" s="4">
        <v>3</v>
      </c>
      <c r="AH1298" s="4">
        <v>15</v>
      </c>
      <c r="AI1298" s="4">
        <v>44</v>
      </c>
      <c r="AJ1298" s="4">
        <v>15</v>
      </c>
      <c r="AK1298" s="4">
        <v>24</v>
      </c>
      <c r="AL1298" s="4">
        <v>6</v>
      </c>
      <c r="AM1298" s="4">
        <v>21</v>
      </c>
      <c r="AN1298" s="4">
        <v>0</v>
      </c>
      <c r="AO1298" s="4">
        <v>0</v>
      </c>
      <c r="AP1298" s="4">
        <v>14</v>
      </c>
      <c r="AQ1298" s="4">
        <v>43</v>
      </c>
      <c r="AR1298" s="3" t="s">
        <v>73</v>
      </c>
      <c r="AS1298" s="3" t="s">
        <v>64</v>
      </c>
      <c r="AT1298" s="3" t="s">
        <v>73</v>
      </c>
      <c r="AU1298" s="6" t="str">
        <f>HYPERLINK("http://catalog.hathitrust.org/Record/001589115","HathiTrust Record")</f>
        <v>HathiTrust Record</v>
      </c>
      <c r="AV1298" s="6" t="str">
        <f>HYPERLINK("http://mcgill.on.worldcat.org/oclc/75426","Catalog Record")</f>
        <v>Catalog Record</v>
      </c>
      <c r="AW1298" s="6" t="str">
        <f>HYPERLINK("http://www.worldcat.org/oclc/75426","WorldCat Record")</f>
        <v>WorldCat Record</v>
      </c>
      <c r="AX1298" s="3" t="s">
        <v>13418</v>
      </c>
      <c r="AY1298" s="3" t="s">
        <v>13419</v>
      </c>
      <c r="AZ1298" s="3" t="s">
        <v>13420</v>
      </c>
      <c r="BA1298" s="3" t="s">
        <v>13420</v>
      </c>
      <c r="BB1298" s="3" t="s">
        <v>13421</v>
      </c>
      <c r="BC1298" s="3" t="s">
        <v>78</v>
      </c>
      <c r="BD1298" s="3" t="s">
        <v>79</v>
      </c>
      <c r="BF1298" s="3" t="s">
        <v>13421</v>
      </c>
      <c r="BG1298" s="3" t="s">
        <v>13422</v>
      </c>
    </row>
    <row r="1299" spans="1:59" ht="58" x14ac:dyDescent="0.35">
      <c r="A1299" s="2" t="s">
        <v>59</v>
      </c>
      <c r="B1299" s="2" t="s">
        <v>94</v>
      </c>
      <c r="C1299" s="2" t="s">
        <v>13423</v>
      </c>
      <c r="D1299" s="2" t="s">
        <v>13424</v>
      </c>
      <c r="E1299" s="2" t="s">
        <v>13425</v>
      </c>
      <c r="G1299" s="3" t="s">
        <v>64</v>
      </c>
      <c r="I1299" s="3" t="s">
        <v>64</v>
      </c>
      <c r="J1299" s="3" t="s">
        <v>64</v>
      </c>
      <c r="K1299" s="3" t="s">
        <v>65</v>
      </c>
      <c r="L1299" s="2" t="s">
        <v>13426</v>
      </c>
      <c r="M1299" s="2" t="s">
        <v>13427</v>
      </c>
      <c r="N1299" s="3" t="s">
        <v>449</v>
      </c>
      <c r="P1299" s="3" t="s">
        <v>69</v>
      </c>
      <c r="Q1299" s="2" t="s">
        <v>13428</v>
      </c>
      <c r="R1299" s="3" t="s">
        <v>9228</v>
      </c>
      <c r="S1299" s="4">
        <v>3</v>
      </c>
      <c r="T1299" s="4">
        <v>3</v>
      </c>
      <c r="U1299" s="5" t="s">
        <v>13429</v>
      </c>
      <c r="V1299" s="5" t="s">
        <v>13429</v>
      </c>
      <c r="W1299" s="5" t="s">
        <v>72</v>
      </c>
      <c r="X1299" s="5" t="s">
        <v>72</v>
      </c>
      <c r="Y1299" s="4">
        <v>82</v>
      </c>
      <c r="Z1299" s="4">
        <v>12</v>
      </c>
      <c r="AA1299" s="4">
        <v>16</v>
      </c>
      <c r="AB1299" s="4">
        <v>1</v>
      </c>
      <c r="AC1299" s="4">
        <v>5</v>
      </c>
      <c r="AD1299" s="4">
        <v>30</v>
      </c>
      <c r="AE1299" s="4">
        <v>34</v>
      </c>
      <c r="AF1299" s="4">
        <v>0</v>
      </c>
      <c r="AG1299" s="4">
        <v>1</v>
      </c>
      <c r="AH1299" s="4">
        <v>24</v>
      </c>
      <c r="AI1299" s="4">
        <v>27</v>
      </c>
      <c r="AJ1299" s="4">
        <v>7</v>
      </c>
      <c r="AK1299" s="4">
        <v>8</v>
      </c>
      <c r="AL1299" s="4">
        <v>14</v>
      </c>
      <c r="AM1299" s="4">
        <v>16</v>
      </c>
      <c r="AN1299" s="4">
        <v>0</v>
      </c>
      <c r="AO1299" s="4">
        <v>0</v>
      </c>
      <c r="AP1299" s="4">
        <v>8</v>
      </c>
      <c r="AQ1299" s="4">
        <v>8</v>
      </c>
      <c r="AR1299" s="3" t="s">
        <v>64</v>
      </c>
      <c r="AS1299" s="3" t="s">
        <v>64</v>
      </c>
      <c r="AT1299" s="3" t="s">
        <v>64</v>
      </c>
      <c r="AV1299" s="6" t="str">
        <f>HYPERLINK("http://mcgill.on.worldcat.org/oclc/180690059","Catalog Record")</f>
        <v>Catalog Record</v>
      </c>
      <c r="AW1299" s="6" t="str">
        <f>HYPERLINK("http://www.worldcat.org/oclc/180690059","WorldCat Record")</f>
        <v>WorldCat Record</v>
      </c>
      <c r="AX1299" s="3" t="s">
        <v>13430</v>
      </c>
      <c r="AY1299" s="3" t="s">
        <v>13431</v>
      </c>
      <c r="AZ1299" s="3" t="s">
        <v>13432</v>
      </c>
      <c r="BA1299" s="3" t="s">
        <v>13432</v>
      </c>
      <c r="BB1299" s="3" t="s">
        <v>13433</v>
      </c>
      <c r="BC1299" s="3" t="s">
        <v>78</v>
      </c>
      <c r="BD1299" s="3" t="s">
        <v>79</v>
      </c>
      <c r="BE1299" s="3" t="s">
        <v>13434</v>
      </c>
      <c r="BF1299" s="3" t="s">
        <v>13433</v>
      </c>
      <c r="BG1299" s="3" t="s">
        <v>13435</v>
      </c>
    </row>
    <row r="1300" spans="1:59" ht="58" x14ac:dyDescent="0.35">
      <c r="A1300" s="2" t="s">
        <v>59</v>
      </c>
      <c r="B1300" s="2" t="s">
        <v>94</v>
      </c>
      <c r="C1300" s="2" t="s">
        <v>13436</v>
      </c>
      <c r="D1300" s="2" t="s">
        <v>13437</v>
      </c>
      <c r="E1300" s="2" t="s">
        <v>13438</v>
      </c>
      <c r="G1300" s="3" t="s">
        <v>64</v>
      </c>
      <c r="I1300" s="3" t="s">
        <v>64</v>
      </c>
      <c r="J1300" s="3" t="s">
        <v>64</v>
      </c>
      <c r="K1300" s="3" t="s">
        <v>65</v>
      </c>
      <c r="L1300" s="2" t="s">
        <v>13439</v>
      </c>
      <c r="M1300" s="2" t="s">
        <v>13440</v>
      </c>
      <c r="N1300" s="3" t="s">
        <v>13441</v>
      </c>
      <c r="P1300" s="3" t="s">
        <v>69</v>
      </c>
      <c r="R1300" s="3" t="s">
        <v>9228</v>
      </c>
      <c r="S1300" s="4">
        <v>4</v>
      </c>
      <c r="T1300" s="4">
        <v>4</v>
      </c>
      <c r="U1300" s="5" t="s">
        <v>4393</v>
      </c>
      <c r="V1300" s="5" t="s">
        <v>4393</v>
      </c>
      <c r="W1300" s="5" t="s">
        <v>72</v>
      </c>
      <c r="X1300" s="5" t="s">
        <v>72</v>
      </c>
      <c r="Y1300" s="4">
        <v>91</v>
      </c>
      <c r="Z1300" s="4">
        <v>15</v>
      </c>
      <c r="AA1300" s="4">
        <v>17</v>
      </c>
      <c r="AB1300" s="4">
        <v>1</v>
      </c>
      <c r="AC1300" s="4">
        <v>1</v>
      </c>
      <c r="AD1300" s="4">
        <v>27</v>
      </c>
      <c r="AE1300" s="4">
        <v>28</v>
      </c>
      <c r="AF1300" s="4">
        <v>0</v>
      </c>
      <c r="AG1300" s="4">
        <v>0</v>
      </c>
      <c r="AH1300" s="4">
        <v>23</v>
      </c>
      <c r="AI1300" s="4">
        <v>23</v>
      </c>
      <c r="AJ1300" s="4">
        <v>7</v>
      </c>
      <c r="AK1300" s="4">
        <v>7</v>
      </c>
      <c r="AL1300" s="4">
        <v>9</v>
      </c>
      <c r="AM1300" s="4">
        <v>9</v>
      </c>
      <c r="AN1300" s="4">
        <v>0</v>
      </c>
      <c r="AO1300" s="4">
        <v>0</v>
      </c>
      <c r="AP1300" s="4">
        <v>6</v>
      </c>
      <c r="AQ1300" s="4">
        <v>7</v>
      </c>
      <c r="AR1300" s="3" t="s">
        <v>64</v>
      </c>
      <c r="AS1300" s="3" t="s">
        <v>64</v>
      </c>
      <c r="AT1300" s="3" t="s">
        <v>73</v>
      </c>
      <c r="AU1300" s="6" t="str">
        <f>HYPERLINK("http://catalog.hathitrust.org/Record/006553709","HathiTrust Record")</f>
        <v>HathiTrust Record</v>
      </c>
      <c r="AV1300" s="6" t="str">
        <f>HYPERLINK("http://mcgill.on.worldcat.org/oclc/1730475","Catalog Record")</f>
        <v>Catalog Record</v>
      </c>
      <c r="AW1300" s="6" t="str">
        <f>HYPERLINK("http://www.worldcat.org/oclc/1730475","WorldCat Record")</f>
        <v>WorldCat Record</v>
      </c>
      <c r="AX1300" s="3" t="s">
        <v>13442</v>
      </c>
      <c r="AY1300" s="3" t="s">
        <v>13443</v>
      </c>
      <c r="AZ1300" s="3" t="s">
        <v>13444</v>
      </c>
      <c r="BA1300" s="3" t="s">
        <v>13444</v>
      </c>
      <c r="BB1300" s="3" t="s">
        <v>13445</v>
      </c>
      <c r="BC1300" s="3" t="s">
        <v>78</v>
      </c>
      <c r="BD1300" s="3" t="s">
        <v>79</v>
      </c>
      <c r="BF1300" s="3" t="s">
        <v>13445</v>
      </c>
      <c r="BG1300" s="3" t="s">
        <v>13446</v>
      </c>
    </row>
    <row r="1301" spans="1:59" ht="58" x14ac:dyDescent="0.35">
      <c r="A1301" s="2" t="s">
        <v>59</v>
      </c>
      <c r="B1301" s="2" t="s">
        <v>94</v>
      </c>
      <c r="C1301" s="2" t="s">
        <v>13447</v>
      </c>
      <c r="D1301" s="2" t="s">
        <v>13448</v>
      </c>
      <c r="E1301" s="2" t="s">
        <v>13449</v>
      </c>
      <c r="G1301" s="3" t="s">
        <v>64</v>
      </c>
      <c r="I1301" s="3" t="s">
        <v>64</v>
      </c>
      <c r="J1301" s="3" t="s">
        <v>64</v>
      </c>
      <c r="K1301" s="3" t="s">
        <v>65</v>
      </c>
      <c r="L1301" s="2" t="s">
        <v>13450</v>
      </c>
      <c r="M1301" s="2" t="s">
        <v>9010</v>
      </c>
      <c r="N1301" s="3" t="s">
        <v>538</v>
      </c>
      <c r="P1301" s="3" t="s">
        <v>69</v>
      </c>
      <c r="Q1301" s="2" t="s">
        <v>13451</v>
      </c>
      <c r="R1301" s="3" t="s">
        <v>9228</v>
      </c>
      <c r="S1301" s="4">
        <v>7</v>
      </c>
      <c r="T1301" s="4">
        <v>7</v>
      </c>
      <c r="U1301" s="5" t="s">
        <v>4393</v>
      </c>
      <c r="V1301" s="5" t="s">
        <v>4393</v>
      </c>
      <c r="W1301" s="5" t="s">
        <v>72</v>
      </c>
      <c r="X1301" s="5" t="s">
        <v>72</v>
      </c>
      <c r="Y1301" s="4">
        <v>245</v>
      </c>
      <c r="Z1301" s="4">
        <v>25</v>
      </c>
      <c r="AA1301" s="4">
        <v>88</v>
      </c>
      <c r="AB1301" s="4">
        <v>1</v>
      </c>
      <c r="AC1301" s="4">
        <v>15</v>
      </c>
      <c r="AD1301" s="4">
        <v>95</v>
      </c>
      <c r="AE1301" s="4">
        <v>136</v>
      </c>
      <c r="AF1301" s="4">
        <v>0</v>
      </c>
      <c r="AG1301" s="4">
        <v>8</v>
      </c>
      <c r="AH1301" s="4">
        <v>81</v>
      </c>
      <c r="AI1301" s="4">
        <v>97</v>
      </c>
      <c r="AJ1301" s="4">
        <v>16</v>
      </c>
      <c r="AK1301" s="4">
        <v>24</v>
      </c>
      <c r="AL1301" s="4">
        <v>46</v>
      </c>
      <c r="AM1301" s="4">
        <v>53</v>
      </c>
      <c r="AN1301" s="4">
        <v>5</v>
      </c>
      <c r="AO1301" s="4">
        <v>5</v>
      </c>
      <c r="AP1301" s="4">
        <v>20</v>
      </c>
      <c r="AQ1301" s="4">
        <v>46</v>
      </c>
      <c r="AR1301" s="3" t="s">
        <v>64</v>
      </c>
      <c r="AS1301" s="3" t="s">
        <v>64</v>
      </c>
      <c r="AT1301" s="3" t="s">
        <v>73</v>
      </c>
      <c r="AU1301" s="6" t="str">
        <f>HYPERLINK("http://catalog.hathitrust.org/Record/005554575","HathiTrust Record")</f>
        <v>HathiTrust Record</v>
      </c>
      <c r="AV1301" s="6" t="str">
        <f>HYPERLINK("http://mcgill.on.worldcat.org/oclc/72868353","Catalog Record")</f>
        <v>Catalog Record</v>
      </c>
      <c r="AW1301" s="6" t="str">
        <f>HYPERLINK("http://www.worldcat.org/oclc/72868353","WorldCat Record")</f>
        <v>WorldCat Record</v>
      </c>
      <c r="AX1301" s="3" t="s">
        <v>13452</v>
      </c>
      <c r="AY1301" s="3" t="s">
        <v>13453</v>
      </c>
      <c r="AZ1301" s="3" t="s">
        <v>13454</v>
      </c>
      <c r="BA1301" s="3" t="s">
        <v>13454</v>
      </c>
      <c r="BB1301" s="3" t="s">
        <v>13455</v>
      </c>
      <c r="BC1301" s="3" t="s">
        <v>78</v>
      </c>
      <c r="BD1301" s="3" t="s">
        <v>79</v>
      </c>
      <c r="BE1301" s="3" t="s">
        <v>13456</v>
      </c>
      <c r="BF1301" s="3" t="s">
        <v>13455</v>
      </c>
      <c r="BG1301" s="3" t="s">
        <v>13457</v>
      </c>
    </row>
    <row r="1302" spans="1:59" ht="58" x14ac:dyDescent="0.35">
      <c r="A1302" s="2" t="s">
        <v>59</v>
      </c>
      <c r="B1302" s="2" t="s">
        <v>94</v>
      </c>
      <c r="C1302" s="2" t="s">
        <v>13458</v>
      </c>
      <c r="D1302" s="2" t="s">
        <v>13459</v>
      </c>
      <c r="E1302" s="2" t="s">
        <v>13460</v>
      </c>
      <c r="G1302" s="3" t="s">
        <v>64</v>
      </c>
      <c r="I1302" s="3" t="s">
        <v>64</v>
      </c>
      <c r="J1302" s="3" t="s">
        <v>64</v>
      </c>
      <c r="K1302" s="3" t="s">
        <v>65</v>
      </c>
      <c r="L1302" s="2" t="s">
        <v>13461</v>
      </c>
      <c r="M1302" s="2" t="s">
        <v>13462</v>
      </c>
      <c r="N1302" s="3" t="s">
        <v>87</v>
      </c>
      <c r="P1302" s="3" t="s">
        <v>69</v>
      </c>
      <c r="Q1302" s="2" t="s">
        <v>13463</v>
      </c>
      <c r="R1302" s="3" t="s">
        <v>9228</v>
      </c>
      <c r="S1302" s="4">
        <v>0</v>
      </c>
      <c r="T1302" s="4">
        <v>0</v>
      </c>
      <c r="W1302" s="5" t="s">
        <v>72</v>
      </c>
      <c r="X1302" s="5" t="s">
        <v>72</v>
      </c>
      <c r="Y1302" s="4">
        <v>34</v>
      </c>
      <c r="Z1302" s="4">
        <v>4</v>
      </c>
      <c r="AA1302" s="4">
        <v>76</v>
      </c>
      <c r="AB1302" s="4">
        <v>1</v>
      </c>
      <c r="AC1302" s="4">
        <v>14</v>
      </c>
      <c r="AD1302" s="4">
        <v>16</v>
      </c>
      <c r="AE1302" s="4">
        <v>98</v>
      </c>
      <c r="AF1302" s="4">
        <v>0</v>
      </c>
      <c r="AG1302" s="4">
        <v>8</v>
      </c>
      <c r="AH1302" s="4">
        <v>14</v>
      </c>
      <c r="AI1302" s="4">
        <v>66</v>
      </c>
      <c r="AJ1302" s="4">
        <v>2</v>
      </c>
      <c r="AK1302" s="4">
        <v>19</v>
      </c>
      <c r="AL1302" s="4">
        <v>13</v>
      </c>
      <c r="AM1302" s="4">
        <v>34</v>
      </c>
      <c r="AN1302" s="4">
        <v>0</v>
      </c>
      <c r="AO1302" s="4">
        <v>0</v>
      </c>
      <c r="AP1302" s="4">
        <v>2</v>
      </c>
      <c r="AQ1302" s="4">
        <v>38</v>
      </c>
      <c r="AR1302" s="3" t="s">
        <v>64</v>
      </c>
      <c r="AS1302" s="3" t="s">
        <v>64</v>
      </c>
      <c r="AT1302" s="3" t="s">
        <v>64</v>
      </c>
      <c r="AV1302" s="6" t="str">
        <f>HYPERLINK("http://mcgill.on.worldcat.org/oclc/904036895","Catalog Record")</f>
        <v>Catalog Record</v>
      </c>
      <c r="AW1302" s="6" t="str">
        <f>HYPERLINK("http://www.worldcat.org/oclc/904036895","WorldCat Record")</f>
        <v>WorldCat Record</v>
      </c>
      <c r="AX1302" s="3" t="s">
        <v>13464</v>
      </c>
      <c r="AY1302" s="3" t="s">
        <v>13465</v>
      </c>
      <c r="AZ1302" s="3" t="s">
        <v>13466</v>
      </c>
      <c r="BA1302" s="3" t="s">
        <v>13466</v>
      </c>
      <c r="BB1302" s="3" t="s">
        <v>13467</v>
      </c>
      <c r="BC1302" s="3" t="s">
        <v>78</v>
      </c>
      <c r="BD1302" s="3" t="s">
        <v>79</v>
      </c>
      <c r="BE1302" s="3" t="s">
        <v>13468</v>
      </c>
      <c r="BF1302" s="3" t="s">
        <v>13467</v>
      </c>
      <c r="BG1302" s="3" t="s">
        <v>13469</v>
      </c>
    </row>
    <row r="1303" spans="1:59" ht="58" x14ac:dyDescent="0.35">
      <c r="A1303" s="2" t="s">
        <v>59</v>
      </c>
      <c r="B1303" s="2" t="s">
        <v>94</v>
      </c>
      <c r="C1303" s="2" t="s">
        <v>13470</v>
      </c>
      <c r="D1303" s="2" t="s">
        <v>13471</v>
      </c>
      <c r="E1303" s="2" t="s">
        <v>13472</v>
      </c>
      <c r="G1303" s="3" t="s">
        <v>64</v>
      </c>
      <c r="I1303" s="3" t="s">
        <v>64</v>
      </c>
      <c r="J1303" s="3" t="s">
        <v>64</v>
      </c>
      <c r="K1303" s="3" t="s">
        <v>65</v>
      </c>
      <c r="L1303" s="2" t="s">
        <v>3397</v>
      </c>
      <c r="M1303" s="2" t="s">
        <v>13326</v>
      </c>
      <c r="N1303" s="3" t="s">
        <v>264</v>
      </c>
      <c r="P1303" s="3" t="s">
        <v>69</v>
      </c>
      <c r="Q1303" s="2" t="s">
        <v>13327</v>
      </c>
      <c r="R1303" s="3" t="s">
        <v>9228</v>
      </c>
      <c r="S1303" s="4">
        <v>15</v>
      </c>
      <c r="T1303" s="4">
        <v>15</v>
      </c>
      <c r="U1303" s="5" t="s">
        <v>5667</v>
      </c>
      <c r="V1303" s="5" t="s">
        <v>5667</v>
      </c>
      <c r="W1303" s="5" t="s">
        <v>72</v>
      </c>
      <c r="X1303" s="5" t="s">
        <v>72</v>
      </c>
      <c r="Y1303" s="4">
        <v>186</v>
      </c>
      <c r="Z1303" s="4">
        <v>12</v>
      </c>
      <c r="AA1303" s="4">
        <v>20</v>
      </c>
      <c r="AB1303" s="4">
        <v>1</v>
      </c>
      <c r="AC1303" s="4">
        <v>1</v>
      </c>
      <c r="AD1303" s="4">
        <v>47</v>
      </c>
      <c r="AE1303" s="4">
        <v>71</v>
      </c>
      <c r="AF1303" s="4">
        <v>0</v>
      </c>
      <c r="AG1303" s="4">
        <v>0</v>
      </c>
      <c r="AH1303" s="4">
        <v>41</v>
      </c>
      <c r="AI1303" s="4">
        <v>62</v>
      </c>
      <c r="AJ1303" s="4">
        <v>6</v>
      </c>
      <c r="AK1303" s="4">
        <v>12</v>
      </c>
      <c r="AL1303" s="4">
        <v>21</v>
      </c>
      <c r="AM1303" s="4">
        <v>35</v>
      </c>
      <c r="AN1303" s="4">
        <v>0</v>
      </c>
      <c r="AO1303" s="4">
        <v>0</v>
      </c>
      <c r="AP1303" s="4">
        <v>8</v>
      </c>
      <c r="AQ1303" s="4">
        <v>14</v>
      </c>
      <c r="AR1303" s="3" t="s">
        <v>64</v>
      </c>
      <c r="AS1303" s="3" t="s">
        <v>64</v>
      </c>
      <c r="AT1303" s="3" t="s">
        <v>64</v>
      </c>
      <c r="AV1303" s="6" t="str">
        <f>HYPERLINK("http://mcgill.on.worldcat.org/oclc/3003581","Catalog Record")</f>
        <v>Catalog Record</v>
      </c>
      <c r="AW1303" s="6" t="str">
        <f>HYPERLINK("http://www.worldcat.org/oclc/3003581","WorldCat Record")</f>
        <v>WorldCat Record</v>
      </c>
      <c r="AX1303" s="3" t="s">
        <v>13473</v>
      </c>
      <c r="AY1303" s="3" t="s">
        <v>13474</v>
      </c>
      <c r="AZ1303" s="3" t="s">
        <v>13475</v>
      </c>
      <c r="BA1303" s="3" t="s">
        <v>13475</v>
      </c>
      <c r="BB1303" s="3" t="s">
        <v>13476</v>
      </c>
      <c r="BC1303" s="3" t="s">
        <v>78</v>
      </c>
      <c r="BD1303" s="3" t="s">
        <v>79</v>
      </c>
      <c r="BE1303" s="3" t="s">
        <v>13477</v>
      </c>
      <c r="BF1303" s="3" t="s">
        <v>13476</v>
      </c>
      <c r="BG1303" s="3" t="s">
        <v>13478</v>
      </c>
    </row>
    <row r="1304" spans="1:59" ht="58" x14ac:dyDescent="0.35">
      <c r="A1304" s="2" t="s">
        <v>59</v>
      </c>
      <c r="B1304" s="2" t="s">
        <v>94</v>
      </c>
      <c r="C1304" s="2" t="s">
        <v>13479</v>
      </c>
      <c r="D1304" s="2" t="s">
        <v>13480</v>
      </c>
      <c r="E1304" s="2" t="s">
        <v>13481</v>
      </c>
      <c r="G1304" s="3" t="s">
        <v>64</v>
      </c>
      <c r="I1304" s="3" t="s">
        <v>64</v>
      </c>
      <c r="J1304" s="3" t="s">
        <v>64</v>
      </c>
      <c r="K1304" s="3" t="s">
        <v>65</v>
      </c>
      <c r="L1304" s="2" t="s">
        <v>13482</v>
      </c>
      <c r="M1304" s="2" t="s">
        <v>13483</v>
      </c>
      <c r="N1304" s="3" t="s">
        <v>1320</v>
      </c>
      <c r="P1304" s="3" t="s">
        <v>69</v>
      </c>
      <c r="Q1304" s="2" t="s">
        <v>13484</v>
      </c>
      <c r="R1304" s="3" t="s">
        <v>9228</v>
      </c>
      <c r="S1304" s="4">
        <v>2</v>
      </c>
      <c r="T1304" s="4">
        <v>2</v>
      </c>
      <c r="U1304" s="5" t="s">
        <v>8792</v>
      </c>
      <c r="V1304" s="5" t="s">
        <v>8792</v>
      </c>
      <c r="W1304" s="5" t="s">
        <v>72</v>
      </c>
      <c r="X1304" s="5" t="s">
        <v>72</v>
      </c>
      <c r="Y1304" s="4">
        <v>195</v>
      </c>
      <c r="Z1304" s="4">
        <v>10</v>
      </c>
      <c r="AA1304" s="4">
        <v>36</v>
      </c>
      <c r="AB1304" s="4">
        <v>1</v>
      </c>
      <c r="AC1304" s="4">
        <v>6</v>
      </c>
      <c r="AD1304" s="4">
        <v>81</v>
      </c>
      <c r="AE1304" s="4">
        <v>84</v>
      </c>
      <c r="AF1304" s="4">
        <v>0</v>
      </c>
      <c r="AG1304" s="4">
        <v>0</v>
      </c>
      <c r="AH1304" s="4">
        <v>75</v>
      </c>
      <c r="AI1304" s="4">
        <v>76</v>
      </c>
      <c r="AJ1304" s="4">
        <v>6</v>
      </c>
      <c r="AK1304" s="4">
        <v>6</v>
      </c>
      <c r="AL1304" s="4">
        <v>43</v>
      </c>
      <c r="AM1304" s="4">
        <v>44</v>
      </c>
      <c r="AN1304" s="4">
        <v>0</v>
      </c>
      <c r="AO1304" s="4">
        <v>0</v>
      </c>
      <c r="AP1304" s="4">
        <v>7</v>
      </c>
      <c r="AQ1304" s="4">
        <v>9</v>
      </c>
      <c r="AR1304" s="3" t="s">
        <v>64</v>
      </c>
      <c r="AS1304" s="3" t="s">
        <v>64</v>
      </c>
      <c r="AT1304" s="3" t="s">
        <v>73</v>
      </c>
      <c r="AU1304" s="6" t="str">
        <f>HYPERLINK("http://catalog.hathitrust.org/Record/003024278","HathiTrust Record")</f>
        <v>HathiTrust Record</v>
      </c>
      <c r="AV1304" s="6" t="str">
        <f>HYPERLINK("http://mcgill.on.worldcat.org/oclc/32130668","Catalog Record")</f>
        <v>Catalog Record</v>
      </c>
      <c r="AW1304" s="6" t="str">
        <f>HYPERLINK("http://www.worldcat.org/oclc/32130668","WorldCat Record")</f>
        <v>WorldCat Record</v>
      </c>
      <c r="AX1304" s="3" t="s">
        <v>13485</v>
      </c>
      <c r="AY1304" s="3" t="s">
        <v>13486</v>
      </c>
      <c r="AZ1304" s="3" t="s">
        <v>13487</v>
      </c>
      <c r="BA1304" s="3" t="s">
        <v>13487</v>
      </c>
      <c r="BB1304" s="3" t="s">
        <v>13488</v>
      </c>
      <c r="BC1304" s="3" t="s">
        <v>78</v>
      </c>
      <c r="BD1304" s="3" t="s">
        <v>79</v>
      </c>
      <c r="BE1304" s="3" t="s">
        <v>13489</v>
      </c>
      <c r="BF1304" s="3" t="s">
        <v>13488</v>
      </c>
      <c r="BG1304" s="3" t="s">
        <v>13490</v>
      </c>
    </row>
    <row r="1305" spans="1:59" ht="58" x14ac:dyDescent="0.35">
      <c r="A1305" s="2" t="s">
        <v>59</v>
      </c>
      <c r="B1305" s="2" t="s">
        <v>94</v>
      </c>
      <c r="C1305" s="2" t="s">
        <v>13491</v>
      </c>
      <c r="D1305" s="2" t="s">
        <v>13492</v>
      </c>
      <c r="E1305" s="2" t="s">
        <v>13493</v>
      </c>
      <c r="G1305" s="3" t="s">
        <v>64</v>
      </c>
      <c r="I1305" s="3" t="s">
        <v>64</v>
      </c>
      <c r="J1305" s="3" t="s">
        <v>64</v>
      </c>
      <c r="K1305" s="3" t="s">
        <v>65</v>
      </c>
      <c r="L1305" s="2" t="s">
        <v>13494</v>
      </c>
      <c r="M1305" s="2" t="s">
        <v>13495</v>
      </c>
      <c r="N1305" s="3" t="s">
        <v>315</v>
      </c>
      <c r="P1305" s="3" t="s">
        <v>69</v>
      </c>
      <c r="R1305" s="3" t="s">
        <v>9228</v>
      </c>
      <c r="S1305" s="4">
        <v>8</v>
      </c>
      <c r="T1305" s="4">
        <v>8</v>
      </c>
      <c r="U1305" s="5" t="s">
        <v>8792</v>
      </c>
      <c r="V1305" s="5" t="s">
        <v>8792</v>
      </c>
      <c r="W1305" s="5" t="s">
        <v>72</v>
      </c>
      <c r="X1305" s="5" t="s">
        <v>72</v>
      </c>
      <c r="Y1305" s="4">
        <v>74</v>
      </c>
      <c r="Z1305" s="4">
        <v>6</v>
      </c>
      <c r="AA1305" s="4">
        <v>9</v>
      </c>
      <c r="AB1305" s="4">
        <v>1</v>
      </c>
      <c r="AC1305" s="4">
        <v>1</v>
      </c>
      <c r="AD1305" s="4">
        <v>28</v>
      </c>
      <c r="AE1305" s="4">
        <v>30</v>
      </c>
      <c r="AF1305" s="4">
        <v>0</v>
      </c>
      <c r="AG1305" s="4">
        <v>0</v>
      </c>
      <c r="AH1305" s="4">
        <v>27</v>
      </c>
      <c r="AI1305" s="4">
        <v>29</v>
      </c>
      <c r="AJ1305" s="4">
        <v>3</v>
      </c>
      <c r="AK1305" s="4">
        <v>5</v>
      </c>
      <c r="AL1305" s="4">
        <v>14</v>
      </c>
      <c r="AM1305" s="4">
        <v>15</v>
      </c>
      <c r="AN1305" s="4">
        <v>0</v>
      </c>
      <c r="AO1305" s="4">
        <v>0</v>
      </c>
      <c r="AP1305" s="4">
        <v>3</v>
      </c>
      <c r="AQ1305" s="4">
        <v>5</v>
      </c>
      <c r="AR1305" s="3" t="s">
        <v>64</v>
      </c>
      <c r="AS1305" s="3" t="s">
        <v>64</v>
      </c>
      <c r="AT1305" s="3" t="s">
        <v>73</v>
      </c>
      <c r="AU1305" s="6" t="str">
        <f>HYPERLINK("http://catalog.hathitrust.org/Record/000839063","HathiTrust Record")</f>
        <v>HathiTrust Record</v>
      </c>
      <c r="AV1305" s="6" t="str">
        <f>HYPERLINK("http://mcgill.on.worldcat.org/oclc/16654333","Catalog Record")</f>
        <v>Catalog Record</v>
      </c>
      <c r="AW1305" s="6" t="str">
        <f>HYPERLINK("http://www.worldcat.org/oclc/16654333","WorldCat Record")</f>
        <v>WorldCat Record</v>
      </c>
      <c r="AX1305" s="3" t="s">
        <v>13496</v>
      </c>
      <c r="AY1305" s="3" t="s">
        <v>13497</v>
      </c>
      <c r="AZ1305" s="3" t="s">
        <v>13498</v>
      </c>
      <c r="BA1305" s="3" t="s">
        <v>13498</v>
      </c>
      <c r="BB1305" s="3" t="s">
        <v>13499</v>
      </c>
      <c r="BC1305" s="3" t="s">
        <v>78</v>
      </c>
      <c r="BD1305" s="3" t="s">
        <v>79</v>
      </c>
      <c r="BE1305" s="3" t="s">
        <v>13500</v>
      </c>
      <c r="BF1305" s="3" t="s">
        <v>13499</v>
      </c>
      <c r="BG1305" s="3" t="s">
        <v>13501</v>
      </c>
    </row>
    <row r="1306" spans="1:59" ht="58" x14ac:dyDescent="0.35">
      <c r="A1306" s="2" t="s">
        <v>59</v>
      </c>
      <c r="B1306" s="2" t="s">
        <v>94</v>
      </c>
      <c r="C1306" s="2" t="s">
        <v>13502</v>
      </c>
      <c r="D1306" s="2" t="s">
        <v>13503</v>
      </c>
      <c r="E1306" s="2" t="s">
        <v>13504</v>
      </c>
      <c r="G1306" s="3" t="s">
        <v>64</v>
      </c>
      <c r="I1306" s="3" t="s">
        <v>64</v>
      </c>
      <c r="J1306" s="3" t="s">
        <v>64</v>
      </c>
      <c r="K1306" s="3" t="s">
        <v>65</v>
      </c>
      <c r="L1306" s="2" t="s">
        <v>3518</v>
      </c>
      <c r="M1306" s="2" t="s">
        <v>13505</v>
      </c>
      <c r="N1306" s="3" t="s">
        <v>2116</v>
      </c>
      <c r="P1306" s="3" t="s">
        <v>69</v>
      </c>
      <c r="R1306" s="3" t="s">
        <v>9228</v>
      </c>
      <c r="S1306" s="4">
        <v>9</v>
      </c>
      <c r="T1306" s="4">
        <v>9</v>
      </c>
      <c r="U1306" s="5" t="s">
        <v>8792</v>
      </c>
      <c r="V1306" s="5" t="s">
        <v>8792</v>
      </c>
      <c r="W1306" s="5" t="s">
        <v>72</v>
      </c>
      <c r="X1306" s="5" t="s">
        <v>72</v>
      </c>
      <c r="Y1306" s="4">
        <v>478</v>
      </c>
      <c r="Z1306" s="4">
        <v>29</v>
      </c>
      <c r="AA1306" s="4">
        <v>34</v>
      </c>
      <c r="AB1306" s="4">
        <v>3</v>
      </c>
      <c r="AC1306" s="4">
        <v>4</v>
      </c>
      <c r="AD1306" s="4">
        <v>118</v>
      </c>
      <c r="AE1306" s="4">
        <v>121</v>
      </c>
      <c r="AF1306" s="4">
        <v>2</v>
      </c>
      <c r="AG1306" s="4">
        <v>2</v>
      </c>
      <c r="AH1306" s="4">
        <v>104</v>
      </c>
      <c r="AI1306" s="4">
        <v>104</v>
      </c>
      <c r="AJ1306" s="4">
        <v>17</v>
      </c>
      <c r="AK1306" s="4">
        <v>17</v>
      </c>
      <c r="AL1306" s="4">
        <v>53</v>
      </c>
      <c r="AM1306" s="4">
        <v>53</v>
      </c>
      <c r="AN1306" s="4">
        <v>0</v>
      </c>
      <c r="AO1306" s="4">
        <v>0</v>
      </c>
      <c r="AP1306" s="4">
        <v>23</v>
      </c>
      <c r="AQ1306" s="4">
        <v>26</v>
      </c>
      <c r="AR1306" s="3" t="s">
        <v>64</v>
      </c>
      <c r="AS1306" s="3" t="s">
        <v>64</v>
      </c>
      <c r="AT1306" s="3" t="s">
        <v>73</v>
      </c>
      <c r="AU1306" s="6" t="str">
        <f>HYPERLINK("http://catalog.hathitrust.org/Record/000714732","HathiTrust Record")</f>
        <v>HathiTrust Record</v>
      </c>
      <c r="AV1306" s="6" t="str">
        <f>HYPERLINK("http://mcgill.on.worldcat.org/oclc/2296764","Catalog Record")</f>
        <v>Catalog Record</v>
      </c>
      <c r="AW1306" s="6" t="str">
        <f>HYPERLINK("http://www.worldcat.org/oclc/2296764","WorldCat Record")</f>
        <v>WorldCat Record</v>
      </c>
      <c r="AX1306" s="3" t="s">
        <v>13506</v>
      </c>
      <c r="AY1306" s="3" t="s">
        <v>13507</v>
      </c>
      <c r="AZ1306" s="3" t="s">
        <v>13508</v>
      </c>
      <c r="BA1306" s="3" t="s">
        <v>13508</v>
      </c>
      <c r="BB1306" s="3" t="s">
        <v>13509</v>
      </c>
      <c r="BC1306" s="3" t="s">
        <v>78</v>
      </c>
      <c r="BD1306" s="3" t="s">
        <v>79</v>
      </c>
      <c r="BE1306" s="3" t="s">
        <v>13510</v>
      </c>
      <c r="BF1306" s="3" t="s">
        <v>13509</v>
      </c>
      <c r="BG1306" s="3" t="s">
        <v>13511</v>
      </c>
    </row>
    <row r="1307" spans="1:59" ht="58" x14ac:dyDescent="0.35">
      <c r="A1307" s="2" t="s">
        <v>59</v>
      </c>
      <c r="B1307" s="2" t="s">
        <v>94</v>
      </c>
      <c r="C1307" s="2" t="s">
        <v>13512</v>
      </c>
      <c r="D1307" s="2" t="s">
        <v>13513</v>
      </c>
      <c r="E1307" s="2" t="s">
        <v>13514</v>
      </c>
      <c r="G1307" s="3" t="s">
        <v>64</v>
      </c>
      <c r="I1307" s="3" t="s">
        <v>64</v>
      </c>
      <c r="J1307" s="3" t="s">
        <v>64</v>
      </c>
      <c r="K1307" s="3" t="s">
        <v>65</v>
      </c>
      <c r="L1307" s="2" t="s">
        <v>13515</v>
      </c>
      <c r="M1307" s="2" t="s">
        <v>13516</v>
      </c>
      <c r="N1307" s="3" t="s">
        <v>175</v>
      </c>
      <c r="P1307" s="3" t="s">
        <v>69</v>
      </c>
      <c r="Q1307" s="2" t="s">
        <v>13517</v>
      </c>
      <c r="R1307" s="3" t="s">
        <v>9228</v>
      </c>
      <c r="S1307" s="4">
        <v>1</v>
      </c>
      <c r="T1307" s="4">
        <v>1</v>
      </c>
      <c r="U1307" s="5" t="s">
        <v>13518</v>
      </c>
      <c r="V1307" s="5" t="s">
        <v>13518</v>
      </c>
      <c r="W1307" s="5" t="s">
        <v>72</v>
      </c>
      <c r="X1307" s="5" t="s">
        <v>72</v>
      </c>
      <c r="Y1307" s="4">
        <v>48</v>
      </c>
      <c r="Z1307" s="4">
        <v>4</v>
      </c>
      <c r="AA1307" s="4">
        <v>99</v>
      </c>
      <c r="AB1307" s="4">
        <v>1</v>
      </c>
      <c r="AC1307" s="4">
        <v>14</v>
      </c>
      <c r="AD1307" s="4">
        <v>21</v>
      </c>
      <c r="AE1307" s="4">
        <v>106</v>
      </c>
      <c r="AF1307" s="4">
        <v>0</v>
      </c>
      <c r="AG1307" s="4">
        <v>8</v>
      </c>
      <c r="AH1307" s="4">
        <v>20</v>
      </c>
      <c r="AI1307" s="4">
        <v>69</v>
      </c>
      <c r="AJ1307" s="4">
        <v>2</v>
      </c>
      <c r="AK1307" s="4">
        <v>20</v>
      </c>
      <c r="AL1307" s="4">
        <v>18</v>
      </c>
      <c r="AM1307" s="4">
        <v>38</v>
      </c>
      <c r="AN1307" s="4">
        <v>0</v>
      </c>
      <c r="AO1307" s="4">
        <v>0</v>
      </c>
      <c r="AP1307" s="4">
        <v>2</v>
      </c>
      <c r="AQ1307" s="4">
        <v>42</v>
      </c>
      <c r="AR1307" s="3" t="s">
        <v>64</v>
      </c>
      <c r="AS1307" s="3" t="s">
        <v>64</v>
      </c>
      <c r="AT1307" s="3" t="s">
        <v>64</v>
      </c>
      <c r="AV1307" s="6" t="str">
        <f>HYPERLINK("http://mcgill.on.worldcat.org/oclc/868225796","Catalog Record")</f>
        <v>Catalog Record</v>
      </c>
      <c r="AW1307" s="6" t="str">
        <f>HYPERLINK("http://www.worldcat.org/oclc/868225796","WorldCat Record")</f>
        <v>WorldCat Record</v>
      </c>
      <c r="AX1307" s="3" t="s">
        <v>13519</v>
      </c>
      <c r="AY1307" s="3" t="s">
        <v>13520</v>
      </c>
      <c r="AZ1307" s="3" t="s">
        <v>13521</v>
      </c>
      <c r="BA1307" s="3" t="s">
        <v>13521</v>
      </c>
      <c r="BB1307" s="3" t="s">
        <v>13522</v>
      </c>
      <c r="BC1307" s="3" t="s">
        <v>78</v>
      </c>
      <c r="BD1307" s="3" t="s">
        <v>79</v>
      </c>
      <c r="BE1307" s="3" t="s">
        <v>13523</v>
      </c>
      <c r="BF1307" s="3" t="s">
        <v>13522</v>
      </c>
      <c r="BG1307" s="3" t="s">
        <v>13524</v>
      </c>
    </row>
    <row r="1308" spans="1:59" ht="58" x14ac:dyDescent="0.35">
      <c r="A1308" s="2" t="s">
        <v>59</v>
      </c>
      <c r="B1308" s="2" t="s">
        <v>94</v>
      </c>
      <c r="C1308" s="2" t="s">
        <v>13525</v>
      </c>
      <c r="D1308" s="2" t="s">
        <v>13526</v>
      </c>
      <c r="E1308" s="2" t="s">
        <v>13527</v>
      </c>
      <c r="G1308" s="3" t="s">
        <v>64</v>
      </c>
      <c r="I1308" s="3" t="s">
        <v>64</v>
      </c>
      <c r="J1308" s="3" t="s">
        <v>64</v>
      </c>
      <c r="K1308" s="3" t="s">
        <v>65</v>
      </c>
      <c r="L1308" s="2" t="s">
        <v>13528</v>
      </c>
      <c r="M1308" s="2" t="s">
        <v>11227</v>
      </c>
      <c r="N1308" s="3" t="s">
        <v>473</v>
      </c>
      <c r="P1308" s="3" t="s">
        <v>69</v>
      </c>
      <c r="Q1308" s="2" t="s">
        <v>13529</v>
      </c>
      <c r="R1308" s="3" t="s">
        <v>9228</v>
      </c>
      <c r="S1308" s="4">
        <v>6</v>
      </c>
      <c r="T1308" s="4">
        <v>6</v>
      </c>
      <c r="U1308" s="5" t="s">
        <v>8502</v>
      </c>
      <c r="V1308" s="5" t="s">
        <v>8502</v>
      </c>
      <c r="W1308" s="5" t="s">
        <v>72</v>
      </c>
      <c r="X1308" s="5" t="s">
        <v>72</v>
      </c>
      <c r="Y1308" s="4">
        <v>161</v>
      </c>
      <c r="Z1308" s="4">
        <v>13</v>
      </c>
      <c r="AA1308" s="4">
        <v>18</v>
      </c>
      <c r="AB1308" s="4">
        <v>1</v>
      </c>
      <c r="AC1308" s="4">
        <v>5</v>
      </c>
      <c r="AD1308" s="4">
        <v>85</v>
      </c>
      <c r="AE1308" s="4">
        <v>87</v>
      </c>
      <c r="AF1308" s="4">
        <v>0</v>
      </c>
      <c r="AG1308" s="4">
        <v>1</v>
      </c>
      <c r="AH1308" s="4">
        <v>80</v>
      </c>
      <c r="AI1308" s="4">
        <v>81</v>
      </c>
      <c r="AJ1308" s="4">
        <v>11</v>
      </c>
      <c r="AK1308" s="4">
        <v>13</v>
      </c>
      <c r="AL1308" s="4">
        <v>44</v>
      </c>
      <c r="AM1308" s="4">
        <v>44</v>
      </c>
      <c r="AN1308" s="4">
        <v>0</v>
      </c>
      <c r="AO1308" s="4">
        <v>0</v>
      </c>
      <c r="AP1308" s="4">
        <v>11</v>
      </c>
      <c r="AQ1308" s="4">
        <v>12</v>
      </c>
      <c r="AR1308" s="3" t="s">
        <v>64</v>
      </c>
      <c r="AS1308" s="3" t="s">
        <v>64</v>
      </c>
      <c r="AT1308" s="3" t="s">
        <v>73</v>
      </c>
      <c r="AU1308" s="6" t="str">
        <f>HYPERLINK("http://catalog.hathitrust.org/Record/002205345","HathiTrust Record")</f>
        <v>HathiTrust Record</v>
      </c>
      <c r="AV1308" s="6" t="str">
        <f>HYPERLINK("http://mcgill.on.worldcat.org/oclc/20932994","Catalog Record")</f>
        <v>Catalog Record</v>
      </c>
      <c r="AW1308" s="6" t="str">
        <f>HYPERLINK("http://www.worldcat.org/oclc/20932994","WorldCat Record")</f>
        <v>WorldCat Record</v>
      </c>
      <c r="AX1308" s="3" t="s">
        <v>13530</v>
      </c>
      <c r="AY1308" s="3" t="s">
        <v>13531</v>
      </c>
      <c r="AZ1308" s="3" t="s">
        <v>13532</v>
      </c>
      <c r="BA1308" s="3" t="s">
        <v>13532</v>
      </c>
      <c r="BB1308" s="3" t="s">
        <v>13533</v>
      </c>
      <c r="BC1308" s="3" t="s">
        <v>78</v>
      </c>
      <c r="BD1308" s="3" t="s">
        <v>79</v>
      </c>
      <c r="BE1308" s="3" t="s">
        <v>13534</v>
      </c>
      <c r="BF1308" s="3" t="s">
        <v>13533</v>
      </c>
      <c r="BG1308" s="3" t="s">
        <v>13535</v>
      </c>
    </row>
    <row r="1309" spans="1:59" ht="72.5" x14ac:dyDescent="0.35">
      <c r="A1309" s="2" t="s">
        <v>59</v>
      </c>
      <c r="B1309" s="2" t="s">
        <v>94</v>
      </c>
      <c r="C1309" s="2" t="s">
        <v>13536</v>
      </c>
      <c r="D1309" s="2" t="s">
        <v>13537</v>
      </c>
      <c r="E1309" s="2" t="s">
        <v>13538</v>
      </c>
      <c r="G1309" s="3" t="s">
        <v>64</v>
      </c>
      <c r="I1309" s="3" t="s">
        <v>64</v>
      </c>
      <c r="J1309" s="3" t="s">
        <v>64</v>
      </c>
      <c r="K1309" s="3" t="s">
        <v>65</v>
      </c>
      <c r="M1309" s="2" t="s">
        <v>13539</v>
      </c>
      <c r="N1309" s="3" t="s">
        <v>365</v>
      </c>
      <c r="P1309" s="3" t="s">
        <v>162</v>
      </c>
      <c r="Q1309" s="2" t="s">
        <v>13540</v>
      </c>
      <c r="R1309" s="3" t="s">
        <v>9228</v>
      </c>
      <c r="S1309" s="4">
        <v>9</v>
      </c>
      <c r="T1309" s="4">
        <v>9</v>
      </c>
      <c r="U1309" s="5" t="s">
        <v>11688</v>
      </c>
      <c r="V1309" s="5" t="s">
        <v>11688</v>
      </c>
      <c r="W1309" s="5" t="s">
        <v>72</v>
      </c>
      <c r="X1309" s="5" t="s">
        <v>72</v>
      </c>
      <c r="Y1309" s="4">
        <v>69</v>
      </c>
      <c r="Z1309" s="4">
        <v>5</v>
      </c>
      <c r="AA1309" s="4">
        <v>8</v>
      </c>
      <c r="AB1309" s="4">
        <v>1</v>
      </c>
      <c r="AC1309" s="4">
        <v>4</v>
      </c>
      <c r="AD1309" s="4">
        <v>38</v>
      </c>
      <c r="AE1309" s="4">
        <v>41</v>
      </c>
      <c r="AF1309" s="4">
        <v>0</v>
      </c>
      <c r="AG1309" s="4">
        <v>3</v>
      </c>
      <c r="AH1309" s="4">
        <v>36</v>
      </c>
      <c r="AI1309" s="4">
        <v>36</v>
      </c>
      <c r="AJ1309" s="4">
        <v>3</v>
      </c>
      <c r="AK1309" s="4">
        <v>6</v>
      </c>
      <c r="AL1309" s="4">
        <v>25</v>
      </c>
      <c r="AM1309" s="4">
        <v>25</v>
      </c>
      <c r="AN1309" s="4">
        <v>0</v>
      </c>
      <c r="AO1309" s="4">
        <v>0</v>
      </c>
      <c r="AP1309" s="4">
        <v>3</v>
      </c>
      <c r="AQ1309" s="4">
        <v>5</v>
      </c>
      <c r="AR1309" s="3" t="s">
        <v>64</v>
      </c>
      <c r="AS1309" s="3" t="s">
        <v>64</v>
      </c>
      <c r="AT1309" s="3" t="s">
        <v>64</v>
      </c>
      <c r="AV1309" s="6" t="str">
        <f>HYPERLINK("http://mcgill.on.worldcat.org/oclc/13899070","Catalog Record")</f>
        <v>Catalog Record</v>
      </c>
      <c r="AW1309" s="6" t="str">
        <f>HYPERLINK("http://www.worldcat.org/oclc/13899070","WorldCat Record")</f>
        <v>WorldCat Record</v>
      </c>
      <c r="AX1309" s="3" t="s">
        <v>13541</v>
      </c>
      <c r="AY1309" s="3" t="s">
        <v>13542</v>
      </c>
      <c r="AZ1309" s="3" t="s">
        <v>13543</v>
      </c>
      <c r="BA1309" s="3" t="s">
        <v>13543</v>
      </c>
      <c r="BB1309" s="3" t="s">
        <v>13544</v>
      </c>
      <c r="BC1309" s="3" t="s">
        <v>78</v>
      </c>
      <c r="BD1309" s="3" t="s">
        <v>79</v>
      </c>
      <c r="BE1309" s="3" t="s">
        <v>13545</v>
      </c>
      <c r="BF1309" s="3" t="s">
        <v>13544</v>
      </c>
      <c r="BG1309" s="3" t="s">
        <v>13546</v>
      </c>
    </row>
    <row r="1310" spans="1:59" ht="58" x14ac:dyDescent="0.35">
      <c r="A1310" s="2" t="s">
        <v>59</v>
      </c>
      <c r="B1310" s="2" t="s">
        <v>94</v>
      </c>
      <c r="C1310" s="2" t="s">
        <v>13547</v>
      </c>
      <c r="D1310" s="2" t="s">
        <v>13548</v>
      </c>
      <c r="E1310" s="2" t="s">
        <v>13549</v>
      </c>
      <c r="G1310" s="3" t="s">
        <v>64</v>
      </c>
      <c r="I1310" s="3" t="s">
        <v>73</v>
      </c>
      <c r="J1310" s="3" t="s">
        <v>64</v>
      </c>
      <c r="K1310" s="3" t="s">
        <v>65</v>
      </c>
      <c r="L1310" s="2" t="s">
        <v>13550</v>
      </c>
      <c r="M1310" s="2" t="s">
        <v>13551</v>
      </c>
      <c r="N1310" s="3" t="s">
        <v>2574</v>
      </c>
      <c r="P1310" s="3" t="s">
        <v>69</v>
      </c>
      <c r="Q1310" s="2" t="s">
        <v>13552</v>
      </c>
      <c r="R1310" s="3" t="s">
        <v>9228</v>
      </c>
      <c r="S1310" s="4">
        <v>22</v>
      </c>
      <c r="T1310" s="4">
        <v>44</v>
      </c>
      <c r="U1310" s="5" t="s">
        <v>9299</v>
      </c>
      <c r="V1310" s="5" t="s">
        <v>1169</v>
      </c>
      <c r="W1310" s="5" t="s">
        <v>72</v>
      </c>
      <c r="X1310" s="5" t="s">
        <v>72</v>
      </c>
      <c r="Y1310" s="4">
        <v>11</v>
      </c>
      <c r="Z1310" s="4">
        <v>5</v>
      </c>
      <c r="AA1310" s="4">
        <v>37</v>
      </c>
      <c r="AB1310" s="4">
        <v>2</v>
      </c>
      <c r="AC1310" s="4">
        <v>4</v>
      </c>
      <c r="AD1310" s="4">
        <v>5</v>
      </c>
      <c r="AE1310" s="4">
        <v>119</v>
      </c>
      <c r="AF1310" s="4">
        <v>1</v>
      </c>
      <c r="AG1310" s="4">
        <v>3</v>
      </c>
      <c r="AH1310" s="4">
        <v>3</v>
      </c>
      <c r="AI1310" s="4">
        <v>99</v>
      </c>
      <c r="AJ1310" s="4">
        <v>4</v>
      </c>
      <c r="AK1310" s="4">
        <v>23</v>
      </c>
      <c r="AL1310" s="4">
        <v>1</v>
      </c>
      <c r="AM1310" s="4">
        <v>51</v>
      </c>
      <c r="AN1310" s="4">
        <v>0</v>
      </c>
      <c r="AO1310" s="4">
        <v>0</v>
      </c>
      <c r="AP1310" s="4">
        <v>4</v>
      </c>
      <c r="AQ1310" s="4">
        <v>29</v>
      </c>
      <c r="AR1310" s="3" t="s">
        <v>64</v>
      </c>
      <c r="AS1310" s="3" t="s">
        <v>64</v>
      </c>
      <c r="AT1310" s="3" t="s">
        <v>73</v>
      </c>
      <c r="AU1310" s="6" t="str">
        <f>HYPERLINK("http://catalog.hathitrust.org/Record/009516680","HathiTrust Record")</f>
        <v>HathiTrust Record</v>
      </c>
      <c r="AV1310" s="6" t="str">
        <f>HYPERLINK("http://mcgill.on.worldcat.org/oclc/243420544","Catalog Record")</f>
        <v>Catalog Record</v>
      </c>
      <c r="AW1310" s="6" t="str">
        <f>HYPERLINK("http://www.worldcat.org/oclc/243420544","WorldCat Record")</f>
        <v>WorldCat Record</v>
      </c>
      <c r="AX1310" s="3" t="s">
        <v>13553</v>
      </c>
      <c r="AY1310" s="3" t="s">
        <v>13554</v>
      </c>
      <c r="AZ1310" s="3" t="s">
        <v>13555</v>
      </c>
      <c r="BA1310" s="3" t="s">
        <v>13555</v>
      </c>
      <c r="BB1310" s="3" t="s">
        <v>13556</v>
      </c>
      <c r="BC1310" s="3" t="s">
        <v>78</v>
      </c>
      <c r="BD1310" s="3" t="s">
        <v>79</v>
      </c>
      <c r="BF1310" s="3" t="s">
        <v>13556</v>
      </c>
      <c r="BG1310" s="3" t="s">
        <v>13557</v>
      </c>
    </row>
    <row r="1311" spans="1:59" ht="58" x14ac:dyDescent="0.35">
      <c r="A1311" s="2" t="s">
        <v>59</v>
      </c>
      <c r="B1311" s="2" t="s">
        <v>94</v>
      </c>
      <c r="C1311" s="2" t="s">
        <v>13547</v>
      </c>
      <c r="D1311" s="2" t="s">
        <v>13548</v>
      </c>
      <c r="E1311" s="2" t="s">
        <v>13549</v>
      </c>
      <c r="G1311" s="3" t="s">
        <v>64</v>
      </c>
      <c r="I1311" s="3" t="s">
        <v>73</v>
      </c>
      <c r="J1311" s="3" t="s">
        <v>64</v>
      </c>
      <c r="K1311" s="3" t="s">
        <v>65</v>
      </c>
      <c r="L1311" s="2" t="s">
        <v>13550</v>
      </c>
      <c r="M1311" s="2" t="s">
        <v>13551</v>
      </c>
      <c r="N1311" s="3" t="s">
        <v>2574</v>
      </c>
      <c r="P1311" s="3" t="s">
        <v>69</v>
      </c>
      <c r="Q1311" s="2" t="s">
        <v>13552</v>
      </c>
      <c r="R1311" s="3" t="s">
        <v>9228</v>
      </c>
      <c r="S1311" s="4">
        <v>22</v>
      </c>
      <c r="T1311" s="4">
        <v>44</v>
      </c>
      <c r="U1311" s="5" t="s">
        <v>1169</v>
      </c>
      <c r="V1311" s="5" t="s">
        <v>1169</v>
      </c>
      <c r="W1311" s="5" t="s">
        <v>72</v>
      </c>
      <c r="X1311" s="5" t="s">
        <v>72</v>
      </c>
      <c r="Y1311" s="4">
        <v>11</v>
      </c>
      <c r="Z1311" s="4">
        <v>5</v>
      </c>
      <c r="AA1311" s="4">
        <v>37</v>
      </c>
      <c r="AB1311" s="4">
        <v>2</v>
      </c>
      <c r="AC1311" s="4">
        <v>4</v>
      </c>
      <c r="AD1311" s="4">
        <v>5</v>
      </c>
      <c r="AE1311" s="4">
        <v>119</v>
      </c>
      <c r="AF1311" s="4">
        <v>1</v>
      </c>
      <c r="AG1311" s="4">
        <v>3</v>
      </c>
      <c r="AH1311" s="4">
        <v>3</v>
      </c>
      <c r="AI1311" s="4">
        <v>99</v>
      </c>
      <c r="AJ1311" s="4">
        <v>4</v>
      </c>
      <c r="AK1311" s="4">
        <v>23</v>
      </c>
      <c r="AL1311" s="4">
        <v>1</v>
      </c>
      <c r="AM1311" s="4">
        <v>51</v>
      </c>
      <c r="AN1311" s="4">
        <v>0</v>
      </c>
      <c r="AO1311" s="4">
        <v>0</v>
      </c>
      <c r="AP1311" s="4">
        <v>4</v>
      </c>
      <c r="AQ1311" s="4">
        <v>29</v>
      </c>
      <c r="AR1311" s="3" t="s">
        <v>64</v>
      </c>
      <c r="AS1311" s="3" t="s">
        <v>64</v>
      </c>
      <c r="AT1311" s="3" t="s">
        <v>73</v>
      </c>
      <c r="AU1311" s="6" t="str">
        <f>HYPERLINK("http://catalog.hathitrust.org/Record/009516680","HathiTrust Record")</f>
        <v>HathiTrust Record</v>
      </c>
      <c r="AV1311" s="6" t="str">
        <f>HYPERLINK("http://mcgill.on.worldcat.org/oclc/243420544","Catalog Record")</f>
        <v>Catalog Record</v>
      </c>
      <c r="AW1311" s="6" t="str">
        <f>HYPERLINK("http://www.worldcat.org/oclc/243420544","WorldCat Record")</f>
        <v>WorldCat Record</v>
      </c>
      <c r="AX1311" s="3" t="s">
        <v>13553</v>
      </c>
      <c r="AY1311" s="3" t="s">
        <v>13554</v>
      </c>
      <c r="AZ1311" s="3" t="s">
        <v>13555</v>
      </c>
      <c r="BA1311" s="3" t="s">
        <v>13555</v>
      </c>
      <c r="BB1311" s="3" t="s">
        <v>13558</v>
      </c>
      <c r="BC1311" s="3" t="s">
        <v>78</v>
      </c>
      <c r="BD1311" s="3" t="s">
        <v>79</v>
      </c>
      <c r="BF1311" s="3" t="s">
        <v>13558</v>
      </c>
      <c r="BG1311" s="3" t="s">
        <v>13559</v>
      </c>
    </row>
    <row r="1312" spans="1:59" ht="58" x14ac:dyDescent="0.35">
      <c r="A1312" s="2" t="s">
        <v>59</v>
      </c>
      <c r="B1312" s="2" t="s">
        <v>94</v>
      </c>
      <c r="C1312" s="2" t="s">
        <v>13560</v>
      </c>
      <c r="D1312" s="2" t="s">
        <v>13561</v>
      </c>
      <c r="E1312" s="2" t="s">
        <v>13562</v>
      </c>
      <c r="G1312" s="3" t="s">
        <v>64</v>
      </c>
      <c r="I1312" s="3" t="s">
        <v>64</v>
      </c>
      <c r="J1312" s="3" t="s">
        <v>64</v>
      </c>
      <c r="K1312" s="3" t="s">
        <v>65</v>
      </c>
      <c r="L1312" s="2" t="s">
        <v>13563</v>
      </c>
      <c r="M1312" s="2" t="s">
        <v>13564</v>
      </c>
      <c r="N1312" s="3" t="s">
        <v>449</v>
      </c>
      <c r="P1312" s="3" t="s">
        <v>69</v>
      </c>
      <c r="R1312" s="3" t="s">
        <v>9228</v>
      </c>
      <c r="S1312" s="4">
        <v>9</v>
      </c>
      <c r="T1312" s="4">
        <v>9</v>
      </c>
      <c r="U1312" s="5" t="s">
        <v>13565</v>
      </c>
      <c r="V1312" s="5" t="s">
        <v>13565</v>
      </c>
      <c r="W1312" s="5" t="s">
        <v>72</v>
      </c>
      <c r="X1312" s="5" t="s">
        <v>72</v>
      </c>
      <c r="Y1312" s="4">
        <v>152</v>
      </c>
      <c r="Z1312" s="4">
        <v>13</v>
      </c>
      <c r="AA1312" s="4">
        <v>51</v>
      </c>
      <c r="AB1312" s="4">
        <v>1</v>
      </c>
      <c r="AC1312" s="4">
        <v>8</v>
      </c>
      <c r="AD1312" s="4">
        <v>60</v>
      </c>
      <c r="AE1312" s="4">
        <v>71</v>
      </c>
      <c r="AF1312" s="4">
        <v>0</v>
      </c>
      <c r="AG1312" s="4">
        <v>1</v>
      </c>
      <c r="AH1312" s="4">
        <v>55</v>
      </c>
      <c r="AI1312" s="4">
        <v>60</v>
      </c>
      <c r="AJ1312" s="4">
        <v>8</v>
      </c>
      <c r="AK1312" s="4">
        <v>10</v>
      </c>
      <c r="AL1312" s="4">
        <v>34</v>
      </c>
      <c r="AM1312" s="4">
        <v>36</v>
      </c>
      <c r="AN1312" s="4">
        <v>0</v>
      </c>
      <c r="AO1312" s="4">
        <v>0</v>
      </c>
      <c r="AP1312" s="4">
        <v>10</v>
      </c>
      <c r="AQ1312" s="4">
        <v>17</v>
      </c>
      <c r="AR1312" s="3" t="s">
        <v>64</v>
      </c>
      <c r="AS1312" s="3" t="s">
        <v>64</v>
      </c>
      <c r="AT1312" s="3" t="s">
        <v>64</v>
      </c>
      <c r="AV1312" s="6" t="str">
        <f>HYPERLINK("http://mcgill.on.worldcat.org/oclc/153773502","Catalog Record")</f>
        <v>Catalog Record</v>
      </c>
      <c r="AW1312" s="6" t="str">
        <f>HYPERLINK("http://www.worldcat.org/oclc/153773502","WorldCat Record")</f>
        <v>WorldCat Record</v>
      </c>
      <c r="AX1312" s="3" t="s">
        <v>13566</v>
      </c>
      <c r="AY1312" s="3" t="s">
        <v>13567</v>
      </c>
      <c r="AZ1312" s="3" t="s">
        <v>13568</v>
      </c>
      <c r="BA1312" s="3" t="s">
        <v>13568</v>
      </c>
      <c r="BB1312" s="3" t="s">
        <v>13569</v>
      </c>
      <c r="BC1312" s="3" t="s">
        <v>78</v>
      </c>
      <c r="BD1312" s="3" t="s">
        <v>79</v>
      </c>
      <c r="BE1312" s="3" t="s">
        <v>13570</v>
      </c>
      <c r="BF1312" s="3" t="s">
        <v>13569</v>
      </c>
      <c r="BG1312" s="3" t="s">
        <v>13571</v>
      </c>
    </row>
    <row r="1313" spans="1:59" ht="58" x14ac:dyDescent="0.35">
      <c r="A1313" s="2" t="s">
        <v>59</v>
      </c>
      <c r="B1313" s="2" t="s">
        <v>94</v>
      </c>
      <c r="C1313" s="2" t="s">
        <v>13572</v>
      </c>
      <c r="D1313" s="2" t="s">
        <v>13573</v>
      </c>
      <c r="E1313" s="2" t="s">
        <v>13574</v>
      </c>
      <c r="G1313" s="3" t="s">
        <v>64</v>
      </c>
      <c r="I1313" s="3" t="s">
        <v>64</v>
      </c>
      <c r="J1313" s="3" t="s">
        <v>64</v>
      </c>
      <c r="K1313" s="3" t="s">
        <v>65</v>
      </c>
      <c r="L1313" s="2" t="s">
        <v>12386</v>
      </c>
      <c r="M1313" s="2" t="s">
        <v>13575</v>
      </c>
      <c r="N1313" s="3" t="s">
        <v>365</v>
      </c>
      <c r="P1313" s="3" t="s">
        <v>162</v>
      </c>
      <c r="Q1313" s="2" t="s">
        <v>13576</v>
      </c>
      <c r="R1313" s="3" t="s">
        <v>9228</v>
      </c>
      <c r="S1313" s="4">
        <v>3</v>
      </c>
      <c r="T1313" s="4">
        <v>3</v>
      </c>
      <c r="U1313" s="5" t="s">
        <v>5704</v>
      </c>
      <c r="V1313" s="5" t="s">
        <v>5704</v>
      </c>
      <c r="W1313" s="5" t="s">
        <v>72</v>
      </c>
      <c r="X1313" s="5" t="s">
        <v>72</v>
      </c>
      <c r="Y1313" s="4">
        <v>69</v>
      </c>
      <c r="Z1313" s="4">
        <v>7</v>
      </c>
      <c r="AA1313" s="4">
        <v>13</v>
      </c>
      <c r="AB1313" s="4">
        <v>1</v>
      </c>
      <c r="AC1313" s="4">
        <v>5</v>
      </c>
      <c r="AD1313" s="4">
        <v>33</v>
      </c>
      <c r="AE1313" s="4">
        <v>37</v>
      </c>
      <c r="AF1313" s="4">
        <v>0</v>
      </c>
      <c r="AG1313" s="4">
        <v>2</v>
      </c>
      <c r="AH1313" s="4">
        <v>29</v>
      </c>
      <c r="AI1313" s="4">
        <v>31</v>
      </c>
      <c r="AJ1313" s="4">
        <v>3</v>
      </c>
      <c r="AK1313" s="4">
        <v>6</v>
      </c>
      <c r="AL1313" s="4">
        <v>23</v>
      </c>
      <c r="AM1313" s="4">
        <v>23</v>
      </c>
      <c r="AN1313" s="4">
        <v>0</v>
      </c>
      <c r="AO1313" s="4">
        <v>0</v>
      </c>
      <c r="AP1313" s="4">
        <v>4</v>
      </c>
      <c r="AQ1313" s="4">
        <v>8</v>
      </c>
      <c r="AR1313" s="3" t="s">
        <v>64</v>
      </c>
      <c r="AS1313" s="3" t="s">
        <v>64</v>
      </c>
      <c r="AT1313" s="3" t="s">
        <v>73</v>
      </c>
      <c r="AU1313" s="6" t="str">
        <f>HYPERLINK("http://catalog.hathitrust.org/Record/006194237","HathiTrust Record")</f>
        <v>HathiTrust Record</v>
      </c>
      <c r="AV1313" s="6" t="str">
        <f>HYPERLINK("http://mcgill.on.worldcat.org/oclc/15100227","Catalog Record")</f>
        <v>Catalog Record</v>
      </c>
      <c r="AW1313" s="6" t="str">
        <f>HYPERLINK("http://www.worldcat.org/oclc/15100227","WorldCat Record")</f>
        <v>WorldCat Record</v>
      </c>
      <c r="AX1313" s="3" t="s">
        <v>13577</v>
      </c>
      <c r="AY1313" s="3" t="s">
        <v>13578</v>
      </c>
      <c r="AZ1313" s="3" t="s">
        <v>13579</v>
      </c>
      <c r="BA1313" s="3" t="s">
        <v>13579</v>
      </c>
      <c r="BB1313" s="3" t="s">
        <v>13580</v>
      </c>
      <c r="BC1313" s="3" t="s">
        <v>78</v>
      </c>
      <c r="BD1313" s="3" t="s">
        <v>79</v>
      </c>
      <c r="BE1313" s="3" t="s">
        <v>13581</v>
      </c>
      <c r="BF1313" s="3" t="s">
        <v>13580</v>
      </c>
      <c r="BG1313" s="3" t="s">
        <v>13582</v>
      </c>
    </row>
    <row r="1314" spans="1:59" ht="58" x14ac:dyDescent="0.35">
      <c r="A1314" s="2" t="s">
        <v>59</v>
      </c>
      <c r="B1314" s="2" t="s">
        <v>94</v>
      </c>
      <c r="C1314" s="2" t="s">
        <v>13583</v>
      </c>
      <c r="D1314" s="2" t="s">
        <v>13584</v>
      </c>
      <c r="E1314" s="2" t="s">
        <v>13585</v>
      </c>
      <c r="G1314" s="3" t="s">
        <v>64</v>
      </c>
      <c r="I1314" s="3" t="s">
        <v>64</v>
      </c>
      <c r="J1314" s="3" t="s">
        <v>64</v>
      </c>
      <c r="K1314" s="3" t="s">
        <v>65</v>
      </c>
      <c r="L1314" s="2" t="s">
        <v>187</v>
      </c>
      <c r="M1314" s="2" t="s">
        <v>13586</v>
      </c>
      <c r="N1314" s="3" t="s">
        <v>13587</v>
      </c>
      <c r="P1314" s="3" t="s">
        <v>69</v>
      </c>
      <c r="R1314" s="3" t="s">
        <v>9228</v>
      </c>
      <c r="S1314" s="4">
        <v>11</v>
      </c>
      <c r="T1314" s="4">
        <v>11</v>
      </c>
      <c r="U1314" s="5" t="s">
        <v>1531</v>
      </c>
      <c r="V1314" s="5" t="s">
        <v>1531</v>
      </c>
      <c r="W1314" s="5" t="s">
        <v>72</v>
      </c>
      <c r="X1314" s="5" t="s">
        <v>72</v>
      </c>
      <c r="Y1314" s="4">
        <v>5</v>
      </c>
      <c r="Z1314" s="4">
        <v>3</v>
      </c>
      <c r="AA1314" s="4">
        <v>28</v>
      </c>
      <c r="AB1314" s="4">
        <v>1</v>
      </c>
      <c r="AC1314" s="4">
        <v>1</v>
      </c>
      <c r="AD1314" s="4">
        <v>1</v>
      </c>
      <c r="AE1314" s="4">
        <v>108</v>
      </c>
      <c r="AF1314" s="4">
        <v>0</v>
      </c>
      <c r="AG1314" s="4">
        <v>0</v>
      </c>
      <c r="AH1314" s="4">
        <v>1</v>
      </c>
      <c r="AI1314" s="4">
        <v>91</v>
      </c>
      <c r="AJ1314" s="4">
        <v>1</v>
      </c>
      <c r="AK1314" s="4">
        <v>17</v>
      </c>
      <c r="AL1314" s="4">
        <v>1</v>
      </c>
      <c r="AM1314" s="4">
        <v>52</v>
      </c>
      <c r="AN1314" s="4">
        <v>0</v>
      </c>
      <c r="AO1314" s="4">
        <v>5</v>
      </c>
      <c r="AP1314" s="4">
        <v>1</v>
      </c>
      <c r="AQ1314" s="4">
        <v>21</v>
      </c>
      <c r="AR1314" s="3" t="s">
        <v>64</v>
      </c>
      <c r="AS1314" s="3" t="s">
        <v>64</v>
      </c>
      <c r="AT1314" s="3" t="s">
        <v>73</v>
      </c>
      <c r="AU1314" s="6" t="str">
        <f>HYPERLINK("http://catalog.hathitrust.org/Record/004415870","HathiTrust Record")</f>
        <v>HathiTrust Record</v>
      </c>
      <c r="AV1314" s="6" t="str">
        <f>HYPERLINK("http://mcgill.on.worldcat.org/oclc/427537980","Catalog Record")</f>
        <v>Catalog Record</v>
      </c>
      <c r="AW1314" s="6" t="str">
        <f>HYPERLINK("http://www.worldcat.org/oclc/427537980","WorldCat Record")</f>
        <v>WorldCat Record</v>
      </c>
      <c r="AX1314" s="3" t="s">
        <v>13588</v>
      </c>
      <c r="AY1314" s="3" t="s">
        <v>13589</v>
      </c>
      <c r="AZ1314" s="3" t="s">
        <v>13590</v>
      </c>
      <c r="BA1314" s="3" t="s">
        <v>13590</v>
      </c>
      <c r="BB1314" s="3" t="s">
        <v>13591</v>
      </c>
      <c r="BC1314" s="3" t="s">
        <v>78</v>
      </c>
      <c r="BD1314" s="3" t="s">
        <v>79</v>
      </c>
      <c r="BE1314" s="3" t="s">
        <v>13592</v>
      </c>
      <c r="BF1314" s="3" t="s">
        <v>13591</v>
      </c>
      <c r="BG1314" s="3" t="s">
        <v>13593</v>
      </c>
    </row>
    <row r="1315" spans="1:59" ht="58" x14ac:dyDescent="0.35">
      <c r="A1315" s="2" t="s">
        <v>59</v>
      </c>
      <c r="B1315" s="2" t="s">
        <v>94</v>
      </c>
      <c r="C1315" s="2" t="s">
        <v>13594</v>
      </c>
      <c r="D1315" s="2" t="s">
        <v>13595</v>
      </c>
      <c r="E1315" s="2" t="s">
        <v>13596</v>
      </c>
      <c r="G1315" s="3" t="s">
        <v>64</v>
      </c>
      <c r="I1315" s="3" t="s">
        <v>64</v>
      </c>
      <c r="J1315" s="3" t="s">
        <v>64</v>
      </c>
      <c r="K1315" s="3" t="s">
        <v>65</v>
      </c>
      <c r="L1315" s="2" t="s">
        <v>13597</v>
      </c>
      <c r="M1315" s="2" t="s">
        <v>13598</v>
      </c>
      <c r="N1315" s="3" t="s">
        <v>1813</v>
      </c>
      <c r="P1315" s="3" t="s">
        <v>162</v>
      </c>
      <c r="R1315" s="3" t="s">
        <v>9228</v>
      </c>
      <c r="S1315" s="4">
        <v>1</v>
      </c>
      <c r="T1315" s="4">
        <v>1</v>
      </c>
      <c r="U1315" s="5" t="s">
        <v>13599</v>
      </c>
      <c r="V1315" s="5" t="s">
        <v>13599</v>
      </c>
      <c r="W1315" s="5" t="s">
        <v>72</v>
      </c>
      <c r="X1315" s="5" t="s">
        <v>72</v>
      </c>
      <c r="Y1315" s="4">
        <v>10</v>
      </c>
      <c r="Z1315" s="4">
        <v>3</v>
      </c>
      <c r="AA1315" s="4">
        <v>5</v>
      </c>
      <c r="AB1315" s="4">
        <v>1</v>
      </c>
      <c r="AC1315" s="4">
        <v>2</v>
      </c>
      <c r="AD1315" s="4">
        <v>4</v>
      </c>
      <c r="AE1315" s="4">
        <v>5</v>
      </c>
      <c r="AF1315" s="4">
        <v>0</v>
      </c>
      <c r="AG1315" s="4">
        <v>0</v>
      </c>
      <c r="AH1315" s="4">
        <v>4</v>
      </c>
      <c r="AI1315" s="4">
        <v>5</v>
      </c>
      <c r="AJ1315" s="4">
        <v>1</v>
      </c>
      <c r="AK1315" s="4">
        <v>2</v>
      </c>
      <c r="AL1315" s="4">
        <v>2</v>
      </c>
      <c r="AM1315" s="4">
        <v>2</v>
      </c>
      <c r="AN1315" s="4">
        <v>0</v>
      </c>
      <c r="AO1315" s="4">
        <v>0</v>
      </c>
      <c r="AP1315" s="4">
        <v>1</v>
      </c>
      <c r="AQ1315" s="4">
        <v>2</v>
      </c>
      <c r="AR1315" s="3" t="s">
        <v>64</v>
      </c>
      <c r="AS1315" s="3" t="s">
        <v>64</v>
      </c>
      <c r="AT1315" s="3" t="s">
        <v>64</v>
      </c>
      <c r="AV1315" s="6" t="str">
        <f>HYPERLINK("http://mcgill.on.worldcat.org/oclc/949927555","Catalog Record")</f>
        <v>Catalog Record</v>
      </c>
      <c r="AW1315" s="6" t="str">
        <f>HYPERLINK("http://www.worldcat.org/oclc/949927555","WorldCat Record")</f>
        <v>WorldCat Record</v>
      </c>
      <c r="AX1315" s="3" t="s">
        <v>13600</v>
      </c>
      <c r="AY1315" s="3" t="s">
        <v>13601</v>
      </c>
      <c r="AZ1315" s="3" t="s">
        <v>13602</v>
      </c>
      <c r="BA1315" s="3" t="s">
        <v>13602</v>
      </c>
      <c r="BB1315" s="3" t="s">
        <v>13603</v>
      </c>
      <c r="BC1315" s="3" t="s">
        <v>78</v>
      </c>
      <c r="BD1315" s="3" t="s">
        <v>79</v>
      </c>
      <c r="BE1315" s="3" t="s">
        <v>13604</v>
      </c>
      <c r="BF1315" s="3" t="s">
        <v>13603</v>
      </c>
      <c r="BG1315" s="3" t="s">
        <v>13605</v>
      </c>
    </row>
    <row r="1316" spans="1:59" ht="72.5" x14ac:dyDescent="0.35">
      <c r="A1316" s="2" t="s">
        <v>59</v>
      </c>
      <c r="B1316" s="2" t="s">
        <v>94</v>
      </c>
      <c r="C1316" s="2" t="s">
        <v>13606</v>
      </c>
      <c r="D1316" s="2" t="s">
        <v>13607</v>
      </c>
      <c r="E1316" s="2" t="s">
        <v>13608</v>
      </c>
      <c r="G1316" s="3" t="s">
        <v>64</v>
      </c>
      <c r="I1316" s="3" t="s">
        <v>64</v>
      </c>
      <c r="J1316" s="3" t="s">
        <v>64</v>
      </c>
      <c r="K1316" s="3" t="s">
        <v>65</v>
      </c>
      <c r="L1316" s="2" t="s">
        <v>13609</v>
      </c>
      <c r="M1316" s="2" t="s">
        <v>13610</v>
      </c>
      <c r="N1316" s="3" t="s">
        <v>1227</v>
      </c>
      <c r="P1316" s="3" t="s">
        <v>69</v>
      </c>
      <c r="Q1316" s="2" t="s">
        <v>1041</v>
      </c>
      <c r="R1316" s="3" t="s">
        <v>9228</v>
      </c>
      <c r="S1316" s="4">
        <v>10</v>
      </c>
      <c r="T1316" s="4">
        <v>10</v>
      </c>
      <c r="U1316" s="5" t="s">
        <v>3815</v>
      </c>
      <c r="V1316" s="5" t="s">
        <v>3815</v>
      </c>
      <c r="W1316" s="5" t="s">
        <v>72</v>
      </c>
      <c r="X1316" s="5" t="s">
        <v>72</v>
      </c>
      <c r="Y1316" s="4">
        <v>114</v>
      </c>
      <c r="Z1316" s="4">
        <v>12</v>
      </c>
      <c r="AA1316" s="4">
        <v>14</v>
      </c>
      <c r="AB1316" s="4">
        <v>1</v>
      </c>
      <c r="AC1316" s="4">
        <v>1</v>
      </c>
      <c r="AD1316" s="4">
        <v>43</v>
      </c>
      <c r="AE1316" s="4">
        <v>57</v>
      </c>
      <c r="AF1316" s="4">
        <v>0</v>
      </c>
      <c r="AG1316" s="4">
        <v>0</v>
      </c>
      <c r="AH1316" s="4">
        <v>38</v>
      </c>
      <c r="AI1316" s="4">
        <v>51</v>
      </c>
      <c r="AJ1316" s="4">
        <v>9</v>
      </c>
      <c r="AK1316" s="4">
        <v>10</v>
      </c>
      <c r="AL1316" s="4">
        <v>14</v>
      </c>
      <c r="AM1316" s="4">
        <v>25</v>
      </c>
      <c r="AN1316" s="4">
        <v>0</v>
      </c>
      <c r="AO1316" s="4">
        <v>0</v>
      </c>
      <c r="AP1316" s="4">
        <v>11</v>
      </c>
      <c r="AQ1316" s="4">
        <v>12</v>
      </c>
      <c r="AR1316" s="3" t="s">
        <v>64</v>
      </c>
      <c r="AS1316" s="3" t="s">
        <v>64</v>
      </c>
      <c r="AT1316" s="3" t="s">
        <v>73</v>
      </c>
      <c r="AU1316" s="6" t="str">
        <f>HYPERLINK("http://catalog.hathitrust.org/Record/100216562","HathiTrust Record")</f>
        <v>HathiTrust Record</v>
      </c>
      <c r="AV1316" s="6" t="str">
        <f>HYPERLINK("http://mcgill.on.worldcat.org/oclc/319845","Catalog Record")</f>
        <v>Catalog Record</v>
      </c>
      <c r="AW1316" s="6" t="str">
        <f>HYPERLINK("http://www.worldcat.org/oclc/319845","WorldCat Record")</f>
        <v>WorldCat Record</v>
      </c>
      <c r="AX1316" s="3" t="s">
        <v>13611</v>
      </c>
      <c r="AY1316" s="3" t="s">
        <v>13612</v>
      </c>
      <c r="AZ1316" s="3" t="s">
        <v>13613</v>
      </c>
      <c r="BA1316" s="3" t="s">
        <v>13613</v>
      </c>
      <c r="BB1316" s="3" t="s">
        <v>13614</v>
      </c>
      <c r="BC1316" s="3" t="s">
        <v>78</v>
      </c>
      <c r="BD1316" s="3" t="s">
        <v>79</v>
      </c>
      <c r="BE1316" s="3" t="s">
        <v>13615</v>
      </c>
      <c r="BF1316" s="3" t="s">
        <v>13614</v>
      </c>
      <c r="BG1316" s="3" t="s">
        <v>13616</v>
      </c>
    </row>
    <row r="1317" spans="1:59" ht="58" x14ac:dyDescent="0.35">
      <c r="A1317" s="2" t="s">
        <v>59</v>
      </c>
      <c r="B1317" s="2" t="s">
        <v>94</v>
      </c>
      <c r="C1317" s="2" t="s">
        <v>13617</v>
      </c>
      <c r="D1317" s="2" t="s">
        <v>13618</v>
      </c>
      <c r="E1317" s="2" t="s">
        <v>13619</v>
      </c>
      <c r="G1317" s="3" t="s">
        <v>64</v>
      </c>
      <c r="I1317" s="3" t="s">
        <v>64</v>
      </c>
      <c r="J1317" s="3" t="s">
        <v>64</v>
      </c>
      <c r="K1317" s="3" t="s">
        <v>65</v>
      </c>
      <c r="L1317" s="2" t="s">
        <v>13620</v>
      </c>
      <c r="M1317" s="2" t="s">
        <v>13621</v>
      </c>
      <c r="N1317" s="3" t="s">
        <v>2362</v>
      </c>
      <c r="P1317" s="3" t="s">
        <v>69</v>
      </c>
      <c r="R1317" s="3" t="s">
        <v>9228</v>
      </c>
      <c r="S1317" s="4">
        <v>17</v>
      </c>
      <c r="T1317" s="4">
        <v>17</v>
      </c>
      <c r="U1317" s="5" t="s">
        <v>13622</v>
      </c>
      <c r="V1317" s="5" t="s">
        <v>13622</v>
      </c>
      <c r="W1317" s="5" t="s">
        <v>72</v>
      </c>
      <c r="X1317" s="5" t="s">
        <v>72</v>
      </c>
      <c r="Y1317" s="4">
        <v>644</v>
      </c>
      <c r="Z1317" s="4">
        <v>39</v>
      </c>
      <c r="AA1317" s="4">
        <v>45</v>
      </c>
      <c r="AB1317" s="4">
        <v>4</v>
      </c>
      <c r="AC1317" s="4">
        <v>8</v>
      </c>
      <c r="AD1317" s="4">
        <v>123</v>
      </c>
      <c r="AE1317" s="4">
        <v>129</v>
      </c>
      <c r="AF1317" s="4">
        <v>2</v>
      </c>
      <c r="AG1317" s="4">
        <v>6</v>
      </c>
      <c r="AH1317" s="4">
        <v>96</v>
      </c>
      <c r="AI1317" s="4">
        <v>99</v>
      </c>
      <c r="AJ1317" s="4">
        <v>20</v>
      </c>
      <c r="AK1317" s="4">
        <v>25</v>
      </c>
      <c r="AL1317" s="4">
        <v>54</v>
      </c>
      <c r="AM1317" s="4">
        <v>54</v>
      </c>
      <c r="AN1317" s="4">
        <v>0</v>
      </c>
      <c r="AO1317" s="4">
        <v>0</v>
      </c>
      <c r="AP1317" s="4">
        <v>30</v>
      </c>
      <c r="AQ1317" s="4">
        <v>36</v>
      </c>
      <c r="AR1317" s="3" t="s">
        <v>64</v>
      </c>
      <c r="AS1317" s="3" t="s">
        <v>64</v>
      </c>
      <c r="AT1317" s="3" t="s">
        <v>73</v>
      </c>
      <c r="AU1317" s="6" t="str">
        <f>HYPERLINK("http://catalog.hathitrust.org/Record/001620595","HathiTrust Record")</f>
        <v>HathiTrust Record</v>
      </c>
      <c r="AV1317" s="6" t="str">
        <f>HYPERLINK("http://mcgill.on.worldcat.org/oclc/1619267","Catalog Record")</f>
        <v>Catalog Record</v>
      </c>
      <c r="AW1317" s="6" t="str">
        <f>HYPERLINK("http://www.worldcat.org/oclc/1619267","WorldCat Record")</f>
        <v>WorldCat Record</v>
      </c>
      <c r="AX1317" s="3" t="s">
        <v>13623</v>
      </c>
      <c r="AY1317" s="3" t="s">
        <v>13624</v>
      </c>
      <c r="AZ1317" s="3" t="s">
        <v>13625</v>
      </c>
      <c r="BA1317" s="3" t="s">
        <v>13625</v>
      </c>
      <c r="BB1317" s="3" t="s">
        <v>13626</v>
      </c>
      <c r="BC1317" s="3" t="s">
        <v>78</v>
      </c>
      <c r="BD1317" s="3" t="s">
        <v>79</v>
      </c>
      <c r="BE1317" s="3" t="s">
        <v>13627</v>
      </c>
      <c r="BF1317" s="3" t="s">
        <v>13626</v>
      </c>
      <c r="BG1317" s="3" t="s">
        <v>13628</v>
      </c>
    </row>
    <row r="1318" spans="1:59" ht="58" x14ac:dyDescent="0.35">
      <c r="A1318" s="2" t="s">
        <v>59</v>
      </c>
      <c r="B1318" s="2" t="s">
        <v>94</v>
      </c>
      <c r="C1318" s="2" t="s">
        <v>13629</v>
      </c>
      <c r="D1318" s="2" t="s">
        <v>13630</v>
      </c>
      <c r="E1318" s="2" t="s">
        <v>13631</v>
      </c>
      <c r="G1318" s="3" t="s">
        <v>64</v>
      </c>
      <c r="I1318" s="3" t="s">
        <v>64</v>
      </c>
      <c r="J1318" s="3" t="s">
        <v>64</v>
      </c>
      <c r="K1318" s="3" t="s">
        <v>65</v>
      </c>
      <c r="L1318" s="2" t="s">
        <v>13632</v>
      </c>
      <c r="M1318" s="2" t="s">
        <v>13633</v>
      </c>
      <c r="N1318" s="3" t="s">
        <v>226</v>
      </c>
      <c r="P1318" s="3" t="s">
        <v>69</v>
      </c>
      <c r="Q1318" s="2" t="s">
        <v>7794</v>
      </c>
      <c r="R1318" s="3" t="s">
        <v>9228</v>
      </c>
      <c r="S1318" s="4">
        <v>31</v>
      </c>
      <c r="T1318" s="4">
        <v>31</v>
      </c>
      <c r="U1318" s="5" t="s">
        <v>3449</v>
      </c>
      <c r="V1318" s="5" t="s">
        <v>3449</v>
      </c>
      <c r="W1318" s="5" t="s">
        <v>72</v>
      </c>
      <c r="X1318" s="5" t="s">
        <v>72</v>
      </c>
      <c r="Y1318" s="4">
        <v>350</v>
      </c>
      <c r="Z1318" s="4">
        <v>20</v>
      </c>
      <c r="AA1318" s="4">
        <v>90</v>
      </c>
      <c r="AB1318" s="4">
        <v>1</v>
      </c>
      <c r="AC1318" s="4">
        <v>15</v>
      </c>
      <c r="AD1318" s="4">
        <v>101</v>
      </c>
      <c r="AE1318" s="4">
        <v>140</v>
      </c>
      <c r="AF1318" s="4">
        <v>0</v>
      </c>
      <c r="AG1318" s="4">
        <v>8</v>
      </c>
      <c r="AH1318" s="4">
        <v>93</v>
      </c>
      <c r="AI1318" s="4">
        <v>105</v>
      </c>
      <c r="AJ1318" s="4">
        <v>11</v>
      </c>
      <c r="AK1318" s="4">
        <v>24</v>
      </c>
      <c r="AL1318" s="4">
        <v>52</v>
      </c>
      <c r="AM1318" s="4">
        <v>54</v>
      </c>
      <c r="AN1318" s="4">
        <v>0</v>
      </c>
      <c r="AO1318" s="4">
        <v>0</v>
      </c>
      <c r="AP1318" s="4">
        <v>13</v>
      </c>
      <c r="AQ1318" s="4">
        <v>45</v>
      </c>
      <c r="AR1318" s="3" t="s">
        <v>64</v>
      </c>
      <c r="AS1318" s="3" t="s">
        <v>64</v>
      </c>
      <c r="AT1318" s="3" t="s">
        <v>64</v>
      </c>
      <c r="AV1318" s="6" t="str">
        <f>HYPERLINK("http://mcgill.on.worldcat.org/oclc/35714701","Catalog Record")</f>
        <v>Catalog Record</v>
      </c>
      <c r="AW1318" s="6" t="str">
        <f>HYPERLINK("http://www.worldcat.org/oclc/35714701","WorldCat Record")</f>
        <v>WorldCat Record</v>
      </c>
      <c r="AX1318" s="3" t="s">
        <v>13634</v>
      </c>
      <c r="AY1318" s="3" t="s">
        <v>13635</v>
      </c>
      <c r="AZ1318" s="3" t="s">
        <v>13636</v>
      </c>
      <c r="BA1318" s="3" t="s">
        <v>13636</v>
      </c>
      <c r="BB1318" s="3" t="s">
        <v>13637</v>
      </c>
      <c r="BC1318" s="3" t="s">
        <v>78</v>
      </c>
      <c r="BD1318" s="3" t="s">
        <v>79</v>
      </c>
      <c r="BE1318" s="3" t="s">
        <v>13638</v>
      </c>
      <c r="BF1318" s="3" t="s">
        <v>13637</v>
      </c>
      <c r="BG1318" s="3" t="s">
        <v>13639</v>
      </c>
    </row>
    <row r="1319" spans="1:59" ht="58" x14ac:dyDescent="0.35">
      <c r="A1319" s="2" t="s">
        <v>59</v>
      </c>
      <c r="B1319" s="2" t="s">
        <v>94</v>
      </c>
      <c r="C1319" s="2" t="s">
        <v>13640</v>
      </c>
      <c r="D1319" s="2" t="s">
        <v>13641</v>
      </c>
      <c r="E1319" s="2" t="s">
        <v>13642</v>
      </c>
      <c r="G1319" s="3" t="s">
        <v>64</v>
      </c>
      <c r="I1319" s="3" t="s">
        <v>64</v>
      </c>
      <c r="J1319" s="3" t="s">
        <v>64</v>
      </c>
      <c r="K1319" s="3" t="s">
        <v>65</v>
      </c>
      <c r="L1319" s="2" t="s">
        <v>13643</v>
      </c>
      <c r="M1319" s="2" t="s">
        <v>13644</v>
      </c>
      <c r="N1319" s="3" t="s">
        <v>252</v>
      </c>
      <c r="P1319" s="3" t="s">
        <v>162</v>
      </c>
      <c r="R1319" s="3" t="s">
        <v>9228</v>
      </c>
      <c r="S1319" s="4">
        <v>6</v>
      </c>
      <c r="T1319" s="4">
        <v>6</v>
      </c>
      <c r="U1319" s="5" t="s">
        <v>1460</v>
      </c>
      <c r="V1319" s="5" t="s">
        <v>1460</v>
      </c>
      <c r="W1319" s="5" t="s">
        <v>72</v>
      </c>
      <c r="X1319" s="5" t="s">
        <v>72</v>
      </c>
      <c r="Y1319" s="4">
        <v>4</v>
      </c>
      <c r="Z1319" s="4">
        <v>1</v>
      </c>
      <c r="AA1319" s="4">
        <v>1</v>
      </c>
      <c r="AB1319" s="4">
        <v>1</v>
      </c>
      <c r="AC1319" s="4">
        <v>1</v>
      </c>
      <c r="AD1319" s="4">
        <v>0</v>
      </c>
      <c r="AE1319" s="4">
        <v>1</v>
      </c>
      <c r="AF1319" s="4">
        <v>0</v>
      </c>
      <c r="AG1319" s="4">
        <v>0</v>
      </c>
      <c r="AH1319" s="4">
        <v>0</v>
      </c>
      <c r="AI1319" s="4">
        <v>1</v>
      </c>
      <c r="AJ1319" s="4">
        <v>0</v>
      </c>
      <c r="AK1319" s="4">
        <v>0</v>
      </c>
      <c r="AL1319" s="4">
        <v>0</v>
      </c>
      <c r="AM1319" s="4">
        <v>0</v>
      </c>
      <c r="AN1319" s="4">
        <v>0</v>
      </c>
      <c r="AO1319" s="4">
        <v>0</v>
      </c>
      <c r="AP1319" s="4">
        <v>0</v>
      </c>
      <c r="AQ1319" s="4">
        <v>0</v>
      </c>
      <c r="AR1319" s="3" t="s">
        <v>64</v>
      </c>
      <c r="AS1319" s="3" t="s">
        <v>64</v>
      </c>
      <c r="AT1319" s="3" t="s">
        <v>64</v>
      </c>
      <c r="AV1319" s="6" t="str">
        <f>HYPERLINK("http://mcgill.on.worldcat.org/oclc/123273400","Catalog Record")</f>
        <v>Catalog Record</v>
      </c>
      <c r="AW1319" s="6" t="str">
        <f>HYPERLINK("http://www.worldcat.org/oclc/123273400","WorldCat Record")</f>
        <v>WorldCat Record</v>
      </c>
      <c r="AX1319" s="3" t="s">
        <v>13645</v>
      </c>
      <c r="AY1319" s="3" t="s">
        <v>13646</v>
      </c>
      <c r="AZ1319" s="3" t="s">
        <v>13647</v>
      </c>
      <c r="BA1319" s="3" t="s">
        <v>13647</v>
      </c>
      <c r="BB1319" s="3" t="s">
        <v>13648</v>
      </c>
      <c r="BC1319" s="3" t="s">
        <v>11648</v>
      </c>
      <c r="BD1319" s="3" t="s">
        <v>79</v>
      </c>
      <c r="BF1319" s="3" t="s">
        <v>13648</v>
      </c>
      <c r="BG1319" s="3" t="s">
        <v>13649</v>
      </c>
    </row>
    <row r="1320" spans="1:59" ht="58" x14ac:dyDescent="0.35">
      <c r="A1320" s="2" t="s">
        <v>59</v>
      </c>
      <c r="B1320" s="2" t="s">
        <v>94</v>
      </c>
      <c r="C1320" s="2" t="s">
        <v>13650</v>
      </c>
      <c r="D1320" s="2" t="s">
        <v>13651</v>
      </c>
      <c r="E1320" s="2" t="s">
        <v>13652</v>
      </c>
      <c r="G1320" s="3" t="s">
        <v>64</v>
      </c>
      <c r="I1320" s="3" t="s">
        <v>64</v>
      </c>
      <c r="J1320" s="3" t="s">
        <v>64</v>
      </c>
      <c r="K1320" s="3" t="s">
        <v>65</v>
      </c>
      <c r="L1320" s="2" t="s">
        <v>12968</v>
      </c>
      <c r="M1320" s="2" t="s">
        <v>13653</v>
      </c>
      <c r="N1320" s="3" t="s">
        <v>1530</v>
      </c>
      <c r="P1320" s="3" t="s">
        <v>69</v>
      </c>
      <c r="R1320" s="3" t="s">
        <v>9228</v>
      </c>
      <c r="S1320" s="4">
        <v>9</v>
      </c>
      <c r="T1320" s="4">
        <v>9</v>
      </c>
      <c r="U1320" s="5" t="s">
        <v>13654</v>
      </c>
      <c r="V1320" s="5" t="s">
        <v>13654</v>
      </c>
      <c r="W1320" s="5" t="s">
        <v>72</v>
      </c>
      <c r="X1320" s="5" t="s">
        <v>72</v>
      </c>
      <c r="Y1320" s="4">
        <v>150</v>
      </c>
      <c r="Z1320" s="4">
        <v>10</v>
      </c>
      <c r="AA1320" s="4">
        <v>37</v>
      </c>
      <c r="AB1320" s="4">
        <v>1</v>
      </c>
      <c r="AC1320" s="4">
        <v>6</v>
      </c>
      <c r="AD1320" s="4">
        <v>71</v>
      </c>
      <c r="AE1320" s="4">
        <v>81</v>
      </c>
      <c r="AF1320" s="4">
        <v>0</v>
      </c>
      <c r="AG1320" s="4">
        <v>0</v>
      </c>
      <c r="AH1320" s="4">
        <v>66</v>
      </c>
      <c r="AI1320" s="4">
        <v>74</v>
      </c>
      <c r="AJ1320" s="4">
        <v>6</v>
      </c>
      <c r="AK1320" s="4">
        <v>7</v>
      </c>
      <c r="AL1320" s="4">
        <v>43</v>
      </c>
      <c r="AM1320" s="4">
        <v>45</v>
      </c>
      <c r="AN1320" s="4">
        <v>0</v>
      </c>
      <c r="AO1320" s="4">
        <v>0</v>
      </c>
      <c r="AP1320" s="4">
        <v>8</v>
      </c>
      <c r="AQ1320" s="4">
        <v>11</v>
      </c>
      <c r="AR1320" s="3" t="s">
        <v>64</v>
      </c>
      <c r="AS1320" s="3" t="s">
        <v>64</v>
      </c>
      <c r="AT1320" s="3" t="s">
        <v>64</v>
      </c>
      <c r="AV1320" s="6" t="str">
        <f>HYPERLINK("http://mcgill.on.worldcat.org/oclc/45890421","Catalog Record")</f>
        <v>Catalog Record</v>
      </c>
      <c r="AW1320" s="6" t="str">
        <f>HYPERLINK("http://www.worldcat.org/oclc/45890421","WorldCat Record")</f>
        <v>WorldCat Record</v>
      </c>
      <c r="AX1320" s="3" t="s">
        <v>13655</v>
      </c>
      <c r="AY1320" s="3" t="s">
        <v>13656</v>
      </c>
      <c r="AZ1320" s="3" t="s">
        <v>13657</v>
      </c>
      <c r="BA1320" s="3" t="s">
        <v>13657</v>
      </c>
      <c r="BB1320" s="3" t="s">
        <v>13658</v>
      </c>
      <c r="BC1320" s="3" t="s">
        <v>78</v>
      </c>
      <c r="BD1320" s="3" t="s">
        <v>79</v>
      </c>
      <c r="BE1320" s="3" t="s">
        <v>13659</v>
      </c>
      <c r="BF1320" s="3" t="s">
        <v>13658</v>
      </c>
      <c r="BG1320" s="3" t="s">
        <v>13660</v>
      </c>
    </row>
    <row r="1321" spans="1:59" ht="58" x14ac:dyDescent="0.35">
      <c r="A1321" s="2" t="s">
        <v>59</v>
      </c>
      <c r="B1321" s="2" t="s">
        <v>94</v>
      </c>
      <c r="C1321" s="2" t="s">
        <v>13661</v>
      </c>
      <c r="D1321" s="2" t="s">
        <v>13662</v>
      </c>
      <c r="E1321" s="2" t="s">
        <v>13663</v>
      </c>
      <c r="G1321" s="3" t="s">
        <v>64</v>
      </c>
      <c r="I1321" s="3" t="s">
        <v>64</v>
      </c>
      <c r="J1321" s="3" t="s">
        <v>64</v>
      </c>
      <c r="K1321" s="3" t="s">
        <v>65</v>
      </c>
      <c r="M1321" s="2" t="s">
        <v>13664</v>
      </c>
      <c r="N1321" s="3" t="s">
        <v>1320</v>
      </c>
      <c r="P1321" s="3" t="s">
        <v>69</v>
      </c>
      <c r="R1321" s="3" t="s">
        <v>9228</v>
      </c>
      <c r="S1321" s="4">
        <v>21</v>
      </c>
      <c r="T1321" s="4">
        <v>21</v>
      </c>
      <c r="U1321" s="5" t="s">
        <v>7903</v>
      </c>
      <c r="V1321" s="5" t="s">
        <v>7903</v>
      </c>
      <c r="W1321" s="5" t="s">
        <v>72</v>
      </c>
      <c r="X1321" s="5" t="s">
        <v>72</v>
      </c>
      <c r="Y1321" s="4">
        <v>204</v>
      </c>
      <c r="Z1321" s="4">
        <v>16</v>
      </c>
      <c r="AA1321" s="4">
        <v>16</v>
      </c>
      <c r="AB1321" s="4">
        <v>1</v>
      </c>
      <c r="AC1321" s="4">
        <v>1</v>
      </c>
      <c r="AD1321" s="4">
        <v>82</v>
      </c>
      <c r="AE1321" s="4">
        <v>83</v>
      </c>
      <c r="AF1321" s="4">
        <v>0</v>
      </c>
      <c r="AG1321" s="4">
        <v>0</v>
      </c>
      <c r="AH1321" s="4">
        <v>72</v>
      </c>
      <c r="AI1321" s="4">
        <v>73</v>
      </c>
      <c r="AJ1321" s="4">
        <v>12</v>
      </c>
      <c r="AK1321" s="4">
        <v>12</v>
      </c>
      <c r="AL1321" s="4">
        <v>44</v>
      </c>
      <c r="AM1321" s="4">
        <v>45</v>
      </c>
      <c r="AN1321" s="4">
        <v>0</v>
      </c>
      <c r="AO1321" s="4">
        <v>0</v>
      </c>
      <c r="AP1321" s="4">
        <v>12</v>
      </c>
      <c r="AQ1321" s="4">
        <v>12</v>
      </c>
      <c r="AR1321" s="3" t="s">
        <v>64</v>
      </c>
      <c r="AS1321" s="3" t="s">
        <v>64</v>
      </c>
      <c r="AT1321" s="3" t="s">
        <v>64</v>
      </c>
      <c r="AV1321" s="6" t="str">
        <f>HYPERLINK("http://mcgill.on.worldcat.org/oclc/31374108","Catalog Record")</f>
        <v>Catalog Record</v>
      </c>
      <c r="AW1321" s="6" t="str">
        <f>HYPERLINK("http://www.worldcat.org/oclc/31374108","WorldCat Record")</f>
        <v>WorldCat Record</v>
      </c>
      <c r="AX1321" s="3" t="s">
        <v>13665</v>
      </c>
      <c r="AY1321" s="3" t="s">
        <v>13666</v>
      </c>
      <c r="AZ1321" s="3" t="s">
        <v>13667</v>
      </c>
      <c r="BA1321" s="3" t="s">
        <v>13667</v>
      </c>
      <c r="BB1321" s="3" t="s">
        <v>13668</v>
      </c>
      <c r="BC1321" s="3" t="s">
        <v>78</v>
      </c>
      <c r="BD1321" s="3" t="s">
        <v>79</v>
      </c>
      <c r="BE1321" s="3" t="s">
        <v>13669</v>
      </c>
      <c r="BF1321" s="3" t="s">
        <v>13668</v>
      </c>
      <c r="BG1321" s="3" t="s">
        <v>13670</v>
      </c>
    </row>
    <row r="1322" spans="1:59" ht="58" x14ac:dyDescent="0.35">
      <c r="A1322" s="2" t="s">
        <v>59</v>
      </c>
      <c r="B1322" s="2" t="s">
        <v>94</v>
      </c>
      <c r="C1322" s="2" t="s">
        <v>13671</v>
      </c>
      <c r="D1322" s="2" t="s">
        <v>13672</v>
      </c>
      <c r="E1322" s="2" t="s">
        <v>13673</v>
      </c>
      <c r="G1322" s="3" t="s">
        <v>64</v>
      </c>
      <c r="I1322" s="3" t="s">
        <v>64</v>
      </c>
      <c r="J1322" s="3" t="s">
        <v>64</v>
      </c>
      <c r="K1322" s="3" t="s">
        <v>65</v>
      </c>
      <c r="L1322" s="2" t="s">
        <v>13674</v>
      </c>
      <c r="M1322" s="2" t="s">
        <v>13675</v>
      </c>
      <c r="N1322" s="3" t="s">
        <v>719</v>
      </c>
      <c r="P1322" s="3" t="s">
        <v>69</v>
      </c>
      <c r="Q1322" s="2" t="s">
        <v>13676</v>
      </c>
      <c r="R1322" s="3" t="s">
        <v>9228</v>
      </c>
      <c r="S1322" s="4">
        <v>6</v>
      </c>
      <c r="T1322" s="4">
        <v>6</v>
      </c>
      <c r="U1322" s="5" t="s">
        <v>13677</v>
      </c>
      <c r="V1322" s="5" t="s">
        <v>13677</v>
      </c>
      <c r="W1322" s="5" t="s">
        <v>72</v>
      </c>
      <c r="X1322" s="5" t="s">
        <v>72</v>
      </c>
      <c r="Y1322" s="4">
        <v>75</v>
      </c>
      <c r="Z1322" s="4">
        <v>27</v>
      </c>
      <c r="AA1322" s="4">
        <v>30</v>
      </c>
      <c r="AB1322" s="4">
        <v>3</v>
      </c>
      <c r="AC1322" s="4">
        <v>5</v>
      </c>
      <c r="AD1322" s="4">
        <v>25</v>
      </c>
      <c r="AE1322" s="4">
        <v>28</v>
      </c>
      <c r="AF1322" s="4">
        <v>0</v>
      </c>
      <c r="AG1322" s="4">
        <v>1</v>
      </c>
      <c r="AH1322" s="4">
        <v>17</v>
      </c>
      <c r="AI1322" s="4">
        <v>18</v>
      </c>
      <c r="AJ1322" s="4">
        <v>12</v>
      </c>
      <c r="AK1322" s="4">
        <v>13</v>
      </c>
      <c r="AL1322" s="4">
        <v>10</v>
      </c>
      <c r="AM1322" s="4">
        <v>10</v>
      </c>
      <c r="AN1322" s="4">
        <v>0</v>
      </c>
      <c r="AO1322" s="4">
        <v>0</v>
      </c>
      <c r="AP1322" s="4">
        <v>14</v>
      </c>
      <c r="AQ1322" s="4">
        <v>16</v>
      </c>
      <c r="AR1322" s="3" t="s">
        <v>73</v>
      </c>
      <c r="AS1322" s="3" t="s">
        <v>64</v>
      </c>
      <c r="AT1322" s="3" t="s">
        <v>64</v>
      </c>
      <c r="AV1322" s="6" t="str">
        <f>HYPERLINK("http://mcgill.on.worldcat.org/oclc/12150594","Catalog Record")</f>
        <v>Catalog Record</v>
      </c>
      <c r="AW1322" s="6" t="str">
        <f>HYPERLINK("http://www.worldcat.org/oclc/12150594","WorldCat Record")</f>
        <v>WorldCat Record</v>
      </c>
      <c r="AX1322" s="3" t="s">
        <v>13678</v>
      </c>
      <c r="AY1322" s="3" t="s">
        <v>13679</v>
      </c>
      <c r="AZ1322" s="3" t="s">
        <v>13680</v>
      </c>
      <c r="BA1322" s="3" t="s">
        <v>13680</v>
      </c>
      <c r="BB1322" s="3" t="s">
        <v>13681</v>
      </c>
      <c r="BC1322" s="3" t="s">
        <v>78</v>
      </c>
      <c r="BD1322" s="3" t="s">
        <v>79</v>
      </c>
      <c r="BE1322" s="3" t="s">
        <v>13682</v>
      </c>
      <c r="BF1322" s="3" t="s">
        <v>13681</v>
      </c>
      <c r="BG1322" s="3" t="s">
        <v>13683</v>
      </c>
    </row>
    <row r="1323" spans="1:59" ht="58" x14ac:dyDescent="0.35">
      <c r="A1323" s="2" t="s">
        <v>59</v>
      </c>
      <c r="B1323" s="2" t="s">
        <v>94</v>
      </c>
      <c r="C1323" s="2" t="s">
        <v>13684</v>
      </c>
      <c r="D1323" s="2" t="s">
        <v>13685</v>
      </c>
      <c r="E1323" s="2" t="s">
        <v>13686</v>
      </c>
      <c r="F1323" s="3" t="s">
        <v>2228</v>
      </c>
      <c r="G1323" s="3" t="s">
        <v>73</v>
      </c>
      <c r="I1323" s="3" t="s">
        <v>64</v>
      </c>
      <c r="J1323" s="3" t="s">
        <v>64</v>
      </c>
      <c r="K1323" s="3" t="s">
        <v>65</v>
      </c>
      <c r="L1323" s="2" t="s">
        <v>12386</v>
      </c>
      <c r="M1323" s="2" t="s">
        <v>13687</v>
      </c>
      <c r="N1323" s="3" t="s">
        <v>148</v>
      </c>
      <c r="P1323" s="3" t="s">
        <v>162</v>
      </c>
      <c r="Q1323" s="2" t="s">
        <v>13688</v>
      </c>
      <c r="R1323" s="3" t="s">
        <v>9228</v>
      </c>
      <c r="S1323" s="4">
        <v>12</v>
      </c>
      <c r="T1323" s="4">
        <v>25</v>
      </c>
      <c r="U1323" s="5" t="s">
        <v>13689</v>
      </c>
      <c r="V1323" s="5" t="s">
        <v>13690</v>
      </c>
      <c r="W1323" s="5" t="s">
        <v>72</v>
      </c>
      <c r="X1323" s="5" t="s">
        <v>72</v>
      </c>
      <c r="Y1323" s="4">
        <v>144</v>
      </c>
      <c r="Z1323" s="4">
        <v>10</v>
      </c>
      <c r="AA1323" s="4">
        <v>13</v>
      </c>
      <c r="AB1323" s="4">
        <v>1</v>
      </c>
      <c r="AC1323" s="4">
        <v>4</v>
      </c>
      <c r="AD1323" s="4">
        <v>69</v>
      </c>
      <c r="AE1323" s="4">
        <v>72</v>
      </c>
      <c r="AF1323" s="4">
        <v>0</v>
      </c>
      <c r="AG1323" s="4">
        <v>3</v>
      </c>
      <c r="AH1323" s="4">
        <v>63</v>
      </c>
      <c r="AI1323" s="4">
        <v>64</v>
      </c>
      <c r="AJ1323" s="4">
        <v>9</v>
      </c>
      <c r="AK1323" s="4">
        <v>12</v>
      </c>
      <c r="AL1323" s="4">
        <v>41</v>
      </c>
      <c r="AM1323" s="4">
        <v>41</v>
      </c>
      <c r="AN1323" s="4">
        <v>0</v>
      </c>
      <c r="AO1323" s="4">
        <v>0</v>
      </c>
      <c r="AP1323" s="4">
        <v>8</v>
      </c>
      <c r="AQ1323" s="4">
        <v>11</v>
      </c>
      <c r="AR1323" s="3" t="s">
        <v>64</v>
      </c>
      <c r="AS1323" s="3" t="s">
        <v>64</v>
      </c>
      <c r="AT1323" s="3" t="s">
        <v>73</v>
      </c>
      <c r="AU1323" s="6" t="str">
        <f>HYPERLINK("http://catalog.hathitrust.org/Record/002028097","HathiTrust Record")</f>
        <v>HathiTrust Record</v>
      </c>
      <c r="AV1323" s="6" t="str">
        <f>HYPERLINK("http://mcgill.on.worldcat.org/oclc/237889","Catalog Record")</f>
        <v>Catalog Record</v>
      </c>
      <c r="AW1323" s="6" t="str">
        <f>HYPERLINK("http://www.worldcat.org/oclc/237889","WorldCat Record")</f>
        <v>WorldCat Record</v>
      </c>
      <c r="AX1323" s="3" t="s">
        <v>13691</v>
      </c>
      <c r="AY1323" s="3" t="s">
        <v>13692</v>
      </c>
      <c r="AZ1323" s="3" t="s">
        <v>13693</v>
      </c>
      <c r="BA1323" s="3" t="s">
        <v>13693</v>
      </c>
      <c r="BB1323" s="3" t="s">
        <v>13694</v>
      </c>
      <c r="BC1323" s="3" t="s">
        <v>78</v>
      </c>
      <c r="BD1323" s="3" t="s">
        <v>79</v>
      </c>
      <c r="BF1323" s="3" t="s">
        <v>13694</v>
      </c>
      <c r="BG1323" s="3" t="s">
        <v>13695</v>
      </c>
    </row>
    <row r="1324" spans="1:59" ht="58" x14ac:dyDescent="0.35">
      <c r="A1324" s="2" t="s">
        <v>59</v>
      </c>
      <c r="B1324" s="2" t="s">
        <v>94</v>
      </c>
      <c r="C1324" s="2" t="s">
        <v>13684</v>
      </c>
      <c r="D1324" s="2" t="s">
        <v>13685</v>
      </c>
      <c r="E1324" s="2" t="s">
        <v>13686</v>
      </c>
      <c r="F1324" s="3" t="s">
        <v>2212</v>
      </c>
      <c r="G1324" s="3" t="s">
        <v>73</v>
      </c>
      <c r="I1324" s="3" t="s">
        <v>64</v>
      </c>
      <c r="J1324" s="3" t="s">
        <v>64</v>
      </c>
      <c r="K1324" s="3" t="s">
        <v>65</v>
      </c>
      <c r="L1324" s="2" t="s">
        <v>12386</v>
      </c>
      <c r="M1324" s="2" t="s">
        <v>13687</v>
      </c>
      <c r="N1324" s="3" t="s">
        <v>148</v>
      </c>
      <c r="P1324" s="3" t="s">
        <v>162</v>
      </c>
      <c r="Q1324" s="2" t="s">
        <v>13688</v>
      </c>
      <c r="R1324" s="3" t="s">
        <v>9228</v>
      </c>
      <c r="S1324" s="4">
        <v>13</v>
      </c>
      <c r="T1324" s="4">
        <v>25</v>
      </c>
      <c r="U1324" s="5" t="s">
        <v>13690</v>
      </c>
      <c r="V1324" s="5" t="s">
        <v>13690</v>
      </c>
      <c r="W1324" s="5" t="s">
        <v>72</v>
      </c>
      <c r="X1324" s="5" t="s">
        <v>72</v>
      </c>
      <c r="Y1324" s="4">
        <v>144</v>
      </c>
      <c r="Z1324" s="4">
        <v>10</v>
      </c>
      <c r="AA1324" s="4">
        <v>13</v>
      </c>
      <c r="AB1324" s="4">
        <v>1</v>
      </c>
      <c r="AC1324" s="4">
        <v>4</v>
      </c>
      <c r="AD1324" s="4">
        <v>69</v>
      </c>
      <c r="AE1324" s="4">
        <v>72</v>
      </c>
      <c r="AF1324" s="4">
        <v>0</v>
      </c>
      <c r="AG1324" s="4">
        <v>3</v>
      </c>
      <c r="AH1324" s="4">
        <v>63</v>
      </c>
      <c r="AI1324" s="4">
        <v>64</v>
      </c>
      <c r="AJ1324" s="4">
        <v>9</v>
      </c>
      <c r="AK1324" s="4">
        <v>12</v>
      </c>
      <c r="AL1324" s="4">
        <v>41</v>
      </c>
      <c r="AM1324" s="4">
        <v>41</v>
      </c>
      <c r="AN1324" s="4">
        <v>0</v>
      </c>
      <c r="AO1324" s="4">
        <v>0</v>
      </c>
      <c r="AP1324" s="4">
        <v>8</v>
      </c>
      <c r="AQ1324" s="4">
        <v>11</v>
      </c>
      <c r="AR1324" s="3" t="s">
        <v>64</v>
      </c>
      <c r="AS1324" s="3" t="s">
        <v>64</v>
      </c>
      <c r="AT1324" s="3" t="s">
        <v>73</v>
      </c>
      <c r="AU1324" s="6" t="str">
        <f>HYPERLINK("http://catalog.hathitrust.org/Record/002028097","HathiTrust Record")</f>
        <v>HathiTrust Record</v>
      </c>
      <c r="AV1324" s="6" t="str">
        <f>HYPERLINK("http://mcgill.on.worldcat.org/oclc/237889","Catalog Record")</f>
        <v>Catalog Record</v>
      </c>
      <c r="AW1324" s="6" t="str">
        <f>HYPERLINK("http://www.worldcat.org/oclc/237889","WorldCat Record")</f>
        <v>WorldCat Record</v>
      </c>
      <c r="AX1324" s="3" t="s">
        <v>13691</v>
      </c>
      <c r="AY1324" s="3" t="s">
        <v>13692</v>
      </c>
      <c r="AZ1324" s="3" t="s">
        <v>13693</v>
      </c>
      <c r="BA1324" s="3" t="s">
        <v>13693</v>
      </c>
      <c r="BB1324" s="3" t="s">
        <v>13696</v>
      </c>
      <c r="BC1324" s="3" t="s">
        <v>78</v>
      </c>
      <c r="BD1324" s="3" t="s">
        <v>79</v>
      </c>
      <c r="BF1324" s="3" t="s">
        <v>13696</v>
      </c>
      <c r="BG1324" s="3" t="s">
        <v>13697</v>
      </c>
    </row>
    <row r="1325" spans="1:59" ht="58" x14ac:dyDescent="0.35">
      <c r="A1325" s="2" t="s">
        <v>59</v>
      </c>
      <c r="B1325" s="2" t="s">
        <v>94</v>
      </c>
      <c r="C1325" s="2" t="s">
        <v>13698</v>
      </c>
      <c r="D1325" s="2" t="s">
        <v>13699</v>
      </c>
      <c r="E1325" s="2" t="s">
        <v>13700</v>
      </c>
      <c r="G1325" s="3" t="s">
        <v>64</v>
      </c>
      <c r="I1325" s="3" t="s">
        <v>64</v>
      </c>
      <c r="J1325" s="3" t="s">
        <v>64</v>
      </c>
      <c r="K1325" s="3" t="s">
        <v>65</v>
      </c>
      <c r="L1325" s="2" t="s">
        <v>13701</v>
      </c>
      <c r="M1325" s="2" t="s">
        <v>13702</v>
      </c>
      <c r="N1325" s="3" t="s">
        <v>365</v>
      </c>
      <c r="P1325" s="3" t="s">
        <v>69</v>
      </c>
      <c r="R1325" s="3" t="s">
        <v>9228</v>
      </c>
      <c r="S1325" s="4">
        <v>29</v>
      </c>
      <c r="T1325" s="4">
        <v>29</v>
      </c>
      <c r="U1325" s="5" t="s">
        <v>4121</v>
      </c>
      <c r="V1325" s="5" t="s">
        <v>4121</v>
      </c>
      <c r="W1325" s="5" t="s">
        <v>72</v>
      </c>
      <c r="X1325" s="5" t="s">
        <v>72</v>
      </c>
      <c r="Y1325" s="4">
        <v>414</v>
      </c>
      <c r="Z1325" s="4">
        <v>23</v>
      </c>
      <c r="AA1325" s="4">
        <v>26</v>
      </c>
      <c r="AB1325" s="4">
        <v>1</v>
      </c>
      <c r="AC1325" s="4">
        <v>4</v>
      </c>
      <c r="AD1325" s="4">
        <v>107</v>
      </c>
      <c r="AE1325" s="4">
        <v>108</v>
      </c>
      <c r="AF1325" s="4">
        <v>0</v>
      </c>
      <c r="AG1325" s="4">
        <v>1</v>
      </c>
      <c r="AH1325" s="4">
        <v>98</v>
      </c>
      <c r="AI1325" s="4">
        <v>99</v>
      </c>
      <c r="AJ1325" s="4">
        <v>16</v>
      </c>
      <c r="AK1325" s="4">
        <v>17</v>
      </c>
      <c r="AL1325" s="4">
        <v>52</v>
      </c>
      <c r="AM1325" s="4">
        <v>52</v>
      </c>
      <c r="AN1325" s="4">
        <v>0</v>
      </c>
      <c r="AO1325" s="4">
        <v>0</v>
      </c>
      <c r="AP1325" s="4">
        <v>18</v>
      </c>
      <c r="AQ1325" s="4">
        <v>19</v>
      </c>
      <c r="AR1325" s="3" t="s">
        <v>64</v>
      </c>
      <c r="AS1325" s="3" t="s">
        <v>64</v>
      </c>
      <c r="AT1325" s="3" t="s">
        <v>73</v>
      </c>
      <c r="AU1325" s="6" t="str">
        <f>HYPERLINK("http://catalog.hathitrust.org/Record/000661041","HathiTrust Record")</f>
        <v>HathiTrust Record</v>
      </c>
      <c r="AV1325" s="6" t="str">
        <f>HYPERLINK("http://mcgill.on.worldcat.org/oclc/12555177","Catalog Record")</f>
        <v>Catalog Record</v>
      </c>
      <c r="AW1325" s="6" t="str">
        <f>HYPERLINK("http://www.worldcat.org/oclc/12555177","WorldCat Record")</f>
        <v>WorldCat Record</v>
      </c>
      <c r="AX1325" s="3" t="s">
        <v>13703</v>
      </c>
      <c r="AY1325" s="3" t="s">
        <v>13704</v>
      </c>
      <c r="AZ1325" s="3" t="s">
        <v>13705</v>
      </c>
      <c r="BA1325" s="3" t="s">
        <v>13705</v>
      </c>
      <c r="BB1325" s="3" t="s">
        <v>13706</v>
      </c>
      <c r="BC1325" s="3" t="s">
        <v>78</v>
      </c>
      <c r="BD1325" s="3" t="s">
        <v>79</v>
      </c>
      <c r="BE1325" s="3" t="s">
        <v>13707</v>
      </c>
      <c r="BF1325" s="3" t="s">
        <v>13706</v>
      </c>
      <c r="BG1325" s="3" t="s">
        <v>13708</v>
      </c>
    </row>
    <row r="1326" spans="1:59" ht="58" x14ac:dyDescent="0.35">
      <c r="A1326" s="2" t="s">
        <v>59</v>
      </c>
      <c r="B1326" s="2" t="s">
        <v>94</v>
      </c>
      <c r="C1326" s="2" t="s">
        <v>13709</v>
      </c>
      <c r="D1326" s="2" t="s">
        <v>13710</v>
      </c>
      <c r="E1326" s="2" t="s">
        <v>13711</v>
      </c>
      <c r="G1326" s="3" t="s">
        <v>64</v>
      </c>
      <c r="I1326" s="3" t="s">
        <v>73</v>
      </c>
      <c r="J1326" s="3" t="s">
        <v>64</v>
      </c>
      <c r="K1326" s="3" t="s">
        <v>65</v>
      </c>
      <c r="L1326" s="2" t="s">
        <v>13712</v>
      </c>
      <c r="M1326" s="2" t="s">
        <v>13713</v>
      </c>
      <c r="N1326" s="3" t="s">
        <v>2466</v>
      </c>
      <c r="P1326" s="3" t="s">
        <v>69</v>
      </c>
      <c r="R1326" s="3" t="s">
        <v>9228</v>
      </c>
      <c r="S1326" s="4">
        <v>5</v>
      </c>
      <c r="T1326" s="4">
        <v>12</v>
      </c>
      <c r="U1326" s="5" t="s">
        <v>13714</v>
      </c>
      <c r="V1326" s="5" t="s">
        <v>13715</v>
      </c>
      <c r="W1326" s="5" t="s">
        <v>72</v>
      </c>
      <c r="X1326" s="5" t="s">
        <v>72</v>
      </c>
      <c r="Y1326" s="4">
        <v>661</v>
      </c>
      <c r="Z1326" s="4">
        <v>35</v>
      </c>
      <c r="AA1326" s="4">
        <v>45</v>
      </c>
      <c r="AB1326" s="4">
        <v>3</v>
      </c>
      <c r="AC1326" s="4">
        <v>4</v>
      </c>
      <c r="AD1326" s="4">
        <v>121</v>
      </c>
      <c r="AE1326" s="4">
        <v>131</v>
      </c>
      <c r="AF1326" s="4">
        <v>1</v>
      </c>
      <c r="AG1326" s="4">
        <v>2</v>
      </c>
      <c r="AH1326" s="4">
        <v>101</v>
      </c>
      <c r="AI1326" s="4">
        <v>105</v>
      </c>
      <c r="AJ1326" s="4">
        <v>19</v>
      </c>
      <c r="AK1326" s="4">
        <v>23</v>
      </c>
      <c r="AL1326" s="4">
        <v>56</v>
      </c>
      <c r="AM1326" s="4">
        <v>58</v>
      </c>
      <c r="AN1326" s="4">
        <v>0</v>
      </c>
      <c r="AO1326" s="4">
        <v>0</v>
      </c>
      <c r="AP1326" s="4">
        <v>25</v>
      </c>
      <c r="AQ1326" s="4">
        <v>30</v>
      </c>
      <c r="AR1326" s="3" t="s">
        <v>64</v>
      </c>
      <c r="AS1326" s="3" t="s">
        <v>64</v>
      </c>
      <c r="AT1326" s="3" t="s">
        <v>64</v>
      </c>
      <c r="AV1326" s="6" t="str">
        <f>HYPERLINK("http://mcgill.on.worldcat.org/oclc/1315629","Catalog Record")</f>
        <v>Catalog Record</v>
      </c>
      <c r="AW1326" s="6" t="str">
        <f>HYPERLINK("http://www.worldcat.org/oclc/1315629","WorldCat Record")</f>
        <v>WorldCat Record</v>
      </c>
      <c r="AX1326" s="3" t="s">
        <v>13716</v>
      </c>
      <c r="AY1326" s="3" t="s">
        <v>13717</v>
      </c>
      <c r="AZ1326" s="3" t="s">
        <v>13718</v>
      </c>
      <c r="BA1326" s="3" t="s">
        <v>13718</v>
      </c>
      <c r="BB1326" s="3" t="s">
        <v>13719</v>
      </c>
      <c r="BC1326" s="3" t="s">
        <v>78</v>
      </c>
      <c r="BD1326" s="3" t="s">
        <v>79</v>
      </c>
      <c r="BF1326" s="3" t="s">
        <v>13719</v>
      </c>
      <c r="BG1326" s="3" t="s">
        <v>13720</v>
      </c>
    </row>
    <row r="1327" spans="1:59" ht="58" x14ac:dyDescent="0.35">
      <c r="A1327" s="2" t="s">
        <v>59</v>
      </c>
      <c r="B1327" s="2" t="s">
        <v>94</v>
      </c>
      <c r="C1327" s="2" t="s">
        <v>13709</v>
      </c>
      <c r="D1327" s="2" t="s">
        <v>13710</v>
      </c>
      <c r="E1327" s="2" t="s">
        <v>13711</v>
      </c>
      <c r="G1327" s="3" t="s">
        <v>64</v>
      </c>
      <c r="I1327" s="3" t="s">
        <v>73</v>
      </c>
      <c r="J1327" s="3" t="s">
        <v>64</v>
      </c>
      <c r="K1327" s="3" t="s">
        <v>65</v>
      </c>
      <c r="L1327" s="2" t="s">
        <v>13712</v>
      </c>
      <c r="M1327" s="2" t="s">
        <v>13713</v>
      </c>
      <c r="N1327" s="3" t="s">
        <v>2466</v>
      </c>
      <c r="P1327" s="3" t="s">
        <v>69</v>
      </c>
      <c r="R1327" s="3" t="s">
        <v>9228</v>
      </c>
      <c r="S1327" s="4">
        <v>7</v>
      </c>
      <c r="T1327" s="4">
        <v>12</v>
      </c>
      <c r="U1327" s="5" t="s">
        <v>13715</v>
      </c>
      <c r="V1327" s="5" t="s">
        <v>13715</v>
      </c>
      <c r="W1327" s="5" t="s">
        <v>72</v>
      </c>
      <c r="X1327" s="5" t="s">
        <v>72</v>
      </c>
      <c r="Y1327" s="4">
        <v>661</v>
      </c>
      <c r="Z1327" s="4">
        <v>35</v>
      </c>
      <c r="AA1327" s="4">
        <v>45</v>
      </c>
      <c r="AB1327" s="4">
        <v>3</v>
      </c>
      <c r="AC1327" s="4">
        <v>4</v>
      </c>
      <c r="AD1327" s="4">
        <v>121</v>
      </c>
      <c r="AE1327" s="4">
        <v>131</v>
      </c>
      <c r="AF1327" s="4">
        <v>1</v>
      </c>
      <c r="AG1327" s="4">
        <v>2</v>
      </c>
      <c r="AH1327" s="4">
        <v>101</v>
      </c>
      <c r="AI1327" s="4">
        <v>105</v>
      </c>
      <c r="AJ1327" s="4">
        <v>19</v>
      </c>
      <c r="AK1327" s="4">
        <v>23</v>
      </c>
      <c r="AL1327" s="4">
        <v>56</v>
      </c>
      <c r="AM1327" s="4">
        <v>58</v>
      </c>
      <c r="AN1327" s="4">
        <v>0</v>
      </c>
      <c r="AO1327" s="4">
        <v>0</v>
      </c>
      <c r="AP1327" s="4">
        <v>25</v>
      </c>
      <c r="AQ1327" s="4">
        <v>30</v>
      </c>
      <c r="AR1327" s="3" t="s">
        <v>64</v>
      </c>
      <c r="AS1327" s="3" t="s">
        <v>64</v>
      </c>
      <c r="AT1327" s="3" t="s">
        <v>64</v>
      </c>
      <c r="AV1327" s="6" t="str">
        <f>HYPERLINK("http://mcgill.on.worldcat.org/oclc/1315629","Catalog Record")</f>
        <v>Catalog Record</v>
      </c>
      <c r="AW1327" s="6" t="str">
        <f>HYPERLINK("http://www.worldcat.org/oclc/1315629","WorldCat Record")</f>
        <v>WorldCat Record</v>
      </c>
      <c r="AX1327" s="3" t="s">
        <v>13716</v>
      </c>
      <c r="AY1327" s="3" t="s">
        <v>13717</v>
      </c>
      <c r="AZ1327" s="3" t="s">
        <v>13718</v>
      </c>
      <c r="BA1327" s="3" t="s">
        <v>13718</v>
      </c>
      <c r="BB1327" s="3" t="s">
        <v>13721</v>
      </c>
      <c r="BC1327" s="3" t="s">
        <v>78</v>
      </c>
      <c r="BD1327" s="3" t="s">
        <v>79</v>
      </c>
      <c r="BF1327" s="3" t="s">
        <v>13721</v>
      </c>
      <c r="BG1327" s="3" t="s">
        <v>13722</v>
      </c>
    </row>
    <row r="1328" spans="1:59" ht="58" x14ac:dyDescent="0.35">
      <c r="A1328" s="2" t="s">
        <v>59</v>
      </c>
      <c r="B1328" s="2" t="s">
        <v>94</v>
      </c>
      <c r="C1328" s="2" t="s">
        <v>13723</v>
      </c>
      <c r="D1328" s="2" t="s">
        <v>13724</v>
      </c>
      <c r="E1328" s="2" t="s">
        <v>13725</v>
      </c>
      <c r="G1328" s="3" t="s">
        <v>64</v>
      </c>
      <c r="I1328" s="3" t="s">
        <v>64</v>
      </c>
      <c r="J1328" s="3" t="s">
        <v>64</v>
      </c>
      <c r="K1328" s="3" t="s">
        <v>65</v>
      </c>
      <c r="L1328" s="2" t="s">
        <v>1565</v>
      </c>
      <c r="M1328" s="2" t="s">
        <v>13726</v>
      </c>
      <c r="N1328" s="3" t="s">
        <v>719</v>
      </c>
      <c r="P1328" s="3" t="s">
        <v>69</v>
      </c>
      <c r="R1328" s="3" t="s">
        <v>9228</v>
      </c>
      <c r="S1328" s="4">
        <v>21</v>
      </c>
      <c r="T1328" s="4">
        <v>21</v>
      </c>
      <c r="U1328" s="5" t="s">
        <v>13727</v>
      </c>
      <c r="V1328" s="5" t="s">
        <v>13727</v>
      </c>
      <c r="W1328" s="5" t="s">
        <v>72</v>
      </c>
      <c r="X1328" s="5" t="s">
        <v>72</v>
      </c>
      <c r="Y1328" s="4">
        <v>423</v>
      </c>
      <c r="Z1328" s="4">
        <v>34</v>
      </c>
      <c r="AA1328" s="4">
        <v>45</v>
      </c>
      <c r="AB1328" s="4">
        <v>4</v>
      </c>
      <c r="AC1328" s="4">
        <v>9</v>
      </c>
      <c r="AD1328" s="4">
        <v>123</v>
      </c>
      <c r="AE1328" s="4">
        <v>130</v>
      </c>
      <c r="AF1328" s="4">
        <v>2</v>
      </c>
      <c r="AG1328" s="4">
        <v>5</v>
      </c>
      <c r="AH1328" s="4">
        <v>104</v>
      </c>
      <c r="AI1328" s="4">
        <v>108</v>
      </c>
      <c r="AJ1328" s="4">
        <v>21</v>
      </c>
      <c r="AK1328" s="4">
        <v>25</v>
      </c>
      <c r="AL1328" s="4">
        <v>54</v>
      </c>
      <c r="AM1328" s="4">
        <v>57</v>
      </c>
      <c r="AN1328" s="4">
        <v>0</v>
      </c>
      <c r="AO1328" s="4">
        <v>0</v>
      </c>
      <c r="AP1328" s="4">
        <v>27</v>
      </c>
      <c r="AQ1328" s="4">
        <v>30</v>
      </c>
      <c r="AR1328" s="3" t="s">
        <v>64</v>
      </c>
      <c r="AS1328" s="3" t="s">
        <v>64</v>
      </c>
      <c r="AT1328" s="3" t="s">
        <v>73</v>
      </c>
      <c r="AU1328" s="6" t="str">
        <f>HYPERLINK("http://catalog.hathitrust.org/Record/000331396","HathiTrust Record")</f>
        <v>HathiTrust Record</v>
      </c>
      <c r="AV1328" s="6" t="str">
        <f>HYPERLINK("http://mcgill.on.worldcat.org/oclc/9686952","Catalog Record")</f>
        <v>Catalog Record</v>
      </c>
      <c r="AW1328" s="6" t="str">
        <f>HYPERLINK("http://www.worldcat.org/oclc/9686952","WorldCat Record")</f>
        <v>WorldCat Record</v>
      </c>
      <c r="AX1328" s="3" t="s">
        <v>13728</v>
      </c>
      <c r="AY1328" s="3" t="s">
        <v>13729</v>
      </c>
      <c r="AZ1328" s="3" t="s">
        <v>13730</v>
      </c>
      <c r="BA1328" s="3" t="s">
        <v>13730</v>
      </c>
      <c r="BB1328" s="3" t="s">
        <v>13731</v>
      </c>
      <c r="BC1328" s="3" t="s">
        <v>78</v>
      </c>
      <c r="BD1328" s="3" t="s">
        <v>79</v>
      </c>
      <c r="BE1328" s="3" t="s">
        <v>13732</v>
      </c>
      <c r="BF1328" s="3" t="s">
        <v>13731</v>
      </c>
      <c r="BG1328" s="3" t="s">
        <v>13733</v>
      </c>
    </row>
    <row r="1329" spans="1:59" ht="58" x14ac:dyDescent="0.35">
      <c r="A1329" s="2" t="s">
        <v>59</v>
      </c>
      <c r="B1329" s="2" t="s">
        <v>94</v>
      </c>
      <c r="C1329" s="2" t="s">
        <v>13734</v>
      </c>
      <c r="D1329" s="2" t="s">
        <v>13735</v>
      </c>
      <c r="E1329" s="2" t="s">
        <v>13736</v>
      </c>
      <c r="G1329" s="3" t="s">
        <v>64</v>
      </c>
      <c r="I1329" s="3" t="s">
        <v>64</v>
      </c>
      <c r="J1329" s="3" t="s">
        <v>64</v>
      </c>
      <c r="K1329" s="3" t="s">
        <v>65</v>
      </c>
      <c r="L1329" s="2" t="s">
        <v>1565</v>
      </c>
      <c r="M1329" s="2" t="s">
        <v>13737</v>
      </c>
      <c r="N1329" s="3" t="s">
        <v>226</v>
      </c>
      <c r="P1329" s="3" t="s">
        <v>69</v>
      </c>
      <c r="R1329" s="3" t="s">
        <v>9228</v>
      </c>
      <c r="S1329" s="4">
        <v>21</v>
      </c>
      <c r="T1329" s="4">
        <v>21</v>
      </c>
      <c r="U1329" s="5" t="s">
        <v>10207</v>
      </c>
      <c r="V1329" s="5" t="s">
        <v>10207</v>
      </c>
      <c r="W1329" s="5" t="s">
        <v>72</v>
      </c>
      <c r="X1329" s="5" t="s">
        <v>72</v>
      </c>
      <c r="Y1329" s="4">
        <v>413</v>
      </c>
      <c r="Z1329" s="4">
        <v>31</v>
      </c>
      <c r="AA1329" s="4">
        <v>37</v>
      </c>
      <c r="AB1329" s="4">
        <v>1</v>
      </c>
      <c r="AC1329" s="4">
        <v>6</v>
      </c>
      <c r="AD1329" s="4">
        <v>109</v>
      </c>
      <c r="AE1329" s="4">
        <v>114</v>
      </c>
      <c r="AF1329" s="4">
        <v>0</v>
      </c>
      <c r="AG1329" s="4">
        <v>3</v>
      </c>
      <c r="AH1329" s="4">
        <v>95</v>
      </c>
      <c r="AI1329" s="4">
        <v>97</v>
      </c>
      <c r="AJ1329" s="4">
        <v>18</v>
      </c>
      <c r="AK1329" s="4">
        <v>22</v>
      </c>
      <c r="AL1329" s="4">
        <v>52</v>
      </c>
      <c r="AM1329" s="4">
        <v>53</v>
      </c>
      <c r="AN1329" s="4">
        <v>0</v>
      </c>
      <c r="AO1329" s="4">
        <v>0</v>
      </c>
      <c r="AP1329" s="4">
        <v>22</v>
      </c>
      <c r="AQ1329" s="4">
        <v>25</v>
      </c>
      <c r="AR1329" s="3" t="s">
        <v>64</v>
      </c>
      <c r="AS1329" s="3" t="s">
        <v>64</v>
      </c>
      <c r="AT1329" s="3" t="s">
        <v>64</v>
      </c>
      <c r="AV1329" s="6" t="str">
        <f>HYPERLINK("http://mcgill.on.worldcat.org/oclc/34839687","Catalog Record")</f>
        <v>Catalog Record</v>
      </c>
      <c r="AW1329" s="6" t="str">
        <f>HYPERLINK("http://www.worldcat.org/oclc/34839687","WorldCat Record")</f>
        <v>WorldCat Record</v>
      </c>
      <c r="AX1329" s="3" t="s">
        <v>13738</v>
      </c>
      <c r="AY1329" s="3" t="s">
        <v>13739</v>
      </c>
      <c r="AZ1329" s="3" t="s">
        <v>13740</v>
      </c>
      <c r="BA1329" s="3" t="s">
        <v>13740</v>
      </c>
      <c r="BB1329" s="3" t="s">
        <v>13741</v>
      </c>
      <c r="BC1329" s="3" t="s">
        <v>78</v>
      </c>
      <c r="BD1329" s="3" t="s">
        <v>414</v>
      </c>
      <c r="BE1329" s="3" t="s">
        <v>13742</v>
      </c>
      <c r="BF1329" s="3" t="s">
        <v>13741</v>
      </c>
      <c r="BG1329" s="3" t="s">
        <v>13743</v>
      </c>
    </row>
    <row r="1330" spans="1:59" ht="58" x14ac:dyDescent="0.35">
      <c r="A1330" s="2" t="s">
        <v>59</v>
      </c>
      <c r="B1330" s="2" t="s">
        <v>94</v>
      </c>
      <c r="C1330" s="2" t="s">
        <v>13744</v>
      </c>
      <c r="D1330" s="2" t="s">
        <v>13745</v>
      </c>
      <c r="E1330" s="2" t="s">
        <v>13746</v>
      </c>
      <c r="G1330" s="3" t="s">
        <v>64</v>
      </c>
      <c r="I1330" s="3" t="s">
        <v>64</v>
      </c>
      <c r="J1330" s="3" t="s">
        <v>64</v>
      </c>
      <c r="K1330" s="3" t="s">
        <v>65</v>
      </c>
      <c r="L1330" s="2" t="s">
        <v>6788</v>
      </c>
      <c r="M1330" s="2" t="s">
        <v>13747</v>
      </c>
      <c r="N1330" s="3" t="s">
        <v>287</v>
      </c>
      <c r="P1330" s="3" t="s">
        <v>69</v>
      </c>
      <c r="R1330" s="3" t="s">
        <v>9228</v>
      </c>
      <c r="S1330" s="4">
        <v>21</v>
      </c>
      <c r="T1330" s="4">
        <v>21</v>
      </c>
      <c r="U1330" s="5" t="s">
        <v>3542</v>
      </c>
      <c r="V1330" s="5" t="s">
        <v>3542</v>
      </c>
      <c r="W1330" s="5" t="s">
        <v>72</v>
      </c>
      <c r="X1330" s="5" t="s">
        <v>72</v>
      </c>
      <c r="Y1330" s="4">
        <v>444</v>
      </c>
      <c r="Z1330" s="4">
        <v>30</v>
      </c>
      <c r="AA1330" s="4">
        <v>35</v>
      </c>
      <c r="AB1330" s="4">
        <v>2</v>
      </c>
      <c r="AC1330" s="4">
        <v>5</v>
      </c>
      <c r="AD1330" s="4">
        <v>119</v>
      </c>
      <c r="AE1330" s="4">
        <v>123</v>
      </c>
      <c r="AF1330" s="4">
        <v>1</v>
      </c>
      <c r="AG1330" s="4">
        <v>3</v>
      </c>
      <c r="AH1330" s="4">
        <v>102</v>
      </c>
      <c r="AI1330" s="4">
        <v>103</v>
      </c>
      <c r="AJ1330" s="4">
        <v>18</v>
      </c>
      <c r="AK1330" s="4">
        <v>20</v>
      </c>
      <c r="AL1330" s="4">
        <v>54</v>
      </c>
      <c r="AM1330" s="4">
        <v>54</v>
      </c>
      <c r="AN1330" s="4">
        <v>0</v>
      </c>
      <c r="AO1330" s="4">
        <v>0</v>
      </c>
      <c r="AP1330" s="4">
        <v>25</v>
      </c>
      <c r="AQ1330" s="4">
        <v>28</v>
      </c>
      <c r="AR1330" s="3" t="s">
        <v>64</v>
      </c>
      <c r="AS1330" s="3" t="s">
        <v>64</v>
      </c>
      <c r="AT1330" s="3" t="s">
        <v>64</v>
      </c>
      <c r="AV1330" s="6" t="str">
        <f>HYPERLINK("http://mcgill.on.worldcat.org/oclc/7571697","Catalog Record")</f>
        <v>Catalog Record</v>
      </c>
      <c r="AW1330" s="6" t="str">
        <f>HYPERLINK("http://www.worldcat.org/oclc/7571697","WorldCat Record")</f>
        <v>WorldCat Record</v>
      </c>
      <c r="AX1330" s="3" t="s">
        <v>13748</v>
      </c>
      <c r="AY1330" s="3" t="s">
        <v>13749</v>
      </c>
      <c r="AZ1330" s="3" t="s">
        <v>13750</v>
      </c>
      <c r="BA1330" s="3" t="s">
        <v>13750</v>
      </c>
      <c r="BB1330" s="3" t="s">
        <v>13751</v>
      </c>
      <c r="BC1330" s="3" t="s">
        <v>78</v>
      </c>
      <c r="BD1330" s="3" t="s">
        <v>79</v>
      </c>
      <c r="BE1330" s="3" t="s">
        <v>13752</v>
      </c>
      <c r="BF1330" s="3" t="s">
        <v>13751</v>
      </c>
      <c r="BG1330" s="3" t="s">
        <v>13753</v>
      </c>
    </row>
    <row r="1331" spans="1:59" ht="58" x14ac:dyDescent="0.35">
      <c r="A1331" s="2" t="s">
        <v>59</v>
      </c>
      <c r="B1331" s="2" t="s">
        <v>94</v>
      </c>
      <c r="C1331" s="2" t="s">
        <v>13754</v>
      </c>
      <c r="D1331" s="2" t="s">
        <v>13755</v>
      </c>
      <c r="E1331" s="2" t="s">
        <v>13756</v>
      </c>
      <c r="G1331" s="3" t="s">
        <v>64</v>
      </c>
      <c r="I1331" s="3" t="s">
        <v>64</v>
      </c>
      <c r="J1331" s="3" t="s">
        <v>64</v>
      </c>
      <c r="K1331" s="3" t="s">
        <v>65</v>
      </c>
      <c r="L1331" s="2" t="s">
        <v>13757</v>
      </c>
      <c r="M1331" s="2" t="s">
        <v>13758</v>
      </c>
      <c r="N1331" s="3" t="s">
        <v>1530</v>
      </c>
      <c r="P1331" s="3" t="s">
        <v>69</v>
      </c>
      <c r="Q1331" s="2" t="s">
        <v>13759</v>
      </c>
      <c r="R1331" s="3" t="s">
        <v>9228</v>
      </c>
      <c r="S1331" s="4">
        <v>8</v>
      </c>
      <c r="T1331" s="4">
        <v>8</v>
      </c>
      <c r="U1331" s="5" t="s">
        <v>13760</v>
      </c>
      <c r="V1331" s="5" t="s">
        <v>13760</v>
      </c>
      <c r="W1331" s="5" t="s">
        <v>72</v>
      </c>
      <c r="X1331" s="5" t="s">
        <v>72</v>
      </c>
      <c r="Y1331" s="4">
        <v>223</v>
      </c>
      <c r="Z1331" s="4">
        <v>12</v>
      </c>
      <c r="AA1331" s="4">
        <v>109</v>
      </c>
      <c r="AB1331" s="4">
        <v>1</v>
      </c>
      <c r="AC1331" s="4">
        <v>17</v>
      </c>
      <c r="AD1331" s="4">
        <v>82</v>
      </c>
      <c r="AE1331" s="4">
        <v>145</v>
      </c>
      <c r="AF1331" s="4">
        <v>0</v>
      </c>
      <c r="AG1331" s="4">
        <v>8</v>
      </c>
      <c r="AH1331" s="4">
        <v>75</v>
      </c>
      <c r="AI1331" s="4">
        <v>106</v>
      </c>
      <c r="AJ1331" s="4">
        <v>7</v>
      </c>
      <c r="AK1331" s="4">
        <v>25</v>
      </c>
      <c r="AL1331" s="4">
        <v>41</v>
      </c>
      <c r="AM1331" s="4">
        <v>54</v>
      </c>
      <c r="AN1331" s="4">
        <v>0</v>
      </c>
      <c r="AO1331" s="4">
        <v>0</v>
      </c>
      <c r="AP1331" s="4">
        <v>9</v>
      </c>
      <c r="AQ1331" s="4">
        <v>47</v>
      </c>
      <c r="AR1331" s="3" t="s">
        <v>64</v>
      </c>
      <c r="AS1331" s="3" t="s">
        <v>64</v>
      </c>
      <c r="AT1331" s="3" t="s">
        <v>64</v>
      </c>
      <c r="AV1331" s="6" t="str">
        <f>HYPERLINK("http://mcgill.on.worldcat.org/oclc/49942318","Catalog Record")</f>
        <v>Catalog Record</v>
      </c>
      <c r="AW1331" s="6" t="str">
        <f>HYPERLINK("http://www.worldcat.org/oclc/49942318","WorldCat Record")</f>
        <v>WorldCat Record</v>
      </c>
      <c r="AX1331" s="3" t="s">
        <v>13761</v>
      </c>
      <c r="AY1331" s="3" t="s">
        <v>13762</v>
      </c>
      <c r="AZ1331" s="3" t="s">
        <v>13763</v>
      </c>
      <c r="BA1331" s="3" t="s">
        <v>13763</v>
      </c>
      <c r="BB1331" s="3" t="s">
        <v>13764</v>
      </c>
      <c r="BC1331" s="3" t="s">
        <v>78</v>
      </c>
      <c r="BD1331" s="3" t="s">
        <v>414</v>
      </c>
      <c r="BE1331" s="3" t="s">
        <v>13765</v>
      </c>
      <c r="BF1331" s="3" t="s">
        <v>13764</v>
      </c>
      <c r="BG1331" s="3" t="s">
        <v>13766</v>
      </c>
    </row>
    <row r="1332" spans="1:59" ht="58" x14ac:dyDescent="0.35">
      <c r="A1332" s="2" t="s">
        <v>59</v>
      </c>
      <c r="B1332" s="2" t="s">
        <v>94</v>
      </c>
      <c r="C1332" s="2" t="s">
        <v>13767</v>
      </c>
      <c r="D1332" s="2" t="s">
        <v>13768</v>
      </c>
      <c r="E1332" s="2" t="s">
        <v>13769</v>
      </c>
      <c r="G1332" s="3" t="s">
        <v>64</v>
      </c>
      <c r="I1332" s="3" t="s">
        <v>64</v>
      </c>
      <c r="J1332" s="3" t="s">
        <v>64</v>
      </c>
      <c r="K1332" s="3" t="s">
        <v>65</v>
      </c>
      <c r="L1332" s="2" t="s">
        <v>13770</v>
      </c>
      <c r="M1332" s="2" t="s">
        <v>13771</v>
      </c>
      <c r="N1332" s="3" t="s">
        <v>1167</v>
      </c>
      <c r="P1332" s="3" t="s">
        <v>69</v>
      </c>
      <c r="R1332" s="3" t="s">
        <v>9228</v>
      </c>
      <c r="S1332" s="4">
        <v>12</v>
      </c>
      <c r="T1332" s="4">
        <v>12</v>
      </c>
      <c r="U1332" s="5" t="s">
        <v>1447</v>
      </c>
      <c r="V1332" s="5" t="s">
        <v>1447</v>
      </c>
      <c r="W1332" s="5" t="s">
        <v>72</v>
      </c>
      <c r="X1332" s="5" t="s">
        <v>72</v>
      </c>
      <c r="Y1332" s="4">
        <v>454</v>
      </c>
      <c r="Z1332" s="4">
        <v>36</v>
      </c>
      <c r="AA1332" s="4">
        <v>39</v>
      </c>
      <c r="AB1332" s="4">
        <v>4</v>
      </c>
      <c r="AC1332" s="4">
        <v>6</v>
      </c>
      <c r="AD1332" s="4">
        <v>117</v>
      </c>
      <c r="AE1332" s="4">
        <v>121</v>
      </c>
      <c r="AF1332" s="4">
        <v>2</v>
      </c>
      <c r="AG1332" s="4">
        <v>4</v>
      </c>
      <c r="AH1332" s="4">
        <v>96</v>
      </c>
      <c r="AI1332" s="4">
        <v>99</v>
      </c>
      <c r="AJ1332" s="4">
        <v>20</v>
      </c>
      <c r="AK1332" s="4">
        <v>23</v>
      </c>
      <c r="AL1332" s="4">
        <v>52</v>
      </c>
      <c r="AM1332" s="4">
        <v>53</v>
      </c>
      <c r="AN1332" s="4">
        <v>0</v>
      </c>
      <c r="AO1332" s="4">
        <v>0</v>
      </c>
      <c r="AP1332" s="4">
        <v>29</v>
      </c>
      <c r="AQ1332" s="4">
        <v>32</v>
      </c>
      <c r="AR1332" s="3" t="s">
        <v>64</v>
      </c>
      <c r="AS1332" s="3" t="s">
        <v>64</v>
      </c>
      <c r="AT1332" s="3" t="s">
        <v>73</v>
      </c>
      <c r="AU1332" s="6" t="str">
        <f>HYPERLINK("http://catalog.hathitrust.org/Record/000294177","HathiTrust Record")</f>
        <v>HathiTrust Record</v>
      </c>
      <c r="AV1332" s="6" t="str">
        <f>HYPERLINK("http://mcgill.on.worldcat.org/oclc/3186224","Catalog Record")</f>
        <v>Catalog Record</v>
      </c>
      <c r="AW1332" s="6" t="str">
        <f>HYPERLINK("http://www.worldcat.org/oclc/3186224","WorldCat Record")</f>
        <v>WorldCat Record</v>
      </c>
      <c r="AX1332" s="3" t="s">
        <v>13772</v>
      </c>
      <c r="AY1332" s="3" t="s">
        <v>13773</v>
      </c>
      <c r="AZ1332" s="3" t="s">
        <v>13774</v>
      </c>
      <c r="BA1332" s="3" t="s">
        <v>13774</v>
      </c>
      <c r="BB1332" s="3" t="s">
        <v>13775</v>
      </c>
      <c r="BC1332" s="3" t="s">
        <v>78</v>
      </c>
      <c r="BD1332" s="3" t="s">
        <v>79</v>
      </c>
      <c r="BE1332" s="3" t="s">
        <v>13776</v>
      </c>
      <c r="BF1332" s="3" t="s">
        <v>13775</v>
      </c>
      <c r="BG1332" s="3" t="s">
        <v>13777</v>
      </c>
    </row>
    <row r="1333" spans="1:59" ht="58" x14ac:dyDescent="0.35">
      <c r="A1333" s="2" t="s">
        <v>59</v>
      </c>
      <c r="B1333" s="2" t="s">
        <v>94</v>
      </c>
      <c r="C1333" s="2" t="s">
        <v>13778</v>
      </c>
      <c r="D1333" s="2" t="s">
        <v>13779</v>
      </c>
      <c r="E1333" s="2" t="s">
        <v>13780</v>
      </c>
      <c r="G1333" s="3" t="s">
        <v>64</v>
      </c>
      <c r="I1333" s="3" t="s">
        <v>64</v>
      </c>
      <c r="J1333" s="3" t="s">
        <v>73</v>
      </c>
      <c r="K1333" s="3" t="s">
        <v>65</v>
      </c>
      <c r="L1333" s="2" t="s">
        <v>6788</v>
      </c>
      <c r="M1333" s="2" t="s">
        <v>13781</v>
      </c>
      <c r="N1333" s="3" t="s">
        <v>689</v>
      </c>
      <c r="O1333" s="2" t="s">
        <v>1294</v>
      </c>
      <c r="P1333" s="3" t="s">
        <v>69</v>
      </c>
      <c r="R1333" s="3" t="s">
        <v>9228</v>
      </c>
      <c r="S1333" s="4">
        <v>19</v>
      </c>
      <c r="T1333" s="4">
        <v>19</v>
      </c>
      <c r="U1333" s="5" t="s">
        <v>13782</v>
      </c>
      <c r="V1333" s="5" t="s">
        <v>13782</v>
      </c>
      <c r="W1333" s="5" t="s">
        <v>72</v>
      </c>
      <c r="X1333" s="5" t="s">
        <v>72</v>
      </c>
      <c r="Y1333" s="4">
        <v>51</v>
      </c>
      <c r="Z1333" s="4">
        <v>7</v>
      </c>
      <c r="AA1333" s="4">
        <v>53</v>
      </c>
      <c r="AB1333" s="4">
        <v>2</v>
      </c>
      <c r="AC1333" s="4">
        <v>3</v>
      </c>
      <c r="AD1333" s="4">
        <v>3</v>
      </c>
      <c r="AE1333" s="4">
        <v>112</v>
      </c>
      <c r="AF1333" s="4">
        <v>0</v>
      </c>
      <c r="AG1333" s="4">
        <v>1</v>
      </c>
      <c r="AH1333" s="4">
        <v>1</v>
      </c>
      <c r="AI1333" s="4">
        <v>95</v>
      </c>
      <c r="AJ1333" s="4">
        <v>0</v>
      </c>
      <c r="AK1333" s="4">
        <v>16</v>
      </c>
      <c r="AL1333" s="4">
        <v>2</v>
      </c>
      <c r="AM1333" s="4">
        <v>52</v>
      </c>
      <c r="AN1333" s="4">
        <v>0</v>
      </c>
      <c r="AO1333" s="4">
        <v>0</v>
      </c>
      <c r="AP1333" s="4">
        <v>1</v>
      </c>
      <c r="AQ1333" s="4">
        <v>24</v>
      </c>
      <c r="AR1333" s="3" t="s">
        <v>64</v>
      </c>
      <c r="AS1333" s="3" t="s">
        <v>64</v>
      </c>
      <c r="AT1333" s="3" t="s">
        <v>73</v>
      </c>
      <c r="AU1333" s="6" t="str">
        <f>HYPERLINK("http://catalog.hathitrust.org/Record/002479965","HathiTrust Record")</f>
        <v>HathiTrust Record</v>
      </c>
      <c r="AV1333" s="6" t="str">
        <f>HYPERLINK("http://mcgill.on.worldcat.org/oclc/59976208","Catalog Record")</f>
        <v>Catalog Record</v>
      </c>
      <c r="AW1333" s="6" t="str">
        <f>HYPERLINK("http://www.worldcat.org/oclc/59976208","WorldCat Record")</f>
        <v>WorldCat Record</v>
      </c>
      <c r="AX1333" s="3" t="s">
        <v>13783</v>
      </c>
      <c r="AY1333" s="3" t="s">
        <v>13784</v>
      </c>
      <c r="AZ1333" s="3" t="s">
        <v>13785</v>
      </c>
      <c r="BA1333" s="3" t="s">
        <v>13785</v>
      </c>
      <c r="BB1333" s="3" t="s">
        <v>13786</v>
      </c>
      <c r="BC1333" s="3" t="s">
        <v>78</v>
      </c>
      <c r="BD1333" s="3" t="s">
        <v>79</v>
      </c>
      <c r="BE1333" s="3" t="s">
        <v>13787</v>
      </c>
      <c r="BF1333" s="3" t="s">
        <v>13786</v>
      </c>
      <c r="BG1333" s="3" t="s">
        <v>13788</v>
      </c>
    </row>
    <row r="1334" spans="1:59" ht="58" x14ac:dyDescent="0.35">
      <c r="A1334" s="2" t="s">
        <v>59</v>
      </c>
      <c r="B1334" s="2" t="s">
        <v>94</v>
      </c>
      <c r="C1334" s="2" t="s">
        <v>13789</v>
      </c>
      <c r="D1334" s="2" t="s">
        <v>13790</v>
      </c>
      <c r="E1334" s="2" t="s">
        <v>13791</v>
      </c>
      <c r="G1334" s="3" t="s">
        <v>64</v>
      </c>
      <c r="I1334" s="3" t="s">
        <v>73</v>
      </c>
      <c r="J1334" s="3" t="s">
        <v>64</v>
      </c>
      <c r="K1334" s="3" t="s">
        <v>65</v>
      </c>
      <c r="L1334" s="2" t="s">
        <v>13792</v>
      </c>
      <c r="M1334" s="2" t="s">
        <v>13793</v>
      </c>
      <c r="N1334" s="3" t="s">
        <v>689</v>
      </c>
      <c r="P1334" s="3" t="s">
        <v>69</v>
      </c>
      <c r="Q1334" s="2" t="s">
        <v>13794</v>
      </c>
      <c r="R1334" s="3" t="s">
        <v>9228</v>
      </c>
      <c r="S1334" s="4">
        <v>54</v>
      </c>
      <c r="T1334" s="4">
        <v>176</v>
      </c>
      <c r="U1334" s="5" t="s">
        <v>13795</v>
      </c>
      <c r="V1334" s="5" t="s">
        <v>13795</v>
      </c>
      <c r="W1334" s="5" t="s">
        <v>72</v>
      </c>
      <c r="X1334" s="5" t="s">
        <v>72</v>
      </c>
      <c r="Y1334" s="4">
        <v>373</v>
      </c>
      <c r="Z1334" s="4">
        <v>22</v>
      </c>
      <c r="AA1334" s="4">
        <v>24</v>
      </c>
      <c r="AB1334" s="4">
        <v>2</v>
      </c>
      <c r="AC1334" s="4">
        <v>4</v>
      </c>
      <c r="AD1334" s="4">
        <v>104</v>
      </c>
      <c r="AE1334" s="4">
        <v>106</v>
      </c>
      <c r="AF1334" s="4">
        <v>1</v>
      </c>
      <c r="AG1334" s="4">
        <v>3</v>
      </c>
      <c r="AH1334" s="4">
        <v>90</v>
      </c>
      <c r="AI1334" s="4">
        <v>91</v>
      </c>
      <c r="AJ1334" s="4">
        <v>14</v>
      </c>
      <c r="AK1334" s="4">
        <v>16</v>
      </c>
      <c r="AL1334" s="4">
        <v>50</v>
      </c>
      <c r="AM1334" s="4">
        <v>50</v>
      </c>
      <c r="AN1334" s="4">
        <v>0</v>
      </c>
      <c r="AO1334" s="4">
        <v>0</v>
      </c>
      <c r="AP1334" s="4">
        <v>18</v>
      </c>
      <c r="AQ1334" s="4">
        <v>20</v>
      </c>
      <c r="AR1334" s="3" t="s">
        <v>64</v>
      </c>
      <c r="AS1334" s="3" t="s">
        <v>64</v>
      </c>
      <c r="AT1334" s="3" t="s">
        <v>73</v>
      </c>
      <c r="AU1334" s="6" t="str">
        <f>HYPERLINK("http://catalog.hathitrust.org/Record/002477008","HathiTrust Record")</f>
        <v>HathiTrust Record</v>
      </c>
      <c r="AV1334" s="6" t="str">
        <f>HYPERLINK("http://mcgill.on.worldcat.org/oclc/22313436","Catalog Record")</f>
        <v>Catalog Record</v>
      </c>
      <c r="AW1334" s="6" t="str">
        <f>HYPERLINK("http://www.worldcat.org/oclc/22313436","WorldCat Record")</f>
        <v>WorldCat Record</v>
      </c>
      <c r="AX1334" s="3" t="s">
        <v>13796</v>
      </c>
      <c r="AY1334" s="3" t="s">
        <v>13797</v>
      </c>
      <c r="AZ1334" s="3" t="s">
        <v>13798</v>
      </c>
      <c r="BA1334" s="3" t="s">
        <v>13798</v>
      </c>
      <c r="BB1334" s="3" t="s">
        <v>13799</v>
      </c>
      <c r="BC1334" s="3" t="s">
        <v>78</v>
      </c>
      <c r="BD1334" s="3" t="s">
        <v>79</v>
      </c>
      <c r="BE1334" s="3" t="s">
        <v>13800</v>
      </c>
      <c r="BF1334" s="3" t="s">
        <v>13799</v>
      </c>
      <c r="BG1334" s="3" t="s">
        <v>13801</v>
      </c>
    </row>
    <row r="1335" spans="1:59" ht="58" x14ac:dyDescent="0.35">
      <c r="A1335" s="2" t="s">
        <v>59</v>
      </c>
      <c r="B1335" s="2" t="s">
        <v>94</v>
      </c>
      <c r="C1335" s="2" t="s">
        <v>13789</v>
      </c>
      <c r="D1335" s="2" t="s">
        <v>13790</v>
      </c>
      <c r="E1335" s="2" t="s">
        <v>13791</v>
      </c>
      <c r="G1335" s="3" t="s">
        <v>64</v>
      </c>
      <c r="I1335" s="3" t="s">
        <v>73</v>
      </c>
      <c r="J1335" s="3" t="s">
        <v>64</v>
      </c>
      <c r="K1335" s="3" t="s">
        <v>65</v>
      </c>
      <c r="L1335" s="2" t="s">
        <v>13792</v>
      </c>
      <c r="M1335" s="2" t="s">
        <v>13793</v>
      </c>
      <c r="N1335" s="3" t="s">
        <v>689</v>
      </c>
      <c r="P1335" s="3" t="s">
        <v>69</v>
      </c>
      <c r="Q1335" s="2" t="s">
        <v>13794</v>
      </c>
      <c r="R1335" s="3" t="s">
        <v>9228</v>
      </c>
      <c r="S1335" s="4">
        <v>122</v>
      </c>
      <c r="T1335" s="4">
        <v>176</v>
      </c>
      <c r="U1335" s="5" t="s">
        <v>13802</v>
      </c>
      <c r="V1335" s="5" t="s">
        <v>13795</v>
      </c>
      <c r="W1335" s="5" t="s">
        <v>72</v>
      </c>
      <c r="X1335" s="5" t="s">
        <v>72</v>
      </c>
      <c r="Y1335" s="4">
        <v>373</v>
      </c>
      <c r="Z1335" s="4">
        <v>22</v>
      </c>
      <c r="AA1335" s="4">
        <v>24</v>
      </c>
      <c r="AB1335" s="4">
        <v>2</v>
      </c>
      <c r="AC1335" s="4">
        <v>4</v>
      </c>
      <c r="AD1335" s="4">
        <v>104</v>
      </c>
      <c r="AE1335" s="4">
        <v>106</v>
      </c>
      <c r="AF1335" s="4">
        <v>1</v>
      </c>
      <c r="AG1335" s="4">
        <v>3</v>
      </c>
      <c r="AH1335" s="4">
        <v>90</v>
      </c>
      <c r="AI1335" s="4">
        <v>91</v>
      </c>
      <c r="AJ1335" s="4">
        <v>14</v>
      </c>
      <c r="AK1335" s="4">
        <v>16</v>
      </c>
      <c r="AL1335" s="4">
        <v>50</v>
      </c>
      <c r="AM1335" s="4">
        <v>50</v>
      </c>
      <c r="AN1335" s="4">
        <v>0</v>
      </c>
      <c r="AO1335" s="4">
        <v>0</v>
      </c>
      <c r="AP1335" s="4">
        <v>18</v>
      </c>
      <c r="AQ1335" s="4">
        <v>20</v>
      </c>
      <c r="AR1335" s="3" t="s">
        <v>64</v>
      </c>
      <c r="AS1335" s="3" t="s">
        <v>64</v>
      </c>
      <c r="AT1335" s="3" t="s">
        <v>73</v>
      </c>
      <c r="AU1335" s="6" t="str">
        <f>HYPERLINK("http://catalog.hathitrust.org/Record/002477008","HathiTrust Record")</f>
        <v>HathiTrust Record</v>
      </c>
      <c r="AV1335" s="6" t="str">
        <f>HYPERLINK("http://mcgill.on.worldcat.org/oclc/22313436","Catalog Record")</f>
        <v>Catalog Record</v>
      </c>
      <c r="AW1335" s="6" t="str">
        <f>HYPERLINK("http://www.worldcat.org/oclc/22313436","WorldCat Record")</f>
        <v>WorldCat Record</v>
      </c>
      <c r="AX1335" s="3" t="s">
        <v>13796</v>
      </c>
      <c r="AY1335" s="3" t="s">
        <v>13797</v>
      </c>
      <c r="AZ1335" s="3" t="s">
        <v>13798</v>
      </c>
      <c r="BA1335" s="3" t="s">
        <v>13798</v>
      </c>
      <c r="BB1335" s="3" t="s">
        <v>13803</v>
      </c>
      <c r="BC1335" s="3" t="s">
        <v>78</v>
      </c>
      <c r="BD1335" s="3" t="s">
        <v>79</v>
      </c>
      <c r="BE1335" s="3" t="s">
        <v>13800</v>
      </c>
      <c r="BF1335" s="3" t="s">
        <v>13803</v>
      </c>
      <c r="BG1335" s="3" t="s">
        <v>13804</v>
      </c>
    </row>
    <row r="1336" spans="1:59" ht="72.5" x14ac:dyDescent="0.35">
      <c r="A1336" s="2" t="s">
        <v>59</v>
      </c>
      <c r="B1336" s="2" t="s">
        <v>94</v>
      </c>
      <c r="C1336" s="2" t="s">
        <v>13805</v>
      </c>
      <c r="D1336" s="2" t="s">
        <v>13806</v>
      </c>
      <c r="E1336" s="2" t="s">
        <v>13807</v>
      </c>
      <c r="G1336" s="3" t="s">
        <v>64</v>
      </c>
      <c r="I1336" s="3" t="s">
        <v>64</v>
      </c>
      <c r="J1336" s="3" t="s">
        <v>64</v>
      </c>
      <c r="K1336" s="3" t="s">
        <v>65</v>
      </c>
      <c r="L1336" s="2" t="s">
        <v>13792</v>
      </c>
      <c r="M1336" s="2" t="s">
        <v>13808</v>
      </c>
      <c r="N1336" s="3" t="s">
        <v>1029</v>
      </c>
      <c r="P1336" s="3" t="s">
        <v>162</v>
      </c>
      <c r="Q1336" s="2" t="s">
        <v>13809</v>
      </c>
      <c r="R1336" s="3" t="s">
        <v>9228</v>
      </c>
      <c r="S1336" s="4">
        <v>3</v>
      </c>
      <c r="T1336" s="4">
        <v>3</v>
      </c>
      <c r="U1336" s="5" t="s">
        <v>13795</v>
      </c>
      <c r="V1336" s="5" t="s">
        <v>13795</v>
      </c>
      <c r="W1336" s="5" t="s">
        <v>72</v>
      </c>
      <c r="X1336" s="5" t="s">
        <v>72</v>
      </c>
      <c r="Y1336" s="4">
        <v>15</v>
      </c>
      <c r="Z1336" s="4">
        <v>4</v>
      </c>
      <c r="AA1336" s="4">
        <v>9</v>
      </c>
      <c r="AB1336" s="4">
        <v>2</v>
      </c>
      <c r="AC1336" s="4">
        <v>7</v>
      </c>
      <c r="AD1336" s="4">
        <v>8</v>
      </c>
      <c r="AE1336" s="4">
        <v>12</v>
      </c>
      <c r="AF1336" s="4">
        <v>0</v>
      </c>
      <c r="AG1336" s="4">
        <v>4</v>
      </c>
      <c r="AH1336" s="4">
        <v>8</v>
      </c>
      <c r="AI1336" s="4">
        <v>8</v>
      </c>
      <c r="AJ1336" s="4">
        <v>1</v>
      </c>
      <c r="AK1336" s="4">
        <v>4</v>
      </c>
      <c r="AL1336" s="4">
        <v>8</v>
      </c>
      <c r="AM1336" s="4">
        <v>8</v>
      </c>
      <c r="AN1336" s="4">
        <v>0</v>
      </c>
      <c r="AO1336" s="4">
        <v>0</v>
      </c>
      <c r="AP1336" s="4">
        <v>1</v>
      </c>
      <c r="AQ1336" s="4">
        <v>4</v>
      </c>
      <c r="AR1336" s="3" t="s">
        <v>64</v>
      </c>
      <c r="AS1336" s="3" t="s">
        <v>64</v>
      </c>
      <c r="AT1336" s="3" t="s">
        <v>64</v>
      </c>
      <c r="AV1336" s="6" t="str">
        <f>HYPERLINK("http://mcgill.on.worldcat.org/oclc/492092247","Catalog Record")</f>
        <v>Catalog Record</v>
      </c>
      <c r="AW1336" s="6" t="str">
        <f>HYPERLINK("http://www.worldcat.org/oclc/492092247","WorldCat Record")</f>
        <v>WorldCat Record</v>
      </c>
      <c r="AX1336" s="3" t="s">
        <v>13810</v>
      </c>
      <c r="AY1336" s="3" t="s">
        <v>13811</v>
      </c>
      <c r="AZ1336" s="3" t="s">
        <v>13812</v>
      </c>
      <c r="BA1336" s="3" t="s">
        <v>13812</v>
      </c>
      <c r="BB1336" s="3" t="s">
        <v>13813</v>
      </c>
      <c r="BC1336" s="3" t="s">
        <v>78</v>
      </c>
      <c r="BD1336" s="3" t="s">
        <v>79</v>
      </c>
      <c r="BE1336" s="3" t="s">
        <v>13814</v>
      </c>
      <c r="BF1336" s="3" t="s">
        <v>13813</v>
      </c>
      <c r="BG1336" s="3" t="s">
        <v>13815</v>
      </c>
    </row>
    <row r="1337" spans="1:59" ht="58" x14ac:dyDescent="0.35">
      <c r="A1337" s="2" t="s">
        <v>59</v>
      </c>
      <c r="B1337" s="2" t="s">
        <v>94</v>
      </c>
      <c r="C1337" s="2" t="s">
        <v>13816</v>
      </c>
      <c r="D1337" s="2" t="s">
        <v>13817</v>
      </c>
      <c r="E1337" s="2" t="s">
        <v>13818</v>
      </c>
      <c r="G1337" s="3" t="s">
        <v>64</v>
      </c>
      <c r="I1337" s="3" t="s">
        <v>64</v>
      </c>
      <c r="J1337" s="3" t="s">
        <v>64</v>
      </c>
      <c r="K1337" s="3" t="s">
        <v>65</v>
      </c>
      <c r="L1337" s="2" t="s">
        <v>13819</v>
      </c>
      <c r="M1337" s="2" t="s">
        <v>13820</v>
      </c>
      <c r="N1337" s="3" t="s">
        <v>1530</v>
      </c>
      <c r="P1337" s="3" t="s">
        <v>162</v>
      </c>
      <c r="Q1337" s="2" t="s">
        <v>13821</v>
      </c>
      <c r="R1337" s="3" t="s">
        <v>9228</v>
      </c>
      <c r="S1337" s="4">
        <v>4</v>
      </c>
      <c r="T1337" s="4">
        <v>4</v>
      </c>
      <c r="U1337" s="5" t="s">
        <v>11620</v>
      </c>
      <c r="V1337" s="5" t="s">
        <v>11620</v>
      </c>
      <c r="W1337" s="5" t="s">
        <v>72</v>
      </c>
      <c r="X1337" s="5" t="s">
        <v>72</v>
      </c>
      <c r="Y1337" s="4">
        <v>12</v>
      </c>
      <c r="Z1337" s="4">
        <v>1</v>
      </c>
      <c r="AA1337" s="4">
        <v>1</v>
      </c>
      <c r="AB1337" s="4">
        <v>1</v>
      </c>
      <c r="AC1337" s="4">
        <v>1</v>
      </c>
      <c r="AD1337" s="4">
        <v>8</v>
      </c>
      <c r="AE1337" s="4">
        <v>8</v>
      </c>
      <c r="AF1337" s="4">
        <v>0</v>
      </c>
      <c r="AG1337" s="4">
        <v>0</v>
      </c>
      <c r="AH1337" s="4">
        <v>7</v>
      </c>
      <c r="AI1337" s="4">
        <v>7</v>
      </c>
      <c r="AJ1337" s="4">
        <v>0</v>
      </c>
      <c r="AK1337" s="4">
        <v>0</v>
      </c>
      <c r="AL1337" s="4">
        <v>8</v>
      </c>
      <c r="AM1337" s="4">
        <v>8</v>
      </c>
      <c r="AN1337" s="4">
        <v>0</v>
      </c>
      <c r="AO1337" s="4">
        <v>0</v>
      </c>
      <c r="AP1337" s="4">
        <v>0</v>
      </c>
      <c r="AQ1337" s="4">
        <v>0</v>
      </c>
      <c r="AR1337" s="3" t="s">
        <v>64</v>
      </c>
      <c r="AS1337" s="3" t="s">
        <v>64</v>
      </c>
      <c r="AT1337" s="3" t="s">
        <v>73</v>
      </c>
      <c r="AU1337" s="6" t="str">
        <f>HYPERLINK("http://catalog.hathitrust.org/Record/004981193","HathiTrust Record")</f>
        <v>HathiTrust Record</v>
      </c>
      <c r="AV1337" s="6" t="str">
        <f>HYPERLINK("http://mcgill.on.worldcat.org/oclc/52772452","Catalog Record")</f>
        <v>Catalog Record</v>
      </c>
      <c r="AW1337" s="6" t="str">
        <f>HYPERLINK("http://www.worldcat.org/oclc/52772452","WorldCat Record")</f>
        <v>WorldCat Record</v>
      </c>
      <c r="AX1337" s="3" t="s">
        <v>13822</v>
      </c>
      <c r="AY1337" s="3" t="s">
        <v>13823</v>
      </c>
      <c r="AZ1337" s="3" t="s">
        <v>13824</v>
      </c>
      <c r="BA1337" s="3" t="s">
        <v>13824</v>
      </c>
      <c r="BB1337" s="3" t="s">
        <v>13825</v>
      </c>
      <c r="BC1337" s="3" t="s">
        <v>78</v>
      </c>
      <c r="BD1337" s="3" t="s">
        <v>79</v>
      </c>
      <c r="BF1337" s="3" t="s">
        <v>13825</v>
      </c>
      <c r="BG1337" s="3" t="s">
        <v>13826</v>
      </c>
    </row>
    <row r="1338" spans="1:59" ht="58" x14ac:dyDescent="0.35">
      <c r="A1338" s="2" t="s">
        <v>59</v>
      </c>
      <c r="B1338" s="2" t="s">
        <v>94</v>
      </c>
      <c r="C1338" s="2" t="s">
        <v>13827</v>
      </c>
      <c r="D1338" s="2" t="s">
        <v>13828</v>
      </c>
      <c r="E1338" s="2" t="s">
        <v>13829</v>
      </c>
      <c r="G1338" s="3" t="s">
        <v>64</v>
      </c>
      <c r="I1338" s="3" t="s">
        <v>64</v>
      </c>
      <c r="J1338" s="3" t="s">
        <v>64</v>
      </c>
      <c r="K1338" s="3" t="s">
        <v>65</v>
      </c>
      <c r="L1338" s="2" t="s">
        <v>13830</v>
      </c>
      <c r="M1338" s="2" t="s">
        <v>13831</v>
      </c>
      <c r="P1338" s="3" t="s">
        <v>162</v>
      </c>
      <c r="Q1338" s="2" t="s">
        <v>13832</v>
      </c>
      <c r="R1338" s="3" t="s">
        <v>9228</v>
      </c>
      <c r="S1338" s="4">
        <v>3</v>
      </c>
      <c r="T1338" s="4">
        <v>3</v>
      </c>
      <c r="U1338" s="5" t="s">
        <v>13795</v>
      </c>
      <c r="V1338" s="5" t="s">
        <v>13795</v>
      </c>
      <c r="W1338" s="5" t="s">
        <v>72</v>
      </c>
      <c r="X1338" s="5" t="s">
        <v>72</v>
      </c>
      <c r="Y1338" s="4">
        <v>3</v>
      </c>
      <c r="Z1338" s="4">
        <v>1</v>
      </c>
      <c r="AA1338" s="4">
        <v>1</v>
      </c>
      <c r="AB1338" s="4">
        <v>1</v>
      </c>
      <c r="AC1338" s="4">
        <v>1</v>
      </c>
      <c r="AD1338" s="4">
        <v>2</v>
      </c>
      <c r="AE1338" s="4">
        <v>2</v>
      </c>
      <c r="AF1338" s="4">
        <v>0</v>
      </c>
      <c r="AG1338" s="4">
        <v>0</v>
      </c>
      <c r="AH1338" s="4">
        <v>2</v>
      </c>
      <c r="AI1338" s="4">
        <v>2</v>
      </c>
      <c r="AJ1338" s="4">
        <v>0</v>
      </c>
      <c r="AK1338" s="4">
        <v>0</v>
      </c>
      <c r="AL1338" s="4">
        <v>0</v>
      </c>
      <c r="AM1338" s="4">
        <v>0</v>
      </c>
      <c r="AN1338" s="4">
        <v>0</v>
      </c>
      <c r="AO1338" s="4">
        <v>0</v>
      </c>
      <c r="AP1338" s="4">
        <v>0</v>
      </c>
      <c r="AQ1338" s="4">
        <v>0</v>
      </c>
      <c r="AR1338" s="3" t="s">
        <v>64</v>
      </c>
      <c r="AS1338" s="3" t="s">
        <v>64</v>
      </c>
      <c r="AT1338" s="3" t="s">
        <v>64</v>
      </c>
      <c r="AV1338" s="6" t="str">
        <f>HYPERLINK("http://mcgill.on.worldcat.org/oclc/17556508","Catalog Record")</f>
        <v>Catalog Record</v>
      </c>
      <c r="AW1338" s="6" t="str">
        <f>HYPERLINK("http://www.worldcat.org/oclc/17556508","WorldCat Record")</f>
        <v>WorldCat Record</v>
      </c>
      <c r="AX1338" s="3" t="s">
        <v>13833</v>
      </c>
      <c r="AY1338" s="3" t="s">
        <v>13834</v>
      </c>
      <c r="AZ1338" s="3" t="s">
        <v>13835</v>
      </c>
      <c r="BA1338" s="3" t="s">
        <v>13835</v>
      </c>
      <c r="BB1338" s="3" t="s">
        <v>13836</v>
      </c>
      <c r="BC1338" s="3" t="s">
        <v>78</v>
      </c>
      <c r="BD1338" s="3" t="s">
        <v>79</v>
      </c>
      <c r="BF1338" s="3" t="s">
        <v>13836</v>
      </c>
      <c r="BG1338" s="3" t="s">
        <v>13837</v>
      </c>
    </row>
    <row r="1339" spans="1:59" ht="58" x14ac:dyDescent="0.35">
      <c r="A1339" s="2" t="s">
        <v>59</v>
      </c>
      <c r="B1339" s="2" t="s">
        <v>94</v>
      </c>
      <c r="C1339" s="2" t="s">
        <v>13838</v>
      </c>
      <c r="D1339" s="2" t="s">
        <v>13839</v>
      </c>
      <c r="E1339" s="2" t="s">
        <v>13840</v>
      </c>
      <c r="G1339" s="3" t="s">
        <v>64</v>
      </c>
      <c r="I1339" s="3" t="s">
        <v>64</v>
      </c>
      <c r="J1339" s="3" t="s">
        <v>64</v>
      </c>
      <c r="K1339" s="3" t="s">
        <v>65</v>
      </c>
      <c r="L1339" s="2" t="s">
        <v>13841</v>
      </c>
      <c r="M1339" s="2" t="s">
        <v>13842</v>
      </c>
      <c r="N1339" s="3" t="s">
        <v>201</v>
      </c>
      <c r="P1339" s="3" t="s">
        <v>69</v>
      </c>
      <c r="R1339" s="3" t="s">
        <v>9228</v>
      </c>
      <c r="S1339" s="4">
        <v>8</v>
      </c>
      <c r="T1339" s="4">
        <v>8</v>
      </c>
      <c r="U1339" s="5" t="s">
        <v>13795</v>
      </c>
      <c r="V1339" s="5" t="s">
        <v>13795</v>
      </c>
      <c r="W1339" s="5" t="s">
        <v>72</v>
      </c>
      <c r="X1339" s="5" t="s">
        <v>72</v>
      </c>
      <c r="Y1339" s="4">
        <v>150</v>
      </c>
      <c r="Z1339" s="4">
        <v>12</v>
      </c>
      <c r="AA1339" s="4">
        <v>15</v>
      </c>
      <c r="AB1339" s="4">
        <v>1</v>
      </c>
      <c r="AC1339" s="4">
        <v>2</v>
      </c>
      <c r="AD1339" s="4">
        <v>52</v>
      </c>
      <c r="AE1339" s="4">
        <v>74</v>
      </c>
      <c r="AF1339" s="4">
        <v>0</v>
      </c>
      <c r="AG1339" s="4">
        <v>1</v>
      </c>
      <c r="AH1339" s="4">
        <v>46</v>
      </c>
      <c r="AI1339" s="4">
        <v>66</v>
      </c>
      <c r="AJ1339" s="4">
        <v>8</v>
      </c>
      <c r="AK1339" s="4">
        <v>9</v>
      </c>
      <c r="AL1339" s="4">
        <v>21</v>
      </c>
      <c r="AM1339" s="4">
        <v>37</v>
      </c>
      <c r="AN1339" s="4">
        <v>0</v>
      </c>
      <c r="AO1339" s="4">
        <v>0</v>
      </c>
      <c r="AP1339" s="4">
        <v>9</v>
      </c>
      <c r="AQ1339" s="4">
        <v>11</v>
      </c>
      <c r="AR1339" s="3" t="s">
        <v>64</v>
      </c>
      <c r="AS1339" s="3" t="s">
        <v>64</v>
      </c>
      <c r="AT1339" s="3" t="s">
        <v>73</v>
      </c>
      <c r="AU1339" s="6" t="str">
        <f>HYPERLINK("http://catalog.hathitrust.org/Record/001620648","HathiTrust Record")</f>
        <v>HathiTrust Record</v>
      </c>
      <c r="AV1339" s="6" t="str">
        <f>HYPERLINK("http://mcgill.on.worldcat.org/oclc/89162","Catalog Record")</f>
        <v>Catalog Record</v>
      </c>
      <c r="AW1339" s="6" t="str">
        <f>HYPERLINK("http://www.worldcat.org/oclc/89162","WorldCat Record")</f>
        <v>WorldCat Record</v>
      </c>
      <c r="AX1339" s="3" t="s">
        <v>13843</v>
      </c>
      <c r="AY1339" s="3" t="s">
        <v>13844</v>
      </c>
      <c r="AZ1339" s="3" t="s">
        <v>13845</v>
      </c>
      <c r="BA1339" s="3" t="s">
        <v>13845</v>
      </c>
      <c r="BB1339" s="3" t="s">
        <v>13846</v>
      </c>
      <c r="BC1339" s="3" t="s">
        <v>78</v>
      </c>
      <c r="BD1339" s="3" t="s">
        <v>79</v>
      </c>
      <c r="BE1339" s="3" t="s">
        <v>13847</v>
      </c>
      <c r="BF1339" s="3" t="s">
        <v>13846</v>
      </c>
      <c r="BG1339" s="3" t="s">
        <v>13848</v>
      </c>
    </row>
    <row r="1340" spans="1:59" ht="58" x14ac:dyDescent="0.35">
      <c r="A1340" s="2" t="s">
        <v>59</v>
      </c>
      <c r="B1340" s="2" t="s">
        <v>94</v>
      </c>
      <c r="C1340" s="2" t="s">
        <v>13849</v>
      </c>
      <c r="D1340" s="2" t="s">
        <v>13850</v>
      </c>
      <c r="E1340" s="2" t="s">
        <v>13851</v>
      </c>
      <c r="G1340" s="3" t="s">
        <v>64</v>
      </c>
      <c r="I1340" s="3" t="s">
        <v>64</v>
      </c>
      <c r="J1340" s="3" t="s">
        <v>64</v>
      </c>
      <c r="K1340" s="3" t="s">
        <v>65</v>
      </c>
      <c r="L1340" s="2" t="s">
        <v>13852</v>
      </c>
      <c r="M1340" s="2" t="s">
        <v>13853</v>
      </c>
      <c r="N1340" s="3" t="s">
        <v>872</v>
      </c>
      <c r="P1340" s="3" t="s">
        <v>2192</v>
      </c>
      <c r="Q1340" s="2" t="s">
        <v>13854</v>
      </c>
      <c r="R1340" s="3" t="s">
        <v>9228</v>
      </c>
      <c r="S1340" s="4">
        <v>3</v>
      </c>
      <c r="T1340" s="4">
        <v>3</v>
      </c>
      <c r="U1340" s="5" t="s">
        <v>809</v>
      </c>
      <c r="V1340" s="5" t="s">
        <v>809</v>
      </c>
      <c r="W1340" s="5" t="s">
        <v>72</v>
      </c>
      <c r="X1340" s="5" t="s">
        <v>72</v>
      </c>
      <c r="Y1340" s="4">
        <v>84</v>
      </c>
      <c r="Z1340" s="4">
        <v>4</v>
      </c>
      <c r="AA1340" s="4">
        <v>4</v>
      </c>
      <c r="AB1340" s="4">
        <v>1</v>
      </c>
      <c r="AC1340" s="4">
        <v>1</v>
      </c>
      <c r="AD1340" s="4">
        <v>32</v>
      </c>
      <c r="AE1340" s="4">
        <v>33</v>
      </c>
      <c r="AF1340" s="4">
        <v>0</v>
      </c>
      <c r="AG1340" s="4">
        <v>0</v>
      </c>
      <c r="AH1340" s="4">
        <v>29</v>
      </c>
      <c r="AI1340" s="4">
        <v>30</v>
      </c>
      <c r="AJ1340" s="4">
        <v>3</v>
      </c>
      <c r="AK1340" s="4">
        <v>3</v>
      </c>
      <c r="AL1340" s="4">
        <v>20</v>
      </c>
      <c r="AM1340" s="4">
        <v>20</v>
      </c>
      <c r="AN1340" s="4">
        <v>0</v>
      </c>
      <c r="AO1340" s="4">
        <v>0</v>
      </c>
      <c r="AP1340" s="4">
        <v>3</v>
      </c>
      <c r="AQ1340" s="4">
        <v>3</v>
      </c>
      <c r="AR1340" s="3" t="s">
        <v>64</v>
      </c>
      <c r="AS1340" s="3" t="s">
        <v>64</v>
      </c>
      <c r="AT1340" s="3" t="s">
        <v>73</v>
      </c>
      <c r="AU1340" s="6" t="str">
        <f>HYPERLINK("http://catalog.hathitrust.org/Record/002435284","HathiTrust Record")</f>
        <v>HathiTrust Record</v>
      </c>
      <c r="AV1340" s="6" t="str">
        <f>HYPERLINK("http://mcgill.on.worldcat.org/oclc/20955210","Catalog Record")</f>
        <v>Catalog Record</v>
      </c>
      <c r="AW1340" s="6" t="str">
        <f>HYPERLINK("http://www.worldcat.org/oclc/20955210","WorldCat Record")</f>
        <v>WorldCat Record</v>
      </c>
      <c r="AX1340" s="3" t="s">
        <v>13855</v>
      </c>
      <c r="AY1340" s="3" t="s">
        <v>13856</v>
      </c>
      <c r="AZ1340" s="3" t="s">
        <v>13857</v>
      </c>
      <c r="BA1340" s="3" t="s">
        <v>13857</v>
      </c>
      <c r="BB1340" s="3" t="s">
        <v>13858</v>
      </c>
      <c r="BC1340" s="3" t="s">
        <v>78</v>
      </c>
      <c r="BD1340" s="3" t="s">
        <v>79</v>
      </c>
      <c r="BE1340" s="3" t="s">
        <v>13859</v>
      </c>
      <c r="BF1340" s="3" t="s">
        <v>13858</v>
      </c>
      <c r="BG1340" s="3" t="s">
        <v>13860</v>
      </c>
    </row>
    <row r="1341" spans="1:59" ht="58" x14ac:dyDescent="0.35">
      <c r="A1341" s="2" t="s">
        <v>59</v>
      </c>
      <c r="B1341" s="2" t="s">
        <v>94</v>
      </c>
      <c r="C1341" s="2" t="s">
        <v>13861</v>
      </c>
      <c r="D1341" s="2" t="s">
        <v>13862</v>
      </c>
      <c r="E1341" s="2" t="s">
        <v>13863</v>
      </c>
      <c r="G1341" s="3" t="s">
        <v>64</v>
      </c>
      <c r="I1341" s="3" t="s">
        <v>64</v>
      </c>
      <c r="J1341" s="3" t="s">
        <v>64</v>
      </c>
      <c r="K1341" s="3" t="s">
        <v>65</v>
      </c>
      <c r="M1341" s="2" t="s">
        <v>13864</v>
      </c>
      <c r="N1341" s="3" t="s">
        <v>1064</v>
      </c>
      <c r="P1341" s="3" t="s">
        <v>69</v>
      </c>
      <c r="Q1341" s="2" t="s">
        <v>13865</v>
      </c>
      <c r="R1341" s="3" t="s">
        <v>9228</v>
      </c>
      <c r="S1341" s="4">
        <v>10</v>
      </c>
      <c r="T1341" s="4">
        <v>10</v>
      </c>
      <c r="U1341" s="5" t="s">
        <v>5900</v>
      </c>
      <c r="V1341" s="5" t="s">
        <v>5900</v>
      </c>
      <c r="W1341" s="5" t="s">
        <v>72</v>
      </c>
      <c r="X1341" s="5" t="s">
        <v>72</v>
      </c>
      <c r="Y1341" s="4">
        <v>329</v>
      </c>
      <c r="Z1341" s="4">
        <v>28</v>
      </c>
      <c r="AA1341" s="4">
        <v>34</v>
      </c>
      <c r="AB1341" s="4">
        <v>3</v>
      </c>
      <c r="AC1341" s="4">
        <v>6</v>
      </c>
      <c r="AD1341" s="4">
        <v>96</v>
      </c>
      <c r="AE1341" s="4">
        <v>105</v>
      </c>
      <c r="AF1341" s="4">
        <v>1</v>
      </c>
      <c r="AG1341" s="4">
        <v>3</v>
      </c>
      <c r="AH1341" s="4">
        <v>81</v>
      </c>
      <c r="AI1341" s="4">
        <v>87</v>
      </c>
      <c r="AJ1341" s="4">
        <v>12</v>
      </c>
      <c r="AK1341" s="4">
        <v>17</v>
      </c>
      <c r="AL1341" s="4">
        <v>46</v>
      </c>
      <c r="AM1341" s="4">
        <v>49</v>
      </c>
      <c r="AN1341" s="4">
        <v>0</v>
      </c>
      <c r="AO1341" s="4">
        <v>0</v>
      </c>
      <c r="AP1341" s="4">
        <v>21</v>
      </c>
      <c r="AQ1341" s="4">
        <v>25</v>
      </c>
      <c r="AR1341" s="3" t="s">
        <v>64</v>
      </c>
      <c r="AS1341" s="3" t="s">
        <v>64</v>
      </c>
      <c r="AT1341" s="3" t="s">
        <v>64</v>
      </c>
      <c r="AV1341" s="6" t="str">
        <f>HYPERLINK("http://mcgill.on.worldcat.org/oclc/39545620","Catalog Record")</f>
        <v>Catalog Record</v>
      </c>
      <c r="AW1341" s="6" t="str">
        <f>HYPERLINK("http://www.worldcat.org/oclc/39545620","WorldCat Record")</f>
        <v>WorldCat Record</v>
      </c>
      <c r="AX1341" s="3" t="s">
        <v>13866</v>
      </c>
      <c r="AY1341" s="3" t="s">
        <v>13867</v>
      </c>
      <c r="AZ1341" s="3" t="s">
        <v>13868</v>
      </c>
      <c r="BA1341" s="3" t="s">
        <v>13868</v>
      </c>
      <c r="BB1341" s="3" t="s">
        <v>13869</v>
      </c>
      <c r="BC1341" s="3" t="s">
        <v>78</v>
      </c>
      <c r="BD1341" s="3" t="s">
        <v>79</v>
      </c>
      <c r="BE1341" s="3" t="s">
        <v>13870</v>
      </c>
      <c r="BF1341" s="3" t="s">
        <v>13869</v>
      </c>
      <c r="BG1341" s="3" t="s">
        <v>13871</v>
      </c>
    </row>
    <row r="1342" spans="1:59" ht="58" x14ac:dyDescent="0.35">
      <c r="A1342" s="2" t="s">
        <v>59</v>
      </c>
      <c r="B1342" s="2" t="s">
        <v>94</v>
      </c>
      <c r="C1342" s="2" t="s">
        <v>13872</v>
      </c>
      <c r="D1342" s="2" t="s">
        <v>13873</v>
      </c>
      <c r="E1342" s="2" t="s">
        <v>13874</v>
      </c>
      <c r="G1342" s="3" t="s">
        <v>64</v>
      </c>
      <c r="I1342" s="3" t="s">
        <v>64</v>
      </c>
      <c r="J1342" s="3" t="s">
        <v>64</v>
      </c>
      <c r="K1342" s="3" t="s">
        <v>65</v>
      </c>
      <c r="L1342" s="2" t="s">
        <v>13875</v>
      </c>
      <c r="M1342" s="2" t="s">
        <v>13876</v>
      </c>
      <c r="N1342" s="3" t="s">
        <v>499</v>
      </c>
      <c r="O1342" s="2" t="s">
        <v>13877</v>
      </c>
      <c r="P1342" s="3" t="s">
        <v>2192</v>
      </c>
      <c r="Q1342" s="2" t="s">
        <v>13878</v>
      </c>
      <c r="R1342" s="3" t="s">
        <v>9228</v>
      </c>
      <c r="S1342" s="4">
        <v>4</v>
      </c>
      <c r="T1342" s="4">
        <v>4</v>
      </c>
      <c r="U1342" s="5" t="s">
        <v>13879</v>
      </c>
      <c r="V1342" s="5" t="s">
        <v>13879</v>
      </c>
      <c r="W1342" s="5" t="s">
        <v>72</v>
      </c>
      <c r="X1342" s="5" t="s">
        <v>72</v>
      </c>
      <c r="Y1342" s="4">
        <v>34</v>
      </c>
      <c r="Z1342" s="4">
        <v>1</v>
      </c>
      <c r="AA1342" s="4">
        <v>2</v>
      </c>
      <c r="AB1342" s="4">
        <v>1</v>
      </c>
      <c r="AC1342" s="4">
        <v>2</v>
      </c>
      <c r="AD1342" s="4">
        <v>16</v>
      </c>
      <c r="AE1342" s="4">
        <v>17</v>
      </c>
      <c r="AF1342" s="4">
        <v>0</v>
      </c>
      <c r="AG1342" s="4">
        <v>1</v>
      </c>
      <c r="AH1342" s="4">
        <v>15</v>
      </c>
      <c r="AI1342" s="4">
        <v>15</v>
      </c>
      <c r="AJ1342" s="4">
        <v>0</v>
      </c>
      <c r="AK1342" s="4">
        <v>1</v>
      </c>
      <c r="AL1342" s="4">
        <v>14</v>
      </c>
      <c r="AM1342" s="4">
        <v>14</v>
      </c>
      <c r="AN1342" s="4">
        <v>0</v>
      </c>
      <c r="AO1342" s="4">
        <v>0</v>
      </c>
      <c r="AP1342" s="4">
        <v>0</v>
      </c>
      <c r="AQ1342" s="4">
        <v>0</v>
      </c>
      <c r="AR1342" s="3" t="s">
        <v>64</v>
      </c>
      <c r="AS1342" s="3" t="s">
        <v>64</v>
      </c>
      <c r="AT1342" s="3" t="s">
        <v>64</v>
      </c>
      <c r="AV1342" s="6" t="str">
        <f>HYPERLINK("http://mcgill.on.worldcat.org/oclc/58549267","Catalog Record")</f>
        <v>Catalog Record</v>
      </c>
      <c r="AW1342" s="6" t="str">
        <f>HYPERLINK("http://www.worldcat.org/oclc/58549267","WorldCat Record")</f>
        <v>WorldCat Record</v>
      </c>
      <c r="AX1342" s="3" t="s">
        <v>13880</v>
      </c>
      <c r="AY1342" s="3" t="s">
        <v>13881</v>
      </c>
      <c r="AZ1342" s="3" t="s">
        <v>13882</v>
      </c>
      <c r="BA1342" s="3" t="s">
        <v>13882</v>
      </c>
      <c r="BB1342" s="3" t="s">
        <v>13883</v>
      </c>
      <c r="BC1342" s="3" t="s">
        <v>78</v>
      </c>
      <c r="BD1342" s="3" t="s">
        <v>79</v>
      </c>
      <c r="BE1342" s="3" t="s">
        <v>13884</v>
      </c>
      <c r="BF1342" s="3" t="s">
        <v>13883</v>
      </c>
      <c r="BG1342" s="3" t="s">
        <v>13885</v>
      </c>
    </row>
    <row r="1343" spans="1:59" ht="58" x14ac:dyDescent="0.35">
      <c r="A1343" s="2" t="s">
        <v>59</v>
      </c>
      <c r="B1343" s="2" t="s">
        <v>94</v>
      </c>
      <c r="C1343" s="2" t="s">
        <v>13886</v>
      </c>
      <c r="D1343" s="2" t="s">
        <v>13887</v>
      </c>
      <c r="E1343" s="2" t="s">
        <v>13888</v>
      </c>
      <c r="G1343" s="3" t="s">
        <v>64</v>
      </c>
      <c r="I1343" s="3" t="s">
        <v>64</v>
      </c>
      <c r="J1343" s="3" t="s">
        <v>64</v>
      </c>
      <c r="K1343" s="3" t="s">
        <v>65</v>
      </c>
      <c r="L1343" s="2" t="s">
        <v>13889</v>
      </c>
      <c r="M1343" s="2" t="s">
        <v>13890</v>
      </c>
      <c r="N1343" s="3" t="s">
        <v>651</v>
      </c>
      <c r="P1343" s="3" t="s">
        <v>69</v>
      </c>
      <c r="R1343" s="3" t="s">
        <v>9228</v>
      </c>
      <c r="S1343" s="4">
        <v>15</v>
      </c>
      <c r="T1343" s="4">
        <v>15</v>
      </c>
      <c r="U1343" s="5" t="s">
        <v>13891</v>
      </c>
      <c r="V1343" s="5" t="s">
        <v>13891</v>
      </c>
      <c r="W1343" s="5" t="s">
        <v>72</v>
      </c>
      <c r="X1343" s="5" t="s">
        <v>72</v>
      </c>
      <c r="Y1343" s="4">
        <v>10</v>
      </c>
      <c r="Z1343" s="4">
        <v>1</v>
      </c>
      <c r="AA1343" s="4">
        <v>19</v>
      </c>
      <c r="AB1343" s="4">
        <v>1</v>
      </c>
      <c r="AC1343" s="4">
        <v>2</v>
      </c>
      <c r="AD1343" s="4">
        <v>0</v>
      </c>
      <c r="AE1343" s="4">
        <v>100</v>
      </c>
      <c r="AF1343" s="4">
        <v>0</v>
      </c>
      <c r="AG1343" s="4">
        <v>1</v>
      </c>
      <c r="AH1343" s="4">
        <v>0</v>
      </c>
      <c r="AI1343" s="4">
        <v>91</v>
      </c>
      <c r="AJ1343" s="4">
        <v>0</v>
      </c>
      <c r="AK1343" s="4">
        <v>13</v>
      </c>
      <c r="AL1343" s="4">
        <v>0</v>
      </c>
      <c r="AM1343" s="4">
        <v>53</v>
      </c>
      <c r="AN1343" s="4">
        <v>0</v>
      </c>
      <c r="AO1343" s="4">
        <v>0</v>
      </c>
      <c r="AP1343" s="4">
        <v>0</v>
      </c>
      <c r="AQ1343" s="4">
        <v>15</v>
      </c>
      <c r="AR1343" s="3" t="s">
        <v>64</v>
      </c>
      <c r="AS1343" s="3" t="s">
        <v>64</v>
      </c>
      <c r="AT1343" s="3" t="s">
        <v>64</v>
      </c>
      <c r="AV1343" s="6" t="str">
        <f>HYPERLINK("http://mcgill.on.worldcat.org/oclc/52196197","Catalog Record")</f>
        <v>Catalog Record</v>
      </c>
      <c r="AW1343" s="6" t="str">
        <f>HYPERLINK("http://www.worldcat.org/oclc/52196197","WorldCat Record")</f>
        <v>WorldCat Record</v>
      </c>
      <c r="AX1343" s="3" t="s">
        <v>13892</v>
      </c>
      <c r="AY1343" s="3" t="s">
        <v>13893</v>
      </c>
      <c r="AZ1343" s="3" t="s">
        <v>13894</v>
      </c>
      <c r="BA1343" s="3" t="s">
        <v>13894</v>
      </c>
      <c r="BB1343" s="3" t="s">
        <v>13895</v>
      </c>
      <c r="BC1343" s="3" t="s">
        <v>78</v>
      </c>
      <c r="BD1343" s="3" t="s">
        <v>79</v>
      </c>
      <c r="BE1343" s="3" t="s">
        <v>13896</v>
      </c>
      <c r="BF1343" s="3" t="s">
        <v>13895</v>
      </c>
      <c r="BG1343" s="3" t="s">
        <v>13897</v>
      </c>
    </row>
    <row r="1344" spans="1:59" ht="58" x14ac:dyDescent="0.35">
      <c r="A1344" s="2" t="s">
        <v>59</v>
      </c>
      <c r="B1344" s="2" t="s">
        <v>94</v>
      </c>
      <c r="C1344" s="2" t="s">
        <v>13898</v>
      </c>
      <c r="D1344" s="2" t="s">
        <v>13899</v>
      </c>
      <c r="E1344" s="2" t="s">
        <v>13900</v>
      </c>
      <c r="G1344" s="3" t="s">
        <v>64</v>
      </c>
      <c r="I1344" s="3" t="s">
        <v>64</v>
      </c>
      <c r="J1344" s="3" t="s">
        <v>64</v>
      </c>
      <c r="K1344" s="3" t="s">
        <v>65</v>
      </c>
      <c r="L1344" s="2" t="s">
        <v>13901</v>
      </c>
      <c r="M1344" s="2" t="s">
        <v>13902</v>
      </c>
      <c r="N1344" s="3" t="s">
        <v>274</v>
      </c>
      <c r="P1344" s="3" t="s">
        <v>69</v>
      </c>
      <c r="R1344" s="3" t="s">
        <v>9228</v>
      </c>
      <c r="S1344" s="4">
        <v>8</v>
      </c>
      <c r="T1344" s="4">
        <v>8</v>
      </c>
      <c r="U1344" s="5" t="s">
        <v>13903</v>
      </c>
      <c r="V1344" s="5" t="s">
        <v>13903</v>
      </c>
      <c r="W1344" s="5" t="s">
        <v>72</v>
      </c>
      <c r="X1344" s="5" t="s">
        <v>72</v>
      </c>
      <c r="Y1344" s="4">
        <v>297</v>
      </c>
      <c r="Z1344" s="4">
        <v>19</v>
      </c>
      <c r="AA1344" s="4">
        <v>19</v>
      </c>
      <c r="AB1344" s="4">
        <v>2</v>
      </c>
      <c r="AC1344" s="4">
        <v>2</v>
      </c>
      <c r="AD1344" s="4">
        <v>98</v>
      </c>
      <c r="AE1344" s="4">
        <v>99</v>
      </c>
      <c r="AF1344" s="4">
        <v>0</v>
      </c>
      <c r="AG1344" s="4">
        <v>0</v>
      </c>
      <c r="AH1344" s="4">
        <v>90</v>
      </c>
      <c r="AI1344" s="4">
        <v>91</v>
      </c>
      <c r="AJ1344" s="4">
        <v>15</v>
      </c>
      <c r="AK1344" s="4">
        <v>15</v>
      </c>
      <c r="AL1344" s="4">
        <v>49</v>
      </c>
      <c r="AM1344" s="4">
        <v>49</v>
      </c>
      <c r="AN1344" s="4">
        <v>0</v>
      </c>
      <c r="AO1344" s="4">
        <v>0</v>
      </c>
      <c r="AP1344" s="4">
        <v>15</v>
      </c>
      <c r="AQ1344" s="4">
        <v>15</v>
      </c>
      <c r="AR1344" s="3" t="s">
        <v>64</v>
      </c>
      <c r="AS1344" s="3" t="s">
        <v>64</v>
      </c>
      <c r="AT1344" s="3" t="s">
        <v>64</v>
      </c>
      <c r="AV1344" s="6" t="str">
        <f>HYPERLINK("http://mcgill.on.worldcat.org/oclc/17106238","Catalog Record")</f>
        <v>Catalog Record</v>
      </c>
      <c r="AW1344" s="6" t="str">
        <f>HYPERLINK("http://www.worldcat.org/oclc/17106238","WorldCat Record")</f>
        <v>WorldCat Record</v>
      </c>
      <c r="AX1344" s="3" t="s">
        <v>13904</v>
      </c>
      <c r="AY1344" s="3" t="s">
        <v>13905</v>
      </c>
      <c r="AZ1344" s="3" t="s">
        <v>13906</v>
      </c>
      <c r="BA1344" s="3" t="s">
        <v>13906</v>
      </c>
      <c r="BB1344" s="3" t="s">
        <v>13907</v>
      </c>
      <c r="BC1344" s="3" t="s">
        <v>78</v>
      </c>
      <c r="BD1344" s="3" t="s">
        <v>79</v>
      </c>
      <c r="BE1344" s="3" t="s">
        <v>13908</v>
      </c>
      <c r="BF1344" s="3" t="s">
        <v>13907</v>
      </c>
      <c r="BG1344" s="3" t="s">
        <v>13909</v>
      </c>
    </row>
    <row r="1345" spans="1:59" ht="58" x14ac:dyDescent="0.35">
      <c r="A1345" s="2" t="s">
        <v>59</v>
      </c>
      <c r="B1345" s="2" t="s">
        <v>94</v>
      </c>
      <c r="C1345" s="2" t="s">
        <v>13910</v>
      </c>
      <c r="D1345" s="2" t="s">
        <v>13911</v>
      </c>
      <c r="E1345" s="2" t="s">
        <v>13912</v>
      </c>
      <c r="G1345" s="3" t="s">
        <v>64</v>
      </c>
      <c r="I1345" s="3" t="s">
        <v>64</v>
      </c>
      <c r="J1345" s="3" t="s">
        <v>64</v>
      </c>
      <c r="K1345" s="3" t="s">
        <v>65</v>
      </c>
      <c r="L1345" s="2" t="s">
        <v>6139</v>
      </c>
      <c r="M1345" s="2" t="s">
        <v>13913</v>
      </c>
      <c r="N1345" s="3" t="s">
        <v>315</v>
      </c>
      <c r="P1345" s="3" t="s">
        <v>69</v>
      </c>
      <c r="Q1345" s="2" t="s">
        <v>13914</v>
      </c>
      <c r="R1345" s="3" t="s">
        <v>9228</v>
      </c>
      <c r="S1345" s="4">
        <v>17</v>
      </c>
      <c r="T1345" s="4">
        <v>17</v>
      </c>
      <c r="U1345" s="5" t="s">
        <v>13915</v>
      </c>
      <c r="V1345" s="5" t="s">
        <v>13915</v>
      </c>
      <c r="W1345" s="5" t="s">
        <v>72</v>
      </c>
      <c r="X1345" s="5" t="s">
        <v>72</v>
      </c>
      <c r="Y1345" s="4">
        <v>337</v>
      </c>
      <c r="Z1345" s="4">
        <v>20</v>
      </c>
      <c r="AA1345" s="4">
        <v>20</v>
      </c>
      <c r="AB1345" s="4">
        <v>2</v>
      </c>
      <c r="AC1345" s="4">
        <v>2</v>
      </c>
      <c r="AD1345" s="4">
        <v>97</v>
      </c>
      <c r="AE1345" s="4">
        <v>97</v>
      </c>
      <c r="AF1345" s="4">
        <v>0</v>
      </c>
      <c r="AG1345" s="4">
        <v>0</v>
      </c>
      <c r="AH1345" s="4">
        <v>85</v>
      </c>
      <c r="AI1345" s="4">
        <v>85</v>
      </c>
      <c r="AJ1345" s="4">
        <v>11</v>
      </c>
      <c r="AK1345" s="4">
        <v>11</v>
      </c>
      <c r="AL1345" s="4">
        <v>51</v>
      </c>
      <c r="AM1345" s="4">
        <v>51</v>
      </c>
      <c r="AN1345" s="4">
        <v>0</v>
      </c>
      <c r="AO1345" s="4">
        <v>0</v>
      </c>
      <c r="AP1345" s="4">
        <v>14</v>
      </c>
      <c r="AQ1345" s="4">
        <v>14</v>
      </c>
      <c r="AR1345" s="3" t="s">
        <v>64</v>
      </c>
      <c r="AS1345" s="3" t="s">
        <v>64</v>
      </c>
      <c r="AT1345" s="3" t="s">
        <v>73</v>
      </c>
      <c r="AU1345" s="6" t="str">
        <f>HYPERLINK("http://catalog.hathitrust.org/Record/002237693","HathiTrust Record")</f>
        <v>HathiTrust Record</v>
      </c>
      <c r="AV1345" s="6" t="str">
        <f>HYPERLINK("http://mcgill.on.worldcat.org/oclc/15108592","Catalog Record")</f>
        <v>Catalog Record</v>
      </c>
      <c r="AW1345" s="6" t="str">
        <f>HYPERLINK("http://www.worldcat.org/oclc/15108592","WorldCat Record")</f>
        <v>WorldCat Record</v>
      </c>
      <c r="AX1345" s="3" t="s">
        <v>13916</v>
      </c>
      <c r="AY1345" s="3" t="s">
        <v>13917</v>
      </c>
      <c r="AZ1345" s="3" t="s">
        <v>13918</v>
      </c>
      <c r="BA1345" s="3" t="s">
        <v>13918</v>
      </c>
      <c r="BB1345" s="3" t="s">
        <v>13919</v>
      </c>
      <c r="BC1345" s="3" t="s">
        <v>78</v>
      </c>
      <c r="BD1345" s="3" t="s">
        <v>79</v>
      </c>
      <c r="BE1345" s="3" t="s">
        <v>13920</v>
      </c>
      <c r="BF1345" s="3" t="s">
        <v>13919</v>
      </c>
      <c r="BG1345" s="3" t="s">
        <v>13921</v>
      </c>
    </row>
    <row r="1346" spans="1:59" ht="58" x14ac:dyDescent="0.35">
      <c r="A1346" s="2" t="s">
        <v>59</v>
      </c>
      <c r="B1346" s="2" t="s">
        <v>94</v>
      </c>
      <c r="C1346" s="2" t="s">
        <v>13922</v>
      </c>
      <c r="D1346" s="2" t="s">
        <v>13923</v>
      </c>
      <c r="E1346" s="2" t="s">
        <v>13924</v>
      </c>
      <c r="G1346" s="3" t="s">
        <v>64</v>
      </c>
      <c r="I1346" s="3" t="s">
        <v>64</v>
      </c>
      <c r="J1346" s="3" t="s">
        <v>64</v>
      </c>
      <c r="K1346" s="3" t="s">
        <v>65</v>
      </c>
      <c r="M1346" s="2" t="s">
        <v>13925</v>
      </c>
      <c r="N1346" s="3" t="s">
        <v>365</v>
      </c>
      <c r="P1346" s="3" t="s">
        <v>69</v>
      </c>
      <c r="R1346" s="3" t="s">
        <v>9228</v>
      </c>
      <c r="S1346" s="4">
        <v>17</v>
      </c>
      <c r="T1346" s="4">
        <v>17</v>
      </c>
      <c r="U1346" s="5" t="s">
        <v>13926</v>
      </c>
      <c r="V1346" s="5" t="s">
        <v>13926</v>
      </c>
      <c r="W1346" s="5" t="s">
        <v>72</v>
      </c>
      <c r="X1346" s="5" t="s">
        <v>72</v>
      </c>
      <c r="Y1346" s="4">
        <v>416</v>
      </c>
      <c r="Z1346" s="4">
        <v>32</v>
      </c>
      <c r="AA1346" s="4">
        <v>32</v>
      </c>
      <c r="AB1346" s="4">
        <v>2</v>
      </c>
      <c r="AC1346" s="4">
        <v>2</v>
      </c>
      <c r="AD1346" s="4">
        <v>112</v>
      </c>
      <c r="AE1346" s="4">
        <v>112</v>
      </c>
      <c r="AF1346" s="4">
        <v>1</v>
      </c>
      <c r="AG1346" s="4">
        <v>1</v>
      </c>
      <c r="AH1346" s="4">
        <v>93</v>
      </c>
      <c r="AI1346" s="4">
        <v>93</v>
      </c>
      <c r="AJ1346" s="4">
        <v>18</v>
      </c>
      <c r="AK1346" s="4">
        <v>18</v>
      </c>
      <c r="AL1346" s="4">
        <v>50</v>
      </c>
      <c r="AM1346" s="4">
        <v>50</v>
      </c>
      <c r="AN1346" s="4">
        <v>0</v>
      </c>
      <c r="AO1346" s="4">
        <v>0</v>
      </c>
      <c r="AP1346" s="4">
        <v>28</v>
      </c>
      <c r="AQ1346" s="4">
        <v>28</v>
      </c>
      <c r="AR1346" s="3" t="s">
        <v>64</v>
      </c>
      <c r="AS1346" s="3" t="s">
        <v>64</v>
      </c>
      <c r="AT1346" s="3" t="s">
        <v>73</v>
      </c>
      <c r="AU1346" s="6" t="str">
        <f>HYPERLINK("http://catalog.hathitrust.org/Record/000656151","HathiTrust Record")</f>
        <v>HathiTrust Record</v>
      </c>
      <c r="AV1346" s="6" t="str">
        <f>HYPERLINK("http://mcgill.on.worldcat.org/oclc/11815563","Catalog Record")</f>
        <v>Catalog Record</v>
      </c>
      <c r="AW1346" s="6" t="str">
        <f>HYPERLINK("http://www.worldcat.org/oclc/11815563","WorldCat Record")</f>
        <v>WorldCat Record</v>
      </c>
      <c r="AX1346" s="3" t="s">
        <v>13927</v>
      </c>
      <c r="AY1346" s="3" t="s">
        <v>13928</v>
      </c>
      <c r="AZ1346" s="3" t="s">
        <v>13929</v>
      </c>
      <c r="BA1346" s="3" t="s">
        <v>13929</v>
      </c>
      <c r="BB1346" s="3" t="s">
        <v>13930</v>
      </c>
      <c r="BC1346" s="3" t="s">
        <v>78</v>
      </c>
      <c r="BD1346" s="3" t="s">
        <v>79</v>
      </c>
      <c r="BE1346" s="3" t="s">
        <v>13931</v>
      </c>
      <c r="BF1346" s="3" t="s">
        <v>13930</v>
      </c>
      <c r="BG1346" s="3" t="s">
        <v>13932</v>
      </c>
    </row>
    <row r="1347" spans="1:59" ht="58" x14ac:dyDescent="0.35">
      <c r="A1347" s="2" t="s">
        <v>59</v>
      </c>
      <c r="B1347" s="2" t="s">
        <v>94</v>
      </c>
      <c r="C1347" s="2" t="s">
        <v>13933</v>
      </c>
      <c r="D1347" s="2" t="s">
        <v>13934</v>
      </c>
      <c r="E1347" s="2" t="s">
        <v>13935</v>
      </c>
      <c r="G1347" s="3" t="s">
        <v>64</v>
      </c>
      <c r="I1347" s="3" t="s">
        <v>64</v>
      </c>
      <c r="J1347" s="3" t="s">
        <v>64</v>
      </c>
      <c r="K1347" s="3" t="s">
        <v>65</v>
      </c>
      <c r="L1347" s="2" t="s">
        <v>13936</v>
      </c>
      <c r="M1347" s="2" t="s">
        <v>13937</v>
      </c>
      <c r="N1347" s="3" t="s">
        <v>705</v>
      </c>
      <c r="P1347" s="3" t="s">
        <v>69</v>
      </c>
      <c r="R1347" s="3" t="s">
        <v>9228</v>
      </c>
      <c r="S1347" s="4">
        <v>16</v>
      </c>
      <c r="T1347" s="4">
        <v>16</v>
      </c>
      <c r="U1347" s="5" t="s">
        <v>13938</v>
      </c>
      <c r="V1347" s="5" t="s">
        <v>13938</v>
      </c>
      <c r="W1347" s="5" t="s">
        <v>72</v>
      </c>
      <c r="X1347" s="5" t="s">
        <v>72</v>
      </c>
      <c r="Y1347" s="4">
        <v>427</v>
      </c>
      <c r="Z1347" s="4">
        <v>21</v>
      </c>
      <c r="AA1347" s="4">
        <v>26</v>
      </c>
      <c r="AB1347" s="4">
        <v>1</v>
      </c>
      <c r="AC1347" s="4">
        <v>4</v>
      </c>
      <c r="AD1347" s="4">
        <v>106</v>
      </c>
      <c r="AE1347" s="4">
        <v>115</v>
      </c>
      <c r="AF1347" s="4">
        <v>0</v>
      </c>
      <c r="AG1347" s="4">
        <v>1</v>
      </c>
      <c r="AH1347" s="4">
        <v>96</v>
      </c>
      <c r="AI1347" s="4">
        <v>104</v>
      </c>
      <c r="AJ1347" s="4">
        <v>12</v>
      </c>
      <c r="AK1347" s="4">
        <v>14</v>
      </c>
      <c r="AL1347" s="4">
        <v>58</v>
      </c>
      <c r="AM1347" s="4">
        <v>60</v>
      </c>
      <c r="AN1347" s="4">
        <v>0</v>
      </c>
      <c r="AO1347" s="4">
        <v>0</v>
      </c>
      <c r="AP1347" s="4">
        <v>15</v>
      </c>
      <c r="AQ1347" s="4">
        <v>16</v>
      </c>
      <c r="AR1347" s="3" t="s">
        <v>64</v>
      </c>
      <c r="AS1347" s="3" t="s">
        <v>64</v>
      </c>
      <c r="AT1347" s="3" t="s">
        <v>73</v>
      </c>
      <c r="AU1347" s="6" t="str">
        <f>HYPERLINK("http://catalog.hathitrust.org/Record/003020953","HathiTrust Record")</f>
        <v>HathiTrust Record</v>
      </c>
      <c r="AV1347" s="6" t="str">
        <f>HYPERLINK("http://mcgill.on.worldcat.org/oclc/31971329","Catalog Record")</f>
        <v>Catalog Record</v>
      </c>
      <c r="AW1347" s="6" t="str">
        <f>HYPERLINK("http://www.worldcat.org/oclc/31971329","WorldCat Record")</f>
        <v>WorldCat Record</v>
      </c>
      <c r="AX1347" s="3" t="s">
        <v>13939</v>
      </c>
      <c r="AY1347" s="3" t="s">
        <v>13940</v>
      </c>
      <c r="AZ1347" s="3" t="s">
        <v>13941</v>
      </c>
      <c r="BA1347" s="3" t="s">
        <v>13941</v>
      </c>
      <c r="BB1347" s="3" t="s">
        <v>13942</v>
      </c>
      <c r="BC1347" s="3" t="s">
        <v>78</v>
      </c>
      <c r="BD1347" s="3" t="s">
        <v>79</v>
      </c>
      <c r="BE1347" s="3" t="s">
        <v>13943</v>
      </c>
      <c r="BF1347" s="3" t="s">
        <v>13942</v>
      </c>
      <c r="BG1347" s="3" t="s">
        <v>13944</v>
      </c>
    </row>
    <row r="1348" spans="1:59" ht="58" x14ac:dyDescent="0.35">
      <c r="A1348" s="2" t="s">
        <v>59</v>
      </c>
      <c r="B1348" s="2" t="s">
        <v>94</v>
      </c>
      <c r="C1348" s="2" t="s">
        <v>13945</v>
      </c>
      <c r="D1348" s="2" t="s">
        <v>13946</v>
      </c>
      <c r="E1348" s="2" t="s">
        <v>13947</v>
      </c>
      <c r="G1348" s="3" t="s">
        <v>64</v>
      </c>
      <c r="I1348" s="3" t="s">
        <v>64</v>
      </c>
      <c r="J1348" s="3" t="s">
        <v>64</v>
      </c>
      <c r="K1348" s="3" t="s">
        <v>65</v>
      </c>
      <c r="M1348" s="2" t="s">
        <v>13948</v>
      </c>
      <c r="N1348" s="3" t="s">
        <v>328</v>
      </c>
      <c r="P1348" s="3" t="s">
        <v>69</v>
      </c>
      <c r="Q1348" s="2" t="s">
        <v>13949</v>
      </c>
      <c r="R1348" s="3" t="s">
        <v>9228</v>
      </c>
      <c r="S1348" s="4">
        <v>7</v>
      </c>
      <c r="T1348" s="4">
        <v>7</v>
      </c>
      <c r="U1348" s="5" t="s">
        <v>8724</v>
      </c>
      <c r="V1348" s="5" t="s">
        <v>8724</v>
      </c>
      <c r="W1348" s="5" t="s">
        <v>72</v>
      </c>
      <c r="X1348" s="5" t="s">
        <v>72</v>
      </c>
      <c r="Y1348" s="4">
        <v>62</v>
      </c>
      <c r="Z1348" s="4">
        <v>5</v>
      </c>
      <c r="AA1348" s="4">
        <v>86</v>
      </c>
      <c r="AB1348" s="4">
        <v>1</v>
      </c>
      <c r="AC1348" s="4">
        <v>17</v>
      </c>
      <c r="AD1348" s="4">
        <v>23</v>
      </c>
      <c r="AE1348" s="4">
        <v>106</v>
      </c>
      <c r="AF1348" s="4">
        <v>0</v>
      </c>
      <c r="AG1348" s="4">
        <v>8</v>
      </c>
      <c r="AH1348" s="4">
        <v>22</v>
      </c>
      <c r="AI1348" s="4">
        <v>72</v>
      </c>
      <c r="AJ1348" s="4">
        <v>3</v>
      </c>
      <c r="AK1348" s="4">
        <v>20</v>
      </c>
      <c r="AL1348" s="4">
        <v>17</v>
      </c>
      <c r="AM1348" s="4">
        <v>38</v>
      </c>
      <c r="AN1348" s="4">
        <v>0</v>
      </c>
      <c r="AO1348" s="4">
        <v>0</v>
      </c>
      <c r="AP1348" s="4">
        <v>3</v>
      </c>
      <c r="AQ1348" s="4">
        <v>41</v>
      </c>
      <c r="AR1348" s="3" t="s">
        <v>64</v>
      </c>
      <c r="AS1348" s="3" t="s">
        <v>64</v>
      </c>
      <c r="AT1348" s="3" t="s">
        <v>64</v>
      </c>
      <c r="AV1348" s="6" t="str">
        <f>HYPERLINK("http://mcgill.on.worldcat.org/oclc/697979539","Catalog Record")</f>
        <v>Catalog Record</v>
      </c>
      <c r="AW1348" s="6" t="str">
        <f>HYPERLINK("http://www.worldcat.org/oclc/697979539","WorldCat Record")</f>
        <v>WorldCat Record</v>
      </c>
      <c r="AX1348" s="3" t="s">
        <v>13950</v>
      </c>
      <c r="AY1348" s="3" t="s">
        <v>13951</v>
      </c>
      <c r="AZ1348" s="3" t="s">
        <v>13952</v>
      </c>
      <c r="BA1348" s="3" t="s">
        <v>13952</v>
      </c>
      <c r="BB1348" s="3" t="s">
        <v>13953</v>
      </c>
      <c r="BC1348" s="3" t="s">
        <v>78</v>
      </c>
      <c r="BD1348" s="3" t="s">
        <v>79</v>
      </c>
      <c r="BE1348" s="3" t="s">
        <v>13954</v>
      </c>
      <c r="BF1348" s="3" t="s">
        <v>13953</v>
      </c>
      <c r="BG1348" s="3" t="s">
        <v>13955</v>
      </c>
    </row>
    <row r="1349" spans="1:59" ht="58" x14ac:dyDescent="0.35">
      <c r="A1349" s="2" t="s">
        <v>59</v>
      </c>
      <c r="B1349" s="2" t="s">
        <v>94</v>
      </c>
      <c r="C1349" s="2" t="s">
        <v>13956</v>
      </c>
      <c r="D1349" s="2" t="s">
        <v>13957</v>
      </c>
      <c r="E1349" s="2" t="s">
        <v>13958</v>
      </c>
      <c r="G1349" s="3" t="s">
        <v>64</v>
      </c>
      <c r="I1349" s="3" t="s">
        <v>64</v>
      </c>
      <c r="J1349" s="3" t="s">
        <v>64</v>
      </c>
      <c r="K1349" s="3" t="s">
        <v>65</v>
      </c>
      <c r="L1349" s="2" t="s">
        <v>13959</v>
      </c>
      <c r="M1349" s="2" t="s">
        <v>1394</v>
      </c>
      <c r="N1349" s="3" t="s">
        <v>651</v>
      </c>
      <c r="P1349" s="3" t="s">
        <v>69</v>
      </c>
      <c r="R1349" s="3" t="s">
        <v>9228</v>
      </c>
      <c r="S1349" s="4">
        <v>5</v>
      </c>
      <c r="T1349" s="4">
        <v>5</v>
      </c>
      <c r="U1349" s="5" t="s">
        <v>8724</v>
      </c>
      <c r="V1349" s="5" t="s">
        <v>8724</v>
      </c>
      <c r="W1349" s="5" t="s">
        <v>72</v>
      </c>
      <c r="X1349" s="5" t="s">
        <v>72</v>
      </c>
      <c r="Y1349" s="4">
        <v>129</v>
      </c>
      <c r="Z1349" s="4">
        <v>9</v>
      </c>
      <c r="AA1349" s="4">
        <v>9</v>
      </c>
      <c r="AB1349" s="4">
        <v>1</v>
      </c>
      <c r="AC1349" s="4">
        <v>1</v>
      </c>
      <c r="AD1349" s="4">
        <v>55</v>
      </c>
      <c r="AE1349" s="4">
        <v>55</v>
      </c>
      <c r="AF1349" s="4">
        <v>0</v>
      </c>
      <c r="AG1349" s="4">
        <v>0</v>
      </c>
      <c r="AH1349" s="4">
        <v>50</v>
      </c>
      <c r="AI1349" s="4">
        <v>50</v>
      </c>
      <c r="AJ1349" s="4">
        <v>7</v>
      </c>
      <c r="AK1349" s="4">
        <v>7</v>
      </c>
      <c r="AL1349" s="4">
        <v>33</v>
      </c>
      <c r="AM1349" s="4">
        <v>33</v>
      </c>
      <c r="AN1349" s="4">
        <v>0</v>
      </c>
      <c r="AO1349" s="4">
        <v>0</v>
      </c>
      <c r="AP1349" s="4">
        <v>7</v>
      </c>
      <c r="AQ1349" s="4">
        <v>7</v>
      </c>
      <c r="AR1349" s="3" t="s">
        <v>64</v>
      </c>
      <c r="AS1349" s="3" t="s">
        <v>64</v>
      </c>
      <c r="AT1349" s="3" t="s">
        <v>64</v>
      </c>
      <c r="AV1349" s="6" t="str">
        <f>HYPERLINK("http://mcgill.on.worldcat.org/oclc/51306153","Catalog Record")</f>
        <v>Catalog Record</v>
      </c>
      <c r="AW1349" s="6" t="str">
        <f>HYPERLINK("http://www.worldcat.org/oclc/51306153","WorldCat Record")</f>
        <v>WorldCat Record</v>
      </c>
      <c r="AX1349" s="3" t="s">
        <v>13960</v>
      </c>
      <c r="AY1349" s="3" t="s">
        <v>13961</v>
      </c>
      <c r="AZ1349" s="3" t="s">
        <v>13962</v>
      </c>
      <c r="BA1349" s="3" t="s">
        <v>13962</v>
      </c>
      <c r="BB1349" s="3" t="s">
        <v>13963</v>
      </c>
      <c r="BC1349" s="3" t="s">
        <v>78</v>
      </c>
      <c r="BD1349" s="3" t="s">
        <v>79</v>
      </c>
      <c r="BE1349" s="3" t="s">
        <v>13964</v>
      </c>
      <c r="BF1349" s="3" t="s">
        <v>13963</v>
      </c>
      <c r="BG1349" s="3" t="s">
        <v>13965</v>
      </c>
    </row>
    <row r="1350" spans="1:59" ht="58" x14ac:dyDescent="0.35">
      <c r="A1350" s="2" t="s">
        <v>59</v>
      </c>
      <c r="B1350" s="2" t="s">
        <v>94</v>
      </c>
      <c r="C1350" s="2" t="s">
        <v>13966</v>
      </c>
      <c r="D1350" s="2" t="s">
        <v>13967</v>
      </c>
      <c r="E1350" s="2" t="s">
        <v>13968</v>
      </c>
      <c r="G1350" s="3" t="s">
        <v>64</v>
      </c>
      <c r="I1350" s="3" t="s">
        <v>64</v>
      </c>
      <c r="J1350" s="3" t="s">
        <v>64</v>
      </c>
      <c r="K1350" s="3" t="s">
        <v>65</v>
      </c>
      <c r="L1350" s="2" t="s">
        <v>13969</v>
      </c>
      <c r="M1350" s="2" t="s">
        <v>13970</v>
      </c>
      <c r="N1350" s="3" t="s">
        <v>719</v>
      </c>
      <c r="P1350" s="3" t="s">
        <v>69</v>
      </c>
      <c r="Q1350" s="2" t="s">
        <v>13971</v>
      </c>
      <c r="R1350" s="3" t="s">
        <v>9228</v>
      </c>
      <c r="S1350" s="4">
        <v>22</v>
      </c>
      <c r="T1350" s="4">
        <v>22</v>
      </c>
      <c r="U1350" s="5" t="s">
        <v>9229</v>
      </c>
      <c r="V1350" s="5" t="s">
        <v>9229</v>
      </c>
      <c r="W1350" s="5" t="s">
        <v>72</v>
      </c>
      <c r="X1350" s="5" t="s">
        <v>72</v>
      </c>
      <c r="Y1350" s="4">
        <v>320</v>
      </c>
      <c r="Z1350" s="4">
        <v>27</v>
      </c>
      <c r="AA1350" s="4">
        <v>28</v>
      </c>
      <c r="AB1350" s="4">
        <v>2</v>
      </c>
      <c r="AC1350" s="4">
        <v>2</v>
      </c>
      <c r="AD1350" s="4">
        <v>101</v>
      </c>
      <c r="AE1350" s="4">
        <v>102</v>
      </c>
      <c r="AF1350" s="4">
        <v>1</v>
      </c>
      <c r="AG1350" s="4">
        <v>1</v>
      </c>
      <c r="AH1350" s="4">
        <v>84</v>
      </c>
      <c r="AI1350" s="4">
        <v>84</v>
      </c>
      <c r="AJ1350" s="4">
        <v>14</v>
      </c>
      <c r="AK1350" s="4">
        <v>14</v>
      </c>
      <c r="AL1350" s="4">
        <v>49</v>
      </c>
      <c r="AM1350" s="4">
        <v>49</v>
      </c>
      <c r="AN1350" s="4">
        <v>0</v>
      </c>
      <c r="AO1350" s="4">
        <v>0</v>
      </c>
      <c r="AP1350" s="4">
        <v>23</v>
      </c>
      <c r="AQ1350" s="4">
        <v>24</v>
      </c>
      <c r="AR1350" s="3" t="s">
        <v>64</v>
      </c>
      <c r="AS1350" s="3" t="s">
        <v>64</v>
      </c>
      <c r="AT1350" s="3" t="s">
        <v>73</v>
      </c>
      <c r="AU1350" s="6" t="str">
        <f>HYPERLINK("http://catalog.hathitrust.org/Record/000561328","HathiTrust Record")</f>
        <v>HathiTrust Record</v>
      </c>
      <c r="AV1350" s="6" t="str">
        <f>HYPERLINK("http://mcgill.on.worldcat.org/oclc/10799019","Catalog Record")</f>
        <v>Catalog Record</v>
      </c>
      <c r="AW1350" s="6" t="str">
        <f>HYPERLINK("http://www.worldcat.org/oclc/10799019","WorldCat Record")</f>
        <v>WorldCat Record</v>
      </c>
      <c r="AX1350" s="3" t="s">
        <v>13972</v>
      </c>
      <c r="AY1350" s="3" t="s">
        <v>13973</v>
      </c>
      <c r="AZ1350" s="3" t="s">
        <v>13974</v>
      </c>
      <c r="BA1350" s="3" t="s">
        <v>13974</v>
      </c>
      <c r="BB1350" s="3" t="s">
        <v>13975</v>
      </c>
      <c r="BC1350" s="3" t="s">
        <v>78</v>
      </c>
      <c r="BD1350" s="3" t="s">
        <v>79</v>
      </c>
      <c r="BE1350" s="3" t="s">
        <v>13976</v>
      </c>
      <c r="BF1350" s="3" t="s">
        <v>13975</v>
      </c>
      <c r="BG1350" s="3" t="s">
        <v>13977</v>
      </c>
    </row>
    <row r="1351" spans="1:59" ht="58" x14ac:dyDescent="0.35">
      <c r="A1351" s="2" t="s">
        <v>59</v>
      </c>
      <c r="B1351" s="2" t="s">
        <v>94</v>
      </c>
      <c r="C1351" s="2" t="s">
        <v>13978</v>
      </c>
      <c r="D1351" s="2" t="s">
        <v>13979</v>
      </c>
      <c r="E1351" s="2" t="s">
        <v>13980</v>
      </c>
      <c r="F1351" s="3" t="s">
        <v>2188</v>
      </c>
      <c r="G1351" s="3" t="s">
        <v>73</v>
      </c>
      <c r="I1351" s="3" t="s">
        <v>64</v>
      </c>
      <c r="J1351" s="3" t="s">
        <v>64</v>
      </c>
      <c r="K1351" s="3" t="s">
        <v>65</v>
      </c>
      <c r="L1351" s="2" t="s">
        <v>13981</v>
      </c>
      <c r="M1351" s="2" t="s">
        <v>13982</v>
      </c>
      <c r="N1351" s="3" t="s">
        <v>2265</v>
      </c>
      <c r="P1351" s="3" t="s">
        <v>2192</v>
      </c>
      <c r="Q1351" s="2" t="s">
        <v>13983</v>
      </c>
      <c r="R1351" s="3" t="s">
        <v>9228</v>
      </c>
      <c r="S1351" s="4">
        <v>0</v>
      </c>
      <c r="T1351" s="4">
        <v>8</v>
      </c>
      <c r="V1351" s="5" t="s">
        <v>13984</v>
      </c>
      <c r="W1351" s="5" t="s">
        <v>72</v>
      </c>
      <c r="X1351" s="5" t="s">
        <v>72</v>
      </c>
      <c r="Y1351" s="4">
        <v>137</v>
      </c>
      <c r="Z1351" s="4">
        <v>15</v>
      </c>
      <c r="AA1351" s="4">
        <v>17</v>
      </c>
      <c r="AB1351" s="4">
        <v>1</v>
      </c>
      <c r="AC1351" s="4">
        <v>1</v>
      </c>
      <c r="AD1351" s="4">
        <v>80</v>
      </c>
      <c r="AE1351" s="4">
        <v>82</v>
      </c>
      <c r="AF1351" s="4">
        <v>0</v>
      </c>
      <c r="AG1351" s="4">
        <v>0</v>
      </c>
      <c r="AH1351" s="4">
        <v>72</v>
      </c>
      <c r="AI1351" s="4">
        <v>73</v>
      </c>
      <c r="AJ1351" s="4">
        <v>11</v>
      </c>
      <c r="AK1351" s="4">
        <v>13</v>
      </c>
      <c r="AL1351" s="4">
        <v>46</v>
      </c>
      <c r="AM1351" s="4">
        <v>46</v>
      </c>
      <c r="AN1351" s="4">
        <v>0</v>
      </c>
      <c r="AO1351" s="4">
        <v>0</v>
      </c>
      <c r="AP1351" s="4">
        <v>10</v>
      </c>
      <c r="AQ1351" s="4">
        <v>12</v>
      </c>
      <c r="AR1351" s="3" t="s">
        <v>64</v>
      </c>
      <c r="AS1351" s="3" t="s">
        <v>64</v>
      </c>
      <c r="AT1351" s="3" t="s">
        <v>73</v>
      </c>
      <c r="AU1351" s="6" t="str">
        <f t="shared" ref="AU1351:AU1356" si="12">HYPERLINK("http://catalog.hathitrust.org/Record/000141100","HathiTrust Record")</f>
        <v>HathiTrust Record</v>
      </c>
      <c r="AV1351" s="6" t="str">
        <f t="shared" ref="AV1351:AV1356" si="13">HYPERLINK("http://mcgill.on.worldcat.org/oclc/663863","Catalog Record")</f>
        <v>Catalog Record</v>
      </c>
      <c r="AW1351" s="6" t="str">
        <f t="shared" ref="AW1351:AW1356" si="14">HYPERLINK("http://www.worldcat.org/oclc/663863","WorldCat Record")</f>
        <v>WorldCat Record</v>
      </c>
      <c r="AX1351" s="3" t="s">
        <v>13985</v>
      </c>
      <c r="AY1351" s="3" t="s">
        <v>13986</v>
      </c>
      <c r="AZ1351" s="3" t="s">
        <v>13987</v>
      </c>
      <c r="BA1351" s="3" t="s">
        <v>13987</v>
      </c>
      <c r="BB1351" s="3" t="s">
        <v>13988</v>
      </c>
      <c r="BC1351" s="3" t="s">
        <v>78</v>
      </c>
      <c r="BD1351" s="3" t="s">
        <v>79</v>
      </c>
      <c r="BE1351" s="3" t="s">
        <v>13989</v>
      </c>
      <c r="BF1351" s="3" t="s">
        <v>13988</v>
      </c>
      <c r="BG1351" s="3" t="s">
        <v>13990</v>
      </c>
    </row>
    <row r="1352" spans="1:59" ht="58" x14ac:dyDescent="0.35">
      <c r="A1352" s="2" t="s">
        <v>59</v>
      </c>
      <c r="B1352" s="2" t="s">
        <v>94</v>
      </c>
      <c r="C1352" s="2" t="s">
        <v>13978</v>
      </c>
      <c r="D1352" s="2" t="s">
        <v>13979</v>
      </c>
      <c r="E1352" s="2" t="s">
        <v>13980</v>
      </c>
      <c r="F1352" s="3" t="s">
        <v>2200</v>
      </c>
      <c r="G1352" s="3" t="s">
        <v>73</v>
      </c>
      <c r="I1352" s="3" t="s">
        <v>64</v>
      </c>
      <c r="J1352" s="3" t="s">
        <v>64</v>
      </c>
      <c r="K1352" s="3" t="s">
        <v>65</v>
      </c>
      <c r="L1352" s="2" t="s">
        <v>13981</v>
      </c>
      <c r="M1352" s="2" t="s">
        <v>13982</v>
      </c>
      <c r="N1352" s="3" t="s">
        <v>2265</v>
      </c>
      <c r="P1352" s="3" t="s">
        <v>2192</v>
      </c>
      <c r="Q1352" s="2" t="s">
        <v>13983</v>
      </c>
      <c r="R1352" s="3" t="s">
        <v>9228</v>
      </c>
      <c r="S1352" s="4">
        <v>0</v>
      </c>
      <c r="T1352" s="4">
        <v>8</v>
      </c>
      <c r="V1352" s="5" t="s">
        <v>13984</v>
      </c>
      <c r="W1352" s="5" t="s">
        <v>72</v>
      </c>
      <c r="X1352" s="5" t="s">
        <v>72</v>
      </c>
      <c r="Y1352" s="4">
        <v>137</v>
      </c>
      <c r="Z1352" s="4">
        <v>15</v>
      </c>
      <c r="AA1352" s="4">
        <v>17</v>
      </c>
      <c r="AB1352" s="4">
        <v>1</v>
      </c>
      <c r="AC1352" s="4">
        <v>1</v>
      </c>
      <c r="AD1352" s="4">
        <v>80</v>
      </c>
      <c r="AE1352" s="4">
        <v>82</v>
      </c>
      <c r="AF1352" s="4">
        <v>0</v>
      </c>
      <c r="AG1352" s="4">
        <v>0</v>
      </c>
      <c r="AH1352" s="4">
        <v>72</v>
      </c>
      <c r="AI1352" s="4">
        <v>73</v>
      </c>
      <c r="AJ1352" s="4">
        <v>11</v>
      </c>
      <c r="AK1352" s="4">
        <v>13</v>
      </c>
      <c r="AL1352" s="4">
        <v>46</v>
      </c>
      <c r="AM1352" s="4">
        <v>46</v>
      </c>
      <c r="AN1352" s="4">
        <v>0</v>
      </c>
      <c r="AO1352" s="4">
        <v>0</v>
      </c>
      <c r="AP1352" s="4">
        <v>10</v>
      </c>
      <c r="AQ1352" s="4">
        <v>12</v>
      </c>
      <c r="AR1352" s="3" t="s">
        <v>64</v>
      </c>
      <c r="AS1352" s="3" t="s">
        <v>64</v>
      </c>
      <c r="AT1352" s="3" t="s">
        <v>73</v>
      </c>
      <c r="AU1352" s="6" t="str">
        <f t="shared" si="12"/>
        <v>HathiTrust Record</v>
      </c>
      <c r="AV1352" s="6" t="str">
        <f t="shared" si="13"/>
        <v>Catalog Record</v>
      </c>
      <c r="AW1352" s="6" t="str">
        <f t="shared" si="14"/>
        <v>WorldCat Record</v>
      </c>
      <c r="AX1352" s="3" t="s">
        <v>13985</v>
      </c>
      <c r="AY1352" s="3" t="s">
        <v>13986</v>
      </c>
      <c r="AZ1352" s="3" t="s">
        <v>13987</v>
      </c>
      <c r="BA1352" s="3" t="s">
        <v>13987</v>
      </c>
      <c r="BB1352" s="3" t="s">
        <v>13991</v>
      </c>
      <c r="BC1352" s="3" t="s">
        <v>78</v>
      </c>
      <c r="BD1352" s="3" t="s">
        <v>79</v>
      </c>
      <c r="BE1352" s="3" t="s">
        <v>13989</v>
      </c>
      <c r="BF1352" s="3" t="s">
        <v>13991</v>
      </c>
      <c r="BG1352" s="3" t="s">
        <v>13992</v>
      </c>
    </row>
    <row r="1353" spans="1:59" ht="58" x14ac:dyDescent="0.35">
      <c r="A1353" s="2" t="s">
        <v>59</v>
      </c>
      <c r="B1353" s="2" t="s">
        <v>94</v>
      </c>
      <c r="C1353" s="2" t="s">
        <v>13978</v>
      </c>
      <c r="D1353" s="2" t="s">
        <v>13979</v>
      </c>
      <c r="E1353" s="2" t="s">
        <v>13980</v>
      </c>
      <c r="F1353" s="3" t="s">
        <v>13993</v>
      </c>
      <c r="G1353" s="3" t="s">
        <v>73</v>
      </c>
      <c r="I1353" s="3" t="s">
        <v>64</v>
      </c>
      <c r="J1353" s="3" t="s">
        <v>64</v>
      </c>
      <c r="K1353" s="3" t="s">
        <v>65</v>
      </c>
      <c r="L1353" s="2" t="s">
        <v>13981</v>
      </c>
      <c r="M1353" s="2" t="s">
        <v>13982</v>
      </c>
      <c r="N1353" s="3" t="s">
        <v>2265</v>
      </c>
      <c r="P1353" s="3" t="s">
        <v>2192</v>
      </c>
      <c r="Q1353" s="2" t="s">
        <v>13983</v>
      </c>
      <c r="R1353" s="3" t="s">
        <v>9228</v>
      </c>
      <c r="S1353" s="4">
        <v>4</v>
      </c>
      <c r="T1353" s="4">
        <v>8</v>
      </c>
      <c r="U1353" s="5" t="s">
        <v>13984</v>
      </c>
      <c r="V1353" s="5" t="s">
        <v>13984</v>
      </c>
      <c r="W1353" s="5" t="s">
        <v>72</v>
      </c>
      <c r="X1353" s="5" t="s">
        <v>72</v>
      </c>
      <c r="Y1353" s="4">
        <v>137</v>
      </c>
      <c r="Z1353" s="4">
        <v>15</v>
      </c>
      <c r="AA1353" s="4">
        <v>17</v>
      </c>
      <c r="AB1353" s="4">
        <v>1</v>
      </c>
      <c r="AC1353" s="4">
        <v>1</v>
      </c>
      <c r="AD1353" s="4">
        <v>80</v>
      </c>
      <c r="AE1353" s="4">
        <v>82</v>
      </c>
      <c r="AF1353" s="4">
        <v>0</v>
      </c>
      <c r="AG1353" s="4">
        <v>0</v>
      </c>
      <c r="AH1353" s="4">
        <v>72</v>
      </c>
      <c r="AI1353" s="4">
        <v>73</v>
      </c>
      <c r="AJ1353" s="4">
        <v>11</v>
      </c>
      <c r="AK1353" s="4">
        <v>13</v>
      </c>
      <c r="AL1353" s="4">
        <v>46</v>
      </c>
      <c r="AM1353" s="4">
        <v>46</v>
      </c>
      <c r="AN1353" s="4">
        <v>0</v>
      </c>
      <c r="AO1353" s="4">
        <v>0</v>
      </c>
      <c r="AP1353" s="4">
        <v>10</v>
      </c>
      <c r="AQ1353" s="4">
        <v>12</v>
      </c>
      <c r="AR1353" s="3" t="s">
        <v>64</v>
      </c>
      <c r="AS1353" s="3" t="s">
        <v>64</v>
      </c>
      <c r="AT1353" s="3" t="s">
        <v>73</v>
      </c>
      <c r="AU1353" s="6" t="str">
        <f t="shared" si="12"/>
        <v>HathiTrust Record</v>
      </c>
      <c r="AV1353" s="6" t="str">
        <f t="shared" si="13"/>
        <v>Catalog Record</v>
      </c>
      <c r="AW1353" s="6" t="str">
        <f t="shared" si="14"/>
        <v>WorldCat Record</v>
      </c>
      <c r="AX1353" s="3" t="s">
        <v>13985</v>
      </c>
      <c r="AY1353" s="3" t="s">
        <v>13986</v>
      </c>
      <c r="AZ1353" s="3" t="s">
        <v>13987</v>
      </c>
      <c r="BA1353" s="3" t="s">
        <v>13987</v>
      </c>
      <c r="BB1353" s="3" t="s">
        <v>13994</v>
      </c>
      <c r="BC1353" s="3" t="s">
        <v>78</v>
      </c>
      <c r="BD1353" s="3" t="s">
        <v>79</v>
      </c>
      <c r="BE1353" s="3" t="s">
        <v>13989</v>
      </c>
      <c r="BF1353" s="3" t="s">
        <v>13994</v>
      </c>
      <c r="BG1353" s="3" t="s">
        <v>13995</v>
      </c>
    </row>
    <row r="1354" spans="1:59" ht="58" x14ac:dyDescent="0.35">
      <c r="A1354" s="2" t="s">
        <v>59</v>
      </c>
      <c r="B1354" s="2" t="s">
        <v>94</v>
      </c>
      <c r="C1354" s="2" t="s">
        <v>13978</v>
      </c>
      <c r="D1354" s="2" t="s">
        <v>13979</v>
      </c>
      <c r="E1354" s="2" t="s">
        <v>13980</v>
      </c>
      <c r="F1354" s="3" t="s">
        <v>2203</v>
      </c>
      <c r="G1354" s="3" t="s">
        <v>73</v>
      </c>
      <c r="I1354" s="3" t="s">
        <v>64</v>
      </c>
      <c r="J1354" s="3" t="s">
        <v>64</v>
      </c>
      <c r="K1354" s="3" t="s">
        <v>65</v>
      </c>
      <c r="L1354" s="2" t="s">
        <v>13981</v>
      </c>
      <c r="M1354" s="2" t="s">
        <v>13982</v>
      </c>
      <c r="N1354" s="3" t="s">
        <v>2265</v>
      </c>
      <c r="P1354" s="3" t="s">
        <v>2192</v>
      </c>
      <c r="Q1354" s="2" t="s">
        <v>13983</v>
      </c>
      <c r="R1354" s="3" t="s">
        <v>9228</v>
      </c>
      <c r="S1354" s="4">
        <v>1</v>
      </c>
      <c r="T1354" s="4">
        <v>8</v>
      </c>
      <c r="U1354" s="5" t="s">
        <v>13996</v>
      </c>
      <c r="V1354" s="5" t="s">
        <v>13984</v>
      </c>
      <c r="W1354" s="5" t="s">
        <v>72</v>
      </c>
      <c r="X1354" s="5" t="s">
        <v>72</v>
      </c>
      <c r="Y1354" s="4">
        <v>137</v>
      </c>
      <c r="Z1354" s="4">
        <v>15</v>
      </c>
      <c r="AA1354" s="4">
        <v>17</v>
      </c>
      <c r="AB1354" s="4">
        <v>1</v>
      </c>
      <c r="AC1354" s="4">
        <v>1</v>
      </c>
      <c r="AD1354" s="4">
        <v>80</v>
      </c>
      <c r="AE1354" s="4">
        <v>82</v>
      </c>
      <c r="AF1354" s="4">
        <v>0</v>
      </c>
      <c r="AG1354" s="4">
        <v>0</v>
      </c>
      <c r="AH1354" s="4">
        <v>72</v>
      </c>
      <c r="AI1354" s="4">
        <v>73</v>
      </c>
      <c r="AJ1354" s="4">
        <v>11</v>
      </c>
      <c r="AK1354" s="4">
        <v>13</v>
      </c>
      <c r="AL1354" s="4">
        <v>46</v>
      </c>
      <c r="AM1354" s="4">
        <v>46</v>
      </c>
      <c r="AN1354" s="4">
        <v>0</v>
      </c>
      <c r="AO1354" s="4">
        <v>0</v>
      </c>
      <c r="AP1354" s="4">
        <v>10</v>
      </c>
      <c r="AQ1354" s="4">
        <v>12</v>
      </c>
      <c r="AR1354" s="3" t="s">
        <v>64</v>
      </c>
      <c r="AS1354" s="3" t="s">
        <v>64</v>
      </c>
      <c r="AT1354" s="3" t="s">
        <v>73</v>
      </c>
      <c r="AU1354" s="6" t="str">
        <f t="shared" si="12"/>
        <v>HathiTrust Record</v>
      </c>
      <c r="AV1354" s="6" t="str">
        <f t="shared" si="13"/>
        <v>Catalog Record</v>
      </c>
      <c r="AW1354" s="6" t="str">
        <f t="shared" si="14"/>
        <v>WorldCat Record</v>
      </c>
      <c r="AX1354" s="3" t="s">
        <v>13985</v>
      </c>
      <c r="AY1354" s="3" t="s">
        <v>13986</v>
      </c>
      <c r="AZ1354" s="3" t="s">
        <v>13987</v>
      </c>
      <c r="BA1354" s="3" t="s">
        <v>13987</v>
      </c>
      <c r="BB1354" s="3" t="s">
        <v>13997</v>
      </c>
      <c r="BC1354" s="3" t="s">
        <v>78</v>
      </c>
      <c r="BD1354" s="3" t="s">
        <v>79</v>
      </c>
      <c r="BE1354" s="3" t="s">
        <v>13989</v>
      </c>
      <c r="BF1354" s="3" t="s">
        <v>13997</v>
      </c>
      <c r="BG1354" s="3" t="s">
        <v>13998</v>
      </c>
    </row>
    <row r="1355" spans="1:59" ht="58" x14ac:dyDescent="0.35">
      <c r="A1355" s="2" t="s">
        <v>59</v>
      </c>
      <c r="B1355" s="2" t="s">
        <v>94</v>
      </c>
      <c r="C1355" s="2" t="s">
        <v>13978</v>
      </c>
      <c r="D1355" s="2" t="s">
        <v>13979</v>
      </c>
      <c r="E1355" s="2" t="s">
        <v>13980</v>
      </c>
      <c r="F1355" s="3" t="s">
        <v>2206</v>
      </c>
      <c r="G1355" s="3" t="s">
        <v>73</v>
      </c>
      <c r="I1355" s="3" t="s">
        <v>64</v>
      </c>
      <c r="J1355" s="3" t="s">
        <v>64</v>
      </c>
      <c r="K1355" s="3" t="s">
        <v>65</v>
      </c>
      <c r="L1355" s="2" t="s">
        <v>13981</v>
      </c>
      <c r="M1355" s="2" t="s">
        <v>13982</v>
      </c>
      <c r="N1355" s="3" t="s">
        <v>2265</v>
      </c>
      <c r="P1355" s="3" t="s">
        <v>2192</v>
      </c>
      <c r="Q1355" s="2" t="s">
        <v>13983</v>
      </c>
      <c r="R1355" s="3" t="s">
        <v>9228</v>
      </c>
      <c r="S1355" s="4">
        <v>0</v>
      </c>
      <c r="T1355" s="4">
        <v>8</v>
      </c>
      <c r="V1355" s="5" t="s">
        <v>13984</v>
      </c>
      <c r="W1355" s="5" t="s">
        <v>72</v>
      </c>
      <c r="X1355" s="5" t="s">
        <v>72</v>
      </c>
      <c r="Y1355" s="4">
        <v>137</v>
      </c>
      <c r="Z1355" s="4">
        <v>15</v>
      </c>
      <c r="AA1355" s="4">
        <v>17</v>
      </c>
      <c r="AB1355" s="4">
        <v>1</v>
      </c>
      <c r="AC1355" s="4">
        <v>1</v>
      </c>
      <c r="AD1355" s="4">
        <v>80</v>
      </c>
      <c r="AE1355" s="4">
        <v>82</v>
      </c>
      <c r="AF1355" s="4">
        <v>0</v>
      </c>
      <c r="AG1355" s="4">
        <v>0</v>
      </c>
      <c r="AH1355" s="4">
        <v>72</v>
      </c>
      <c r="AI1355" s="4">
        <v>73</v>
      </c>
      <c r="AJ1355" s="4">
        <v>11</v>
      </c>
      <c r="AK1355" s="4">
        <v>13</v>
      </c>
      <c r="AL1355" s="4">
        <v>46</v>
      </c>
      <c r="AM1355" s="4">
        <v>46</v>
      </c>
      <c r="AN1355" s="4">
        <v>0</v>
      </c>
      <c r="AO1355" s="4">
        <v>0</v>
      </c>
      <c r="AP1355" s="4">
        <v>10</v>
      </c>
      <c r="AQ1355" s="4">
        <v>12</v>
      </c>
      <c r="AR1355" s="3" t="s">
        <v>64</v>
      </c>
      <c r="AS1355" s="3" t="s">
        <v>64</v>
      </c>
      <c r="AT1355" s="3" t="s">
        <v>73</v>
      </c>
      <c r="AU1355" s="6" t="str">
        <f t="shared" si="12"/>
        <v>HathiTrust Record</v>
      </c>
      <c r="AV1355" s="6" t="str">
        <f t="shared" si="13"/>
        <v>Catalog Record</v>
      </c>
      <c r="AW1355" s="6" t="str">
        <f t="shared" si="14"/>
        <v>WorldCat Record</v>
      </c>
      <c r="AX1355" s="3" t="s">
        <v>13985</v>
      </c>
      <c r="AY1355" s="3" t="s">
        <v>13986</v>
      </c>
      <c r="AZ1355" s="3" t="s">
        <v>13987</v>
      </c>
      <c r="BA1355" s="3" t="s">
        <v>13987</v>
      </c>
      <c r="BB1355" s="3" t="s">
        <v>13999</v>
      </c>
      <c r="BC1355" s="3" t="s">
        <v>78</v>
      </c>
      <c r="BD1355" s="3" t="s">
        <v>79</v>
      </c>
      <c r="BE1355" s="3" t="s">
        <v>13989</v>
      </c>
      <c r="BF1355" s="3" t="s">
        <v>13999</v>
      </c>
      <c r="BG1355" s="3" t="s">
        <v>14000</v>
      </c>
    </row>
    <row r="1356" spans="1:59" ht="58" x14ac:dyDescent="0.35">
      <c r="A1356" s="2" t="s">
        <v>59</v>
      </c>
      <c r="B1356" s="2" t="s">
        <v>94</v>
      </c>
      <c r="C1356" s="2" t="s">
        <v>13978</v>
      </c>
      <c r="D1356" s="2" t="s">
        <v>13979</v>
      </c>
      <c r="E1356" s="2" t="s">
        <v>13980</v>
      </c>
      <c r="F1356" s="3" t="s">
        <v>14001</v>
      </c>
      <c r="G1356" s="3" t="s">
        <v>73</v>
      </c>
      <c r="I1356" s="3" t="s">
        <v>64</v>
      </c>
      <c r="J1356" s="3" t="s">
        <v>64</v>
      </c>
      <c r="K1356" s="3" t="s">
        <v>65</v>
      </c>
      <c r="L1356" s="2" t="s">
        <v>13981</v>
      </c>
      <c r="M1356" s="2" t="s">
        <v>13982</v>
      </c>
      <c r="N1356" s="3" t="s">
        <v>2265</v>
      </c>
      <c r="P1356" s="3" t="s">
        <v>2192</v>
      </c>
      <c r="Q1356" s="2" t="s">
        <v>13983</v>
      </c>
      <c r="R1356" s="3" t="s">
        <v>9228</v>
      </c>
      <c r="S1356" s="4">
        <v>3</v>
      </c>
      <c r="T1356" s="4">
        <v>8</v>
      </c>
      <c r="U1356" s="5" t="s">
        <v>13996</v>
      </c>
      <c r="V1356" s="5" t="s">
        <v>13984</v>
      </c>
      <c r="W1356" s="5" t="s">
        <v>72</v>
      </c>
      <c r="X1356" s="5" t="s">
        <v>72</v>
      </c>
      <c r="Y1356" s="4">
        <v>137</v>
      </c>
      <c r="Z1356" s="4">
        <v>15</v>
      </c>
      <c r="AA1356" s="4">
        <v>17</v>
      </c>
      <c r="AB1356" s="4">
        <v>1</v>
      </c>
      <c r="AC1356" s="4">
        <v>1</v>
      </c>
      <c r="AD1356" s="4">
        <v>80</v>
      </c>
      <c r="AE1356" s="4">
        <v>82</v>
      </c>
      <c r="AF1356" s="4">
        <v>0</v>
      </c>
      <c r="AG1356" s="4">
        <v>0</v>
      </c>
      <c r="AH1356" s="4">
        <v>72</v>
      </c>
      <c r="AI1356" s="4">
        <v>73</v>
      </c>
      <c r="AJ1356" s="4">
        <v>11</v>
      </c>
      <c r="AK1356" s="4">
        <v>13</v>
      </c>
      <c r="AL1356" s="4">
        <v>46</v>
      </c>
      <c r="AM1356" s="4">
        <v>46</v>
      </c>
      <c r="AN1356" s="4">
        <v>0</v>
      </c>
      <c r="AO1356" s="4">
        <v>0</v>
      </c>
      <c r="AP1356" s="4">
        <v>10</v>
      </c>
      <c r="AQ1356" s="4">
        <v>12</v>
      </c>
      <c r="AR1356" s="3" t="s">
        <v>64</v>
      </c>
      <c r="AS1356" s="3" t="s">
        <v>64</v>
      </c>
      <c r="AT1356" s="3" t="s">
        <v>73</v>
      </c>
      <c r="AU1356" s="6" t="str">
        <f t="shared" si="12"/>
        <v>HathiTrust Record</v>
      </c>
      <c r="AV1356" s="6" t="str">
        <f t="shared" si="13"/>
        <v>Catalog Record</v>
      </c>
      <c r="AW1356" s="6" t="str">
        <f t="shared" si="14"/>
        <v>WorldCat Record</v>
      </c>
      <c r="AX1356" s="3" t="s">
        <v>13985</v>
      </c>
      <c r="AY1356" s="3" t="s">
        <v>13986</v>
      </c>
      <c r="AZ1356" s="3" t="s">
        <v>13987</v>
      </c>
      <c r="BA1356" s="3" t="s">
        <v>13987</v>
      </c>
      <c r="BB1356" s="3" t="s">
        <v>14002</v>
      </c>
      <c r="BC1356" s="3" t="s">
        <v>78</v>
      </c>
      <c r="BD1356" s="3" t="s">
        <v>79</v>
      </c>
      <c r="BE1356" s="3" t="s">
        <v>13989</v>
      </c>
      <c r="BF1356" s="3" t="s">
        <v>14002</v>
      </c>
      <c r="BG1356" s="3" t="s">
        <v>14003</v>
      </c>
    </row>
    <row r="1357" spans="1:59" ht="58" x14ac:dyDescent="0.35">
      <c r="A1357" s="2" t="s">
        <v>59</v>
      </c>
      <c r="B1357" s="2" t="s">
        <v>94</v>
      </c>
      <c r="C1357" s="2" t="s">
        <v>14004</v>
      </c>
      <c r="D1357" s="2" t="s">
        <v>14005</v>
      </c>
      <c r="E1357" s="2" t="s">
        <v>14006</v>
      </c>
      <c r="G1357" s="3" t="s">
        <v>64</v>
      </c>
      <c r="I1357" s="3" t="s">
        <v>64</v>
      </c>
      <c r="J1357" s="3" t="s">
        <v>64</v>
      </c>
      <c r="K1357" s="3" t="s">
        <v>65</v>
      </c>
      <c r="L1357" s="2" t="s">
        <v>14007</v>
      </c>
      <c r="M1357" s="2" t="s">
        <v>14008</v>
      </c>
      <c r="N1357" s="3" t="s">
        <v>136</v>
      </c>
      <c r="P1357" s="3" t="s">
        <v>69</v>
      </c>
      <c r="R1357" s="3" t="s">
        <v>9228</v>
      </c>
      <c r="S1357" s="4">
        <v>7</v>
      </c>
      <c r="T1357" s="4">
        <v>7</v>
      </c>
      <c r="U1357" s="5" t="s">
        <v>14009</v>
      </c>
      <c r="V1357" s="5" t="s">
        <v>14009</v>
      </c>
      <c r="W1357" s="5" t="s">
        <v>72</v>
      </c>
      <c r="X1357" s="5" t="s">
        <v>72</v>
      </c>
      <c r="Y1357" s="4">
        <v>358</v>
      </c>
      <c r="Z1357" s="4">
        <v>14</v>
      </c>
      <c r="AA1357" s="4">
        <v>99</v>
      </c>
      <c r="AB1357" s="4">
        <v>2</v>
      </c>
      <c r="AC1357" s="4">
        <v>18</v>
      </c>
      <c r="AD1357" s="4">
        <v>90</v>
      </c>
      <c r="AE1357" s="4">
        <v>140</v>
      </c>
      <c r="AF1357" s="4">
        <v>0</v>
      </c>
      <c r="AG1357" s="4">
        <v>8</v>
      </c>
      <c r="AH1357" s="4">
        <v>80</v>
      </c>
      <c r="AI1357" s="4">
        <v>99</v>
      </c>
      <c r="AJ1357" s="4">
        <v>5</v>
      </c>
      <c r="AK1357" s="4">
        <v>24</v>
      </c>
      <c r="AL1357" s="4">
        <v>46</v>
      </c>
      <c r="AM1357" s="4">
        <v>53</v>
      </c>
      <c r="AN1357" s="4">
        <v>0</v>
      </c>
      <c r="AO1357" s="4">
        <v>0</v>
      </c>
      <c r="AP1357" s="4">
        <v>11</v>
      </c>
      <c r="AQ1357" s="4">
        <v>49</v>
      </c>
      <c r="AR1357" s="3" t="s">
        <v>64</v>
      </c>
      <c r="AS1357" s="3" t="s">
        <v>64</v>
      </c>
      <c r="AT1357" s="3" t="s">
        <v>64</v>
      </c>
      <c r="AV1357" s="6" t="str">
        <f>HYPERLINK("http://mcgill.on.worldcat.org/oclc/44775443","Catalog Record")</f>
        <v>Catalog Record</v>
      </c>
      <c r="AW1357" s="6" t="str">
        <f>HYPERLINK("http://www.worldcat.org/oclc/44775443","WorldCat Record")</f>
        <v>WorldCat Record</v>
      </c>
      <c r="AX1357" s="3" t="s">
        <v>14010</v>
      </c>
      <c r="AY1357" s="3" t="s">
        <v>14011</v>
      </c>
      <c r="AZ1357" s="3" t="s">
        <v>14012</v>
      </c>
      <c r="BA1357" s="3" t="s">
        <v>14012</v>
      </c>
      <c r="BB1357" s="3" t="s">
        <v>14013</v>
      </c>
      <c r="BC1357" s="3" t="s">
        <v>78</v>
      </c>
      <c r="BD1357" s="3" t="s">
        <v>79</v>
      </c>
      <c r="BE1357" s="3" t="s">
        <v>14014</v>
      </c>
      <c r="BF1357" s="3" t="s">
        <v>14013</v>
      </c>
      <c r="BG1357" s="3" t="s">
        <v>14015</v>
      </c>
    </row>
    <row r="1358" spans="1:59" ht="58" x14ac:dyDescent="0.35">
      <c r="A1358" s="2" t="s">
        <v>59</v>
      </c>
      <c r="B1358" s="2" t="s">
        <v>94</v>
      </c>
      <c r="C1358" s="2" t="s">
        <v>14016</v>
      </c>
      <c r="D1358" s="2" t="s">
        <v>14017</v>
      </c>
      <c r="E1358" s="2" t="s">
        <v>14018</v>
      </c>
      <c r="G1358" s="3" t="s">
        <v>64</v>
      </c>
      <c r="I1358" s="3" t="s">
        <v>64</v>
      </c>
      <c r="J1358" s="3" t="s">
        <v>64</v>
      </c>
      <c r="K1358" s="3" t="s">
        <v>65</v>
      </c>
      <c r="L1358" s="2" t="s">
        <v>14019</v>
      </c>
      <c r="M1358" s="2" t="s">
        <v>14020</v>
      </c>
      <c r="N1358" s="3" t="s">
        <v>287</v>
      </c>
      <c r="P1358" s="3" t="s">
        <v>69</v>
      </c>
      <c r="Q1358" s="2" t="s">
        <v>14021</v>
      </c>
      <c r="R1358" s="3" t="s">
        <v>9228</v>
      </c>
      <c r="S1358" s="4">
        <v>24</v>
      </c>
      <c r="T1358" s="4">
        <v>24</v>
      </c>
      <c r="U1358" s="5" t="s">
        <v>8885</v>
      </c>
      <c r="V1358" s="5" t="s">
        <v>8885</v>
      </c>
      <c r="W1358" s="5" t="s">
        <v>72</v>
      </c>
      <c r="X1358" s="5" t="s">
        <v>72</v>
      </c>
      <c r="Y1358" s="4">
        <v>152</v>
      </c>
      <c r="Z1358" s="4">
        <v>17</v>
      </c>
      <c r="AA1358" s="4">
        <v>44</v>
      </c>
      <c r="AB1358" s="4">
        <v>1</v>
      </c>
      <c r="AC1358" s="4">
        <v>5</v>
      </c>
      <c r="AD1358" s="4">
        <v>28</v>
      </c>
      <c r="AE1358" s="4">
        <v>130</v>
      </c>
      <c r="AF1358" s="4">
        <v>0</v>
      </c>
      <c r="AG1358" s="4">
        <v>2</v>
      </c>
      <c r="AH1358" s="4">
        <v>23</v>
      </c>
      <c r="AI1358" s="4">
        <v>105</v>
      </c>
      <c r="AJ1358" s="4">
        <v>12</v>
      </c>
      <c r="AK1358" s="4">
        <v>24</v>
      </c>
      <c r="AL1358" s="4">
        <v>10</v>
      </c>
      <c r="AM1358" s="4">
        <v>55</v>
      </c>
      <c r="AN1358" s="4">
        <v>0</v>
      </c>
      <c r="AO1358" s="4">
        <v>0</v>
      </c>
      <c r="AP1358" s="4">
        <v>13</v>
      </c>
      <c r="AQ1358" s="4">
        <v>34</v>
      </c>
      <c r="AR1358" s="3" t="s">
        <v>64</v>
      </c>
      <c r="AS1358" s="3" t="s">
        <v>64</v>
      </c>
      <c r="AT1358" s="3" t="s">
        <v>73</v>
      </c>
      <c r="AU1358" s="6" t="str">
        <f>HYPERLINK("http://catalog.hathitrust.org/Record/000099036","HathiTrust Record")</f>
        <v>HathiTrust Record</v>
      </c>
      <c r="AV1358" s="6" t="str">
        <f>HYPERLINK("http://mcgill.on.worldcat.org/oclc/7759886","Catalog Record")</f>
        <v>Catalog Record</v>
      </c>
      <c r="AW1358" s="6" t="str">
        <f>HYPERLINK("http://www.worldcat.org/oclc/7759886","WorldCat Record")</f>
        <v>WorldCat Record</v>
      </c>
      <c r="AX1358" s="3" t="s">
        <v>14022</v>
      </c>
      <c r="AY1358" s="3" t="s">
        <v>14023</v>
      </c>
      <c r="AZ1358" s="3" t="s">
        <v>14024</v>
      </c>
      <c r="BA1358" s="3" t="s">
        <v>14024</v>
      </c>
      <c r="BB1358" s="3" t="s">
        <v>14025</v>
      </c>
      <c r="BC1358" s="3" t="s">
        <v>78</v>
      </c>
      <c r="BD1358" s="3" t="s">
        <v>79</v>
      </c>
      <c r="BE1358" s="3" t="s">
        <v>14026</v>
      </c>
      <c r="BF1358" s="3" t="s">
        <v>14025</v>
      </c>
      <c r="BG1358" s="3" t="s">
        <v>14027</v>
      </c>
    </row>
    <row r="1359" spans="1:59" ht="58" x14ac:dyDescent="0.35">
      <c r="A1359" s="2" t="s">
        <v>59</v>
      </c>
      <c r="B1359" s="2" t="s">
        <v>94</v>
      </c>
      <c r="C1359" s="2" t="s">
        <v>14028</v>
      </c>
      <c r="D1359" s="2" t="s">
        <v>14029</v>
      </c>
      <c r="E1359" s="2" t="s">
        <v>14030</v>
      </c>
      <c r="G1359" s="3" t="s">
        <v>64</v>
      </c>
      <c r="I1359" s="3" t="s">
        <v>64</v>
      </c>
      <c r="J1359" s="3" t="s">
        <v>64</v>
      </c>
      <c r="K1359" s="3" t="s">
        <v>65</v>
      </c>
      <c r="L1359" s="2" t="s">
        <v>14031</v>
      </c>
      <c r="M1359" s="2" t="s">
        <v>14032</v>
      </c>
      <c r="N1359" s="3" t="s">
        <v>422</v>
      </c>
      <c r="P1359" s="3" t="s">
        <v>69</v>
      </c>
      <c r="Q1359" s="2" t="s">
        <v>14033</v>
      </c>
      <c r="R1359" s="3" t="s">
        <v>9228</v>
      </c>
      <c r="S1359" s="4">
        <v>8</v>
      </c>
      <c r="T1359" s="4">
        <v>8</v>
      </c>
      <c r="U1359" s="5" t="s">
        <v>12331</v>
      </c>
      <c r="V1359" s="5" t="s">
        <v>12331</v>
      </c>
      <c r="W1359" s="5" t="s">
        <v>72</v>
      </c>
      <c r="X1359" s="5" t="s">
        <v>72</v>
      </c>
      <c r="Y1359" s="4">
        <v>105</v>
      </c>
      <c r="Z1359" s="4">
        <v>12</v>
      </c>
      <c r="AA1359" s="4">
        <v>14</v>
      </c>
      <c r="AB1359" s="4">
        <v>2</v>
      </c>
      <c r="AC1359" s="4">
        <v>2</v>
      </c>
      <c r="AD1359" s="4">
        <v>35</v>
      </c>
      <c r="AE1359" s="4">
        <v>44</v>
      </c>
      <c r="AF1359" s="4">
        <v>0</v>
      </c>
      <c r="AG1359" s="4">
        <v>0</v>
      </c>
      <c r="AH1359" s="4">
        <v>29</v>
      </c>
      <c r="AI1359" s="4">
        <v>37</v>
      </c>
      <c r="AJ1359" s="4">
        <v>7</v>
      </c>
      <c r="AK1359" s="4">
        <v>8</v>
      </c>
      <c r="AL1359" s="4">
        <v>22</v>
      </c>
      <c r="AM1359" s="4">
        <v>25</v>
      </c>
      <c r="AN1359" s="4">
        <v>5</v>
      </c>
      <c r="AO1359" s="4">
        <v>5</v>
      </c>
      <c r="AP1359" s="4">
        <v>7</v>
      </c>
      <c r="AQ1359" s="4">
        <v>9</v>
      </c>
      <c r="AR1359" s="3" t="s">
        <v>64</v>
      </c>
      <c r="AS1359" s="3" t="s">
        <v>64</v>
      </c>
      <c r="AT1359" s="3" t="s">
        <v>73</v>
      </c>
      <c r="AU1359" s="6" t="str">
        <f>HYPERLINK("http://catalog.hathitrust.org/Record/004243998","HathiTrust Record")</f>
        <v>HathiTrust Record</v>
      </c>
      <c r="AV1359" s="6" t="str">
        <f>HYPERLINK("http://mcgill.on.worldcat.org/oclc/59501964","Catalog Record")</f>
        <v>Catalog Record</v>
      </c>
      <c r="AW1359" s="6" t="str">
        <f>HYPERLINK("http://www.worldcat.org/oclc/59501964","WorldCat Record")</f>
        <v>WorldCat Record</v>
      </c>
      <c r="AX1359" s="3" t="s">
        <v>14034</v>
      </c>
      <c r="AY1359" s="3" t="s">
        <v>14035</v>
      </c>
      <c r="AZ1359" s="3" t="s">
        <v>14036</v>
      </c>
      <c r="BA1359" s="3" t="s">
        <v>14036</v>
      </c>
      <c r="BB1359" s="3" t="s">
        <v>14037</v>
      </c>
      <c r="BC1359" s="3" t="s">
        <v>78</v>
      </c>
      <c r="BD1359" s="3" t="s">
        <v>79</v>
      </c>
      <c r="BE1359" s="3" t="s">
        <v>14038</v>
      </c>
      <c r="BF1359" s="3" t="s">
        <v>14037</v>
      </c>
      <c r="BG1359" s="3" t="s">
        <v>14039</v>
      </c>
    </row>
    <row r="1360" spans="1:59" ht="58" x14ac:dyDescent="0.35">
      <c r="A1360" s="2" t="s">
        <v>59</v>
      </c>
      <c r="B1360" s="2" t="s">
        <v>94</v>
      </c>
      <c r="C1360" s="2" t="s">
        <v>14040</v>
      </c>
      <c r="D1360" s="2" t="s">
        <v>14041</v>
      </c>
      <c r="E1360" s="2" t="s">
        <v>14042</v>
      </c>
      <c r="G1360" s="3" t="s">
        <v>64</v>
      </c>
      <c r="I1360" s="3" t="s">
        <v>64</v>
      </c>
      <c r="J1360" s="3" t="s">
        <v>64</v>
      </c>
      <c r="K1360" s="3" t="s">
        <v>65</v>
      </c>
      <c r="L1360" s="2" t="s">
        <v>14043</v>
      </c>
      <c r="M1360" s="2" t="s">
        <v>14044</v>
      </c>
      <c r="N1360" s="3" t="s">
        <v>2265</v>
      </c>
      <c r="P1360" s="3" t="s">
        <v>2192</v>
      </c>
      <c r="Q1360" s="2" t="s">
        <v>14045</v>
      </c>
      <c r="R1360" s="3" t="s">
        <v>9228</v>
      </c>
      <c r="S1360" s="4">
        <v>10</v>
      </c>
      <c r="T1360" s="4">
        <v>10</v>
      </c>
      <c r="U1360" s="5" t="s">
        <v>14046</v>
      </c>
      <c r="V1360" s="5" t="s">
        <v>14046</v>
      </c>
      <c r="W1360" s="5" t="s">
        <v>72</v>
      </c>
      <c r="X1360" s="5" t="s">
        <v>72</v>
      </c>
      <c r="Y1360" s="4">
        <v>169</v>
      </c>
      <c r="Z1360" s="4">
        <v>11</v>
      </c>
      <c r="AA1360" s="4">
        <v>13</v>
      </c>
      <c r="AB1360" s="4">
        <v>1</v>
      </c>
      <c r="AC1360" s="4">
        <v>1</v>
      </c>
      <c r="AD1360" s="4">
        <v>68</v>
      </c>
      <c r="AE1360" s="4">
        <v>70</v>
      </c>
      <c r="AF1360" s="4">
        <v>0</v>
      </c>
      <c r="AG1360" s="4">
        <v>0</v>
      </c>
      <c r="AH1360" s="4">
        <v>62</v>
      </c>
      <c r="AI1360" s="4">
        <v>64</v>
      </c>
      <c r="AJ1360" s="4">
        <v>9</v>
      </c>
      <c r="AK1360" s="4">
        <v>11</v>
      </c>
      <c r="AL1360" s="4">
        <v>40</v>
      </c>
      <c r="AM1360" s="4">
        <v>40</v>
      </c>
      <c r="AN1360" s="4">
        <v>0</v>
      </c>
      <c r="AO1360" s="4">
        <v>0</v>
      </c>
      <c r="AP1360" s="4">
        <v>9</v>
      </c>
      <c r="AQ1360" s="4">
        <v>11</v>
      </c>
      <c r="AR1360" s="3" t="s">
        <v>64</v>
      </c>
      <c r="AS1360" s="3" t="s">
        <v>64</v>
      </c>
      <c r="AT1360" s="3" t="s">
        <v>73</v>
      </c>
      <c r="AU1360" s="6" t="str">
        <f>HYPERLINK("http://catalog.hathitrust.org/Record/001620693","HathiTrust Record")</f>
        <v>HathiTrust Record</v>
      </c>
      <c r="AV1360" s="6" t="str">
        <f>HYPERLINK("http://mcgill.on.worldcat.org/oclc/602274","Catalog Record")</f>
        <v>Catalog Record</v>
      </c>
      <c r="AW1360" s="6" t="str">
        <f>HYPERLINK("http://www.worldcat.org/oclc/602274","WorldCat Record")</f>
        <v>WorldCat Record</v>
      </c>
      <c r="AX1360" s="3" t="s">
        <v>14047</v>
      </c>
      <c r="AY1360" s="3" t="s">
        <v>14048</v>
      </c>
      <c r="AZ1360" s="3" t="s">
        <v>14049</v>
      </c>
      <c r="BA1360" s="3" t="s">
        <v>14049</v>
      </c>
      <c r="BB1360" s="3" t="s">
        <v>14050</v>
      </c>
      <c r="BC1360" s="3" t="s">
        <v>78</v>
      </c>
      <c r="BD1360" s="3" t="s">
        <v>79</v>
      </c>
      <c r="BE1360" s="3" t="s">
        <v>14051</v>
      </c>
      <c r="BF1360" s="3" t="s">
        <v>14050</v>
      </c>
      <c r="BG1360" s="3" t="s">
        <v>14052</v>
      </c>
    </row>
    <row r="1361" spans="1:59" ht="58" x14ac:dyDescent="0.35">
      <c r="A1361" s="2" t="s">
        <v>59</v>
      </c>
      <c r="B1361" s="2" t="s">
        <v>94</v>
      </c>
      <c r="C1361" s="2" t="s">
        <v>14053</v>
      </c>
      <c r="D1361" s="2" t="s">
        <v>14054</v>
      </c>
      <c r="E1361" s="2" t="s">
        <v>14055</v>
      </c>
      <c r="G1361" s="3" t="s">
        <v>73</v>
      </c>
      <c r="I1361" s="3" t="s">
        <v>73</v>
      </c>
      <c r="J1361" s="3" t="s">
        <v>64</v>
      </c>
      <c r="K1361" s="3" t="s">
        <v>65</v>
      </c>
      <c r="L1361" s="2" t="s">
        <v>14056</v>
      </c>
      <c r="M1361" s="2" t="s">
        <v>14057</v>
      </c>
      <c r="N1361" s="3" t="s">
        <v>4513</v>
      </c>
      <c r="P1361" s="3" t="s">
        <v>2192</v>
      </c>
      <c r="R1361" s="3" t="s">
        <v>9228</v>
      </c>
      <c r="S1361" s="4">
        <v>5</v>
      </c>
      <c r="T1361" s="4">
        <v>15</v>
      </c>
      <c r="U1361" s="5" t="s">
        <v>846</v>
      </c>
      <c r="V1361" s="5" t="s">
        <v>846</v>
      </c>
      <c r="W1361" s="5" t="s">
        <v>72</v>
      </c>
      <c r="X1361" s="5" t="s">
        <v>72</v>
      </c>
      <c r="Y1361" s="4">
        <v>83</v>
      </c>
      <c r="Z1361" s="4">
        <v>5</v>
      </c>
      <c r="AA1361" s="4">
        <v>5</v>
      </c>
      <c r="AB1361" s="4">
        <v>1</v>
      </c>
      <c r="AC1361" s="4">
        <v>1</v>
      </c>
      <c r="AD1361" s="4">
        <v>47</v>
      </c>
      <c r="AE1361" s="4">
        <v>47</v>
      </c>
      <c r="AF1361" s="4">
        <v>0</v>
      </c>
      <c r="AG1361" s="4">
        <v>0</v>
      </c>
      <c r="AH1361" s="4">
        <v>44</v>
      </c>
      <c r="AI1361" s="4">
        <v>44</v>
      </c>
      <c r="AJ1361" s="4">
        <v>3</v>
      </c>
      <c r="AK1361" s="4">
        <v>3</v>
      </c>
      <c r="AL1361" s="4">
        <v>28</v>
      </c>
      <c r="AM1361" s="4">
        <v>28</v>
      </c>
      <c r="AN1361" s="4">
        <v>0</v>
      </c>
      <c r="AO1361" s="4">
        <v>0</v>
      </c>
      <c r="AP1361" s="4">
        <v>4</v>
      </c>
      <c r="AQ1361" s="4">
        <v>4</v>
      </c>
      <c r="AR1361" s="3" t="s">
        <v>64</v>
      </c>
      <c r="AS1361" s="3" t="s">
        <v>64</v>
      </c>
      <c r="AT1361" s="3" t="s">
        <v>73</v>
      </c>
      <c r="AU1361" s="6" t="str">
        <f>HYPERLINK("http://catalog.hathitrust.org/Record/001620694","HathiTrust Record")</f>
        <v>HathiTrust Record</v>
      </c>
      <c r="AV1361" s="6" t="str">
        <f>HYPERLINK("http://mcgill.on.worldcat.org/oclc/3923177","Catalog Record")</f>
        <v>Catalog Record</v>
      </c>
      <c r="AW1361" s="6" t="str">
        <f>HYPERLINK("http://www.worldcat.org/oclc/3923177","WorldCat Record")</f>
        <v>WorldCat Record</v>
      </c>
      <c r="AX1361" s="3" t="s">
        <v>14058</v>
      </c>
      <c r="AY1361" s="3" t="s">
        <v>14059</v>
      </c>
      <c r="AZ1361" s="3" t="s">
        <v>14060</v>
      </c>
      <c r="BA1361" s="3" t="s">
        <v>14060</v>
      </c>
      <c r="BB1361" s="3" t="s">
        <v>14061</v>
      </c>
      <c r="BC1361" s="3" t="s">
        <v>78</v>
      </c>
      <c r="BD1361" s="3" t="s">
        <v>79</v>
      </c>
      <c r="BF1361" s="3" t="s">
        <v>14061</v>
      </c>
      <c r="BG1361" s="3" t="s">
        <v>14062</v>
      </c>
    </row>
    <row r="1362" spans="1:59" ht="58" x14ac:dyDescent="0.35">
      <c r="A1362" s="2" t="s">
        <v>59</v>
      </c>
      <c r="B1362" s="2" t="s">
        <v>94</v>
      </c>
      <c r="C1362" s="2" t="s">
        <v>14053</v>
      </c>
      <c r="D1362" s="2" t="s">
        <v>14054</v>
      </c>
      <c r="E1362" s="2" t="s">
        <v>14055</v>
      </c>
      <c r="G1362" s="3" t="s">
        <v>73</v>
      </c>
      <c r="I1362" s="3" t="s">
        <v>73</v>
      </c>
      <c r="J1362" s="3" t="s">
        <v>64</v>
      </c>
      <c r="K1362" s="3" t="s">
        <v>65</v>
      </c>
      <c r="L1362" s="2" t="s">
        <v>14056</v>
      </c>
      <c r="M1362" s="2" t="s">
        <v>14057</v>
      </c>
      <c r="N1362" s="3" t="s">
        <v>4513</v>
      </c>
      <c r="P1362" s="3" t="s">
        <v>2192</v>
      </c>
      <c r="R1362" s="3" t="s">
        <v>9228</v>
      </c>
      <c r="S1362" s="4">
        <v>5</v>
      </c>
      <c r="T1362" s="4">
        <v>15</v>
      </c>
      <c r="U1362" s="5" t="s">
        <v>846</v>
      </c>
      <c r="V1362" s="5" t="s">
        <v>846</v>
      </c>
      <c r="W1362" s="5" t="s">
        <v>72</v>
      </c>
      <c r="X1362" s="5" t="s">
        <v>72</v>
      </c>
      <c r="Y1362" s="4">
        <v>83</v>
      </c>
      <c r="Z1362" s="4">
        <v>5</v>
      </c>
      <c r="AA1362" s="4">
        <v>5</v>
      </c>
      <c r="AB1362" s="4">
        <v>1</v>
      </c>
      <c r="AC1362" s="4">
        <v>1</v>
      </c>
      <c r="AD1362" s="4">
        <v>47</v>
      </c>
      <c r="AE1362" s="4">
        <v>47</v>
      </c>
      <c r="AF1362" s="4">
        <v>0</v>
      </c>
      <c r="AG1362" s="4">
        <v>0</v>
      </c>
      <c r="AH1362" s="4">
        <v>44</v>
      </c>
      <c r="AI1362" s="4">
        <v>44</v>
      </c>
      <c r="AJ1362" s="4">
        <v>3</v>
      </c>
      <c r="AK1362" s="4">
        <v>3</v>
      </c>
      <c r="AL1362" s="4">
        <v>28</v>
      </c>
      <c r="AM1362" s="4">
        <v>28</v>
      </c>
      <c r="AN1362" s="4">
        <v>0</v>
      </c>
      <c r="AO1362" s="4">
        <v>0</v>
      </c>
      <c r="AP1362" s="4">
        <v>4</v>
      </c>
      <c r="AQ1362" s="4">
        <v>4</v>
      </c>
      <c r="AR1362" s="3" t="s">
        <v>64</v>
      </c>
      <c r="AS1362" s="3" t="s">
        <v>64</v>
      </c>
      <c r="AT1362" s="3" t="s">
        <v>73</v>
      </c>
      <c r="AU1362" s="6" t="str">
        <f>HYPERLINK("http://catalog.hathitrust.org/Record/001620694","HathiTrust Record")</f>
        <v>HathiTrust Record</v>
      </c>
      <c r="AV1362" s="6" t="str">
        <f>HYPERLINK("http://mcgill.on.worldcat.org/oclc/3923177","Catalog Record")</f>
        <v>Catalog Record</v>
      </c>
      <c r="AW1362" s="6" t="str">
        <f>HYPERLINK("http://www.worldcat.org/oclc/3923177","WorldCat Record")</f>
        <v>WorldCat Record</v>
      </c>
      <c r="AX1362" s="3" t="s">
        <v>14058</v>
      </c>
      <c r="AY1362" s="3" t="s">
        <v>14059</v>
      </c>
      <c r="AZ1362" s="3" t="s">
        <v>14060</v>
      </c>
      <c r="BA1362" s="3" t="s">
        <v>14060</v>
      </c>
      <c r="BB1362" s="3" t="s">
        <v>14063</v>
      </c>
      <c r="BC1362" s="3" t="s">
        <v>78</v>
      </c>
      <c r="BD1362" s="3" t="s">
        <v>79</v>
      </c>
      <c r="BF1362" s="3" t="s">
        <v>14063</v>
      </c>
      <c r="BG1362" s="3" t="s">
        <v>14064</v>
      </c>
    </row>
    <row r="1363" spans="1:59" ht="58" x14ac:dyDescent="0.35">
      <c r="A1363" s="2" t="s">
        <v>59</v>
      </c>
      <c r="B1363" s="2" t="s">
        <v>94</v>
      </c>
      <c r="C1363" s="2" t="s">
        <v>14053</v>
      </c>
      <c r="D1363" s="2" t="s">
        <v>14054</v>
      </c>
      <c r="E1363" s="2" t="s">
        <v>14055</v>
      </c>
      <c r="G1363" s="3" t="s">
        <v>73</v>
      </c>
      <c r="I1363" s="3" t="s">
        <v>73</v>
      </c>
      <c r="J1363" s="3" t="s">
        <v>64</v>
      </c>
      <c r="K1363" s="3" t="s">
        <v>65</v>
      </c>
      <c r="L1363" s="2" t="s">
        <v>14056</v>
      </c>
      <c r="M1363" s="2" t="s">
        <v>14057</v>
      </c>
      <c r="N1363" s="3" t="s">
        <v>4513</v>
      </c>
      <c r="P1363" s="3" t="s">
        <v>2192</v>
      </c>
      <c r="R1363" s="3" t="s">
        <v>9228</v>
      </c>
      <c r="S1363" s="4">
        <v>5</v>
      </c>
      <c r="T1363" s="4">
        <v>15</v>
      </c>
      <c r="U1363" s="5" t="s">
        <v>846</v>
      </c>
      <c r="V1363" s="5" t="s">
        <v>846</v>
      </c>
      <c r="W1363" s="5" t="s">
        <v>72</v>
      </c>
      <c r="X1363" s="5" t="s">
        <v>72</v>
      </c>
      <c r="Y1363" s="4">
        <v>83</v>
      </c>
      <c r="Z1363" s="4">
        <v>5</v>
      </c>
      <c r="AA1363" s="4">
        <v>5</v>
      </c>
      <c r="AB1363" s="4">
        <v>1</v>
      </c>
      <c r="AC1363" s="4">
        <v>1</v>
      </c>
      <c r="AD1363" s="4">
        <v>47</v>
      </c>
      <c r="AE1363" s="4">
        <v>47</v>
      </c>
      <c r="AF1363" s="4">
        <v>0</v>
      </c>
      <c r="AG1363" s="4">
        <v>0</v>
      </c>
      <c r="AH1363" s="4">
        <v>44</v>
      </c>
      <c r="AI1363" s="4">
        <v>44</v>
      </c>
      <c r="AJ1363" s="4">
        <v>3</v>
      </c>
      <c r="AK1363" s="4">
        <v>3</v>
      </c>
      <c r="AL1363" s="4">
        <v>28</v>
      </c>
      <c r="AM1363" s="4">
        <v>28</v>
      </c>
      <c r="AN1363" s="4">
        <v>0</v>
      </c>
      <c r="AO1363" s="4">
        <v>0</v>
      </c>
      <c r="AP1363" s="4">
        <v>4</v>
      </c>
      <c r="AQ1363" s="4">
        <v>4</v>
      </c>
      <c r="AR1363" s="3" t="s">
        <v>64</v>
      </c>
      <c r="AS1363" s="3" t="s">
        <v>64</v>
      </c>
      <c r="AT1363" s="3" t="s">
        <v>73</v>
      </c>
      <c r="AU1363" s="6" t="str">
        <f>HYPERLINK("http://catalog.hathitrust.org/Record/001620694","HathiTrust Record")</f>
        <v>HathiTrust Record</v>
      </c>
      <c r="AV1363" s="6" t="str">
        <f>HYPERLINK("http://mcgill.on.worldcat.org/oclc/3923177","Catalog Record")</f>
        <v>Catalog Record</v>
      </c>
      <c r="AW1363" s="6" t="str">
        <f>HYPERLINK("http://www.worldcat.org/oclc/3923177","WorldCat Record")</f>
        <v>WorldCat Record</v>
      </c>
      <c r="AX1363" s="3" t="s">
        <v>14058</v>
      </c>
      <c r="AY1363" s="3" t="s">
        <v>14059</v>
      </c>
      <c r="AZ1363" s="3" t="s">
        <v>14060</v>
      </c>
      <c r="BA1363" s="3" t="s">
        <v>14060</v>
      </c>
      <c r="BB1363" s="3" t="s">
        <v>14065</v>
      </c>
      <c r="BC1363" s="3" t="s">
        <v>78</v>
      </c>
      <c r="BD1363" s="3" t="s">
        <v>414</v>
      </c>
      <c r="BF1363" s="3" t="s">
        <v>14065</v>
      </c>
      <c r="BG1363" s="3" t="s">
        <v>14066</v>
      </c>
    </row>
    <row r="1364" spans="1:59" ht="58" x14ac:dyDescent="0.35">
      <c r="A1364" s="2" t="s">
        <v>59</v>
      </c>
      <c r="B1364" s="2" t="s">
        <v>94</v>
      </c>
      <c r="C1364" s="2" t="s">
        <v>14067</v>
      </c>
      <c r="D1364" s="2" t="s">
        <v>14068</v>
      </c>
      <c r="E1364" s="2" t="s">
        <v>14069</v>
      </c>
      <c r="G1364" s="3" t="s">
        <v>64</v>
      </c>
      <c r="I1364" s="3" t="s">
        <v>64</v>
      </c>
      <c r="J1364" s="3" t="s">
        <v>64</v>
      </c>
      <c r="K1364" s="3" t="s">
        <v>65</v>
      </c>
      <c r="L1364" s="2" t="s">
        <v>14070</v>
      </c>
      <c r="M1364" s="2" t="s">
        <v>14071</v>
      </c>
      <c r="N1364" s="3" t="s">
        <v>1764</v>
      </c>
      <c r="P1364" s="3" t="s">
        <v>69</v>
      </c>
      <c r="R1364" s="3" t="s">
        <v>9228</v>
      </c>
      <c r="S1364" s="4">
        <v>12</v>
      </c>
      <c r="T1364" s="4">
        <v>12</v>
      </c>
      <c r="U1364" s="5" t="s">
        <v>13926</v>
      </c>
      <c r="V1364" s="5" t="s">
        <v>13926</v>
      </c>
      <c r="W1364" s="5" t="s">
        <v>72</v>
      </c>
      <c r="X1364" s="5" t="s">
        <v>72</v>
      </c>
      <c r="Y1364" s="4">
        <v>138</v>
      </c>
      <c r="Z1364" s="4">
        <v>14</v>
      </c>
      <c r="AA1364" s="4">
        <v>31</v>
      </c>
      <c r="AB1364" s="4">
        <v>1</v>
      </c>
      <c r="AC1364" s="4">
        <v>2</v>
      </c>
      <c r="AD1364" s="4">
        <v>33</v>
      </c>
      <c r="AE1364" s="4">
        <v>115</v>
      </c>
      <c r="AF1364" s="4">
        <v>0</v>
      </c>
      <c r="AG1364" s="4">
        <v>1</v>
      </c>
      <c r="AH1364" s="4">
        <v>28</v>
      </c>
      <c r="AI1364" s="4">
        <v>97</v>
      </c>
      <c r="AJ1364" s="4">
        <v>7</v>
      </c>
      <c r="AK1364" s="4">
        <v>18</v>
      </c>
      <c r="AL1364" s="4">
        <v>15</v>
      </c>
      <c r="AM1364" s="4">
        <v>55</v>
      </c>
      <c r="AN1364" s="4">
        <v>0</v>
      </c>
      <c r="AO1364" s="4">
        <v>0</v>
      </c>
      <c r="AP1364" s="4">
        <v>9</v>
      </c>
      <c r="AQ1364" s="4">
        <v>24</v>
      </c>
      <c r="AR1364" s="3" t="s">
        <v>64</v>
      </c>
      <c r="AS1364" s="3" t="s">
        <v>64</v>
      </c>
      <c r="AT1364" s="3" t="s">
        <v>73</v>
      </c>
      <c r="AU1364" s="6" t="str">
        <f>HYPERLINK("http://catalog.hathitrust.org/Record/000762818","HathiTrust Record")</f>
        <v>HathiTrust Record</v>
      </c>
      <c r="AV1364" s="6" t="str">
        <f>HYPERLINK("http://mcgill.on.worldcat.org/oclc/8321435","Catalog Record")</f>
        <v>Catalog Record</v>
      </c>
      <c r="AW1364" s="6" t="str">
        <f>HYPERLINK("http://www.worldcat.org/oclc/8321435","WorldCat Record")</f>
        <v>WorldCat Record</v>
      </c>
      <c r="AX1364" s="3" t="s">
        <v>14072</v>
      </c>
      <c r="AY1364" s="3" t="s">
        <v>14073</v>
      </c>
      <c r="AZ1364" s="3" t="s">
        <v>14074</v>
      </c>
      <c r="BA1364" s="3" t="s">
        <v>14074</v>
      </c>
      <c r="BB1364" s="3" t="s">
        <v>14075</v>
      </c>
      <c r="BC1364" s="3" t="s">
        <v>78</v>
      </c>
      <c r="BD1364" s="3" t="s">
        <v>79</v>
      </c>
      <c r="BE1364" s="3" t="s">
        <v>14076</v>
      </c>
      <c r="BF1364" s="3" t="s">
        <v>14075</v>
      </c>
      <c r="BG1364" s="3" t="s">
        <v>14077</v>
      </c>
    </row>
    <row r="1365" spans="1:59" ht="58" x14ac:dyDescent="0.35">
      <c r="A1365" s="2" t="s">
        <v>59</v>
      </c>
      <c r="B1365" s="2" t="s">
        <v>94</v>
      </c>
      <c r="C1365" s="2" t="s">
        <v>14078</v>
      </c>
      <c r="D1365" s="2" t="s">
        <v>14079</v>
      </c>
      <c r="E1365" s="2" t="s">
        <v>14080</v>
      </c>
      <c r="G1365" s="3" t="s">
        <v>64</v>
      </c>
      <c r="I1365" s="3" t="s">
        <v>64</v>
      </c>
      <c r="J1365" s="3" t="s">
        <v>64</v>
      </c>
      <c r="K1365" s="3" t="s">
        <v>65</v>
      </c>
      <c r="L1365" s="2" t="s">
        <v>14081</v>
      </c>
      <c r="M1365" s="2" t="s">
        <v>14082</v>
      </c>
      <c r="N1365" s="3" t="s">
        <v>1764</v>
      </c>
      <c r="P1365" s="3" t="s">
        <v>2192</v>
      </c>
      <c r="Q1365" s="2" t="s">
        <v>14083</v>
      </c>
      <c r="R1365" s="3" t="s">
        <v>9228</v>
      </c>
      <c r="S1365" s="4">
        <v>4</v>
      </c>
      <c r="T1365" s="4">
        <v>4</v>
      </c>
      <c r="U1365" s="5" t="s">
        <v>14084</v>
      </c>
      <c r="V1365" s="5" t="s">
        <v>14084</v>
      </c>
      <c r="W1365" s="5" t="s">
        <v>72</v>
      </c>
      <c r="X1365" s="5" t="s">
        <v>72</v>
      </c>
      <c r="Y1365" s="4">
        <v>123</v>
      </c>
      <c r="Z1365" s="4">
        <v>10</v>
      </c>
      <c r="AA1365" s="4">
        <v>10</v>
      </c>
      <c r="AB1365" s="4">
        <v>1</v>
      </c>
      <c r="AC1365" s="4">
        <v>1</v>
      </c>
      <c r="AD1365" s="4">
        <v>51</v>
      </c>
      <c r="AE1365" s="4">
        <v>51</v>
      </c>
      <c r="AF1365" s="4">
        <v>0</v>
      </c>
      <c r="AG1365" s="4">
        <v>0</v>
      </c>
      <c r="AH1365" s="4">
        <v>48</v>
      </c>
      <c r="AI1365" s="4">
        <v>48</v>
      </c>
      <c r="AJ1365" s="4">
        <v>7</v>
      </c>
      <c r="AK1365" s="4">
        <v>7</v>
      </c>
      <c r="AL1365" s="4">
        <v>31</v>
      </c>
      <c r="AM1365" s="4">
        <v>31</v>
      </c>
      <c r="AN1365" s="4">
        <v>0</v>
      </c>
      <c r="AO1365" s="4">
        <v>0</v>
      </c>
      <c r="AP1365" s="4">
        <v>7</v>
      </c>
      <c r="AQ1365" s="4">
        <v>7</v>
      </c>
      <c r="AR1365" s="3" t="s">
        <v>64</v>
      </c>
      <c r="AS1365" s="3" t="s">
        <v>64</v>
      </c>
      <c r="AT1365" s="3" t="s">
        <v>73</v>
      </c>
      <c r="AU1365" s="6" t="str">
        <f>HYPERLINK("http://catalog.hathitrust.org/Record/000559411","HathiTrust Record")</f>
        <v>HathiTrust Record</v>
      </c>
      <c r="AV1365" s="6" t="str">
        <f>HYPERLINK("http://mcgill.on.worldcat.org/oclc/8830903","Catalog Record")</f>
        <v>Catalog Record</v>
      </c>
      <c r="AW1365" s="6" t="str">
        <f>HYPERLINK("http://www.worldcat.org/oclc/8830903","WorldCat Record")</f>
        <v>WorldCat Record</v>
      </c>
      <c r="AX1365" s="3" t="s">
        <v>14085</v>
      </c>
      <c r="AY1365" s="3" t="s">
        <v>14086</v>
      </c>
      <c r="AZ1365" s="3" t="s">
        <v>14087</v>
      </c>
      <c r="BA1365" s="3" t="s">
        <v>14087</v>
      </c>
      <c r="BB1365" s="3" t="s">
        <v>14088</v>
      </c>
      <c r="BC1365" s="3" t="s">
        <v>78</v>
      </c>
      <c r="BD1365" s="3" t="s">
        <v>79</v>
      </c>
      <c r="BE1365" s="3" t="s">
        <v>14089</v>
      </c>
      <c r="BF1365" s="3" t="s">
        <v>14088</v>
      </c>
      <c r="BG1365" s="3" t="s">
        <v>14090</v>
      </c>
    </row>
    <row r="1366" spans="1:59" ht="58" x14ac:dyDescent="0.35">
      <c r="A1366" s="2" t="s">
        <v>59</v>
      </c>
      <c r="B1366" s="2" t="s">
        <v>94</v>
      </c>
      <c r="C1366" s="2" t="s">
        <v>14091</v>
      </c>
      <c r="D1366" s="2" t="s">
        <v>14092</v>
      </c>
      <c r="E1366" s="2" t="s">
        <v>14093</v>
      </c>
      <c r="G1366" s="3" t="s">
        <v>64</v>
      </c>
      <c r="I1366" s="3" t="s">
        <v>64</v>
      </c>
      <c r="J1366" s="3" t="s">
        <v>64</v>
      </c>
      <c r="K1366" s="3" t="s">
        <v>65</v>
      </c>
      <c r="L1366" s="2" t="s">
        <v>14094</v>
      </c>
      <c r="M1366" s="2" t="s">
        <v>3168</v>
      </c>
      <c r="N1366" s="3" t="s">
        <v>328</v>
      </c>
      <c r="P1366" s="3" t="s">
        <v>69</v>
      </c>
      <c r="Q1366" s="2" t="s">
        <v>14095</v>
      </c>
      <c r="R1366" s="3" t="s">
        <v>9228</v>
      </c>
      <c r="S1366" s="4">
        <v>2</v>
      </c>
      <c r="T1366" s="4">
        <v>2</v>
      </c>
      <c r="U1366" s="5" t="s">
        <v>14009</v>
      </c>
      <c r="V1366" s="5" t="s">
        <v>14009</v>
      </c>
      <c r="W1366" s="5" t="s">
        <v>72</v>
      </c>
      <c r="X1366" s="5" t="s">
        <v>72</v>
      </c>
      <c r="Y1366" s="4">
        <v>119</v>
      </c>
      <c r="Z1366" s="4">
        <v>14</v>
      </c>
      <c r="AA1366" s="4">
        <v>14</v>
      </c>
      <c r="AB1366" s="4">
        <v>1</v>
      </c>
      <c r="AC1366" s="4">
        <v>1</v>
      </c>
      <c r="AD1366" s="4">
        <v>57</v>
      </c>
      <c r="AE1366" s="4">
        <v>57</v>
      </c>
      <c r="AF1366" s="4">
        <v>0</v>
      </c>
      <c r="AG1366" s="4">
        <v>0</v>
      </c>
      <c r="AH1366" s="4">
        <v>52</v>
      </c>
      <c r="AI1366" s="4">
        <v>52</v>
      </c>
      <c r="AJ1366" s="4">
        <v>9</v>
      </c>
      <c r="AK1366" s="4">
        <v>9</v>
      </c>
      <c r="AL1366" s="4">
        <v>33</v>
      </c>
      <c r="AM1366" s="4">
        <v>33</v>
      </c>
      <c r="AN1366" s="4">
        <v>0</v>
      </c>
      <c r="AO1366" s="4">
        <v>0</v>
      </c>
      <c r="AP1366" s="4">
        <v>10</v>
      </c>
      <c r="AQ1366" s="4">
        <v>10</v>
      </c>
      <c r="AR1366" s="3" t="s">
        <v>64</v>
      </c>
      <c r="AS1366" s="3" t="s">
        <v>64</v>
      </c>
      <c r="AT1366" s="3" t="s">
        <v>64</v>
      </c>
      <c r="AV1366" s="6" t="str">
        <f>HYPERLINK("http://mcgill.on.worldcat.org/oclc/651077835","Catalog Record")</f>
        <v>Catalog Record</v>
      </c>
      <c r="AW1366" s="6" t="str">
        <f>HYPERLINK("http://www.worldcat.org/oclc/651077835","WorldCat Record")</f>
        <v>WorldCat Record</v>
      </c>
      <c r="AX1366" s="3" t="s">
        <v>14096</v>
      </c>
      <c r="AY1366" s="3" t="s">
        <v>14097</v>
      </c>
      <c r="AZ1366" s="3" t="s">
        <v>14098</v>
      </c>
      <c r="BA1366" s="3" t="s">
        <v>14098</v>
      </c>
      <c r="BB1366" s="3" t="s">
        <v>14099</v>
      </c>
      <c r="BC1366" s="3" t="s">
        <v>78</v>
      </c>
      <c r="BD1366" s="3" t="s">
        <v>79</v>
      </c>
      <c r="BE1366" s="3" t="s">
        <v>14100</v>
      </c>
      <c r="BF1366" s="3" t="s">
        <v>14099</v>
      </c>
      <c r="BG1366" s="3" t="s">
        <v>14101</v>
      </c>
    </row>
    <row r="1367" spans="1:59" ht="58" x14ac:dyDescent="0.35">
      <c r="A1367" s="2" t="s">
        <v>59</v>
      </c>
      <c r="B1367" s="2" t="s">
        <v>94</v>
      </c>
      <c r="C1367" s="2" t="s">
        <v>14102</v>
      </c>
      <c r="D1367" s="2" t="s">
        <v>14103</v>
      </c>
      <c r="E1367" s="2" t="s">
        <v>14104</v>
      </c>
      <c r="G1367" s="3" t="s">
        <v>64</v>
      </c>
      <c r="I1367" s="3" t="s">
        <v>64</v>
      </c>
      <c r="J1367" s="3" t="s">
        <v>64</v>
      </c>
      <c r="K1367" s="3" t="s">
        <v>65</v>
      </c>
      <c r="L1367" s="2" t="s">
        <v>1292</v>
      </c>
      <c r="M1367" s="2" t="s">
        <v>14105</v>
      </c>
      <c r="N1367" s="3" t="s">
        <v>1764</v>
      </c>
      <c r="P1367" s="3" t="s">
        <v>69</v>
      </c>
      <c r="Q1367" s="2" t="s">
        <v>14106</v>
      </c>
      <c r="R1367" s="3" t="s">
        <v>9228</v>
      </c>
      <c r="S1367" s="4">
        <v>18</v>
      </c>
      <c r="T1367" s="4">
        <v>18</v>
      </c>
      <c r="U1367" s="5" t="s">
        <v>14107</v>
      </c>
      <c r="V1367" s="5" t="s">
        <v>14107</v>
      </c>
      <c r="W1367" s="5" t="s">
        <v>72</v>
      </c>
      <c r="X1367" s="5" t="s">
        <v>72</v>
      </c>
      <c r="Y1367" s="4">
        <v>481</v>
      </c>
      <c r="Z1367" s="4">
        <v>22</v>
      </c>
      <c r="AA1367" s="4">
        <v>27</v>
      </c>
      <c r="AB1367" s="4">
        <v>2</v>
      </c>
      <c r="AC1367" s="4">
        <v>2</v>
      </c>
      <c r="AD1367" s="4">
        <v>102</v>
      </c>
      <c r="AE1367" s="4">
        <v>108</v>
      </c>
      <c r="AF1367" s="4">
        <v>1</v>
      </c>
      <c r="AG1367" s="4">
        <v>1</v>
      </c>
      <c r="AH1367" s="4">
        <v>93</v>
      </c>
      <c r="AI1367" s="4">
        <v>96</v>
      </c>
      <c r="AJ1367" s="4">
        <v>10</v>
      </c>
      <c r="AK1367" s="4">
        <v>14</v>
      </c>
      <c r="AL1367" s="4">
        <v>51</v>
      </c>
      <c r="AM1367" s="4">
        <v>52</v>
      </c>
      <c r="AN1367" s="4">
        <v>0</v>
      </c>
      <c r="AO1367" s="4">
        <v>0</v>
      </c>
      <c r="AP1367" s="4">
        <v>15</v>
      </c>
      <c r="AQ1367" s="4">
        <v>20</v>
      </c>
      <c r="AR1367" s="3" t="s">
        <v>64</v>
      </c>
      <c r="AS1367" s="3" t="s">
        <v>64</v>
      </c>
      <c r="AT1367" s="3" t="s">
        <v>73</v>
      </c>
      <c r="AU1367" s="6" t="str">
        <f>HYPERLINK("http://catalog.hathitrust.org/Record/000309606","HathiTrust Record")</f>
        <v>HathiTrust Record</v>
      </c>
      <c r="AV1367" s="6" t="str">
        <f>HYPERLINK("http://mcgill.on.worldcat.org/oclc/8115198","Catalog Record")</f>
        <v>Catalog Record</v>
      </c>
      <c r="AW1367" s="6" t="str">
        <f>HYPERLINK("http://www.worldcat.org/oclc/8115198","WorldCat Record")</f>
        <v>WorldCat Record</v>
      </c>
      <c r="AX1367" s="3" t="s">
        <v>14108</v>
      </c>
      <c r="AY1367" s="3" t="s">
        <v>14109</v>
      </c>
      <c r="AZ1367" s="3" t="s">
        <v>14110</v>
      </c>
      <c r="BA1367" s="3" t="s">
        <v>14110</v>
      </c>
      <c r="BB1367" s="3" t="s">
        <v>14111</v>
      </c>
      <c r="BC1367" s="3" t="s">
        <v>78</v>
      </c>
      <c r="BD1367" s="3" t="s">
        <v>79</v>
      </c>
      <c r="BE1367" s="3" t="s">
        <v>14112</v>
      </c>
      <c r="BF1367" s="3" t="s">
        <v>14111</v>
      </c>
      <c r="BG1367" s="3" t="s">
        <v>14113</v>
      </c>
    </row>
    <row r="1368" spans="1:59" ht="58" x14ac:dyDescent="0.35">
      <c r="A1368" s="2" t="s">
        <v>59</v>
      </c>
      <c r="B1368" s="2" t="s">
        <v>94</v>
      </c>
      <c r="C1368" s="2" t="s">
        <v>14114</v>
      </c>
      <c r="D1368" s="2" t="s">
        <v>14115</v>
      </c>
      <c r="E1368" s="2" t="s">
        <v>14116</v>
      </c>
      <c r="G1368" s="3" t="s">
        <v>64</v>
      </c>
      <c r="I1368" s="3" t="s">
        <v>64</v>
      </c>
      <c r="J1368" s="3" t="s">
        <v>64</v>
      </c>
      <c r="K1368" s="3" t="s">
        <v>65</v>
      </c>
      <c r="L1368" s="2" t="s">
        <v>14117</v>
      </c>
      <c r="M1368" s="2" t="s">
        <v>14118</v>
      </c>
      <c r="N1368" s="3" t="s">
        <v>377</v>
      </c>
      <c r="P1368" s="3" t="s">
        <v>69</v>
      </c>
      <c r="R1368" s="3" t="s">
        <v>9228</v>
      </c>
      <c r="S1368" s="4">
        <v>1</v>
      </c>
      <c r="T1368" s="4">
        <v>1</v>
      </c>
      <c r="U1368" s="5" t="s">
        <v>13429</v>
      </c>
      <c r="V1368" s="5" t="s">
        <v>13429</v>
      </c>
      <c r="W1368" s="5" t="s">
        <v>72</v>
      </c>
      <c r="X1368" s="5" t="s">
        <v>72</v>
      </c>
      <c r="Y1368" s="4">
        <v>82</v>
      </c>
      <c r="Z1368" s="4">
        <v>6</v>
      </c>
      <c r="AA1368" s="4">
        <v>35</v>
      </c>
      <c r="AB1368" s="4">
        <v>1</v>
      </c>
      <c r="AC1368" s="4">
        <v>3</v>
      </c>
      <c r="AD1368" s="4">
        <v>33</v>
      </c>
      <c r="AE1368" s="4">
        <v>42</v>
      </c>
      <c r="AF1368" s="4">
        <v>0</v>
      </c>
      <c r="AG1368" s="4">
        <v>0</v>
      </c>
      <c r="AH1368" s="4">
        <v>31</v>
      </c>
      <c r="AI1368" s="4">
        <v>32</v>
      </c>
      <c r="AJ1368" s="4">
        <v>2</v>
      </c>
      <c r="AK1368" s="4">
        <v>4</v>
      </c>
      <c r="AL1368" s="4">
        <v>22</v>
      </c>
      <c r="AM1368" s="4">
        <v>23</v>
      </c>
      <c r="AN1368" s="4">
        <v>0</v>
      </c>
      <c r="AO1368" s="4">
        <v>0</v>
      </c>
      <c r="AP1368" s="4">
        <v>3</v>
      </c>
      <c r="AQ1368" s="4">
        <v>10</v>
      </c>
      <c r="AR1368" s="3" t="s">
        <v>64</v>
      </c>
      <c r="AS1368" s="3" t="s">
        <v>64</v>
      </c>
      <c r="AT1368" s="3" t="s">
        <v>64</v>
      </c>
      <c r="AV1368" s="6" t="str">
        <f>HYPERLINK("http://mcgill.on.worldcat.org/oclc/773666397","Catalog Record")</f>
        <v>Catalog Record</v>
      </c>
      <c r="AW1368" s="6" t="str">
        <f>HYPERLINK("http://www.worldcat.org/oclc/773666397","WorldCat Record")</f>
        <v>WorldCat Record</v>
      </c>
      <c r="AX1368" s="3" t="s">
        <v>14119</v>
      </c>
      <c r="AY1368" s="3" t="s">
        <v>14120</v>
      </c>
      <c r="AZ1368" s="3" t="s">
        <v>14121</v>
      </c>
      <c r="BA1368" s="3" t="s">
        <v>14121</v>
      </c>
      <c r="BB1368" s="3" t="s">
        <v>14122</v>
      </c>
      <c r="BC1368" s="3" t="s">
        <v>78</v>
      </c>
      <c r="BD1368" s="3" t="s">
        <v>79</v>
      </c>
      <c r="BE1368" s="3" t="s">
        <v>14123</v>
      </c>
      <c r="BF1368" s="3" t="s">
        <v>14122</v>
      </c>
      <c r="BG1368" s="3" t="s">
        <v>14124</v>
      </c>
    </row>
    <row r="1369" spans="1:59" ht="58" x14ac:dyDescent="0.35">
      <c r="A1369" s="2" t="s">
        <v>59</v>
      </c>
      <c r="B1369" s="2" t="s">
        <v>94</v>
      </c>
      <c r="C1369" s="2" t="s">
        <v>14125</v>
      </c>
      <c r="D1369" s="2" t="s">
        <v>14126</v>
      </c>
      <c r="E1369" s="2" t="s">
        <v>14127</v>
      </c>
      <c r="G1369" s="3" t="s">
        <v>64</v>
      </c>
      <c r="I1369" s="3" t="s">
        <v>64</v>
      </c>
      <c r="J1369" s="3" t="s">
        <v>64</v>
      </c>
      <c r="K1369" s="3" t="s">
        <v>65</v>
      </c>
      <c r="L1369" s="2" t="s">
        <v>14128</v>
      </c>
      <c r="M1369" s="2" t="s">
        <v>14129</v>
      </c>
      <c r="N1369" s="3" t="s">
        <v>719</v>
      </c>
      <c r="O1369" s="2" t="s">
        <v>14130</v>
      </c>
      <c r="P1369" s="3" t="s">
        <v>2192</v>
      </c>
      <c r="R1369" s="3" t="s">
        <v>9228</v>
      </c>
      <c r="S1369" s="4">
        <v>3</v>
      </c>
      <c r="T1369" s="4">
        <v>3</v>
      </c>
      <c r="U1369" s="5" t="s">
        <v>14131</v>
      </c>
      <c r="V1369" s="5" t="s">
        <v>14131</v>
      </c>
      <c r="W1369" s="5" t="s">
        <v>72</v>
      </c>
      <c r="X1369" s="5" t="s">
        <v>72</v>
      </c>
      <c r="Y1369" s="4">
        <v>2</v>
      </c>
      <c r="Z1369" s="4">
        <v>1</v>
      </c>
      <c r="AA1369" s="4">
        <v>2</v>
      </c>
      <c r="AB1369" s="4">
        <v>1</v>
      </c>
      <c r="AC1369" s="4">
        <v>1</v>
      </c>
      <c r="AD1369" s="4">
        <v>0</v>
      </c>
      <c r="AE1369" s="4">
        <v>0</v>
      </c>
      <c r="AF1369" s="4">
        <v>0</v>
      </c>
      <c r="AG1369" s="4">
        <v>0</v>
      </c>
      <c r="AH1369" s="4">
        <v>0</v>
      </c>
      <c r="AI1369" s="4">
        <v>0</v>
      </c>
      <c r="AJ1369" s="4">
        <v>0</v>
      </c>
      <c r="AK1369" s="4">
        <v>0</v>
      </c>
      <c r="AL1369" s="4">
        <v>0</v>
      </c>
      <c r="AM1369" s="4">
        <v>0</v>
      </c>
      <c r="AN1369" s="4">
        <v>0</v>
      </c>
      <c r="AO1369" s="4">
        <v>0</v>
      </c>
      <c r="AP1369" s="4">
        <v>0</v>
      </c>
      <c r="AQ1369" s="4">
        <v>0</v>
      </c>
      <c r="AR1369" s="3" t="s">
        <v>64</v>
      </c>
      <c r="AS1369" s="3" t="s">
        <v>64</v>
      </c>
      <c r="AT1369" s="3" t="s">
        <v>64</v>
      </c>
      <c r="AV1369" s="6" t="str">
        <f>HYPERLINK("http://mcgill.on.worldcat.org/oclc/61555729","Catalog Record")</f>
        <v>Catalog Record</v>
      </c>
      <c r="AW1369" s="6" t="str">
        <f>HYPERLINK("http://www.worldcat.org/oclc/61555729","WorldCat Record")</f>
        <v>WorldCat Record</v>
      </c>
      <c r="AX1369" s="3" t="s">
        <v>14132</v>
      </c>
      <c r="AY1369" s="3" t="s">
        <v>14133</v>
      </c>
      <c r="AZ1369" s="3" t="s">
        <v>14134</v>
      </c>
      <c r="BA1369" s="3" t="s">
        <v>14134</v>
      </c>
      <c r="BB1369" s="3" t="s">
        <v>14135</v>
      </c>
      <c r="BC1369" s="3" t="s">
        <v>78</v>
      </c>
      <c r="BD1369" s="3" t="s">
        <v>79</v>
      </c>
      <c r="BF1369" s="3" t="s">
        <v>14135</v>
      </c>
      <c r="BG1369" s="3" t="s">
        <v>14136</v>
      </c>
    </row>
    <row r="1370" spans="1:59" ht="58" x14ac:dyDescent="0.35">
      <c r="A1370" s="2" t="s">
        <v>59</v>
      </c>
      <c r="B1370" s="2" t="s">
        <v>94</v>
      </c>
      <c r="C1370" s="2" t="s">
        <v>14137</v>
      </c>
      <c r="D1370" s="2" t="s">
        <v>14138</v>
      </c>
      <c r="E1370" s="2" t="s">
        <v>14139</v>
      </c>
      <c r="F1370" s="3" t="s">
        <v>388</v>
      </c>
      <c r="G1370" s="3" t="s">
        <v>73</v>
      </c>
      <c r="I1370" s="3" t="s">
        <v>64</v>
      </c>
      <c r="J1370" s="3" t="s">
        <v>64</v>
      </c>
      <c r="K1370" s="3" t="s">
        <v>65</v>
      </c>
      <c r="L1370" s="2" t="s">
        <v>14140</v>
      </c>
      <c r="M1370" s="2" t="s">
        <v>14141</v>
      </c>
      <c r="N1370" s="3" t="s">
        <v>315</v>
      </c>
      <c r="P1370" s="3" t="s">
        <v>69</v>
      </c>
      <c r="Q1370" s="2" t="s">
        <v>14142</v>
      </c>
      <c r="R1370" s="3" t="s">
        <v>9228</v>
      </c>
      <c r="S1370" s="4">
        <v>20</v>
      </c>
      <c r="T1370" s="4">
        <v>44</v>
      </c>
      <c r="U1370" s="5" t="s">
        <v>14143</v>
      </c>
      <c r="V1370" s="5" t="s">
        <v>14144</v>
      </c>
      <c r="W1370" s="5" t="s">
        <v>72</v>
      </c>
      <c r="X1370" s="5" t="s">
        <v>72</v>
      </c>
      <c r="Y1370" s="4">
        <v>646</v>
      </c>
      <c r="Z1370" s="4">
        <v>40</v>
      </c>
      <c r="AA1370" s="4">
        <v>44</v>
      </c>
      <c r="AB1370" s="4">
        <v>1</v>
      </c>
      <c r="AC1370" s="4">
        <v>4</v>
      </c>
      <c r="AD1370" s="4">
        <v>127</v>
      </c>
      <c r="AE1370" s="4">
        <v>130</v>
      </c>
      <c r="AF1370" s="4">
        <v>0</v>
      </c>
      <c r="AG1370" s="4">
        <v>2</v>
      </c>
      <c r="AH1370" s="4">
        <v>103</v>
      </c>
      <c r="AI1370" s="4">
        <v>103</v>
      </c>
      <c r="AJ1370" s="4">
        <v>18</v>
      </c>
      <c r="AK1370" s="4">
        <v>20</v>
      </c>
      <c r="AL1370" s="4">
        <v>60</v>
      </c>
      <c r="AM1370" s="4">
        <v>60</v>
      </c>
      <c r="AN1370" s="4">
        <v>0</v>
      </c>
      <c r="AO1370" s="4">
        <v>0</v>
      </c>
      <c r="AP1370" s="4">
        <v>28</v>
      </c>
      <c r="AQ1370" s="4">
        <v>30</v>
      </c>
      <c r="AR1370" s="3" t="s">
        <v>64</v>
      </c>
      <c r="AS1370" s="3" t="s">
        <v>64</v>
      </c>
      <c r="AT1370" s="3" t="s">
        <v>64</v>
      </c>
      <c r="AV1370" s="6" t="str">
        <f>HYPERLINK("http://mcgill.on.worldcat.org/oclc/14818459","Catalog Record")</f>
        <v>Catalog Record</v>
      </c>
      <c r="AW1370" s="6" t="str">
        <f>HYPERLINK("http://www.worldcat.org/oclc/14818459","WorldCat Record")</f>
        <v>WorldCat Record</v>
      </c>
      <c r="AX1370" s="3" t="s">
        <v>14145</v>
      </c>
      <c r="AY1370" s="3" t="s">
        <v>14146</v>
      </c>
      <c r="AZ1370" s="3" t="s">
        <v>14147</v>
      </c>
      <c r="BA1370" s="3" t="s">
        <v>14147</v>
      </c>
      <c r="BB1370" s="3" t="s">
        <v>14148</v>
      </c>
      <c r="BC1370" s="3" t="s">
        <v>78</v>
      </c>
      <c r="BD1370" s="3" t="s">
        <v>414</v>
      </c>
      <c r="BE1370" s="3" t="s">
        <v>14149</v>
      </c>
      <c r="BF1370" s="3" t="s">
        <v>14148</v>
      </c>
      <c r="BG1370" s="3" t="s">
        <v>14150</v>
      </c>
    </row>
    <row r="1371" spans="1:59" ht="58" x14ac:dyDescent="0.35">
      <c r="A1371" s="2" t="s">
        <v>59</v>
      </c>
      <c r="B1371" s="2" t="s">
        <v>94</v>
      </c>
      <c r="C1371" s="2" t="s">
        <v>14137</v>
      </c>
      <c r="D1371" s="2" t="s">
        <v>14138</v>
      </c>
      <c r="E1371" s="2" t="s">
        <v>14139</v>
      </c>
      <c r="F1371" s="3" t="s">
        <v>399</v>
      </c>
      <c r="G1371" s="3" t="s">
        <v>73</v>
      </c>
      <c r="I1371" s="3" t="s">
        <v>64</v>
      </c>
      <c r="J1371" s="3" t="s">
        <v>64</v>
      </c>
      <c r="K1371" s="3" t="s">
        <v>65</v>
      </c>
      <c r="L1371" s="2" t="s">
        <v>14140</v>
      </c>
      <c r="M1371" s="2" t="s">
        <v>14141</v>
      </c>
      <c r="N1371" s="3" t="s">
        <v>315</v>
      </c>
      <c r="P1371" s="3" t="s">
        <v>69</v>
      </c>
      <c r="Q1371" s="2" t="s">
        <v>14142</v>
      </c>
      <c r="R1371" s="3" t="s">
        <v>9228</v>
      </c>
      <c r="S1371" s="4">
        <v>24</v>
      </c>
      <c r="T1371" s="4">
        <v>44</v>
      </c>
      <c r="U1371" s="5" t="s">
        <v>14144</v>
      </c>
      <c r="V1371" s="5" t="s">
        <v>14144</v>
      </c>
      <c r="W1371" s="5" t="s">
        <v>72</v>
      </c>
      <c r="X1371" s="5" t="s">
        <v>72</v>
      </c>
      <c r="Y1371" s="4">
        <v>646</v>
      </c>
      <c r="Z1371" s="4">
        <v>40</v>
      </c>
      <c r="AA1371" s="4">
        <v>44</v>
      </c>
      <c r="AB1371" s="4">
        <v>1</v>
      </c>
      <c r="AC1371" s="4">
        <v>4</v>
      </c>
      <c r="AD1371" s="4">
        <v>127</v>
      </c>
      <c r="AE1371" s="4">
        <v>130</v>
      </c>
      <c r="AF1371" s="4">
        <v>0</v>
      </c>
      <c r="AG1371" s="4">
        <v>2</v>
      </c>
      <c r="AH1371" s="4">
        <v>103</v>
      </c>
      <c r="AI1371" s="4">
        <v>103</v>
      </c>
      <c r="AJ1371" s="4">
        <v>18</v>
      </c>
      <c r="AK1371" s="4">
        <v>20</v>
      </c>
      <c r="AL1371" s="4">
        <v>60</v>
      </c>
      <c r="AM1371" s="4">
        <v>60</v>
      </c>
      <c r="AN1371" s="4">
        <v>0</v>
      </c>
      <c r="AO1371" s="4">
        <v>0</v>
      </c>
      <c r="AP1371" s="4">
        <v>28</v>
      </c>
      <c r="AQ1371" s="4">
        <v>30</v>
      </c>
      <c r="AR1371" s="3" t="s">
        <v>64</v>
      </c>
      <c r="AS1371" s="3" t="s">
        <v>64</v>
      </c>
      <c r="AT1371" s="3" t="s">
        <v>64</v>
      </c>
      <c r="AV1371" s="6" t="str">
        <f>HYPERLINK("http://mcgill.on.worldcat.org/oclc/14818459","Catalog Record")</f>
        <v>Catalog Record</v>
      </c>
      <c r="AW1371" s="6" t="str">
        <f>HYPERLINK("http://www.worldcat.org/oclc/14818459","WorldCat Record")</f>
        <v>WorldCat Record</v>
      </c>
      <c r="AX1371" s="3" t="s">
        <v>14145</v>
      </c>
      <c r="AY1371" s="3" t="s">
        <v>14146</v>
      </c>
      <c r="AZ1371" s="3" t="s">
        <v>14147</v>
      </c>
      <c r="BA1371" s="3" t="s">
        <v>14147</v>
      </c>
      <c r="BB1371" s="3" t="s">
        <v>14151</v>
      </c>
      <c r="BC1371" s="3" t="s">
        <v>78</v>
      </c>
      <c r="BD1371" s="3" t="s">
        <v>414</v>
      </c>
      <c r="BE1371" s="3" t="s">
        <v>14149</v>
      </c>
      <c r="BF1371" s="3" t="s">
        <v>14151</v>
      </c>
      <c r="BG1371" s="3" t="s">
        <v>14152</v>
      </c>
    </row>
    <row r="1372" spans="1:59" ht="72.5" x14ac:dyDescent="0.35">
      <c r="A1372" s="2" t="s">
        <v>59</v>
      </c>
      <c r="B1372" s="2" t="s">
        <v>94</v>
      </c>
      <c r="C1372" s="2" t="s">
        <v>14153</v>
      </c>
      <c r="D1372" s="2" t="s">
        <v>14154</v>
      </c>
      <c r="E1372" s="2" t="s">
        <v>14155</v>
      </c>
      <c r="G1372" s="3" t="s">
        <v>64</v>
      </c>
      <c r="I1372" s="3" t="s">
        <v>64</v>
      </c>
      <c r="J1372" s="3" t="s">
        <v>64</v>
      </c>
      <c r="K1372" s="3" t="s">
        <v>65</v>
      </c>
      <c r="L1372" s="2" t="s">
        <v>14156</v>
      </c>
      <c r="M1372" s="2" t="s">
        <v>14157</v>
      </c>
      <c r="N1372" s="3" t="s">
        <v>226</v>
      </c>
      <c r="P1372" s="3" t="s">
        <v>69</v>
      </c>
      <c r="Q1372" s="2" t="s">
        <v>14158</v>
      </c>
      <c r="R1372" s="3" t="s">
        <v>9228</v>
      </c>
      <c r="S1372" s="4">
        <v>13</v>
      </c>
      <c r="T1372" s="4">
        <v>13</v>
      </c>
      <c r="U1372" s="5" t="s">
        <v>240</v>
      </c>
      <c r="V1372" s="5" t="s">
        <v>240</v>
      </c>
      <c r="W1372" s="5" t="s">
        <v>72</v>
      </c>
      <c r="X1372" s="5" t="s">
        <v>72</v>
      </c>
      <c r="Y1372" s="4">
        <v>174</v>
      </c>
      <c r="Z1372" s="4">
        <v>12</v>
      </c>
      <c r="AA1372" s="4">
        <v>13</v>
      </c>
      <c r="AB1372" s="4">
        <v>1</v>
      </c>
      <c r="AC1372" s="4">
        <v>1</v>
      </c>
      <c r="AD1372" s="4">
        <v>80</v>
      </c>
      <c r="AE1372" s="4">
        <v>81</v>
      </c>
      <c r="AF1372" s="4">
        <v>0</v>
      </c>
      <c r="AG1372" s="4">
        <v>0</v>
      </c>
      <c r="AH1372" s="4">
        <v>77</v>
      </c>
      <c r="AI1372" s="4">
        <v>78</v>
      </c>
      <c r="AJ1372" s="4">
        <v>7</v>
      </c>
      <c r="AK1372" s="4">
        <v>8</v>
      </c>
      <c r="AL1372" s="4">
        <v>44</v>
      </c>
      <c r="AM1372" s="4">
        <v>44</v>
      </c>
      <c r="AN1372" s="4">
        <v>0</v>
      </c>
      <c r="AO1372" s="4">
        <v>0</v>
      </c>
      <c r="AP1372" s="4">
        <v>9</v>
      </c>
      <c r="AQ1372" s="4">
        <v>10</v>
      </c>
      <c r="AR1372" s="3" t="s">
        <v>64</v>
      </c>
      <c r="AS1372" s="3" t="s">
        <v>64</v>
      </c>
      <c r="AT1372" s="3" t="s">
        <v>73</v>
      </c>
      <c r="AU1372" s="6" t="str">
        <f>HYPERLINK("http://catalog.hathitrust.org/Record/003133421","HathiTrust Record")</f>
        <v>HathiTrust Record</v>
      </c>
      <c r="AV1372" s="6" t="str">
        <f>HYPERLINK("http://mcgill.on.worldcat.org/oclc/34150812","Catalog Record")</f>
        <v>Catalog Record</v>
      </c>
      <c r="AW1372" s="6" t="str">
        <f>HYPERLINK("http://www.worldcat.org/oclc/34150812","WorldCat Record")</f>
        <v>WorldCat Record</v>
      </c>
      <c r="AX1372" s="3" t="s">
        <v>14159</v>
      </c>
      <c r="AY1372" s="3" t="s">
        <v>14160</v>
      </c>
      <c r="AZ1372" s="3" t="s">
        <v>14161</v>
      </c>
      <c r="BA1372" s="3" t="s">
        <v>14161</v>
      </c>
      <c r="BB1372" s="3" t="s">
        <v>14162</v>
      </c>
      <c r="BC1372" s="3" t="s">
        <v>78</v>
      </c>
      <c r="BD1372" s="3" t="s">
        <v>79</v>
      </c>
      <c r="BE1372" s="3" t="s">
        <v>14163</v>
      </c>
      <c r="BF1372" s="3" t="s">
        <v>14162</v>
      </c>
      <c r="BG1372" s="3" t="s">
        <v>14164</v>
      </c>
    </row>
    <row r="1373" spans="1:59" ht="72.5" x14ac:dyDescent="0.35">
      <c r="A1373" s="2" t="s">
        <v>59</v>
      </c>
      <c r="B1373" s="2" t="s">
        <v>94</v>
      </c>
      <c r="C1373" s="2" t="s">
        <v>14165</v>
      </c>
      <c r="D1373" s="2" t="s">
        <v>14166</v>
      </c>
      <c r="E1373" s="2" t="s">
        <v>14167</v>
      </c>
      <c r="F1373" s="3" t="s">
        <v>2200</v>
      </c>
      <c r="G1373" s="3" t="s">
        <v>73</v>
      </c>
      <c r="I1373" s="3" t="s">
        <v>64</v>
      </c>
      <c r="J1373" s="3" t="s">
        <v>64</v>
      </c>
      <c r="K1373" s="3" t="s">
        <v>65</v>
      </c>
      <c r="L1373" s="2" t="s">
        <v>14168</v>
      </c>
      <c r="M1373" s="2" t="s">
        <v>14169</v>
      </c>
      <c r="N1373" s="3" t="s">
        <v>1813</v>
      </c>
      <c r="P1373" s="3" t="s">
        <v>2192</v>
      </c>
      <c r="Q1373" s="2" t="s">
        <v>14170</v>
      </c>
      <c r="R1373" s="3" t="s">
        <v>9228</v>
      </c>
      <c r="S1373" s="4">
        <v>0</v>
      </c>
      <c r="T1373" s="4">
        <v>0</v>
      </c>
      <c r="W1373" s="5" t="s">
        <v>72</v>
      </c>
      <c r="X1373" s="5" t="s">
        <v>72</v>
      </c>
      <c r="Y1373" s="4">
        <v>16</v>
      </c>
      <c r="Z1373" s="4">
        <v>1</v>
      </c>
      <c r="AA1373" s="4">
        <v>1</v>
      </c>
      <c r="AB1373" s="4">
        <v>1</v>
      </c>
      <c r="AC1373" s="4">
        <v>1</v>
      </c>
      <c r="AD1373" s="4">
        <v>11</v>
      </c>
      <c r="AE1373" s="4">
        <v>11</v>
      </c>
      <c r="AF1373" s="4">
        <v>0</v>
      </c>
      <c r="AG1373" s="4">
        <v>0</v>
      </c>
      <c r="AH1373" s="4">
        <v>10</v>
      </c>
      <c r="AI1373" s="4">
        <v>10</v>
      </c>
      <c r="AJ1373" s="4">
        <v>0</v>
      </c>
      <c r="AK1373" s="4">
        <v>0</v>
      </c>
      <c r="AL1373" s="4">
        <v>10</v>
      </c>
      <c r="AM1373" s="4">
        <v>10</v>
      </c>
      <c r="AN1373" s="4">
        <v>0</v>
      </c>
      <c r="AO1373" s="4">
        <v>0</v>
      </c>
      <c r="AP1373" s="4">
        <v>0</v>
      </c>
      <c r="AQ1373" s="4">
        <v>0</v>
      </c>
      <c r="AR1373" s="3" t="s">
        <v>64</v>
      </c>
      <c r="AS1373" s="3" t="s">
        <v>64</v>
      </c>
      <c r="AT1373" s="3" t="s">
        <v>64</v>
      </c>
      <c r="AV1373" s="6" t="str">
        <f>HYPERLINK("http://mcgill.on.worldcat.org/oclc/965794862","Catalog Record")</f>
        <v>Catalog Record</v>
      </c>
      <c r="AW1373" s="6" t="str">
        <f>HYPERLINK("http://www.worldcat.org/oclc/965794862","WorldCat Record")</f>
        <v>WorldCat Record</v>
      </c>
      <c r="AX1373" s="3" t="s">
        <v>14171</v>
      </c>
      <c r="AY1373" s="3" t="s">
        <v>14172</v>
      </c>
      <c r="AZ1373" s="3" t="s">
        <v>14173</v>
      </c>
      <c r="BA1373" s="3" t="s">
        <v>14173</v>
      </c>
      <c r="BB1373" s="3" t="s">
        <v>14174</v>
      </c>
      <c r="BC1373" s="3" t="s">
        <v>78</v>
      </c>
      <c r="BD1373" s="3" t="s">
        <v>79</v>
      </c>
      <c r="BE1373" s="3" t="s">
        <v>14175</v>
      </c>
      <c r="BF1373" s="3" t="s">
        <v>14174</v>
      </c>
      <c r="BG1373" s="3" t="s">
        <v>14176</v>
      </c>
    </row>
    <row r="1374" spans="1:59" ht="72.5" x14ac:dyDescent="0.35">
      <c r="A1374" s="2" t="s">
        <v>59</v>
      </c>
      <c r="B1374" s="2" t="s">
        <v>94</v>
      </c>
      <c r="C1374" s="2" t="s">
        <v>14165</v>
      </c>
      <c r="D1374" s="2" t="s">
        <v>14166</v>
      </c>
      <c r="E1374" s="2" t="s">
        <v>14167</v>
      </c>
      <c r="F1374" s="3" t="s">
        <v>2188</v>
      </c>
      <c r="G1374" s="3" t="s">
        <v>73</v>
      </c>
      <c r="I1374" s="3" t="s">
        <v>64</v>
      </c>
      <c r="J1374" s="3" t="s">
        <v>64</v>
      </c>
      <c r="K1374" s="3" t="s">
        <v>65</v>
      </c>
      <c r="L1374" s="2" t="s">
        <v>14168</v>
      </c>
      <c r="M1374" s="2" t="s">
        <v>14169</v>
      </c>
      <c r="N1374" s="3" t="s">
        <v>1813</v>
      </c>
      <c r="P1374" s="3" t="s">
        <v>2192</v>
      </c>
      <c r="Q1374" s="2" t="s">
        <v>14170</v>
      </c>
      <c r="R1374" s="3" t="s">
        <v>9228</v>
      </c>
      <c r="S1374" s="4">
        <v>0</v>
      </c>
      <c r="T1374" s="4">
        <v>0</v>
      </c>
      <c r="W1374" s="5" t="s">
        <v>72</v>
      </c>
      <c r="X1374" s="5" t="s">
        <v>72</v>
      </c>
      <c r="Y1374" s="4">
        <v>16</v>
      </c>
      <c r="Z1374" s="4">
        <v>1</v>
      </c>
      <c r="AA1374" s="4">
        <v>1</v>
      </c>
      <c r="AB1374" s="4">
        <v>1</v>
      </c>
      <c r="AC1374" s="4">
        <v>1</v>
      </c>
      <c r="AD1374" s="4">
        <v>11</v>
      </c>
      <c r="AE1374" s="4">
        <v>11</v>
      </c>
      <c r="AF1374" s="4">
        <v>0</v>
      </c>
      <c r="AG1374" s="4">
        <v>0</v>
      </c>
      <c r="AH1374" s="4">
        <v>10</v>
      </c>
      <c r="AI1374" s="4">
        <v>10</v>
      </c>
      <c r="AJ1374" s="4">
        <v>0</v>
      </c>
      <c r="AK1374" s="4">
        <v>0</v>
      </c>
      <c r="AL1374" s="4">
        <v>10</v>
      </c>
      <c r="AM1374" s="4">
        <v>10</v>
      </c>
      <c r="AN1374" s="4">
        <v>0</v>
      </c>
      <c r="AO1374" s="4">
        <v>0</v>
      </c>
      <c r="AP1374" s="4">
        <v>0</v>
      </c>
      <c r="AQ1374" s="4">
        <v>0</v>
      </c>
      <c r="AR1374" s="3" t="s">
        <v>64</v>
      </c>
      <c r="AS1374" s="3" t="s">
        <v>64</v>
      </c>
      <c r="AT1374" s="3" t="s">
        <v>64</v>
      </c>
      <c r="AV1374" s="6" t="str">
        <f>HYPERLINK("http://mcgill.on.worldcat.org/oclc/965794862","Catalog Record")</f>
        <v>Catalog Record</v>
      </c>
      <c r="AW1374" s="6" t="str">
        <f>HYPERLINK("http://www.worldcat.org/oclc/965794862","WorldCat Record")</f>
        <v>WorldCat Record</v>
      </c>
      <c r="AX1374" s="3" t="s">
        <v>14171</v>
      </c>
      <c r="AY1374" s="3" t="s">
        <v>14172</v>
      </c>
      <c r="AZ1374" s="3" t="s">
        <v>14173</v>
      </c>
      <c r="BA1374" s="3" t="s">
        <v>14173</v>
      </c>
      <c r="BB1374" s="3" t="s">
        <v>14177</v>
      </c>
      <c r="BC1374" s="3" t="s">
        <v>78</v>
      </c>
      <c r="BD1374" s="3" t="s">
        <v>79</v>
      </c>
      <c r="BE1374" s="3" t="s">
        <v>14175</v>
      </c>
      <c r="BF1374" s="3" t="s">
        <v>14177</v>
      </c>
      <c r="BG1374" s="3" t="s">
        <v>14178</v>
      </c>
    </row>
    <row r="1375" spans="1:59" ht="58" x14ac:dyDescent="0.35">
      <c r="A1375" s="2" t="s">
        <v>59</v>
      </c>
      <c r="B1375" s="2" t="s">
        <v>94</v>
      </c>
      <c r="C1375" s="2" t="s">
        <v>14179</v>
      </c>
      <c r="D1375" s="2" t="s">
        <v>14180</v>
      </c>
      <c r="E1375" s="2" t="s">
        <v>14181</v>
      </c>
      <c r="G1375" s="3" t="s">
        <v>64</v>
      </c>
      <c r="I1375" s="3" t="s">
        <v>64</v>
      </c>
      <c r="J1375" s="3" t="s">
        <v>64</v>
      </c>
      <c r="K1375" s="3" t="s">
        <v>65</v>
      </c>
      <c r="L1375" s="2" t="s">
        <v>14182</v>
      </c>
      <c r="M1375" s="2" t="s">
        <v>14183</v>
      </c>
      <c r="N1375" s="3" t="s">
        <v>705</v>
      </c>
      <c r="P1375" s="3" t="s">
        <v>69</v>
      </c>
      <c r="R1375" s="3" t="s">
        <v>9228</v>
      </c>
      <c r="S1375" s="4">
        <v>29</v>
      </c>
      <c r="T1375" s="4">
        <v>29</v>
      </c>
      <c r="U1375" s="5" t="s">
        <v>240</v>
      </c>
      <c r="V1375" s="5" t="s">
        <v>240</v>
      </c>
      <c r="W1375" s="5" t="s">
        <v>72</v>
      </c>
      <c r="X1375" s="5" t="s">
        <v>72</v>
      </c>
      <c r="Y1375" s="4">
        <v>141</v>
      </c>
      <c r="Z1375" s="4">
        <v>9</v>
      </c>
      <c r="AA1375" s="4">
        <v>9</v>
      </c>
      <c r="AB1375" s="4">
        <v>1</v>
      </c>
      <c r="AC1375" s="4">
        <v>1</v>
      </c>
      <c r="AD1375" s="4">
        <v>46</v>
      </c>
      <c r="AE1375" s="4">
        <v>46</v>
      </c>
      <c r="AF1375" s="4">
        <v>0</v>
      </c>
      <c r="AG1375" s="4">
        <v>0</v>
      </c>
      <c r="AH1375" s="4">
        <v>42</v>
      </c>
      <c r="AI1375" s="4">
        <v>42</v>
      </c>
      <c r="AJ1375" s="4">
        <v>5</v>
      </c>
      <c r="AK1375" s="4">
        <v>5</v>
      </c>
      <c r="AL1375" s="4">
        <v>24</v>
      </c>
      <c r="AM1375" s="4">
        <v>24</v>
      </c>
      <c r="AN1375" s="4">
        <v>0</v>
      </c>
      <c r="AO1375" s="4">
        <v>0</v>
      </c>
      <c r="AP1375" s="4">
        <v>6</v>
      </c>
      <c r="AQ1375" s="4">
        <v>6</v>
      </c>
      <c r="AR1375" s="3" t="s">
        <v>64</v>
      </c>
      <c r="AS1375" s="3" t="s">
        <v>64</v>
      </c>
      <c r="AT1375" s="3" t="s">
        <v>64</v>
      </c>
      <c r="AV1375" s="6" t="str">
        <f>HYPERLINK("http://mcgill.on.worldcat.org/oclc/33334009","Catalog Record")</f>
        <v>Catalog Record</v>
      </c>
      <c r="AW1375" s="6" t="str">
        <f>HYPERLINK("http://www.worldcat.org/oclc/33334009","WorldCat Record")</f>
        <v>WorldCat Record</v>
      </c>
      <c r="AX1375" s="3" t="s">
        <v>14184</v>
      </c>
      <c r="AY1375" s="3" t="s">
        <v>14185</v>
      </c>
      <c r="AZ1375" s="3" t="s">
        <v>14186</v>
      </c>
      <c r="BA1375" s="3" t="s">
        <v>14186</v>
      </c>
      <c r="BB1375" s="3" t="s">
        <v>14187</v>
      </c>
      <c r="BC1375" s="3" t="s">
        <v>78</v>
      </c>
      <c r="BD1375" s="3" t="s">
        <v>79</v>
      </c>
      <c r="BE1375" s="3" t="s">
        <v>14188</v>
      </c>
      <c r="BF1375" s="3" t="s">
        <v>14187</v>
      </c>
      <c r="BG1375" s="3" t="s">
        <v>14189</v>
      </c>
    </row>
    <row r="1376" spans="1:59" ht="58" x14ac:dyDescent="0.35">
      <c r="A1376" s="2" t="s">
        <v>59</v>
      </c>
      <c r="B1376" s="2" t="s">
        <v>94</v>
      </c>
      <c r="C1376" s="2" t="s">
        <v>14190</v>
      </c>
      <c r="D1376" s="2" t="s">
        <v>14191</v>
      </c>
      <c r="E1376" s="2" t="s">
        <v>14192</v>
      </c>
      <c r="G1376" s="3" t="s">
        <v>64</v>
      </c>
      <c r="I1376" s="3" t="s">
        <v>64</v>
      </c>
      <c r="J1376" s="3" t="s">
        <v>64</v>
      </c>
      <c r="K1376" s="3" t="s">
        <v>65</v>
      </c>
      <c r="L1376" s="2" t="s">
        <v>14193</v>
      </c>
      <c r="M1376" s="2" t="s">
        <v>14194</v>
      </c>
      <c r="N1376" s="3" t="s">
        <v>328</v>
      </c>
      <c r="P1376" s="3" t="s">
        <v>2192</v>
      </c>
      <c r="Q1376" s="2" t="s">
        <v>14195</v>
      </c>
      <c r="R1376" s="3" t="s">
        <v>9228</v>
      </c>
      <c r="S1376" s="4">
        <v>2</v>
      </c>
      <c r="T1376" s="4">
        <v>2</v>
      </c>
      <c r="U1376" s="5" t="s">
        <v>4648</v>
      </c>
      <c r="V1376" s="5" t="s">
        <v>4648</v>
      </c>
      <c r="W1376" s="5" t="s">
        <v>72</v>
      </c>
      <c r="X1376" s="5" t="s">
        <v>72</v>
      </c>
      <c r="Y1376" s="4">
        <v>29</v>
      </c>
      <c r="Z1376" s="4">
        <v>3</v>
      </c>
      <c r="AA1376" s="4">
        <v>3</v>
      </c>
      <c r="AB1376" s="4">
        <v>1</v>
      </c>
      <c r="AC1376" s="4">
        <v>1</v>
      </c>
      <c r="AD1376" s="4">
        <v>21</v>
      </c>
      <c r="AE1376" s="4">
        <v>21</v>
      </c>
      <c r="AF1376" s="4">
        <v>0</v>
      </c>
      <c r="AG1376" s="4">
        <v>0</v>
      </c>
      <c r="AH1376" s="4">
        <v>19</v>
      </c>
      <c r="AI1376" s="4">
        <v>19</v>
      </c>
      <c r="AJ1376" s="4">
        <v>2</v>
      </c>
      <c r="AK1376" s="4">
        <v>2</v>
      </c>
      <c r="AL1376" s="4">
        <v>15</v>
      </c>
      <c r="AM1376" s="4">
        <v>15</v>
      </c>
      <c r="AN1376" s="4">
        <v>0</v>
      </c>
      <c r="AO1376" s="4">
        <v>0</v>
      </c>
      <c r="AP1376" s="4">
        <v>2</v>
      </c>
      <c r="AQ1376" s="4">
        <v>2</v>
      </c>
      <c r="AR1376" s="3" t="s">
        <v>64</v>
      </c>
      <c r="AS1376" s="3" t="s">
        <v>64</v>
      </c>
      <c r="AT1376" s="3" t="s">
        <v>64</v>
      </c>
      <c r="AV1376" s="6" t="str">
        <f>HYPERLINK("http://mcgill.on.worldcat.org/oclc/757733915","Catalog Record")</f>
        <v>Catalog Record</v>
      </c>
      <c r="AW1376" s="6" t="str">
        <f>HYPERLINK("http://www.worldcat.org/oclc/757733915","WorldCat Record")</f>
        <v>WorldCat Record</v>
      </c>
      <c r="AX1376" s="3" t="s">
        <v>14196</v>
      </c>
      <c r="AY1376" s="3" t="s">
        <v>14197</v>
      </c>
      <c r="AZ1376" s="3" t="s">
        <v>14198</v>
      </c>
      <c r="BA1376" s="3" t="s">
        <v>14198</v>
      </c>
      <c r="BB1376" s="3" t="s">
        <v>14199</v>
      </c>
      <c r="BC1376" s="3" t="s">
        <v>78</v>
      </c>
      <c r="BD1376" s="3" t="s">
        <v>79</v>
      </c>
      <c r="BE1376" s="3" t="s">
        <v>14200</v>
      </c>
      <c r="BF1376" s="3" t="s">
        <v>14199</v>
      </c>
      <c r="BG1376" s="3" t="s">
        <v>14201</v>
      </c>
    </row>
    <row r="1377" spans="1:59" ht="58" x14ac:dyDescent="0.35">
      <c r="A1377" s="2" t="s">
        <v>59</v>
      </c>
      <c r="B1377" s="2" t="s">
        <v>94</v>
      </c>
      <c r="C1377" s="2" t="s">
        <v>14202</v>
      </c>
      <c r="D1377" s="2" t="s">
        <v>14203</v>
      </c>
      <c r="E1377" s="2" t="s">
        <v>14204</v>
      </c>
      <c r="G1377" s="3" t="s">
        <v>64</v>
      </c>
      <c r="I1377" s="3" t="s">
        <v>64</v>
      </c>
      <c r="J1377" s="3" t="s">
        <v>64</v>
      </c>
      <c r="K1377" s="3" t="s">
        <v>65</v>
      </c>
      <c r="L1377" s="2" t="s">
        <v>14205</v>
      </c>
      <c r="M1377" s="2" t="s">
        <v>14206</v>
      </c>
      <c r="N1377" s="3" t="s">
        <v>328</v>
      </c>
      <c r="P1377" s="3" t="s">
        <v>2192</v>
      </c>
      <c r="Q1377" s="2" t="s">
        <v>14207</v>
      </c>
      <c r="R1377" s="3" t="s">
        <v>9228</v>
      </c>
      <c r="S1377" s="4">
        <v>2</v>
      </c>
      <c r="T1377" s="4">
        <v>2</v>
      </c>
      <c r="U1377" s="5" t="s">
        <v>13879</v>
      </c>
      <c r="V1377" s="5" t="s">
        <v>13879</v>
      </c>
      <c r="W1377" s="5" t="s">
        <v>72</v>
      </c>
      <c r="X1377" s="5" t="s">
        <v>72</v>
      </c>
      <c r="Y1377" s="4">
        <v>21</v>
      </c>
      <c r="Z1377" s="4">
        <v>4</v>
      </c>
      <c r="AA1377" s="4">
        <v>4</v>
      </c>
      <c r="AB1377" s="4">
        <v>1</v>
      </c>
      <c r="AC1377" s="4">
        <v>1</v>
      </c>
      <c r="AD1377" s="4">
        <v>10</v>
      </c>
      <c r="AE1377" s="4">
        <v>10</v>
      </c>
      <c r="AF1377" s="4">
        <v>0</v>
      </c>
      <c r="AG1377" s="4">
        <v>0</v>
      </c>
      <c r="AH1377" s="4">
        <v>9</v>
      </c>
      <c r="AI1377" s="4">
        <v>9</v>
      </c>
      <c r="AJ1377" s="4">
        <v>2</v>
      </c>
      <c r="AK1377" s="4">
        <v>2</v>
      </c>
      <c r="AL1377" s="4">
        <v>8</v>
      </c>
      <c r="AM1377" s="4">
        <v>8</v>
      </c>
      <c r="AN1377" s="4">
        <v>0</v>
      </c>
      <c r="AO1377" s="4">
        <v>0</v>
      </c>
      <c r="AP1377" s="4">
        <v>2</v>
      </c>
      <c r="AQ1377" s="4">
        <v>2</v>
      </c>
      <c r="AR1377" s="3" t="s">
        <v>64</v>
      </c>
      <c r="AS1377" s="3" t="s">
        <v>64</v>
      </c>
      <c r="AT1377" s="3" t="s">
        <v>64</v>
      </c>
      <c r="AV1377" s="6" t="str">
        <f>HYPERLINK("http://mcgill.on.worldcat.org/oclc/758005119","Catalog Record")</f>
        <v>Catalog Record</v>
      </c>
      <c r="AW1377" s="6" t="str">
        <f>HYPERLINK("http://www.worldcat.org/oclc/758005119","WorldCat Record")</f>
        <v>WorldCat Record</v>
      </c>
      <c r="AX1377" s="3" t="s">
        <v>14208</v>
      </c>
      <c r="AY1377" s="3" t="s">
        <v>14209</v>
      </c>
      <c r="AZ1377" s="3" t="s">
        <v>14210</v>
      </c>
      <c r="BA1377" s="3" t="s">
        <v>14210</v>
      </c>
      <c r="BB1377" s="3" t="s">
        <v>14211</v>
      </c>
      <c r="BC1377" s="3" t="s">
        <v>78</v>
      </c>
      <c r="BD1377" s="3" t="s">
        <v>79</v>
      </c>
      <c r="BE1377" s="3" t="s">
        <v>14212</v>
      </c>
      <c r="BF1377" s="3" t="s">
        <v>14211</v>
      </c>
      <c r="BG1377" s="3" t="s">
        <v>14213</v>
      </c>
    </row>
    <row r="1378" spans="1:59" ht="58" x14ac:dyDescent="0.35">
      <c r="A1378" s="2" t="s">
        <v>59</v>
      </c>
      <c r="B1378" s="2" t="s">
        <v>94</v>
      </c>
      <c r="C1378" s="2" t="s">
        <v>14214</v>
      </c>
      <c r="D1378" s="2" t="s">
        <v>14215</v>
      </c>
      <c r="E1378" s="2" t="s">
        <v>14216</v>
      </c>
      <c r="G1378" s="3" t="s">
        <v>64</v>
      </c>
      <c r="I1378" s="3" t="s">
        <v>64</v>
      </c>
      <c r="J1378" s="3" t="s">
        <v>64</v>
      </c>
      <c r="K1378" s="3" t="s">
        <v>65</v>
      </c>
      <c r="L1378" s="2" t="s">
        <v>14217</v>
      </c>
      <c r="M1378" s="2" t="s">
        <v>14218</v>
      </c>
      <c r="N1378" s="3" t="s">
        <v>377</v>
      </c>
      <c r="O1378" s="2" t="s">
        <v>14219</v>
      </c>
      <c r="P1378" s="3" t="s">
        <v>2192</v>
      </c>
      <c r="R1378" s="3" t="s">
        <v>9228</v>
      </c>
      <c r="S1378" s="4">
        <v>0</v>
      </c>
      <c r="T1378" s="4">
        <v>0</v>
      </c>
      <c r="W1378" s="5" t="s">
        <v>72</v>
      </c>
      <c r="X1378" s="5" t="s">
        <v>72</v>
      </c>
      <c r="Y1378" s="4">
        <v>22</v>
      </c>
      <c r="Z1378" s="4">
        <v>3</v>
      </c>
      <c r="AA1378" s="4">
        <v>3</v>
      </c>
      <c r="AB1378" s="4">
        <v>1</v>
      </c>
      <c r="AC1378" s="4">
        <v>1</v>
      </c>
      <c r="AD1378" s="4">
        <v>10</v>
      </c>
      <c r="AE1378" s="4">
        <v>10</v>
      </c>
      <c r="AF1378" s="4">
        <v>0</v>
      </c>
      <c r="AG1378" s="4">
        <v>0</v>
      </c>
      <c r="AH1378" s="4">
        <v>10</v>
      </c>
      <c r="AI1378" s="4">
        <v>10</v>
      </c>
      <c r="AJ1378" s="4">
        <v>1</v>
      </c>
      <c r="AK1378" s="4">
        <v>1</v>
      </c>
      <c r="AL1378" s="4">
        <v>8</v>
      </c>
      <c r="AM1378" s="4">
        <v>8</v>
      </c>
      <c r="AN1378" s="4">
        <v>0</v>
      </c>
      <c r="AO1378" s="4">
        <v>0</v>
      </c>
      <c r="AP1378" s="4">
        <v>1</v>
      </c>
      <c r="AQ1378" s="4">
        <v>1</v>
      </c>
      <c r="AR1378" s="3" t="s">
        <v>64</v>
      </c>
      <c r="AS1378" s="3" t="s">
        <v>64</v>
      </c>
      <c r="AT1378" s="3" t="s">
        <v>64</v>
      </c>
      <c r="AV1378" s="6" t="str">
        <f>HYPERLINK("http://mcgill.on.worldcat.org/oclc/788214790","Catalog Record")</f>
        <v>Catalog Record</v>
      </c>
      <c r="AW1378" s="6" t="str">
        <f>HYPERLINK("http://www.worldcat.org/oclc/788214790","WorldCat Record")</f>
        <v>WorldCat Record</v>
      </c>
      <c r="AX1378" s="3" t="s">
        <v>14220</v>
      </c>
      <c r="AY1378" s="3" t="s">
        <v>14221</v>
      </c>
      <c r="AZ1378" s="3" t="s">
        <v>14222</v>
      </c>
      <c r="BA1378" s="3" t="s">
        <v>14222</v>
      </c>
      <c r="BB1378" s="3" t="s">
        <v>14223</v>
      </c>
      <c r="BC1378" s="3" t="s">
        <v>78</v>
      </c>
      <c r="BD1378" s="3" t="s">
        <v>79</v>
      </c>
      <c r="BE1378" s="3" t="s">
        <v>14224</v>
      </c>
      <c r="BF1378" s="3" t="s">
        <v>14223</v>
      </c>
      <c r="BG1378" s="3" t="s">
        <v>14225</v>
      </c>
    </row>
    <row r="1379" spans="1:59" ht="58" x14ac:dyDescent="0.35">
      <c r="A1379" s="2" t="s">
        <v>59</v>
      </c>
      <c r="B1379" s="2" t="s">
        <v>94</v>
      </c>
      <c r="C1379" s="2" t="s">
        <v>14226</v>
      </c>
      <c r="D1379" s="2" t="s">
        <v>14227</v>
      </c>
      <c r="E1379" s="2" t="s">
        <v>14228</v>
      </c>
      <c r="G1379" s="3" t="s">
        <v>64</v>
      </c>
      <c r="I1379" s="3" t="s">
        <v>64</v>
      </c>
      <c r="J1379" s="3" t="s">
        <v>64</v>
      </c>
      <c r="K1379" s="3" t="s">
        <v>65</v>
      </c>
      <c r="L1379" s="2" t="s">
        <v>14229</v>
      </c>
      <c r="M1379" s="2" t="s">
        <v>14230</v>
      </c>
      <c r="N1379" s="3" t="s">
        <v>705</v>
      </c>
      <c r="P1379" s="3" t="s">
        <v>69</v>
      </c>
      <c r="R1379" s="3" t="s">
        <v>9228</v>
      </c>
      <c r="S1379" s="4">
        <v>3</v>
      </c>
      <c r="T1379" s="4">
        <v>3</v>
      </c>
      <c r="U1379" s="5" t="s">
        <v>809</v>
      </c>
      <c r="V1379" s="5" t="s">
        <v>809</v>
      </c>
      <c r="W1379" s="5" t="s">
        <v>72</v>
      </c>
      <c r="X1379" s="5" t="s">
        <v>72</v>
      </c>
      <c r="Y1379" s="4">
        <v>220</v>
      </c>
      <c r="Z1379" s="4">
        <v>8</v>
      </c>
      <c r="AA1379" s="4">
        <v>9</v>
      </c>
      <c r="AB1379" s="4">
        <v>1</v>
      </c>
      <c r="AC1379" s="4">
        <v>2</v>
      </c>
      <c r="AD1379" s="4">
        <v>76</v>
      </c>
      <c r="AE1379" s="4">
        <v>77</v>
      </c>
      <c r="AF1379" s="4">
        <v>0</v>
      </c>
      <c r="AG1379" s="4">
        <v>1</v>
      </c>
      <c r="AH1379" s="4">
        <v>73</v>
      </c>
      <c r="AI1379" s="4">
        <v>73</v>
      </c>
      <c r="AJ1379" s="4">
        <v>3</v>
      </c>
      <c r="AK1379" s="4">
        <v>4</v>
      </c>
      <c r="AL1379" s="4">
        <v>46</v>
      </c>
      <c r="AM1379" s="4">
        <v>46</v>
      </c>
      <c r="AN1379" s="4">
        <v>0</v>
      </c>
      <c r="AO1379" s="4">
        <v>0</v>
      </c>
      <c r="AP1379" s="4">
        <v>5</v>
      </c>
      <c r="AQ1379" s="4">
        <v>5</v>
      </c>
      <c r="AR1379" s="3" t="s">
        <v>64</v>
      </c>
      <c r="AS1379" s="3" t="s">
        <v>64</v>
      </c>
      <c r="AT1379" s="3" t="s">
        <v>64</v>
      </c>
      <c r="AV1379" s="6" t="str">
        <f>HYPERLINK("http://mcgill.on.worldcat.org/oclc/33078580","Catalog Record")</f>
        <v>Catalog Record</v>
      </c>
      <c r="AW1379" s="6" t="str">
        <f>HYPERLINK("http://www.worldcat.org/oclc/33078580","WorldCat Record")</f>
        <v>WorldCat Record</v>
      </c>
      <c r="AX1379" s="3" t="s">
        <v>14231</v>
      </c>
      <c r="AY1379" s="3" t="s">
        <v>14232</v>
      </c>
      <c r="AZ1379" s="3" t="s">
        <v>14233</v>
      </c>
      <c r="BA1379" s="3" t="s">
        <v>14233</v>
      </c>
      <c r="BB1379" s="3" t="s">
        <v>14234</v>
      </c>
      <c r="BC1379" s="3" t="s">
        <v>78</v>
      </c>
      <c r="BD1379" s="3" t="s">
        <v>79</v>
      </c>
      <c r="BE1379" s="3" t="s">
        <v>14235</v>
      </c>
      <c r="BF1379" s="3" t="s">
        <v>14234</v>
      </c>
      <c r="BG1379" s="3" t="s">
        <v>14236</v>
      </c>
    </row>
    <row r="1380" spans="1:59" ht="72.5" x14ac:dyDescent="0.35">
      <c r="A1380" s="2" t="s">
        <v>59</v>
      </c>
      <c r="B1380" s="2" t="s">
        <v>94</v>
      </c>
      <c r="C1380" s="2" t="s">
        <v>14237</v>
      </c>
      <c r="D1380" s="2" t="s">
        <v>14238</v>
      </c>
      <c r="E1380" s="2" t="s">
        <v>14239</v>
      </c>
      <c r="G1380" s="3" t="s">
        <v>64</v>
      </c>
      <c r="I1380" s="3" t="s">
        <v>64</v>
      </c>
      <c r="J1380" s="3" t="s">
        <v>64</v>
      </c>
      <c r="K1380" s="3" t="s">
        <v>65</v>
      </c>
      <c r="L1380" s="2" t="s">
        <v>14240</v>
      </c>
      <c r="M1380" s="2" t="s">
        <v>14241</v>
      </c>
      <c r="N1380" s="3" t="s">
        <v>1247</v>
      </c>
      <c r="P1380" s="3" t="s">
        <v>4547</v>
      </c>
      <c r="Q1380" s="2" t="s">
        <v>14242</v>
      </c>
      <c r="R1380" s="3" t="s">
        <v>9228</v>
      </c>
      <c r="S1380" s="4">
        <v>1</v>
      </c>
      <c r="T1380" s="4">
        <v>1</v>
      </c>
      <c r="U1380" s="5" t="s">
        <v>14243</v>
      </c>
      <c r="V1380" s="5" t="s">
        <v>14243</v>
      </c>
      <c r="W1380" s="5" t="s">
        <v>72</v>
      </c>
      <c r="X1380" s="5" t="s">
        <v>72</v>
      </c>
      <c r="Y1380" s="4">
        <v>13</v>
      </c>
      <c r="Z1380" s="4">
        <v>1</v>
      </c>
      <c r="AA1380" s="4">
        <v>1</v>
      </c>
      <c r="AB1380" s="4">
        <v>1</v>
      </c>
      <c r="AC1380" s="4">
        <v>1</v>
      </c>
      <c r="AD1380" s="4">
        <v>6</v>
      </c>
      <c r="AE1380" s="4">
        <v>6</v>
      </c>
      <c r="AF1380" s="4">
        <v>0</v>
      </c>
      <c r="AG1380" s="4">
        <v>0</v>
      </c>
      <c r="AH1380" s="4">
        <v>6</v>
      </c>
      <c r="AI1380" s="4">
        <v>6</v>
      </c>
      <c r="AJ1380" s="4">
        <v>0</v>
      </c>
      <c r="AK1380" s="4">
        <v>0</v>
      </c>
      <c r="AL1380" s="4">
        <v>4</v>
      </c>
      <c r="AM1380" s="4">
        <v>4</v>
      </c>
      <c r="AN1380" s="4">
        <v>0</v>
      </c>
      <c r="AO1380" s="4">
        <v>0</v>
      </c>
      <c r="AP1380" s="4">
        <v>0</v>
      </c>
      <c r="AQ1380" s="4">
        <v>0</v>
      </c>
      <c r="AR1380" s="3" t="s">
        <v>64</v>
      </c>
      <c r="AS1380" s="3" t="s">
        <v>64</v>
      </c>
      <c r="AT1380" s="3" t="s">
        <v>64</v>
      </c>
      <c r="AV1380" s="6" t="str">
        <f>HYPERLINK("http://mcgill.on.worldcat.org/oclc/1452890","Catalog Record")</f>
        <v>Catalog Record</v>
      </c>
      <c r="AW1380" s="6" t="str">
        <f>HYPERLINK("http://www.worldcat.org/oclc/1452890","WorldCat Record")</f>
        <v>WorldCat Record</v>
      </c>
      <c r="AX1380" s="3" t="s">
        <v>14244</v>
      </c>
      <c r="AY1380" s="3" t="s">
        <v>14245</v>
      </c>
      <c r="AZ1380" s="3" t="s">
        <v>14246</v>
      </c>
      <c r="BA1380" s="3" t="s">
        <v>14246</v>
      </c>
      <c r="BB1380" s="3" t="s">
        <v>14247</v>
      </c>
      <c r="BC1380" s="3" t="s">
        <v>78</v>
      </c>
      <c r="BD1380" s="3" t="s">
        <v>79</v>
      </c>
      <c r="BF1380" s="3" t="s">
        <v>14247</v>
      </c>
      <c r="BG1380" s="3" t="s">
        <v>14248</v>
      </c>
    </row>
    <row r="1381" spans="1:59" ht="58" x14ac:dyDescent="0.35">
      <c r="A1381" s="2" t="s">
        <v>59</v>
      </c>
      <c r="B1381" s="2" t="s">
        <v>94</v>
      </c>
      <c r="C1381" s="2" t="s">
        <v>14249</v>
      </c>
      <c r="D1381" s="2" t="s">
        <v>14250</v>
      </c>
      <c r="E1381" s="2" t="s">
        <v>14251</v>
      </c>
      <c r="G1381" s="3" t="s">
        <v>64</v>
      </c>
      <c r="I1381" s="3" t="s">
        <v>64</v>
      </c>
      <c r="J1381" s="3" t="s">
        <v>64</v>
      </c>
      <c r="K1381" s="3" t="s">
        <v>65</v>
      </c>
      <c r="L1381" s="2" t="s">
        <v>14252</v>
      </c>
      <c r="M1381" s="2" t="s">
        <v>14253</v>
      </c>
      <c r="N1381" s="3" t="s">
        <v>264</v>
      </c>
      <c r="P1381" s="3" t="s">
        <v>69</v>
      </c>
      <c r="R1381" s="3" t="s">
        <v>9228</v>
      </c>
      <c r="S1381" s="4">
        <v>1</v>
      </c>
      <c r="T1381" s="4">
        <v>1</v>
      </c>
      <c r="U1381" s="5" t="s">
        <v>14243</v>
      </c>
      <c r="V1381" s="5" t="s">
        <v>14243</v>
      </c>
      <c r="W1381" s="5" t="s">
        <v>72</v>
      </c>
      <c r="X1381" s="5" t="s">
        <v>72</v>
      </c>
      <c r="Y1381" s="4">
        <v>382</v>
      </c>
      <c r="Z1381" s="4">
        <v>27</v>
      </c>
      <c r="AA1381" s="4">
        <v>34</v>
      </c>
      <c r="AB1381" s="4">
        <v>2</v>
      </c>
      <c r="AC1381" s="4">
        <v>3</v>
      </c>
      <c r="AD1381" s="4">
        <v>107</v>
      </c>
      <c r="AE1381" s="4">
        <v>114</v>
      </c>
      <c r="AF1381" s="4">
        <v>1</v>
      </c>
      <c r="AG1381" s="4">
        <v>2</v>
      </c>
      <c r="AH1381" s="4">
        <v>90</v>
      </c>
      <c r="AI1381" s="4">
        <v>93</v>
      </c>
      <c r="AJ1381" s="4">
        <v>16</v>
      </c>
      <c r="AK1381" s="4">
        <v>19</v>
      </c>
      <c r="AL1381" s="4">
        <v>48</v>
      </c>
      <c r="AM1381" s="4">
        <v>52</v>
      </c>
      <c r="AN1381" s="4">
        <v>0</v>
      </c>
      <c r="AO1381" s="4">
        <v>0</v>
      </c>
      <c r="AP1381" s="4">
        <v>23</v>
      </c>
      <c r="AQ1381" s="4">
        <v>27</v>
      </c>
      <c r="AR1381" s="3" t="s">
        <v>64</v>
      </c>
      <c r="AS1381" s="3" t="s">
        <v>64</v>
      </c>
      <c r="AT1381" s="3" t="s">
        <v>73</v>
      </c>
      <c r="AU1381" s="6" t="str">
        <f>HYPERLINK("http://catalog.hathitrust.org/Record/000724784","HathiTrust Record")</f>
        <v>HathiTrust Record</v>
      </c>
      <c r="AV1381" s="6" t="str">
        <f>HYPERLINK("http://mcgill.on.worldcat.org/oclc/2373034","Catalog Record")</f>
        <v>Catalog Record</v>
      </c>
      <c r="AW1381" s="6" t="str">
        <f>HYPERLINK("http://www.worldcat.org/oclc/2373034","WorldCat Record")</f>
        <v>WorldCat Record</v>
      </c>
      <c r="AX1381" s="3" t="s">
        <v>14254</v>
      </c>
      <c r="AY1381" s="3" t="s">
        <v>14255</v>
      </c>
      <c r="AZ1381" s="3" t="s">
        <v>14256</v>
      </c>
      <c r="BA1381" s="3" t="s">
        <v>14256</v>
      </c>
      <c r="BB1381" s="3" t="s">
        <v>14257</v>
      </c>
      <c r="BC1381" s="3" t="s">
        <v>78</v>
      </c>
      <c r="BD1381" s="3" t="s">
        <v>79</v>
      </c>
      <c r="BE1381" s="3" t="s">
        <v>14258</v>
      </c>
      <c r="BF1381" s="3" t="s">
        <v>14257</v>
      </c>
      <c r="BG1381" s="3" t="s">
        <v>14259</v>
      </c>
    </row>
    <row r="1382" spans="1:59" ht="58" x14ac:dyDescent="0.35">
      <c r="A1382" s="2" t="s">
        <v>59</v>
      </c>
      <c r="B1382" s="2" t="s">
        <v>94</v>
      </c>
      <c r="C1382" s="2" t="s">
        <v>14260</v>
      </c>
      <c r="D1382" s="2" t="s">
        <v>14261</v>
      </c>
      <c r="E1382" s="2" t="s">
        <v>14262</v>
      </c>
      <c r="G1382" s="3" t="s">
        <v>64</v>
      </c>
      <c r="I1382" s="3" t="s">
        <v>64</v>
      </c>
      <c r="J1382" s="3" t="s">
        <v>64</v>
      </c>
      <c r="K1382" s="3" t="s">
        <v>65</v>
      </c>
      <c r="L1382" s="2" t="s">
        <v>14263</v>
      </c>
      <c r="M1382" s="2" t="s">
        <v>1995</v>
      </c>
      <c r="N1382" s="3" t="s">
        <v>328</v>
      </c>
      <c r="P1382" s="3" t="s">
        <v>69</v>
      </c>
      <c r="Q1382" s="2" t="s">
        <v>1996</v>
      </c>
      <c r="R1382" s="3" t="s">
        <v>9228</v>
      </c>
      <c r="S1382" s="4">
        <v>1</v>
      </c>
      <c r="T1382" s="4">
        <v>1</v>
      </c>
      <c r="U1382" s="5" t="s">
        <v>14264</v>
      </c>
      <c r="V1382" s="5" t="s">
        <v>14264</v>
      </c>
      <c r="W1382" s="5" t="s">
        <v>72</v>
      </c>
      <c r="X1382" s="5" t="s">
        <v>72</v>
      </c>
      <c r="Y1382" s="4">
        <v>365</v>
      </c>
      <c r="Z1382" s="4">
        <v>24</v>
      </c>
      <c r="AA1382" s="4">
        <v>28</v>
      </c>
      <c r="AB1382" s="4">
        <v>1</v>
      </c>
      <c r="AC1382" s="4">
        <v>4</v>
      </c>
      <c r="AD1382" s="4">
        <v>73</v>
      </c>
      <c r="AE1382" s="4">
        <v>79</v>
      </c>
      <c r="AF1382" s="4">
        <v>0</v>
      </c>
      <c r="AG1382" s="4">
        <v>0</v>
      </c>
      <c r="AH1382" s="4">
        <v>63</v>
      </c>
      <c r="AI1382" s="4">
        <v>68</v>
      </c>
      <c r="AJ1382" s="4">
        <v>15</v>
      </c>
      <c r="AK1382" s="4">
        <v>15</v>
      </c>
      <c r="AL1382" s="4">
        <v>32</v>
      </c>
      <c r="AM1382" s="4">
        <v>35</v>
      </c>
      <c r="AN1382" s="4">
        <v>0</v>
      </c>
      <c r="AO1382" s="4">
        <v>0</v>
      </c>
      <c r="AP1382" s="4">
        <v>17</v>
      </c>
      <c r="AQ1382" s="4">
        <v>18</v>
      </c>
      <c r="AR1382" s="3" t="s">
        <v>64</v>
      </c>
      <c r="AS1382" s="3" t="s">
        <v>64</v>
      </c>
      <c r="AT1382" s="3" t="s">
        <v>64</v>
      </c>
      <c r="AV1382" s="6" t="str">
        <f>HYPERLINK("http://mcgill.on.worldcat.org/oclc/681500334","Catalog Record")</f>
        <v>Catalog Record</v>
      </c>
      <c r="AW1382" s="6" t="str">
        <f>HYPERLINK("http://www.worldcat.org/oclc/681500334","WorldCat Record")</f>
        <v>WorldCat Record</v>
      </c>
      <c r="AX1382" s="3" t="s">
        <v>14265</v>
      </c>
      <c r="AY1382" s="3" t="s">
        <v>14266</v>
      </c>
      <c r="AZ1382" s="3" t="s">
        <v>14267</v>
      </c>
      <c r="BA1382" s="3" t="s">
        <v>14267</v>
      </c>
      <c r="BB1382" s="3" t="s">
        <v>14268</v>
      </c>
      <c r="BC1382" s="3" t="s">
        <v>78</v>
      </c>
      <c r="BD1382" s="3" t="s">
        <v>79</v>
      </c>
      <c r="BE1382" s="3" t="s">
        <v>14269</v>
      </c>
      <c r="BF1382" s="3" t="s">
        <v>14268</v>
      </c>
      <c r="BG1382" s="3" t="s">
        <v>14270</v>
      </c>
    </row>
    <row r="1383" spans="1:59" ht="58" x14ac:dyDescent="0.35">
      <c r="A1383" s="2" t="s">
        <v>59</v>
      </c>
      <c r="B1383" s="2" t="s">
        <v>94</v>
      </c>
      <c r="C1383" s="2" t="s">
        <v>14271</v>
      </c>
      <c r="D1383" s="2" t="s">
        <v>14272</v>
      </c>
      <c r="E1383" s="2" t="s">
        <v>14273</v>
      </c>
      <c r="G1383" s="3" t="s">
        <v>64</v>
      </c>
      <c r="I1383" s="3" t="s">
        <v>64</v>
      </c>
      <c r="J1383" s="3" t="s">
        <v>64</v>
      </c>
      <c r="K1383" s="3" t="s">
        <v>65</v>
      </c>
      <c r="L1383" s="2" t="s">
        <v>14274</v>
      </c>
      <c r="M1383" s="2" t="s">
        <v>14275</v>
      </c>
      <c r="N1383" s="3" t="s">
        <v>214</v>
      </c>
      <c r="P1383" s="3" t="s">
        <v>69</v>
      </c>
      <c r="R1383" s="3" t="s">
        <v>9228</v>
      </c>
      <c r="S1383" s="4">
        <v>4</v>
      </c>
      <c r="T1383" s="4">
        <v>4</v>
      </c>
      <c r="U1383" s="5" t="s">
        <v>430</v>
      </c>
      <c r="V1383" s="5" t="s">
        <v>430</v>
      </c>
      <c r="W1383" s="5" t="s">
        <v>72</v>
      </c>
      <c r="X1383" s="5" t="s">
        <v>72</v>
      </c>
      <c r="Y1383" s="4">
        <v>201</v>
      </c>
      <c r="Z1383" s="4">
        <v>14</v>
      </c>
      <c r="AA1383" s="4">
        <v>87</v>
      </c>
      <c r="AB1383" s="4">
        <v>1</v>
      </c>
      <c r="AC1383" s="4">
        <v>14</v>
      </c>
      <c r="AD1383" s="4">
        <v>64</v>
      </c>
      <c r="AE1383" s="4">
        <v>127</v>
      </c>
      <c r="AF1383" s="4">
        <v>0</v>
      </c>
      <c r="AG1383" s="4">
        <v>8</v>
      </c>
      <c r="AH1383" s="4">
        <v>57</v>
      </c>
      <c r="AI1383" s="4">
        <v>92</v>
      </c>
      <c r="AJ1383" s="4">
        <v>9</v>
      </c>
      <c r="AK1383" s="4">
        <v>23</v>
      </c>
      <c r="AL1383" s="4">
        <v>39</v>
      </c>
      <c r="AM1383" s="4">
        <v>51</v>
      </c>
      <c r="AN1383" s="4">
        <v>0</v>
      </c>
      <c r="AO1383" s="4">
        <v>0</v>
      </c>
      <c r="AP1383" s="4">
        <v>11</v>
      </c>
      <c r="AQ1383" s="4">
        <v>43</v>
      </c>
      <c r="AR1383" s="3" t="s">
        <v>64</v>
      </c>
      <c r="AS1383" s="3" t="s">
        <v>64</v>
      </c>
      <c r="AT1383" s="3" t="s">
        <v>64</v>
      </c>
      <c r="AV1383" s="6" t="str">
        <f>HYPERLINK("http://mcgill.on.worldcat.org/oclc/361947908","Catalog Record")</f>
        <v>Catalog Record</v>
      </c>
      <c r="AW1383" s="6" t="str">
        <f>HYPERLINK("http://www.worldcat.org/oclc/361947908","WorldCat Record")</f>
        <v>WorldCat Record</v>
      </c>
      <c r="AX1383" s="3" t="s">
        <v>14276</v>
      </c>
      <c r="AY1383" s="3" t="s">
        <v>14277</v>
      </c>
      <c r="AZ1383" s="3" t="s">
        <v>14278</v>
      </c>
      <c r="BA1383" s="3" t="s">
        <v>14278</v>
      </c>
      <c r="BB1383" s="3" t="s">
        <v>14279</v>
      </c>
      <c r="BC1383" s="3" t="s">
        <v>78</v>
      </c>
      <c r="BD1383" s="3" t="s">
        <v>79</v>
      </c>
      <c r="BE1383" s="3" t="s">
        <v>14280</v>
      </c>
      <c r="BF1383" s="3" t="s">
        <v>14279</v>
      </c>
      <c r="BG1383" s="3" t="s">
        <v>14281</v>
      </c>
    </row>
    <row r="1384" spans="1:59" ht="58" x14ac:dyDescent="0.35">
      <c r="A1384" s="2" t="s">
        <v>59</v>
      </c>
      <c r="B1384" s="2" t="s">
        <v>94</v>
      </c>
      <c r="C1384" s="2" t="s">
        <v>14282</v>
      </c>
      <c r="D1384" s="2" t="s">
        <v>14283</v>
      </c>
      <c r="E1384" s="2" t="s">
        <v>14284</v>
      </c>
      <c r="G1384" s="3" t="s">
        <v>64</v>
      </c>
      <c r="I1384" s="3" t="s">
        <v>64</v>
      </c>
      <c r="J1384" s="3" t="s">
        <v>64</v>
      </c>
      <c r="K1384" s="3" t="s">
        <v>65</v>
      </c>
      <c r="L1384" s="2" t="s">
        <v>14285</v>
      </c>
      <c r="M1384" s="2" t="s">
        <v>14286</v>
      </c>
      <c r="N1384" s="3" t="s">
        <v>3563</v>
      </c>
      <c r="P1384" s="3" t="s">
        <v>69</v>
      </c>
      <c r="Q1384" s="2" t="s">
        <v>14287</v>
      </c>
      <c r="R1384" s="3" t="s">
        <v>9228</v>
      </c>
      <c r="S1384" s="4">
        <v>3</v>
      </c>
      <c r="T1384" s="4">
        <v>3</v>
      </c>
      <c r="U1384" s="5" t="s">
        <v>14288</v>
      </c>
      <c r="V1384" s="5" t="s">
        <v>14288</v>
      </c>
      <c r="W1384" s="5" t="s">
        <v>72</v>
      </c>
      <c r="X1384" s="5" t="s">
        <v>72</v>
      </c>
      <c r="Y1384" s="4">
        <v>309</v>
      </c>
      <c r="Z1384" s="4">
        <v>17</v>
      </c>
      <c r="AA1384" s="4">
        <v>100</v>
      </c>
      <c r="AB1384" s="4">
        <v>1</v>
      </c>
      <c r="AC1384" s="4">
        <v>17</v>
      </c>
      <c r="AD1384" s="4">
        <v>97</v>
      </c>
      <c r="AE1384" s="4">
        <v>143</v>
      </c>
      <c r="AF1384" s="4">
        <v>0</v>
      </c>
      <c r="AG1384" s="4">
        <v>8</v>
      </c>
      <c r="AH1384" s="4">
        <v>90</v>
      </c>
      <c r="AI1384" s="4">
        <v>106</v>
      </c>
      <c r="AJ1384" s="4">
        <v>11</v>
      </c>
      <c r="AK1384" s="4">
        <v>23</v>
      </c>
      <c r="AL1384" s="4">
        <v>54</v>
      </c>
      <c r="AM1384" s="4">
        <v>58</v>
      </c>
      <c r="AN1384" s="4">
        <v>0</v>
      </c>
      <c r="AO1384" s="4">
        <v>0</v>
      </c>
      <c r="AP1384" s="4">
        <v>11</v>
      </c>
      <c r="AQ1384" s="4">
        <v>44</v>
      </c>
      <c r="AR1384" s="3" t="s">
        <v>64</v>
      </c>
      <c r="AS1384" s="3" t="s">
        <v>64</v>
      </c>
      <c r="AT1384" s="3" t="s">
        <v>64</v>
      </c>
      <c r="AV1384" s="6" t="str">
        <f>HYPERLINK("http://mcgill.on.worldcat.org/oclc/23584478","Catalog Record")</f>
        <v>Catalog Record</v>
      </c>
      <c r="AW1384" s="6" t="str">
        <f>HYPERLINK("http://www.worldcat.org/oclc/23584478","WorldCat Record")</f>
        <v>WorldCat Record</v>
      </c>
      <c r="AX1384" s="3" t="s">
        <v>14289</v>
      </c>
      <c r="AY1384" s="3" t="s">
        <v>14290</v>
      </c>
      <c r="AZ1384" s="3" t="s">
        <v>14291</v>
      </c>
      <c r="BA1384" s="3" t="s">
        <v>14291</v>
      </c>
      <c r="BB1384" s="3" t="s">
        <v>14292</v>
      </c>
      <c r="BC1384" s="3" t="s">
        <v>78</v>
      </c>
      <c r="BD1384" s="3" t="s">
        <v>79</v>
      </c>
      <c r="BE1384" s="3" t="s">
        <v>14293</v>
      </c>
      <c r="BF1384" s="3" t="s">
        <v>14292</v>
      </c>
      <c r="BG1384" s="3" t="s">
        <v>14294</v>
      </c>
    </row>
    <row r="1385" spans="1:59" ht="58" x14ac:dyDescent="0.35">
      <c r="A1385" s="2" t="s">
        <v>59</v>
      </c>
      <c r="B1385" s="2" t="s">
        <v>94</v>
      </c>
      <c r="C1385" s="2" t="s">
        <v>14295</v>
      </c>
      <c r="D1385" s="2" t="s">
        <v>14296</v>
      </c>
      <c r="E1385" s="2" t="s">
        <v>14297</v>
      </c>
      <c r="G1385" s="3" t="s">
        <v>64</v>
      </c>
      <c r="I1385" s="3" t="s">
        <v>64</v>
      </c>
      <c r="J1385" s="3" t="s">
        <v>64</v>
      </c>
      <c r="K1385" s="3" t="s">
        <v>65</v>
      </c>
      <c r="M1385" s="2" t="s">
        <v>2429</v>
      </c>
      <c r="N1385" s="3" t="s">
        <v>705</v>
      </c>
      <c r="P1385" s="3" t="s">
        <v>69</v>
      </c>
      <c r="R1385" s="3" t="s">
        <v>9228</v>
      </c>
      <c r="S1385" s="4">
        <v>19</v>
      </c>
      <c r="T1385" s="4">
        <v>19</v>
      </c>
      <c r="U1385" s="5" t="s">
        <v>14298</v>
      </c>
      <c r="V1385" s="5" t="s">
        <v>14298</v>
      </c>
      <c r="W1385" s="5" t="s">
        <v>72</v>
      </c>
      <c r="X1385" s="5" t="s">
        <v>72</v>
      </c>
      <c r="Y1385" s="4">
        <v>204</v>
      </c>
      <c r="Z1385" s="4">
        <v>15</v>
      </c>
      <c r="AA1385" s="4">
        <v>20</v>
      </c>
      <c r="AB1385" s="4">
        <v>1</v>
      </c>
      <c r="AC1385" s="4">
        <v>4</v>
      </c>
      <c r="AD1385" s="4">
        <v>87</v>
      </c>
      <c r="AE1385" s="4">
        <v>89</v>
      </c>
      <c r="AF1385" s="4">
        <v>0</v>
      </c>
      <c r="AG1385" s="4">
        <v>0</v>
      </c>
      <c r="AH1385" s="4">
        <v>78</v>
      </c>
      <c r="AI1385" s="4">
        <v>80</v>
      </c>
      <c r="AJ1385" s="4">
        <v>10</v>
      </c>
      <c r="AK1385" s="4">
        <v>11</v>
      </c>
      <c r="AL1385" s="4">
        <v>48</v>
      </c>
      <c r="AM1385" s="4">
        <v>48</v>
      </c>
      <c r="AN1385" s="4">
        <v>0</v>
      </c>
      <c r="AO1385" s="4">
        <v>0</v>
      </c>
      <c r="AP1385" s="4">
        <v>12</v>
      </c>
      <c r="AQ1385" s="4">
        <v>13</v>
      </c>
      <c r="AR1385" s="3" t="s">
        <v>64</v>
      </c>
      <c r="AS1385" s="3" t="s">
        <v>64</v>
      </c>
      <c r="AT1385" s="3" t="s">
        <v>64</v>
      </c>
      <c r="AV1385" s="6" t="str">
        <f>HYPERLINK("http://mcgill.on.worldcat.org/oclc/33078268","Catalog Record")</f>
        <v>Catalog Record</v>
      </c>
      <c r="AW1385" s="6" t="str">
        <f>HYPERLINK("http://www.worldcat.org/oclc/33078268","WorldCat Record")</f>
        <v>WorldCat Record</v>
      </c>
      <c r="AX1385" s="3" t="s">
        <v>14299</v>
      </c>
      <c r="AY1385" s="3" t="s">
        <v>14300</v>
      </c>
      <c r="AZ1385" s="3" t="s">
        <v>14301</v>
      </c>
      <c r="BA1385" s="3" t="s">
        <v>14301</v>
      </c>
      <c r="BB1385" s="3" t="s">
        <v>14302</v>
      </c>
      <c r="BC1385" s="3" t="s">
        <v>78</v>
      </c>
      <c r="BD1385" s="3" t="s">
        <v>79</v>
      </c>
      <c r="BE1385" s="3" t="s">
        <v>14303</v>
      </c>
      <c r="BF1385" s="3" t="s">
        <v>14302</v>
      </c>
      <c r="BG1385" s="3" t="s">
        <v>14304</v>
      </c>
    </row>
    <row r="1386" spans="1:59" ht="58" x14ac:dyDescent="0.35">
      <c r="A1386" s="2" t="s">
        <v>59</v>
      </c>
      <c r="B1386" s="2" t="s">
        <v>94</v>
      </c>
      <c r="C1386" s="2" t="s">
        <v>14305</v>
      </c>
      <c r="D1386" s="2" t="s">
        <v>14306</v>
      </c>
      <c r="E1386" s="2" t="s">
        <v>14307</v>
      </c>
      <c r="G1386" s="3" t="s">
        <v>64</v>
      </c>
      <c r="I1386" s="3" t="s">
        <v>64</v>
      </c>
      <c r="J1386" s="3" t="s">
        <v>64</v>
      </c>
      <c r="K1386" s="3" t="s">
        <v>65</v>
      </c>
      <c r="M1386" s="2" t="s">
        <v>1777</v>
      </c>
      <c r="N1386" s="3" t="s">
        <v>377</v>
      </c>
      <c r="P1386" s="3" t="s">
        <v>69</v>
      </c>
      <c r="R1386" s="3" t="s">
        <v>9228</v>
      </c>
      <c r="S1386" s="4">
        <v>2</v>
      </c>
      <c r="T1386" s="4">
        <v>2</v>
      </c>
      <c r="U1386" s="5" t="s">
        <v>4146</v>
      </c>
      <c r="V1386" s="5" t="s">
        <v>4146</v>
      </c>
      <c r="W1386" s="5" t="s">
        <v>72</v>
      </c>
      <c r="X1386" s="5" t="s">
        <v>72</v>
      </c>
      <c r="Y1386" s="4">
        <v>113</v>
      </c>
      <c r="Z1386" s="4">
        <v>6</v>
      </c>
      <c r="AA1386" s="4">
        <v>16</v>
      </c>
      <c r="AB1386" s="4">
        <v>1</v>
      </c>
      <c r="AC1386" s="4">
        <v>7</v>
      </c>
      <c r="AD1386" s="4">
        <v>43</v>
      </c>
      <c r="AE1386" s="4">
        <v>62</v>
      </c>
      <c r="AF1386" s="4">
        <v>0</v>
      </c>
      <c r="AG1386" s="4">
        <v>3</v>
      </c>
      <c r="AH1386" s="4">
        <v>42</v>
      </c>
      <c r="AI1386" s="4">
        <v>58</v>
      </c>
      <c r="AJ1386" s="4">
        <v>3</v>
      </c>
      <c r="AK1386" s="4">
        <v>10</v>
      </c>
      <c r="AL1386" s="4">
        <v>28</v>
      </c>
      <c r="AM1386" s="4">
        <v>35</v>
      </c>
      <c r="AN1386" s="4">
        <v>0</v>
      </c>
      <c r="AO1386" s="4">
        <v>0</v>
      </c>
      <c r="AP1386" s="4">
        <v>3</v>
      </c>
      <c r="AQ1386" s="4">
        <v>9</v>
      </c>
      <c r="AR1386" s="3" t="s">
        <v>64</v>
      </c>
      <c r="AS1386" s="3" t="s">
        <v>64</v>
      </c>
      <c r="AT1386" s="3" t="s">
        <v>64</v>
      </c>
      <c r="AV1386" s="6" t="str">
        <f>HYPERLINK("http://mcgill.on.worldcat.org/oclc/779264849","Catalog Record")</f>
        <v>Catalog Record</v>
      </c>
      <c r="AW1386" s="6" t="str">
        <f>HYPERLINK("http://www.worldcat.org/oclc/779264849","WorldCat Record")</f>
        <v>WorldCat Record</v>
      </c>
      <c r="AX1386" s="3" t="s">
        <v>14308</v>
      </c>
      <c r="AY1386" s="3" t="s">
        <v>14309</v>
      </c>
      <c r="AZ1386" s="3" t="s">
        <v>14310</v>
      </c>
      <c r="BA1386" s="3" t="s">
        <v>14310</v>
      </c>
      <c r="BB1386" s="3" t="s">
        <v>14311</v>
      </c>
      <c r="BC1386" s="3" t="s">
        <v>78</v>
      </c>
      <c r="BD1386" s="3" t="s">
        <v>79</v>
      </c>
      <c r="BE1386" s="3" t="s">
        <v>14312</v>
      </c>
      <c r="BF1386" s="3" t="s">
        <v>14311</v>
      </c>
      <c r="BG1386" s="3" t="s">
        <v>14313</v>
      </c>
    </row>
    <row r="1387" spans="1:59" ht="58" x14ac:dyDescent="0.35">
      <c r="A1387" s="2" t="s">
        <v>59</v>
      </c>
      <c r="B1387" s="2" t="s">
        <v>94</v>
      </c>
      <c r="C1387" s="2" t="s">
        <v>14314</v>
      </c>
      <c r="D1387" s="2" t="s">
        <v>14315</v>
      </c>
      <c r="E1387" s="2" t="s">
        <v>14316</v>
      </c>
      <c r="G1387" s="3" t="s">
        <v>64</v>
      </c>
      <c r="I1387" s="3" t="s">
        <v>64</v>
      </c>
      <c r="J1387" s="3" t="s">
        <v>64</v>
      </c>
      <c r="K1387" s="3" t="s">
        <v>65</v>
      </c>
      <c r="L1387" s="2" t="s">
        <v>14317</v>
      </c>
      <c r="M1387" s="2" t="s">
        <v>14318</v>
      </c>
      <c r="N1387" s="3" t="s">
        <v>3563</v>
      </c>
      <c r="P1387" s="3" t="s">
        <v>202</v>
      </c>
      <c r="Q1387" s="2" t="s">
        <v>14319</v>
      </c>
      <c r="R1387" s="3" t="s">
        <v>9228</v>
      </c>
      <c r="S1387" s="4">
        <v>1</v>
      </c>
      <c r="T1387" s="4">
        <v>1</v>
      </c>
      <c r="U1387" s="5" t="s">
        <v>4026</v>
      </c>
      <c r="V1387" s="5" t="s">
        <v>4026</v>
      </c>
      <c r="W1387" s="5" t="s">
        <v>72</v>
      </c>
      <c r="X1387" s="5" t="s">
        <v>72</v>
      </c>
      <c r="Y1387" s="4">
        <v>80</v>
      </c>
      <c r="Z1387" s="4">
        <v>5</v>
      </c>
      <c r="AA1387" s="4">
        <v>5</v>
      </c>
      <c r="AB1387" s="4">
        <v>1</v>
      </c>
      <c r="AC1387" s="4">
        <v>1</v>
      </c>
      <c r="AD1387" s="4">
        <v>43</v>
      </c>
      <c r="AE1387" s="4">
        <v>43</v>
      </c>
      <c r="AF1387" s="4">
        <v>0</v>
      </c>
      <c r="AG1387" s="4">
        <v>0</v>
      </c>
      <c r="AH1387" s="4">
        <v>41</v>
      </c>
      <c r="AI1387" s="4">
        <v>41</v>
      </c>
      <c r="AJ1387" s="4">
        <v>3</v>
      </c>
      <c r="AK1387" s="4">
        <v>3</v>
      </c>
      <c r="AL1387" s="4">
        <v>33</v>
      </c>
      <c r="AM1387" s="4">
        <v>33</v>
      </c>
      <c r="AN1387" s="4">
        <v>0</v>
      </c>
      <c r="AO1387" s="4">
        <v>0</v>
      </c>
      <c r="AP1387" s="4">
        <v>3</v>
      </c>
      <c r="AQ1387" s="4">
        <v>3</v>
      </c>
      <c r="AR1387" s="3" t="s">
        <v>64</v>
      </c>
      <c r="AS1387" s="3" t="s">
        <v>64</v>
      </c>
      <c r="AT1387" s="3" t="s">
        <v>73</v>
      </c>
      <c r="AU1387" s="6" t="str">
        <f>HYPERLINK("http://catalog.hathitrust.org/Record/003085286","HathiTrust Record")</f>
        <v>HathiTrust Record</v>
      </c>
      <c r="AV1387" s="6" t="str">
        <f>HYPERLINK("http://mcgill.on.worldcat.org/oclc/28184549","Catalog Record")</f>
        <v>Catalog Record</v>
      </c>
      <c r="AW1387" s="6" t="str">
        <f>HYPERLINK("http://www.worldcat.org/oclc/28184549","WorldCat Record")</f>
        <v>WorldCat Record</v>
      </c>
      <c r="AX1387" s="3" t="s">
        <v>14320</v>
      </c>
      <c r="AY1387" s="3" t="s">
        <v>14321</v>
      </c>
      <c r="AZ1387" s="3" t="s">
        <v>14322</v>
      </c>
      <c r="BA1387" s="3" t="s">
        <v>14322</v>
      </c>
      <c r="BB1387" s="3" t="s">
        <v>14323</v>
      </c>
      <c r="BC1387" s="3" t="s">
        <v>78</v>
      </c>
      <c r="BD1387" s="3" t="s">
        <v>79</v>
      </c>
      <c r="BE1387" s="3" t="s">
        <v>14324</v>
      </c>
      <c r="BF1387" s="3" t="s">
        <v>14323</v>
      </c>
      <c r="BG1387" s="3" t="s">
        <v>14325</v>
      </c>
    </row>
    <row r="1388" spans="1:59" ht="58" x14ac:dyDescent="0.35">
      <c r="A1388" s="2" t="s">
        <v>59</v>
      </c>
      <c r="B1388" s="2" t="s">
        <v>94</v>
      </c>
      <c r="C1388" s="2" t="s">
        <v>14326</v>
      </c>
      <c r="D1388" s="2" t="s">
        <v>14327</v>
      </c>
      <c r="E1388" s="2" t="s">
        <v>14328</v>
      </c>
      <c r="G1388" s="3" t="s">
        <v>64</v>
      </c>
      <c r="I1388" s="3" t="s">
        <v>64</v>
      </c>
      <c r="J1388" s="3" t="s">
        <v>64</v>
      </c>
      <c r="K1388" s="3" t="s">
        <v>65</v>
      </c>
      <c r="L1388" s="2" t="s">
        <v>14329</v>
      </c>
      <c r="M1388" s="2" t="s">
        <v>14330</v>
      </c>
      <c r="N1388" s="3" t="s">
        <v>1320</v>
      </c>
      <c r="P1388" s="3" t="s">
        <v>69</v>
      </c>
      <c r="Q1388" s="2" t="s">
        <v>14331</v>
      </c>
      <c r="R1388" s="3" t="s">
        <v>9228</v>
      </c>
      <c r="S1388" s="4">
        <v>9</v>
      </c>
      <c r="T1388" s="4">
        <v>9</v>
      </c>
      <c r="U1388" s="5" t="s">
        <v>14332</v>
      </c>
      <c r="V1388" s="5" t="s">
        <v>14332</v>
      </c>
      <c r="W1388" s="5" t="s">
        <v>72</v>
      </c>
      <c r="X1388" s="5" t="s">
        <v>72</v>
      </c>
      <c r="Y1388" s="4">
        <v>298</v>
      </c>
      <c r="Z1388" s="4">
        <v>18</v>
      </c>
      <c r="AA1388" s="4">
        <v>22</v>
      </c>
      <c r="AB1388" s="4">
        <v>1</v>
      </c>
      <c r="AC1388" s="4">
        <v>1</v>
      </c>
      <c r="AD1388" s="4">
        <v>90</v>
      </c>
      <c r="AE1388" s="4">
        <v>99</v>
      </c>
      <c r="AF1388" s="4">
        <v>0</v>
      </c>
      <c r="AG1388" s="4">
        <v>0</v>
      </c>
      <c r="AH1388" s="4">
        <v>84</v>
      </c>
      <c r="AI1388" s="4">
        <v>91</v>
      </c>
      <c r="AJ1388" s="4">
        <v>8</v>
      </c>
      <c r="AK1388" s="4">
        <v>12</v>
      </c>
      <c r="AL1388" s="4">
        <v>46</v>
      </c>
      <c r="AM1388" s="4">
        <v>48</v>
      </c>
      <c r="AN1388" s="4">
        <v>0</v>
      </c>
      <c r="AO1388" s="4">
        <v>0</v>
      </c>
      <c r="AP1388" s="4">
        <v>11</v>
      </c>
      <c r="AQ1388" s="4">
        <v>15</v>
      </c>
      <c r="AR1388" s="3" t="s">
        <v>64</v>
      </c>
      <c r="AS1388" s="3" t="s">
        <v>64</v>
      </c>
      <c r="AT1388" s="3" t="s">
        <v>73</v>
      </c>
      <c r="AU1388" s="6" t="str">
        <f>HYPERLINK("http://catalog.hathitrust.org/Record/002987383","HathiTrust Record")</f>
        <v>HathiTrust Record</v>
      </c>
      <c r="AV1388" s="6" t="str">
        <f>HYPERLINK("http://mcgill.on.worldcat.org/oclc/31376603","Catalog Record")</f>
        <v>Catalog Record</v>
      </c>
      <c r="AW1388" s="6" t="str">
        <f>HYPERLINK("http://www.worldcat.org/oclc/31376603","WorldCat Record")</f>
        <v>WorldCat Record</v>
      </c>
      <c r="AX1388" s="3" t="s">
        <v>14333</v>
      </c>
      <c r="AY1388" s="3" t="s">
        <v>14334</v>
      </c>
      <c r="AZ1388" s="3" t="s">
        <v>14335</v>
      </c>
      <c r="BA1388" s="3" t="s">
        <v>14335</v>
      </c>
      <c r="BB1388" s="3" t="s">
        <v>14336</v>
      </c>
      <c r="BC1388" s="3" t="s">
        <v>78</v>
      </c>
      <c r="BD1388" s="3" t="s">
        <v>79</v>
      </c>
      <c r="BE1388" s="3" t="s">
        <v>14337</v>
      </c>
      <c r="BF1388" s="3" t="s">
        <v>14336</v>
      </c>
      <c r="BG1388" s="3" t="s">
        <v>14338</v>
      </c>
    </row>
    <row r="1389" spans="1:59" ht="58" x14ac:dyDescent="0.35">
      <c r="A1389" s="2" t="s">
        <v>59</v>
      </c>
      <c r="B1389" s="2" t="s">
        <v>94</v>
      </c>
      <c r="C1389" s="2" t="s">
        <v>14339</v>
      </c>
      <c r="D1389" s="2" t="s">
        <v>14340</v>
      </c>
      <c r="E1389" s="2" t="s">
        <v>14341</v>
      </c>
      <c r="G1389" s="3" t="s">
        <v>64</v>
      </c>
      <c r="I1389" s="3" t="s">
        <v>64</v>
      </c>
      <c r="J1389" s="3" t="s">
        <v>64</v>
      </c>
      <c r="K1389" s="3" t="s">
        <v>65</v>
      </c>
      <c r="L1389" s="2" t="s">
        <v>14342</v>
      </c>
      <c r="M1389" s="2" t="s">
        <v>14343</v>
      </c>
      <c r="N1389" s="3" t="s">
        <v>340</v>
      </c>
      <c r="P1389" s="3" t="s">
        <v>69</v>
      </c>
      <c r="Q1389" s="2" t="s">
        <v>14344</v>
      </c>
      <c r="R1389" s="3" t="s">
        <v>9228</v>
      </c>
      <c r="S1389" s="4">
        <v>8</v>
      </c>
      <c r="T1389" s="4">
        <v>8</v>
      </c>
      <c r="U1389" s="5" t="s">
        <v>1971</v>
      </c>
      <c r="V1389" s="5" t="s">
        <v>1971</v>
      </c>
      <c r="W1389" s="5" t="s">
        <v>72</v>
      </c>
      <c r="X1389" s="5" t="s">
        <v>72</v>
      </c>
      <c r="Y1389" s="4">
        <v>229</v>
      </c>
      <c r="Z1389" s="4">
        <v>12</v>
      </c>
      <c r="AA1389" s="4">
        <v>12</v>
      </c>
      <c r="AB1389" s="4">
        <v>1</v>
      </c>
      <c r="AC1389" s="4">
        <v>1</v>
      </c>
      <c r="AD1389" s="4">
        <v>94</v>
      </c>
      <c r="AE1389" s="4">
        <v>94</v>
      </c>
      <c r="AF1389" s="4">
        <v>0</v>
      </c>
      <c r="AG1389" s="4">
        <v>0</v>
      </c>
      <c r="AH1389" s="4">
        <v>89</v>
      </c>
      <c r="AI1389" s="4">
        <v>89</v>
      </c>
      <c r="AJ1389" s="4">
        <v>8</v>
      </c>
      <c r="AK1389" s="4">
        <v>8</v>
      </c>
      <c r="AL1389" s="4">
        <v>52</v>
      </c>
      <c r="AM1389" s="4">
        <v>52</v>
      </c>
      <c r="AN1389" s="4">
        <v>0</v>
      </c>
      <c r="AO1389" s="4">
        <v>0</v>
      </c>
      <c r="AP1389" s="4">
        <v>8</v>
      </c>
      <c r="AQ1389" s="4">
        <v>8</v>
      </c>
      <c r="AR1389" s="3" t="s">
        <v>64</v>
      </c>
      <c r="AS1389" s="3" t="s">
        <v>64</v>
      </c>
      <c r="AT1389" s="3" t="s">
        <v>64</v>
      </c>
      <c r="AV1389" s="6" t="str">
        <f>HYPERLINK("http://mcgill.on.worldcat.org/oclc/38010661","Catalog Record")</f>
        <v>Catalog Record</v>
      </c>
      <c r="AW1389" s="6" t="str">
        <f>HYPERLINK("http://www.worldcat.org/oclc/38010661","WorldCat Record")</f>
        <v>WorldCat Record</v>
      </c>
      <c r="AX1389" s="3" t="s">
        <v>14345</v>
      </c>
      <c r="AY1389" s="3" t="s">
        <v>14346</v>
      </c>
      <c r="AZ1389" s="3" t="s">
        <v>14347</v>
      </c>
      <c r="BA1389" s="3" t="s">
        <v>14347</v>
      </c>
      <c r="BB1389" s="3" t="s">
        <v>14348</v>
      </c>
      <c r="BC1389" s="3" t="s">
        <v>78</v>
      </c>
      <c r="BD1389" s="3" t="s">
        <v>79</v>
      </c>
      <c r="BE1389" s="3" t="s">
        <v>14349</v>
      </c>
      <c r="BF1389" s="3" t="s">
        <v>14348</v>
      </c>
      <c r="BG1389" s="3" t="s">
        <v>14350</v>
      </c>
    </row>
    <row r="1390" spans="1:59" ht="58" x14ac:dyDescent="0.35">
      <c r="A1390" s="2" t="s">
        <v>59</v>
      </c>
      <c r="B1390" s="2" t="s">
        <v>94</v>
      </c>
      <c r="C1390" s="2" t="s">
        <v>14351</v>
      </c>
      <c r="D1390" s="2" t="s">
        <v>14352</v>
      </c>
      <c r="E1390" s="2" t="s">
        <v>14353</v>
      </c>
      <c r="G1390" s="3" t="s">
        <v>64</v>
      </c>
      <c r="I1390" s="3" t="s">
        <v>64</v>
      </c>
      <c r="J1390" s="3" t="s">
        <v>73</v>
      </c>
      <c r="K1390" s="3" t="s">
        <v>65</v>
      </c>
      <c r="L1390" s="2" t="s">
        <v>14354</v>
      </c>
      <c r="M1390" s="2" t="s">
        <v>14355</v>
      </c>
      <c r="N1390" s="3" t="s">
        <v>264</v>
      </c>
      <c r="P1390" s="3" t="s">
        <v>202</v>
      </c>
      <c r="R1390" s="3" t="s">
        <v>9228</v>
      </c>
      <c r="S1390" s="4">
        <v>1</v>
      </c>
      <c r="T1390" s="4">
        <v>1</v>
      </c>
      <c r="U1390" s="5" t="s">
        <v>10049</v>
      </c>
      <c r="V1390" s="5" t="s">
        <v>10049</v>
      </c>
      <c r="W1390" s="5" t="s">
        <v>72</v>
      </c>
      <c r="X1390" s="5" t="s">
        <v>72</v>
      </c>
      <c r="Y1390" s="4">
        <v>31</v>
      </c>
      <c r="Z1390" s="4">
        <v>5</v>
      </c>
      <c r="AA1390" s="4">
        <v>7</v>
      </c>
      <c r="AB1390" s="4">
        <v>1</v>
      </c>
      <c r="AC1390" s="4">
        <v>1</v>
      </c>
      <c r="AD1390" s="4">
        <v>17</v>
      </c>
      <c r="AE1390" s="4">
        <v>54</v>
      </c>
      <c r="AF1390" s="4">
        <v>0</v>
      </c>
      <c r="AG1390" s="4">
        <v>0</v>
      </c>
      <c r="AH1390" s="4">
        <v>16</v>
      </c>
      <c r="AI1390" s="4">
        <v>51</v>
      </c>
      <c r="AJ1390" s="4">
        <v>3</v>
      </c>
      <c r="AK1390" s="4">
        <v>5</v>
      </c>
      <c r="AL1390" s="4">
        <v>8</v>
      </c>
      <c r="AM1390" s="4">
        <v>35</v>
      </c>
      <c r="AN1390" s="4">
        <v>0</v>
      </c>
      <c r="AO1390" s="4">
        <v>0</v>
      </c>
      <c r="AP1390" s="4">
        <v>3</v>
      </c>
      <c r="AQ1390" s="4">
        <v>5</v>
      </c>
      <c r="AR1390" s="3" t="s">
        <v>64</v>
      </c>
      <c r="AS1390" s="3" t="s">
        <v>64</v>
      </c>
      <c r="AT1390" s="3" t="s">
        <v>73</v>
      </c>
      <c r="AU1390" s="6" t="str">
        <f>HYPERLINK("http://catalog.hathitrust.org/Record/101872907","HathiTrust Record")</f>
        <v>HathiTrust Record</v>
      </c>
      <c r="AV1390" s="6" t="str">
        <f>HYPERLINK("http://mcgill.on.worldcat.org/oclc/11329600","Catalog Record")</f>
        <v>Catalog Record</v>
      </c>
      <c r="AW1390" s="6" t="str">
        <f>HYPERLINK("http://www.worldcat.org/oclc/11329600","WorldCat Record")</f>
        <v>WorldCat Record</v>
      </c>
      <c r="AX1390" s="3" t="s">
        <v>14356</v>
      </c>
      <c r="AY1390" s="3" t="s">
        <v>14357</v>
      </c>
      <c r="AZ1390" s="3" t="s">
        <v>14358</v>
      </c>
      <c r="BA1390" s="3" t="s">
        <v>14358</v>
      </c>
      <c r="BB1390" s="3" t="s">
        <v>14359</v>
      </c>
      <c r="BC1390" s="3" t="s">
        <v>78</v>
      </c>
      <c r="BD1390" s="3" t="s">
        <v>79</v>
      </c>
      <c r="BF1390" s="3" t="s">
        <v>14359</v>
      </c>
      <c r="BG1390" s="3" t="s">
        <v>14360</v>
      </c>
    </row>
    <row r="1391" spans="1:59" ht="58" x14ac:dyDescent="0.35">
      <c r="A1391" s="2" t="s">
        <v>59</v>
      </c>
      <c r="B1391" s="2" t="s">
        <v>94</v>
      </c>
      <c r="C1391" s="2" t="s">
        <v>14361</v>
      </c>
      <c r="D1391" s="2" t="s">
        <v>14362</v>
      </c>
      <c r="E1391" s="2" t="s">
        <v>14363</v>
      </c>
      <c r="G1391" s="3" t="s">
        <v>64</v>
      </c>
      <c r="I1391" s="3" t="s">
        <v>64</v>
      </c>
      <c r="J1391" s="3" t="s">
        <v>73</v>
      </c>
      <c r="K1391" s="3" t="s">
        <v>65</v>
      </c>
      <c r="L1391" s="2" t="s">
        <v>14364</v>
      </c>
      <c r="M1391" s="2" t="s">
        <v>14365</v>
      </c>
      <c r="N1391" s="3" t="s">
        <v>3411</v>
      </c>
      <c r="P1391" s="3" t="s">
        <v>69</v>
      </c>
      <c r="Q1391" s="2" t="s">
        <v>14366</v>
      </c>
      <c r="R1391" s="3" t="s">
        <v>9228</v>
      </c>
      <c r="S1391" s="4">
        <v>4</v>
      </c>
      <c r="T1391" s="4">
        <v>4</v>
      </c>
      <c r="U1391" s="5" t="s">
        <v>14367</v>
      </c>
      <c r="V1391" s="5" t="s">
        <v>14367</v>
      </c>
      <c r="W1391" s="5" t="s">
        <v>72</v>
      </c>
      <c r="X1391" s="5" t="s">
        <v>72</v>
      </c>
      <c r="Y1391" s="4">
        <v>549</v>
      </c>
      <c r="Z1391" s="4">
        <v>30</v>
      </c>
      <c r="AA1391" s="4">
        <v>39</v>
      </c>
      <c r="AB1391" s="4">
        <v>2</v>
      </c>
      <c r="AC1391" s="4">
        <v>5</v>
      </c>
      <c r="AD1391" s="4">
        <v>114</v>
      </c>
      <c r="AE1391" s="4">
        <v>121</v>
      </c>
      <c r="AF1391" s="4">
        <v>0</v>
      </c>
      <c r="AG1391" s="4">
        <v>2</v>
      </c>
      <c r="AH1391" s="4">
        <v>93</v>
      </c>
      <c r="AI1391" s="4">
        <v>96</v>
      </c>
      <c r="AJ1391" s="4">
        <v>18</v>
      </c>
      <c r="AK1391" s="4">
        <v>23</v>
      </c>
      <c r="AL1391" s="4">
        <v>55</v>
      </c>
      <c r="AM1391" s="4">
        <v>56</v>
      </c>
      <c r="AN1391" s="4">
        <v>0</v>
      </c>
      <c r="AO1391" s="4">
        <v>0</v>
      </c>
      <c r="AP1391" s="4">
        <v>23</v>
      </c>
      <c r="AQ1391" s="4">
        <v>29</v>
      </c>
      <c r="AR1391" s="3" t="s">
        <v>64</v>
      </c>
      <c r="AS1391" s="3" t="s">
        <v>64</v>
      </c>
      <c r="AT1391" s="3" t="s">
        <v>73</v>
      </c>
      <c r="AU1391" s="6" t="str">
        <f>HYPERLINK("http://catalog.hathitrust.org/Record/001620747","HathiTrust Record")</f>
        <v>HathiTrust Record</v>
      </c>
      <c r="AV1391" s="6" t="str">
        <f>HYPERLINK("http://mcgill.on.worldcat.org/oclc/570329","Catalog Record")</f>
        <v>Catalog Record</v>
      </c>
      <c r="AW1391" s="6" t="str">
        <f>HYPERLINK("http://www.worldcat.org/oclc/570329","WorldCat Record")</f>
        <v>WorldCat Record</v>
      </c>
      <c r="AX1391" s="3" t="s">
        <v>14368</v>
      </c>
      <c r="AY1391" s="3" t="s">
        <v>14369</v>
      </c>
      <c r="AZ1391" s="3" t="s">
        <v>14370</v>
      </c>
      <c r="BA1391" s="3" t="s">
        <v>14370</v>
      </c>
      <c r="BB1391" s="3" t="s">
        <v>14371</v>
      </c>
      <c r="BC1391" s="3" t="s">
        <v>78</v>
      </c>
      <c r="BD1391" s="3" t="s">
        <v>79</v>
      </c>
      <c r="BF1391" s="3" t="s">
        <v>14371</v>
      </c>
      <c r="BG1391" s="3" t="s">
        <v>14372</v>
      </c>
    </row>
    <row r="1392" spans="1:59" ht="58" x14ac:dyDescent="0.35">
      <c r="A1392" s="2" t="s">
        <v>59</v>
      </c>
      <c r="B1392" s="2" t="s">
        <v>94</v>
      </c>
      <c r="C1392" s="2" t="s">
        <v>14373</v>
      </c>
      <c r="D1392" s="2" t="s">
        <v>14374</v>
      </c>
      <c r="E1392" s="2" t="s">
        <v>14375</v>
      </c>
      <c r="G1392" s="3" t="s">
        <v>64</v>
      </c>
      <c r="I1392" s="3" t="s">
        <v>64</v>
      </c>
      <c r="J1392" s="3" t="s">
        <v>64</v>
      </c>
      <c r="K1392" s="3" t="s">
        <v>65</v>
      </c>
      <c r="L1392" s="2" t="s">
        <v>14376</v>
      </c>
      <c r="M1392" s="2" t="s">
        <v>14377</v>
      </c>
      <c r="N1392" s="3" t="s">
        <v>3563</v>
      </c>
      <c r="P1392" s="3" t="s">
        <v>69</v>
      </c>
      <c r="Q1392" s="2" t="s">
        <v>14378</v>
      </c>
      <c r="R1392" s="3" t="s">
        <v>9228</v>
      </c>
      <c r="S1392" s="4">
        <v>13</v>
      </c>
      <c r="T1392" s="4">
        <v>13</v>
      </c>
      <c r="U1392" s="5" t="s">
        <v>1017</v>
      </c>
      <c r="V1392" s="5" t="s">
        <v>1017</v>
      </c>
      <c r="W1392" s="5" t="s">
        <v>72</v>
      </c>
      <c r="X1392" s="5" t="s">
        <v>72</v>
      </c>
      <c r="Y1392" s="4">
        <v>212</v>
      </c>
      <c r="Z1392" s="4">
        <v>16</v>
      </c>
      <c r="AA1392" s="4">
        <v>19</v>
      </c>
      <c r="AB1392" s="4">
        <v>1</v>
      </c>
      <c r="AC1392" s="4">
        <v>4</v>
      </c>
      <c r="AD1392" s="4">
        <v>71</v>
      </c>
      <c r="AE1392" s="4">
        <v>74</v>
      </c>
      <c r="AF1392" s="4">
        <v>0</v>
      </c>
      <c r="AG1392" s="4">
        <v>0</v>
      </c>
      <c r="AH1392" s="4">
        <v>63</v>
      </c>
      <c r="AI1392" s="4">
        <v>66</v>
      </c>
      <c r="AJ1392" s="4">
        <v>8</v>
      </c>
      <c r="AK1392" s="4">
        <v>8</v>
      </c>
      <c r="AL1392" s="4">
        <v>34</v>
      </c>
      <c r="AM1392" s="4">
        <v>35</v>
      </c>
      <c r="AN1392" s="4">
        <v>0</v>
      </c>
      <c r="AO1392" s="4">
        <v>0</v>
      </c>
      <c r="AP1392" s="4">
        <v>12</v>
      </c>
      <c r="AQ1392" s="4">
        <v>12</v>
      </c>
      <c r="AR1392" s="3" t="s">
        <v>64</v>
      </c>
      <c r="AS1392" s="3" t="s">
        <v>64</v>
      </c>
      <c r="AT1392" s="3" t="s">
        <v>73</v>
      </c>
      <c r="AU1392" s="6" t="str">
        <f>HYPERLINK("http://catalog.hathitrust.org/Record/002704420","HathiTrust Record")</f>
        <v>HathiTrust Record</v>
      </c>
      <c r="AV1392" s="6" t="str">
        <f>HYPERLINK("http://mcgill.on.worldcat.org/oclc/25008850","Catalog Record")</f>
        <v>Catalog Record</v>
      </c>
      <c r="AW1392" s="6" t="str">
        <f>HYPERLINK("http://www.worldcat.org/oclc/25008850","WorldCat Record")</f>
        <v>WorldCat Record</v>
      </c>
      <c r="AX1392" s="3" t="s">
        <v>14379</v>
      </c>
      <c r="AY1392" s="3" t="s">
        <v>14380</v>
      </c>
      <c r="AZ1392" s="3" t="s">
        <v>14381</v>
      </c>
      <c r="BA1392" s="3" t="s">
        <v>14381</v>
      </c>
      <c r="BB1392" s="3" t="s">
        <v>14382</v>
      </c>
      <c r="BC1392" s="3" t="s">
        <v>78</v>
      </c>
      <c r="BD1392" s="3" t="s">
        <v>79</v>
      </c>
      <c r="BE1392" s="3" t="s">
        <v>14383</v>
      </c>
      <c r="BF1392" s="3" t="s">
        <v>14382</v>
      </c>
      <c r="BG1392" s="3" t="s">
        <v>14384</v>
      </c>
    </row>
    <row r="1393" spans="1:59" ht="58" x14ac:dyDescent="0.35">
      <c r="A1393" s="2" t="s">
        <v>59</v>
      </c>
      <c r="B1393" s="2" t="s">
        <v>94</v>
      </c>
      <c r="C1393" s="2" t="s">
        <v>14385</v>
      </c>
      <c r="D1393" s="2" t="s">
        <v>14386</v>
      </c>
      <c r="E1393" s="2" t="s">
        <v>14387</v>
      </c>
      <c r="G1393" s="3" t="s">
        <v>64</v>
      </c>
      <c r="I1393" s="3" t="s">
        <v>64</v>
      </c>
      <c r="J1393" s="3" t="s">
        <v>64</v>
      </c>
      <c r="K1393" s="3" t="s">
        <v>65</v>
      </c>
      <c r="L1393" s="2" t="s">
        <v>14388</v>
      </c>
      <c r="M1393" s="2" t="s">
        <v>11295</v>
      </c>
      <c r="N1393" s="3" t="s">
        <v>315</v>
      </c>
      <c r="P1393" s="3" t="s">
        <v>69</v>
      </c>
      <c r="Q1393" s="2" t="s">
        <v>14389</v>
      </c>
      <c r="R1393" s="3" t="s">
        <v>9228</v>
      </c>
      <c r="S1393" s="4">
        <v>8</v>
      </c>
      <c r="T1393" s="4">
        <v>8</v>
      </c>
      <c r="U1393" s="5" t="s">
        <v>14367</v>
      </c>
      <c r="V1393" s="5" t="s">
        <v>14367</v>
      </c>
      <c r="W1393" s="5" t="s">
        <v>72</v>
      </c>
      <c r="X1393" s="5" t="s">
        <v>72</v>
      </c>
      <c r="Y1393" s="4">
        <v>292</v>
      </c>
      <c r="Z1393" s="4">
        <v>17</v>
      </c>
      <c r="AA1393" s="4">
        <v>25</v>
      </c>
      <c r="AB1393" s="4">
        <v>2</v>
      </c>
      <c r="AC1393" s="4">
        <v>7</v>
      </c>
      <c r="AD1393" s="4">
        <v>95</v>
      </c>
      <c r="AE1393" s="4">
        <v>99</v>
      </c>
      <c r="AF1393" s="4">
        <v>0</v>
      </c>
      <c r="AG1393" s="4">
        <v>2</v>
      </c>
      <c r="AH1393" s="4">
        <v>86</v>
      </c>
      <c r="AI1393" s="4">
        <v>88</v>
      </c>
      <c r="AJ1393" s="4">
        <v>12</v>
      </c>
      <c r="AK1393" s="4">
        <v>16</v>
      </c>
      <c r="AL1393" s="4">
        <v>51</v>
      </c>
      <c r="AM1393" s="4">
        <v>52</v>
      </c>
      <c r="AN1393" s="4">
        <v>0</v>
      </c>
      <c r="AO1393" s="4">
        <v>0</v>
      </c>
      <c r="AP1393" s="4">
        <v>14</v>
      </c>
      <c r="AQ1393" s="4">
        <v>17</v>
      </c>
      <c r="AR1393" s="3" t="s">
        <v>64</v>
      </c>
      <c r="AS1393" s="3" t="s">
        <v>64</v>
      </c>
      <c r="AT1393" s="3" t="s">
        <v>73</v>
      </c>
      <c r="AU1393" s="6" t="str">
        <f>HYPERLINK("http://catalog.hathitrust.org/Record/000825741","HathiTrust Record")</f>
        <v>HathiTrust Record</v>
      </c>
      <c r="AV1393" s="6" t="str">
        <f>HYPERLINK("http://mcgill.on.worldcat.org/oclc/10123499","Catalog Record")</f>
        <v>Catalog Record</v>
      </c>
      <c r="AW1393" s="6" t="str">
        <f>HYPERLINK("http://www.worldcat.org/oclc/10123499","WorldCat Record")</f>
        <v>WorldCat Record</v>
      </c>
      <c r="AX1393" s="3" t="s">
        <v>14390</v>
      </c>
      <c r="AY1393" s="3" t="s">
        <v>14391</v>
      </c>
      <c r="AZ1393" s="3" t="s">
        <v>14392</v>
      </c>
      <c r="BA1393" s="3" t="s">
        <v>14392</v>
      </c>
      <c r="BB1393" s="3" t="s">
        <v>14393</v>
      </c>
      <c r="BC1393" s="3" t="s">
        <v>78</v>
      </c>
      <c r="BD1393" s="3" t="s">
        <v>79</v>
      </c>
      <c r="BE1393" s="3" t="s">
        <v>14394</v>
      </c>
      <c r="BF1393" s="3" t="s">
        <v>14393</v>
      </c>
      <c r="BG1393" s="3" t="s">
        <v>14395</v>
      </c>
    </row>
    <row r="1394" spans="1:59" ht="72.5" x14ac:dyDescent="0.35">
      <c r="A1394" s="2" t="s">
        <v>59</v>
      </c>
      <c r="B1394" s="2" t="s">
        <v>94</v>
      </c>
      <c r="C1394" s="2" t="s">
        <v>14396</v>
      </c>
      <c r="D1394" s="2" t="s">
        <v>14397</v>
      </c>
      <c r="E1394" s="2" t="s">
        <v>14398</v>
      </c>
      <c r="G1394" s="3" t="s">
        <v>64</v>
      </c>
      <c r="I1394" s="3" t="s">
        <v>64</v>
      </c>
      <c r="J1394" s="3" t="s">
        <v>64</v>
      </c>
      <c r="K1394" s="3" t="s">
        <v>65</v>
      </c>
      <c r="L1394" s="2" t="s">
        <v>14399</v>
      </c>
      <c r="M1394" s="2" t="s">
        <v>14400</v>
      </c>
      <c r="N1394" s="3" t="s">
        <v>861</v>
      </c>
      <c r="P1394" s="3" t="s">
        <v>69</v>
      </c>
      <c r="Q1394" s="2" t="s">
        <v>14401</v>
      </c>
      <c r="R1394" s="3" t="s">
        <v>9228</v>
      </c>
      <c r="S1394" s="4">
        <v>7</v>
      </c>
      <c r="T1394" s="4">
        <v>7</v>
      </c>
      <c r="U1394" s="5" t="s">
        <v>14402</v>
      </c>
      <c r="V1394" s="5" t="s">
        <v>14402</v>
      </c>
      <c r="W1394" s="5" t="s">
        <v>72</v>
      </c>
      <c r="X1394" s="5" t="s">
        <v>72</v>
      </c>
      <c r="Y1394" s="4">
        <v>73</v>
      </c>
      <c r="Z1394" s="4">
        <v>6</v>
      </c>
      <c r="AA1394" s="4">
        <v>9</v>
      </c>
      <c r="AB1394" s="4">
        <v>1</v>
      </c>
      <c r="AC1394" s="4">
        <v>4</v>
      </c>
      <c r="AD1394" s="4">
        <v>34</v>
      </c>
      <c r="AE1394" s="4">
        <v>37</v>
      </c>
      <c r="AF1394" s="4">
        <v>0</v>
      </c>
      <c r="AG1394" s="4">
        <v>0</v>
      </c>
      <c r="AH1394" s="4">
        <v>33</v>
      </c>
      <c r="AI1394" s="4">
        <v>36</v>
      </c>
      <c r="AJ1394" s="4">
        <v>4</v>
      </c>
      <c r="AK1394" s="4">
        <v>4</v>
      </c>
      <c r="AL1394" s="4">
        <v>20</v>
      </c>
      <c r="AM1394" s="4">
        <v>22</v>
      </c>
      <c r="AN1394" s="4">
        <v>0</v>
      </c>
      <c r="AO1394" s="4">
        <v>0</v>
      </c>
      <c r="AP1394" s="4">
        <v>4</v>
      </c>
      <c r="AQ1394" s="4">
        <v>4</v>
      </c>
      <c r="AR1394" s="3" t="s">
        <v>64</v>
      </c>
      <c r="AS1394" s="3" t="s">
        <v>64</v>
      </c>
      <c r="AT1394" s="3" t="s">
        <v>64</v>
      </c>
      <c r="AV1394" s="6" t="str">
        <f>HYPERLINK("http://mcgill.on.worldcat.org/oclc/54974500","Catalog Record")</f>
        <v>Catalog Record</v>
      </c>
      <c r="AW1394" s="6" t="str">
        <f>HYPERLINK("http://www.worldcat.org/oclc/54974500","WorldCat Record")</f>
        <v>WorldCat Record</v>
      </c>
      <c r="AX1394" s="3" t="s">
        <v>14403</v>
      </c>
      <c r="AY1394" s="3" t="s">
        <v>14404</v>
      </c>
      <c r="AZ1394" s="3" t="s">
        <v>14405</v>
      </c>
      <c r="BA1394" s="3" t="s">
        <v>14405</v>
      </c>
      <c r="BB1394" s="3" t="s">
        <v>14406</v>
      </c>
      <c r="BC1394" s="3" t="s">
        <v>78</v>
      </c>
      <c r="BD1394" s="3" t="s">
        <v>79</v>
      </c>
      <c r="BE1394" s="3" t="s">
        <v>14407</v>
      </c>
      <c r="BF1394" s="3" t="s">
        <v>14406</v>
      </c>
      <c r="BG1394" s="3" t="s">
        <v>14408</v>
      </c>
    </row>
    <row r="1395" spans="1:59" ht="58" x14ac:dyDescent="0.35">
      <c r="A1395" s="2" t="s">
        <v>59</v>
      </c>
      <c r="B1395" s="2" t="s">
        <v>94</v>
      </c>
      <c r="C1395" s="2" t="s">
        <v>14409</v>
      </c>
      <c r="D1395" s="2" t="s">
        <v>14410</v>
      </c>
      <c r="E1395" s="2" t="s">
        <v>14411</v>
      </c>
      <c r="G1395" s="3" t="s">
        <v>64</v>
      </c>
      <c r="I1395" s="3" t="s">
        <v>64</v>
      </c>
      <c r="J1395" s="3" t="s">
        <v>73</v>
      </c>
      <c r="K1395" s="3" t="s">
        <v>65</v>
      </c>
      <c r="L1395" s="2" t="s">
        <v>14412</v>
      </c>
      <c r="M1395" s="2" t="s">
        <v>14413</v>
      </c>
      <c r="N1395" s="3" t="s">
        <v>719</v>
      </c>
      <c r="O1395" s="2" t="s">
        <v>638</v>
      </c>
      <c r="P1395" s="3" t="s">
        <v>69</v>
      </c>
      <c r="R1395" s="3" t="s">
        <v>9228</v>
      </c>
      <c r="S1395" s="4">
        <v>14</v>
      </c>
      <c r="T1395" s="4">
        <v>14</v>
      </c>
      <c r="U1395" s="5" t="s">
        <v>14367</v>
      </c>
      <c r="V1395" s="5" t="s">
        <v>14367</v>
      </c>
      <c r="W1395" s="5" t="s">
        <v>72</v>
      </c>
      <c r="X1395" s="5" t="s">
        <v>72</v>
      </c>
      <c r="Y1395" s="4">
        <v>385</v>
      </c>
      <c r="Z1395" s="4">
        <v>27</v>
      </c>
      <c r="AA1395" s="4">
        <v>66</v>
      </c>
      <c r="AB1395" s="4">
        <v>2</v>
      </c>
      <c r="AC1395" s="4">
        <v>7</v>
      </c>
      <c r="AD1395" s="4">
        <v>75</v>
      </c>
      <c r="AE1395" s="4">
        <v>145</v>
      </c>
      <c r="AF1395" s="4">
        <v>1</v>
      </c>
      <c r="AG1395" s="4">
        <v>5</v>
      </c>
      <c r="AH1395" s="4">
        <v>62</v>
      </c>
      <c r="AI1395" s="4">
        <v>109</v>
      </c>
      <c r="AJ1395" s="4">
        <v>6</v>
      </c>
      <c r="AK1395" s="4">
        <v>26</v>
      </c>
      <c r="AL1395" s="4">
        <v>38</v>
      </c>
      <c r="AM1395" s="4">
        <v>60</v>
      </c>
      <c r="AN1395" s="4">
        <v>0</v>
      </c>
      <c r="AO1395" s="4">
        <v>0</v>
      </c>
      <c r="AP1395" s="4">
        <v>16</v>
      </c>
      <c r="AQ1395" s="4">
        <v>42</v>
      </c>
      <c r="AR1395" s="3" t="s">
        <v>64</v>
      </c>
      <c r="AS1395" s="3" t="s">
        <v>64</v>
      </c>
      <c r="AT1395" s="3" t="s">
        <v>73</v>
      </c>
      <c r="AU1395" s="6" t="str">
        <f>HYPERLINK("http://catalog.hathitrust.org/Record/000929862","HathiTrust Record")</f>
        <v>HathiTrust Record</v>
      </c>
      <c r="AV1395" s="6" t="str">
        <f>HYPERLINK("http://mcgill.on.worldcat.org/oclc/11219279","Catalog Record")</f>
        <v>Catalog Record</v>
      </c>
      <c r="AW1395" s="6" t="str">
        <f>HYPERLINK("http://www.worldcat.org/oclc/11219279","WorldCat Record")</f>
        <v>WorldCat Record</v>
      </c>
      <c r="AX1395" s="3" t="s">
        <v>14414</v>
      </c>
      <c r="AY1395" s="3" t="s">
        <v>14415</v>
      </c>
      <c r="AZ1395" s="3" t="s">
        <v>14416</v>
      </c>
      <c r="BA1395" s="3" t="s">
        <v>14416</v>
      </c>
      <c r="BB1395" s="3" t="s">
        <v>14417</v>
      </c>
      <c r="BC1395" s="3" t="s">
        <v>78</v>
      </c>
      <c r="BD1395" s="3" t="s">
        <v>79</v>
      </c>
      <c r="BE1395" s="3" t="s">
        <v>14418</v>
      </c>
      <c r="BF1395" s="3" t="s">
        <v>14417</v>
      </c>
      <c r="BG1395" s="3" t="s">
        <v>14419</v>
      </c>
    </row>
    <row r="1396" spans="1:59" ht="58" x14ac:dyDescent="0.35">
      <c r="A1396" s="2" t="s">
        <v>59</v>
      </c>
      <c r="B1396" s="2" t="s">
        <v>94</v>
      </c>
      <c r="C1396" s="2" t="s">
        <v>14420</v>
      </c>
      <c r="D1396" s="2" t="s">
        <v>14421</v>
      </c>
      <c r="E1396" s="2" t="s">
        <v>14422</v>
      </c>
      <c r="G1396" s="3" t="s">
        <v>64</v>
      </c>
      <c r="I1396" s="3" t="s">
        <v>64</v>
      </c>
      <c r="J1396" s="3" t="s">
        <v>64</v>
      </c>
      <c r="K1396" s="3" t="s">
        <v>65</v>
      </c>
      <c r="L1396" s="2" t="s">
        <v>14412</v>
      </c>
      <c r="M1396" s="2" t="s">
        <v>14423</v>
      </c>
      <c r="N1396" s="3" t="s">
        <v>1154</v>
      </c>
      <c r="P1396" s="3" t="s">
        <v>69</v>
      </c>
      <c r="R1396" s="3" t="s">
        <v>9228</v>
      </c>
      <c r="S1396" s="4">
        <v>24</v>
      </c>
      <c r="T1396" s="4">
        <v>24</v>
      </c>
      <c r="U1396" s="5" t="s">
        <v>615</v>
      </c>
      <c r="V1396" s="5" t="s">
        <v>615</v>
      </c>
      <c r="W1396" s="5" t="s">
        <v>72</v>
      </c>
      <c r="X1396" s="5" t="s">
        <v>72</v>
      </c>
      <c r="Y1396" s="4">
        <v>74</v>
      </c>
      <c r="Z1396" s="4">
        <v>5</v>
      </c>
      <c r="AA1396" s="4">
        <v>123</v>
      </c>
      <c r="AB1396" s="4">
        <v>1</v>
      </c>
      <c r="AC1396" s="4">
        <v>18</v>
      </c>
      <c r="AD1396" s="4">
        <v>14</v>
      </c>
      <c r="AE1396" s="4">
        <v>158</v>
      </c>
      <c r="AF1396" s="4">
        <v>0</v>
      </c>
      <c r="AG1396" s="4">
        <v>8</v>
      </c>
      <c r="AH1396" s="4">
        <v>11</v>
      </c>
      <c r="AI1396" s="4">
        <v>115</v>
      </c>
      <c r="AJ1396" s="4">
        <v>2</v>
      </c>
      <c r="AK1396" s="4">
        <v>27</v>
      </c>
      <c r="AL1396" s="4">
        <v>6</v>
      </c>
      <c r="AM1396" s="4">
        <v>60</v>
      </c>
      <c r="AN1396" s="4">
        <v>0</v>
      </c>
      <c r="AO1396" s="4">
        <v>0</v>
      </c>
      <c r="AP1396" s="4">
        <v>3</v>
      </c>
      <c r="AQ1396" s="4">
        <v>52</v>
      </c>
      <c r="AR1396" s="3" t="s">
        <v>64</v>
      </c>
      <c r="AS1396" s="3" t="s">
        <v>64</v>
      </c>
      <c r="AT1396" s="3" t="s">
        <v>64</v>
      </c>
      <c r="AV1396" s="6" t="str">
        <f>HYPERLINK("http://mcgill.on.worldcat.org/oclc/191730513","Catalog Record")</f>
        <v>Catalog Record</v>
      </c>
      <c r="AW1396" s="6" t="str">
        <f>HYPERLINK("http://www.worldcat.org/oclc/191730513","WorldCat Record")</f>
        <v>WorldCat Record</v>
      </c>
      <c r="AX1396" s="3" t="s">
        <v>14424</v>
      </c>
      <c r="AY1396" s="3" t="s">
        <v>14425</v>
      </c>
      <c r="AZ1396" s="3" t="s">
        <v>14426</v>
      </c>
      <c r="BA1396" s="3" t="s">
        <v>14426</v>
      </c>
      <c r="BB1396" s="3" t="s">
        <v>14427</v>
      </c>
      <c r="BC1396" s="3" t="s">
        <v>78</v>
      </c>
      <c r="BD1396" s="3" t="s">
        <v>79</v>
      </c>
      <c r="BE1396" s="3" t="s">
        <v>14428</v>
      </c>
      <c r="BF1396" s="3" t="s">
        <v>14427</v>
      </c>
      <c r="BG1396" s="3" t="s">
        <v>14429</v>
      </c>
    </row>
    <row r="1397" spans="1:59" ht="58" x14ac:dyDescent="0.35">
      <c r="A1397" s="2" t="s">
        <v>59</v>
      </c>
      <c r="B1397" s="2" t="s">
        <v>94</v>
      </c>
      <c r="C1397" s="2" t="s">
        <v>14430</v>
      </c>
      <c r="D1397" s="2" t="s">
        <v>14431</v>
      </c>
      <c r="E1397" s="2" t="s">
        <v>14432</v>
      </c>
      <c r="G1397" s="3" t="s">
        <v>64</v>
      </c>
      <c r="I1397" s="3" t="s">
        <v>64</v>
      </c>
      <c r="J1397" s="3" t="s">
        <v>64</v>
      </c>
      <c r="K1397" s="3" t="s">
        <v>65</v>
      </c>
      <c r="L1397" s="2" t="s">
        <v>14433</v>
      </c>
      <c r="M1397" s="2" t="s">
        <v>14434</v>
      </c>
      <c r="N1397" s="3" t="s">
        <v>287</v>
      </c>
      <c r="P1397" s="3" t="s">
        <v>69</v>
      </c>
      <c r="R1397" s="3" t="s">
        <v>9228</v>
      </c>
      <c r="S1397" s="4">
        <v>13</v>
      </c>
      <c r="T1397" s="4">
        <v>13</v>
      </c>
      <c r="U1397" s="5" t="s">
        <v>14435</v>
      </c>
      <c r="V1397" s="5" t="s">
        <v>14435</v>
      </c>
      <c r="W1397" s="5" t="s">
        <v>72</v>
      </c>
      <c r="X1397" s="5" t="s">
        <v>72</v>
      </c>
      <c r="Y1397" s="4">
        <v>810</v>
      </c>
      <c r="Z1397" s="4">
        <v>33</v>
      </c>
      <c r="AA1397" s="4">
        <v>36</v>
      </c>
      <c r="AB1397" s="4">
        <v>2</v>
      </c>
      <c r="AC1397" s="4">
        <v>5</v>
      </c>
      <c r="AD1397" s="4">
        <v>126</v>
      </c>
      <c r="AE1397" s="4">
        <v>129</v>
      </c>
      <c r="AF1397" s="4">
        <v>1</v>
      </c>
      <c r="AG1397" s="4">
        <v>4</v>
      </c>
      <c r="AH1397" s="4">
        <v>104</v>
      </c>
      <c r="AI1397" s="4">
        <v>105</v>
      </c>
      <c r="AJ1397" s="4">
        <v>19</v>
      </c>
      <c r="AK1397" s="4">
        <v>22</v>
      </c>
      <c r="AL1397" s="4">
        <v>58</v>
      </c>
      <c r="AM1397" s="4">
        <v>58</v>
      </c>
      <c r="AN1397" s="4">
        <v>0</v>
      </c>
      <c r="AO1397" s="4">
        <v>0</v>
      </c>
      <c r="AP1397" s="4">
        <v>25</v>
      </c>
      <c r="AQ1397" s="4">
        <v>27</v>
      </c>
      <c r="AR1397" s="3" t="s">
        <v>64</v>
      </c>
      <c r="AS1397" s="3" t="s">
        <v>64</v>
      </c>
      <c r="AT1397" s="3" t="s">
        <v>64</v>
      </c>
      <c r="AV1397" s="6" t="str">
        <f>HYPERLINK("http://mcgill.on.worldcat.org/oclc/6891397","Catalog Record")</f>
        <v>Catalog Record</v>
      </c>
      <c r="AW1397" s="6" t="str">
        <f>HYPERLINK("http://www.worldcat.org/oclc/6891397","WorldCat Record")</f>
        <v>WorldCat Record</v>
      </c>
      <c r="AX1397" s="3" t="s">
        <v>14436</v>
      </c>
      <c r="AY1397" s="3" t="s">
        <v>14437</v>
      </c>
      <c r="AZ1397" s="3" t="s">
        <v>14438</v>
      </c>
      <c r="BA1397" s="3" t="s">
        <v>14438</v>
      </c>
      <c r="BB1397" s="3" t="s">
        <v>14439</v>
      </c>
      <c r="BC1397" s="3" t="s">
        <v>78</v>
      </c>
      <c r="BD1397" s="3" t="s">
        <v>79</v>
      </c>
      <c r="BE1397" s="3" t="s">
        <v>14440</v>
      </c>
      <c r="BF1397" s="3" t="s">
        <v>14439</v>
      </c>
      <c r="BG1397" s="3" t="s">
        <v>14441</v>
      </c>
    </row>
    <row r="1398" spans="1:59" ht="58" x14ac:dyDescent="0.35">
      <c r="A1398" s="2" t="s">
        <v>59</v>
      </c>
      <c r="B1398" s="2" t="s">
        <v>94</v>
      </c>
      <c r="C1398" s="2" t="s">
        <v>14442</v>
      </c>
      <c r="D1398" s="2" t="s">
        <v>14443</v>
      </c>
      <c r="E1398" s="2" t="s">
        <v>14444</v>
      </c>
      <c r="G1398" s="3" t="s">
        <v>64</v>
      </c>
      <c r="I1398" s="3" t="s">
        <v>64</v>
      </c>
      <c r="J1398" s="3" t="s">
        <v>64</v>
      </c>
      <c r="K1398" s="3" t="s">
        <v>65</v>
      </c>
      <c r="L1398" s="2" t="s">
        <v>14445</v>
      </c>
      <c r="M1398" s="2" t="s">
        <v>14446</v>
      </c>
      <c r="N1398" s="3" t="s">
        <v>1320</v>
      </c>
      <c r="P1398" s="3" t="s">
        <v>202</v>
      </c>
      <c r="R1398" s="3" t="s">
        <v>9228</v>
      </c>
      <c r="S1398" s="4">
        <v>2</v>
      </c>
      <c r="T1398" s="4">
        <v>2</v>
      </c>
      <c r="U1398" s="5" t="s">
        <v>14447</v>
      </c>
      <c r="V1398" s="5" t="s">
        <v>14447</v>
      </c>
      <c r="W1398" s="5" t="s">
        <v>72</v>
      </c>
      <c r="X1398" s="5" t="s">
        <v>72</v>
      </c>
      <c r="Y1398" s="4">
        <v>68</v>
      </c>
      <c r="Z1398" s="4">
        <v>4</v>
      </c>
      <c r="AA1398" s="4">
        <v>4</v>
      </c>
      <c r="AB1398" s="4">
        <v>1</v>
      </c>
      <c r="AC1398" s="4">
        <v>1</v>
      </c>
      <c r="AD1398" s="4">
        <v>40</v>
      </c>
      <c r="AE1398" s="4">
        <v>40</v>
      </c>
      <c r="AF1398" s="4">
        <v>0</v>
      </c>
      <c r="AG1398" s="4">
        <v>0</v>
      </c>
      <c r="AH1398" s="4">
        <v>39</v>
      </c>
      <c r="AI1398" s="4">
        <v>39</v>
      </c>
      <c r="AJ1398" s="4">
        <v>2</v>
      </c>
      <c r="AK1398" s="4">
        <v>2</v>
      </c>
      <c r="AL1398" s="4">
        <v>31</v>
      </c>
      <c r="AM1398" s="4">
        <v>31</v>
      </c>
      <c r="AN1398" s="4">
        <v>0</v>
      </c>
      <c r="AO1398" s="4">
        <v>0</v>
      </c>
      <c r="AP1398" s="4">
        <v>2</v>
      </c>
      <c r="AQ1398" s="4">
        <v>2</v>
      </c>
      <c r="AR1398" s="3" t="s">
        <v>64</v>
      </c>
      <c r="AS1398" s="3" t="s">
        <v>64</v>
      </c>
      <c r="AT1398" s="3" t="s">
        <v>73</v>
      </c>
      <c r="AU1398" s="6" t="str">
        <f>HYPERLINK("http://catalog.hathitrust.org/Record/004004776","HathiTrust Record")</f>
        <v>HathiTrust Record</v>
      </c>
      <c r="AV1398" s="6" t="str">
        <f>HYPERLINK("http://mcgill.on.worldcat.org/oclc/34406477","Catalog Record")</f>
        <v>Catalog Record</v>
      </c>
      <c r="AW1398" s="6" t="str">
        <f>HYPERLINK("http://www.worldcat.org/oclc/34406477","WorldCat Record")</f>
        <v>WorldCat Record</v>
      </c>
      <c r="AX1398" s="3" t="s">
        <v>14448</v>
      </c>
      <c r="AY1398" s="3" t="s">
        <v>14449</v>
      </c>
      <c r="AZ1398" s="3" t="s">
        <v>14450</v>
      </c>
      <c r="BA1398" s="3" t="s">
        <v>14450</v>
      </c>
      <c r="BB1398" s="3" t="s">
        <v>14451</v>
      </c>
      <c r="BC1398" s="3" t="s">
        <v>78</v>
      </c>
      <c r="BD1398" s="3" t="s">
        <v>79</v>
      </c>
      <c r="BE1398" s="3" t="s">
        <v>14452</v>
      </c>
      <c r="BF1398" s="3" t="s">
        <v>14451</v>
      </c>
      <c r="BG1398" s="3" t="s">
        <v>14453</v>
      </c>
    </row>
    <row r="1399" spans="1:59" ht="58" x14ac:dyDescent="0.35">
      <c r="A1399" s="2" t="s">
        <v>59</v>
      </c>
      <c r="B1399" s="2" t="s">
        <v>94</v>
      </c>
      <c r="C1399" s="2" t="s">
        <v>14454</v>
      </c>
      <c r="D1399" s="2" t="s">
        <v>14455</v>
      </c>
      <c r="E1399" s="2" t="s">
        <v>14456</v>
      </c>
      <c r="G1399" s="3" t="s">
        <v>64</v>
      </c>
      <c r="I1399" s="3" t="s">
        <v>64</v>
      </c>
      <c r="J1399" s="3" t="s">
        <v>64</v>
      </c>
      <c r="K1399" s="3" t="s">
        <v>65</v>
      </c>
      <c r="L1399" s="2" t="s">
        <v>14457</v>
      </c>
      <c r="M1399" s="2" t="s">
        <v>14458</v>
      </c>
      <c r="N1399" s="3" t="s">
        <v>2362</v>
      </c>
      <c r="P1399" s="3" t="s">
        <v>69</v>
      </c>
      <c r="R1399" s="3" t="s">
        <v>9228</v>
      </c>
      <c r="S1399" s="4">
        <v>7</v>
      </c>
      <c r="T1399" s="4">
        <v>7</v>
      </c>
      <c r="U1399" s="5" t="s">
        <v>1424</v>
      </c>
      <c r="V1399" s="5" t="s">
        <v>1424</v>
      </c>
      <c r="W1399" s="5" t="s">
        <v>72</v>
      </c>
      <c r="X1399" s="5" t="s">
        <v>72</v>
      </c>
      <c r="Y1399" s="4">
        <v>721</v>
      </c>
      <c r="Z1399" s="4">
        <v>41</v>
      </c>
      <c r="AA1399" s="4">
        <v>49</v>
      </c>
      <c r="AB1399" s="4">
        <v>5</v>
      </c>
      <c r="AC1399" s="4">
        <v>11</v>
      </c>
      <c r="AD1399" s="4">
        <v>124</v>
      </c>
      <c r="AE1399" s="4">
        <v>134</v>
      </c>
      <c r="AF1399" s="4">
        <v>2</v>
      </c>
      <c r="AG1399" s="4">
        <v>5</v>
      </c>
      <c r="AH1399" s="4">
        <v>100</v>
      </c>
      <c r="AI1399" s="4">
        <v>106</v>
      </c>
      <c r="AJ1399" s="4">
        <v>20</v>
      </c>
      <c r="AK1399" s="4">
        <v>24</v>
      </c>
      <c r="AL1399" s="4">
        <v>55</v>
      </c>
      <c r="AM1399" s="4">
        <v>58</v>
      </c>
      <c r="AN1399" s="4">
        <v>0</v>
      </c>
      <c r="AO1399" s="4">
        <v>0</v>
      </c>
      <c r="AP1399" s="4">
        <v>29</v>
      </c>
      <c r="AQ1399" s="4">
        <v>33</v>
      </c>
      <c r="AR1399" s="3" t="s">
        <v>64</v>
      </c>
      <c r="AS1399" s="3" t="s">
        <v>64</v>
      </c>
      <c r="AT1399" s="3" t="s">
        <v>73</v>
      </c>
      <c r="AU1399" s="6" t="str">
        <f>HYPERLINK("http://catalog.hathitrust.org/Record/000538015","HathiTrust Record")</f>
        <v>HathiTrust Record</v>
      </c>
      <c r="AV1399" s="6" t="str">
        <f>HYPERLINK("http://mcgill.on.worldcat.org/oclc/573405","Catalog Record")</f>
        <v>Catalog Record</v>
      </c>
      <c r="AW1399" s="6" t="str">
        <f>HYPERLINK("http://www.worldcat.org/oclc/573405","WorldCat Record")</f>
        <v>WorldCat Record</v>
      </c>
      <c r="AX1399" s="3" t="s">
        <v>14459</v>
      </c>
      <c r="AY1399" s="3" t="s">
        <v>14460</v>
      </c>
      <c r="AZ1399" s="3" t="s">
        <v>14461</v>
      </c>
      <c r="BA1399" s="3" t="s">
        <v>14461</v>
      </c>
      <c r="BB1399" s="3" t="s">
        <v>14462</v>
      </c>
      <c r="BC1399" s="3" t="s">
        <v>78</v>
      </c>
      <c r="BD1399" s="3" t="s">
        <v>79</v>
      </c>
      <c r="BF1399" s="3" t="s">
        <v>14462</v>
      </c>
      <c r="BG1399" s="3" t="s">
        <v>14463</v>
      </c>
    </row>
    <row r="1400" spans="1:59" ht="58" x14ac:dyDescent="0.35">
      <c r="A1400" s="2" t="s">
        <v>59</v>
      </c>
      <c r="B1400" s="2" t="s">
        <v>94</v>
      </c>
      <c r="C1400" s="2" t="s">
        <v>14464</v>
      </c>
      <c r="D1400" s="2" t="s">
        <v>14465</v>
      </c>
      <c r="E1400" s="2" t="s">
        <v>14466</v>
      </c>
      <c r="G1400" s="3" t="s">
        <v>64</v>
      </c>
      <c r="I1400" s="3" t="s">
        <v>64</v>
      </c>
      <c r="J1400" s="3" t="s">
        <v>64</v>
      </c>
      <c r="K1400" s="3" t="s">
        <v>65</v>
      </c>
      <c r="L1400" s="2" t="s">
        <v>14467</v>
      </c>
      <c r="M1400" s="2" t="s">
        <v>14468</v>
      </c>
      <c r="N1400" s="3" t="s">
        <v>136</v>
      </c>
      <c r="P1400" s="3" t="s">
        <v>69</v>
      </c>
      <c r="R1400" s="3" t="s">
        <v>9228</v>
      </c>
      <c r="S1400" s="4">
        <v>17</v>
      </c>
      <c r="T1400" s="4">
        <v>17</v>
      </c>
      <c r="U1400" s="5" t="s">
        <v>14469</v>
      </c>
      <c r="V1400" s="5" t="s">
        <v>14469</v>
      </c>
      <c r="W1400" s="5" t="s">
        <v>72</v>
      </c>
      <c r="X1400" s="5" t="s">
        <v>72</v>
      </c>
      <c r="Y1400" s="4">
        <v>59</v>
      </c>
      <c r="Z1400" s="4">
        <v>6</v>
      </c>
      <c r="AA1400" s="4">
        <v>32</v>
      </c>
      <c r="AB1400" s="4">
        <v>1</v>
      </c>
      <c r="AC1400" s="4">
        <v>3</v>
      </c>
      <c r="AD1400" s="4">
        <v>23</v>
      </c>
      <c r="AE1400" s="4">
        <v>95</v>
      </c>
      <c r="AF1400" s="4">
        <v>0</v>
      </c>
      <c r="AG1400" s="4">
        <v>0</v>
      </c>
      <c r="AH1400" s="4">
        <v>20</v>
      </c>
      <c r="AI1400" s="4">
        <v>81</v>
      </c>
      <c r="AJ1400" s="4">
        <v>3</v>
      </c>
      <c r="AK1400" s="4">
        <v>12</v>
      </c>
      <c r="AL1400" s="4">
        <v>14</v>
      </c>
      <c r="AM1400" s="4">
        <v>49</v>
      </c>
      <c r="AN1400" s="4">
        <v>0</v>
      </c>
      <c r="AO1400" s="4">
        <v>0</v>
      </c>
      <c r="AP1400" s="4">
        <v>5</v>
      </c>
      <c r="AQ1400" s="4">
        <v>18</v>
      </c>
      <c r="AR1400" s="3" t="s">
        <v>64</v>
      </c>
      <c r="AS1400" s="3" t="s">
        <v>64</v>
      </c>
      <c r="AT1400" s="3" t="s">
        <v>64</v>
      </c>
      <c r="AV1400" s="6" t="str">
        <f>HYPERLINK("http://mcgill.on.worldcat.org/oclc/44397501","Catalog Record")</f>
        <v>Catalog Record</v>
      </c>
      <c r="AW1400" s="6" t="str">
        <f>HYPERLINK("http://www.worldcat.org/oclc/44397501","WorldCat Record")</f>
        <v>WorldCat Record</v>
      </c>
      <c r="AX1400" s="3" t="s">
        <v>14470</v>
      </c>
      <c r="AY1400" s="3" t="s">
        <v>14471</v>
      </c>
      <c r="AZ1400" s="3" t="s">
        <v>14472</v>
      </c>
      <c r="BA1400" s="3" t="s">
        <v>14472</v>
      </c>
      <c r="BB1400" s="3" t="s">
        <v>14473</v>
      </c>
      <c r="BC1400" s="3" t="s">
        <v>78</v>
      </c>
      <c r="BD1400" s="3" t="s">
        <v>79</v>
      </c>
      <c r="BE1400" s="3" t="s">
        <v>14474</v>
      </c>
      <c r="BF1400" s="3" t="s">
        <v>14473</v>
      </c>
      <c r="BG1400" s="3" t="s">
        <v>14475</v>
      </c>
    </row>
    <row r="1401" spans="1:59" ht="58" x14ac:dyDescent="0.35">
      <c r="A1401" s="2" t="s">
        <v>59</v>
      </c>
      <c r="B1401" s="2" t="s">
        <v>94</v>
      </c>
      <c r="C1401" s="2" t="s">
        <v>14476</v>
      </c>
      <c r="D1401" s="2" t="s">
        <v>14477</v>
      </c>
      <c r="E1401" s="2" t="s">
        <v>14478</v>
      </c>
      <c r="G1401" s="3" t="s">
        <v>64</v>
      </c>
      <c r="I1401" s="3" t="s">
        <v>64</v>
      </c>
      <c r="J1401" s="3" t="s">
        <v>64</v>
      </c>
      <c r="K1401" s="3" t="s">
        <v>65</v>
      </c>
      <c r="L1401" s="2" t="s">
        <v>14479</v>
      </c>
      <c r="M1401" s="2" t="s">
        <v>14480</v>
      </c>
      <c r="N1401" s="3" t="s">
        <v>3563</v>
      </c>
      <c r="P1401" s="3" t="s">
        <v>69</v>
      </c>
      <c r="Q1401" s="2" t="s">
        <v>14481</v>
      </c>
      <c r="R1401" s="3" t="s">
        <v>9228</v>
      </c>
      <c r="S1401" s="4">
        <v>9</v>
      </c>
      <c r="T1401" s="4">
        <v>9</v>
      </c>
      <c r="U1401" s="5" t="s">
        <v>12072</v>
      </c>
      <c r="V1401" s="5" t="s">
        <v>12072</v>
      </c>
      <c r="W1401" s="5" t="s">
        <v>72</v>
      </c>
      <c r="X1401" s="5" t="s">
        <v>72</v>
      </c>
      <c r="Y1401" s="4">
        <v>522</v>
      </c>
      <c r="Z1401" s="4">
        <v>28</v>
      </c>
      <c r="AA1401" s="4">
        <v>29</v>
      </c>
      <c r="AB1401" s="4">
        <v>2</v>
      </c>
      <c r="AC1401" s="4">
        <v>2</v>
      </c>
      <c r="AD1401" s="4">
        <v>120</v>
      </c>
      <c r="AE1401" s="4">
        <v>122</v>
      </c>
      <c r="AF1401" s="4">
        <v>1</v>
      </c>
      <c r="AG1401" s="4">
        <v>1</v>
      </c>
      <c r="AH1401" s="4">
        <v>103</v>
      </c>
      <c r="AI1401" s="4">
        <v>104</v>
      </c>
      <c r="AJ1401" s="4">
        <v>13</v>
      </c>
      <c r="AK1401" s="4">
        <v>13</v>
      </c>
      <c r="AL1401" s="4">
        <v>57</v>
      </c>
      <c r="AM1401" s="4">
        <v>58</v>
      </c>
      <c r="AN1401" s="4">
        <v>0</v>
      </c>
      <c r="AO1401" s="4">
        <v>0</v>
      </c>
      <c r="AP1401" s="4">
        <v>23</v>
      </c>
      <c r="AQ1401" s="4">
        <v>24</v>
      </c>
      <c r="AR1401" s="3" t="s">
        <v>64</v>
      </c>
      <c r="AS1401" s="3" t="s">
        <v>64</v>
      </c>
      <c r="AT1401" s="3" t="s">
        <v>73</v>
      </c>
      <c r="AU1401" s="6" t="str">
        <f>HYPERLINK("http://catalog.hathitrust.org/Record/004529816","HathiTrust Record")</f>
        <v>HathiTrust Record</v>
      </c>
      <c r="AV1401" s="6" t="str">
        <f>HYPERLINK("http://mcgill.on.worldcat.org/oclc/25547079","Catalog Record")</f>
        <v>Catalog Record</v>
      </c>
      <c r="AW1401" s="6" t="str">
        <f>HYPERLINK("http://www.worldcat.org/oclc/25547079","WorldCat Record")</f>
        <v>WorldCat Record</v>
      </c>
      <c r="AX1401" s="3" t="s">
        <v>14482</v>
      </c>
      <c r="AY1401" s="3" t="s">
        <v>14483</v>
      </c>
      <c r="AZ1401" s="3" t="s">
        <v>14484</v>
      </c>
      <c r="BA1401" s="3" t="s">
        <v>14484</v>
      </c>
      <c r="BB1401" s="3" t="s">
        <v>14485</v>
      </c>
      <c r="BC1401" s="3" t="s">
        <v>78</v>
      </c>
      <c r="BD1401" s="3" t="s">
        <v>79</v>
      </c>
      <c r="BE1401" s="3" t="s">
        <v>14486</v>
      </c>
      <c r="BF1401" s="3" t="s">
        <v>14485</v>
      </c>
      <c r="BG1401" s="3" t="s">
        <v>14487</v>
      </c>
    </row>
    <row r="1402" spans="1:59" ht="58" x14ac:dyDescent="0.35">
      <c r="A1402" s="2" t="s">
        <v>59</v>
      </c>
      <c r="B1402" s="2" t="s">
        <v>94</v>
      </c>
      <c r="C1402" s="2" t="s">
        <v>14488</v>
      </c>
      <c r="D1402" s="2" t="s">
        <v>14489</v>
      </c>
      <c r="E1402" s="2" t="s">
        <v>14490</v>
      </c>
      <c r="G1402" s="3" t="s">
        <v>64</v>
      </c>
      <c r="I1402" s="3" t="s">
        <v>64</v>
      </c>
      <c r="J1402" s="3" t="s">
        <v>64</v>
      </c>
      <c r="K1402" s="3" t="s">
        <v>65</v>
      </c>
      <c r="L1402" s="2" t="s">
        <v>14491</v>
      </c>
      <c r="M1402" s="2" t="s">
        <v>14492</v>
      </c>
      <c r="N1402" s="3" t="s">
        <v>3437</v>
      </c>
      <c r="P1402" s="3" t="s">
        <v>202</v>
      </c>
      <c r="R1402" s="3" t="s">
        <v>9228</v>
      </c>
      <c r="S1402" s="4">
        <v>2</v>
      </c>
      <c r="T1402" s="4">
        <v>2</v>
      </c>
      <c r="U1402" s="5" t="s">
        <v>14447</v>
      </c>
      <c r="V1402" s="5" t="s">
        <v>14447</v>
      </c>
      <c r="W1402" s="5" t="s">
        <v>72</v>
      </c>
      <c r="X1402" s="5" t="s">
        <v>72</v>
      </c>
      <c r="Y1402" s="4">
        <v>28</v>
      </c>
      <c r="Z1402" s="4">
        <v>2</v>
      </c>
      <c r="AA1402" s="4">
        <v>2</v>
      </c>
      <c r="AB1402" s="4">
        <v>1</v>
      </c>
      <c r="AC1402" s="4">
        <v>1</v>
      </c>
      <c r="AD1402" s="4">
        <v>20</v>
      </c>
      <c r="AE1402" s="4">
        <v>20</v>
      </c>
      <c r="AF1402" s="4">
        <v>0</v>
      </c>
      <c r="AG1402" s="4">
        <v>0</v>
      </c>
      <c r="AH1402" s="4">
        <v>19</v>
      </c>
      <c r="AI1402" s="4">
        <v>19</v>
      </c>
      <c r="AJ1402" s="4">
        <v>1</v>
      </c>
      <c r="AK1402" s="4">
        <v>1</v>
      </c>
      <c r="AL1402" s="4">
        <v>16</v>
      </c>
      <c r="AM1402" s="4">
        <v>16</v>
      </c>
      <c r="AN1402" s="4">
        <v>0</v>
      </c>
      <c r="AO1402" s="4">
        <v>0</v>
      </c>
      <c r="AP1402" s="4">
        <v>1</v>
      </c>
      <c r="AQ1402" s="4">
        <v>1</v>
      </c>
      <c r="AR1402" s="3" t="s">
        <v>64</v>
      </c>
      <c r="AS1402" s="3" t="s">
        <v>64</v>
      </c>
      <c r="AT1402" s="3" t="s">
        <v>73</v>
      </c>
      <c r="AU1402" s="6" t="str">
        <f>HYPERLINK("http://catalog.hathitrust.org/Record/001752266","HathiTrust Record")</f>
        <v>HathiTrust Record</v>
      </c>
      <c r="AV1402" s="6" t="str">
        <f>HYPERLINK("http://mcgill.on.worldcat.org/oclc/31111813","Catalog Record")</f>
        <v>Catalog Record</v>
      </c>
      <c r="AW1402" s="6" t="str">
        <f>HYPERLINK("http://www.worldcat.org/oclc/31111813","WorldCat Record")</f>
        <v>WorldCat Record</v>
      </c>
      <c r="AX1402" s="3" t="s">
        <v>14493</v>
      </c>
      <c r="AY1402" s="3" t="s">
        <v>14494</v>
      </c>
      <c r="AZ1402" s="3" t="s">
        <v>14495</v>
      </c>
      <c r="BA1402" s="3" t="s">
        <v>14495</v>
      </c>
      <c r="BB1402" s="3" t="s">
        <v>14496</v>
      </c>
      <c r="BC1402" s="3" t="s">
        <v>78</v>
      </c>
      <c r="BD1402" s="3" t="s">
        <v>79</v>
      </c>
      <c r="BF1402" s="3" t="s">
        <v>14496</v>
      </c>
      <c r="BG1402" s="3" t="s">
        <v>14497</v>
      </c>
    </row>
    <row r="1403" spans="1:59" ht="58" x14ac:dyDescent="0.35">
      <c r="A1403" s="2" t="s">
        <v>59</v>
      </c>
      <c r="B1403" s="2" t="s">
        <v>94</v>
      </c>
      <c r="C1403" s="2" t="s">
        <v>14498</v>
      </c>
      <c r="D1403" s="2" t="s">
        <v>14499</v>
      </c>
      <c r="E1403" s="2" t="s">
        <v>14500</v>
      </c>
      <c r="G1403" s="3" t="s">
        <v>64</v>
      </c>
      <c r="I1403" s="3" t="s">
        <v>64</v>
      </c>
      <c r="J1403" s="3" t="s">
        <v>64</v>
      </c>
      <c r="K1403" s="3" t="s">
        <v>65</v>
      </c>
      <c r="M1403" s="2" t="s">
        <v>14501</v>
      </c>
      <c r="N1403" s="3" t="s">
        <v>214</v>
      </c>
      <c r="P1403" s="3" t="s">
        <v>69</v>
      </c>
      <c r="Q1403" s="2" t="s">
        <v>14502</v>
      </c>
      <c r="R1403" s="3" t="s">
        <v>9228</v>
      </c>
      <c r="S1403" s="4">
        <v>6</v>
      </c>
      <c r="T1403" s="4">
        <v>6</v>
      </c>
      <c r="U1403" s="5" t="s">
        <v>2167</v>
      </c>
      <c r="V1403" s="5" t="s">
        <v>2167</v>
      </c>
      <c r="W1403" s="5" t="s">
        <v>72</v>
      </c>
      <c r="X1403" s="5" t="s">
        <v>72</v>
      </c>
      <c r="Y1403" s="4">
        <v>120</v>
      </c>
      <c r="Z1403" s="4">
        <v>11</v>
      </c>
      <c r="AA1403" s="4">
        <v>51</v>
      </c>
      <c r="AB1403" s="4">
        <v>1</v>
      </c>
      <c r="AC1403" s="4">
        <v>8</v>
      </c>
      <c r="AD1403" s="4">
        <v>50</v>
      </c>
      <c r="AE1403" s="4">
        <v>66</v>
      </c>
      <c r="AF1403" s="4">
        <v>0</v>
      </c>
      <c r="AG1403" s="4">
        <v>1</v>
      </c>
      <c r="AH1403" s="4">
        <v>47</v>
      </c>
      <c r="AI1403" s="4">
        <v>57</v>
      </c>
      <c r="AJ1403" s="4">
        <v>7</v>
      </c>
      <c r="AK1403" s="4">
        <v>11</v>
      </c>
      <c r="AL1403" s="4">
        <v>30</v>
      </c>
      <c r="AM1403" s="4">
        <v>34</v>
      </c>
      <c r="AN1403" s="4">
        <v>0</v>
      </c>
      <c r="AO1403" s="4">
        <v>0</v>
      </c>
      <c r="AP1403" s="4">
        <v>7</v>
      </c>
      <c r="AQ1403" s="4">
        <v>16</v>
      </c>
      <c r="AR1403" s="3" t="s">
        <v>64</v>
      </c>
      <c r="AS1403" s="3" t="s">
        <v>64</v>
      </c>
      <c r="AT1403" s="3" t="s">
        <v>64</v>
      </c>
      <c r="AV1403" s="6" t="str">
        <f>HYPERLINK("http://mcgill.on.worldcat.org/oclc/432444291","Catalog Record")</f>
        <v>Catalog Record</v>
      </c>
      <c r="AW1403" s="6" t="str">
        <f>HYPERLINK("http://www.worldcat.org/oclc/432444291","WorldCat Record")</f>
        <v>WorldCat Record</v>
      </c>
      <c r="AX1403" s="3" t="s">
        <v>14503</v>
      </c>
      <c r="AY1403" s="3" t="s">
        <v>14504</v>
      </c>
      <c r="AZ1403" s="3" t="s">
        <v>14505</v>
      </c>
      <c r="BA1403" s="3" t="s">
        <v>14505</v>
      </c>
      <c r="BB1403" s="3" t="s">
        <v>14506</v>
      </c>
      <c r="BC1403" s="3" t="s">
        <v>78</v>
      </c>
      <c r="BD1403" s="3" t="s">
        <v>79</v>
      </c>
      <c r="BE1403" s="3" t="s">
        <v>14507</v>
      </c>
      <c r="BF1403" s="3" t="s">
        <v>14506</v>
      </c>
      <c r="BG1403" s="3" t="s">
        <v>14508</v>
      </c>
    </row>
    <row r="1404" spans="1:59" ht="58" x14ac:dyDescent="0.35">
      <c r="A1404" s="2" t="s">
        <v>59</v>
      </c>
      <c r="B1404" s="2" t="s">
        <v>94</v>
      </c>
      <c r="C1404" s="2" t="s">
        <v>14509</v>
      </c>
      <c r="D1404" s="2" t="s">
        <v>14510</v>
      </c>
      <c r="E1404" s="2" t="s">
        <v>14511</v>
      </c>
      <c r="G1404" s="3" t="s">
        <v>64</v>
      </c>
      <c r="I1404" s="3" t="s">
        <v>64</v>
      </c>
      <c r="J1404" s="3" t="s">
        <v>64</v>
      </c>
      <c r="K1404" s="3" t="s">
        <v>65</v>
      </c>
      <c r="L1404" s="2" t="s">
        <v>14512</v>
      </c>
      <c r="M1404" s="2" t="s">
        <v>14513</v>
      </c>
      <c r="N1404" s="3" t="s">
        <v>538</v>
      </c>
      <c r="P1404" s="3" t="s">
        <v>69</v>
      </c>
      <c r="Q1404" s="2" t="s">
        <v>539</v>
      </c>
      <c r="R1404" s="3" t="s">
        <v>9228</v>
      </c>
      <c r="S1404" s="4">
        <v>12</v>
      </c>
      <c r="T1404" s="4">
        <v>12</v>
      </c>
      <c r="U1404" s="5" t="s">
        <v>12609</v>
      </c>
      <c r="V1404" s="5" t="s">
        <v>12609</v>
      </c>
      <c r="W1404" s="5" t="s">
        <v>72</v>
      </c>
      <c r="X1404" s="5" t="s">
        <v>72</v>
      </c>
      <c r="Y1404" s="4">
        <v>108</v>
      </c>
      <c r="Z1404" s="4">
        <v>11</v>
      </c>
      <c r="AA1404" s="4">
        <v>15</v>
      </c>
      <c r="AB1404" s="4">
        <v>1</v>
      </c>
      <c r="AC1404" s="4">
        <v>5</v>
      </c>
      <c r="AD1404" s="4">
        <v>54</v>
      </c>
      <c r="AE1404" s="4">
        <v>61</v>
      </c>
      <c r="AF1404" s="4">
        <v>0</v>
      </c>
      <c r="AG1404" s="4">
        <v>1</v>
      </c>
      <c r="AH1404" s="4">
        <v>50</v>
      </c>
      <c r="AI1404" s="4">
        <v>57</v>
      </c>
      <c r="AJ1404" s="4">
        <v>9</v>
      </c>
      <c r="AK1404" s="4">
        <v>10</v>
      </c>
      <c r="AL1404" s="4">
        <v>29</v>
      </c>
      <c r="AM1404" s="4">
        <v>31</v>
      </c>
      <c r="AN1404" s="4">
        <v>0</v>
      </c>
      <c r="AO1404" s="4">
        <v>0</v>
      </c>
      <c r="AP1404" s="4">
        <v>9</v>
      </c>
      <c r="AQ1404" s="4">
        <v>10</v>
      </c>
      <c r="AR1404" s="3" t="s">
        <v>64</v>
      </c>
      <c r="AS1404" s="3" t="s">
        <v>64</v>
      </c>
      <c r="AT1404" s="3" t="s">
        <v>73</v>
      </c>
      <c r="AU1404" s="6" t="str">
        <f>HYPERLINK("http://catalog.hathitrust.org/Record/005409304","HathiTrust Record")</f>
        <v>HathiTrust Record</v>
      </c>
      <c r="AV1404" s="6" t="str">
        <f>HYPERLINK("http://mcgill.on.worldcat.org/oclc/64511012","Catalog Record")</f>
        <v>Catalog Record</v>
      </c>
      <c r="AW1404" s="6" t="str">
        <f>HYPERLINK("http://www.worldcat.org/oclc/64511012","WorldCat Record")</f>
        <v>WorldCat Record</v>
      </c>
      <c r="AX1404" s="3" t="s">
        <v>14514</v>
      </c>
      <c r="AY1404" s="3" t="s">
        <v>14515</v>
      </c>
      <c r="AZ1404" s="3" t="s">
        <v>14516</v>
      </c>
      <c r="BA1404" s="3" t="s">
        <v>14516</v>
      </c>
      <c r="BB1404" s="3" t="s">
        <v>14517</v>
      </c>
      <c r="BC1404" s="3" t="s">
        <v>78</v>
      </c>
      <c r="BD1404" s="3" t="s">
        <v>79</v>
      </c>
      <c r="BE1404" s="3" t="s">
        <v>14518</v>
      </c>
      <c r="BF1404" s="3" t="s">
        <v>14517</v>
      </c>
      <c r="BG1404" s="3" t="s">
        <v>14519</v>
      </c>
    </row>
    <row r="1405" spans="1:59" ht="58" x14ac:dyDescent="0.35">
      <c r="A1405" s="2" t="s">
        <v>59</v>
      </c>
      <c r="B1405" s="2" t="s">
        <v>94</v>
      </c>
      <c r="C1405" s="2" t="s">
        <v>14520</v>
      </c>
      <c r="D1405" s="2" t="s">
        <v>14521</v>
      </c>
      <c r="E1405" s="2" t="s">
        <v>14522</v>
      </c>
      <c r="G1405" s="3" t="s">
        <v>64</v>
      </c>
      <c r="I1405" s="3" t="s">
        <v>64</v>
      </c>
      <c r="J1405" s="3" t="s">
        <v>64</v>
      </c>
      <c r="K1405" s="3" t="s">
        <v>65</v>
      </c>
      <c r="L1405" s="2" t="s">
        <v>14523</v>
      </c>
      <c r="M1405" s="2" t="s">
        <v>5100</v>
      </c>
      <c r="N1405" s="3" t="s">
        <v>328</v>
      </c>
      <c r="P1405" s="3" t="s">
        <v>69</v>
      </c>
      <c r="Q1405" s="2" t="s">
        <v>14524</v>
      </c>
      <c r="R1405" s="3" t="s">
        <v>9228</v>
      </c>
      <c r="S1405" s="4">
        <v>0</v>
      </c>
      <c r="T1405" s="4">
        <v>0</v>
      </c>
      <c r="W1405" s="5" t="s">
        <v>72</v>
      </c>
      <c r="X1405" s="5" t="s">
        <v>72</v>
      </c>
      <c r="Y1405" s="4">
        <v>95</v>
      </c>
      <c r="Z1405" s="4">
        <v>6</v>
      </c>
      <c r="AA1405" s="4">
        <v>101</v>
      </c>
      <c r="AB1405" s="4">
        <v>1</v>
      </c>
      <c r="AC1405" s="4">
        <v>20</v>
      </c>
      <c r="AD1405" s="4">
        <v>51</v>
      </c>
      <c r="AE1405" s="4">
        <v>134</v>
      </c>
      <c r="AF1405" s="4">
        <v>0</v>
      </c>
      <c r="AG1405" s="4">
        <v>8</v>
      </c>
      <c r="AH1405" s="4">
        <v>50</v>
      </c>
      <c r="AI1405" s="4">
        <v>95</v>
      </c>
      <c r="AJ1405" s="4">
        <v>3</v>
      </c>
      <c r="AK1405" s="4">
        <v>21</v>
      </c>
      <c r="AL1405" s="4">
        <v>28</v>
      </c>
      <c r="AM1405" s="4">
        <v>52</v>
      </c>
      <c r="AN1405" s="4">
        <v>0</v>
      </c>
      <c r="AO1405" s="4">
        <v>0</v>
      </c>
      <c r="AP1405" s="4">
        <v>4</v>
      </c>
      <c r="AQ1405" s="4">
        <v>44</v>
      </c>
      <c r="AR1405" s="3" t="s">
        <v>64</v>
      </c>
      <c r="AS1405" s="3" t="s">
        <v>64</v>
      </c>
      <c r="AT1405" s="3" t="s">
        <v>64</v>
      </c>
      <c r="AV1405" s="6" t="str">
        <f>HYPERLINK("http://mcgill.on.worldcat.org/oclc/746835026","Catalog Record")</f>
        <v>Catalog Record</v>
      </c>
      <c r="AW1405" s="6" t="str">
        <f>HYPERLINK("http://www.worldcat.org/oclc/746835026","WorldCat Record")</f>
        <v>WorldCat Record</v>
      </c>
      <c r="AX1405" s="3" t="s">
        <v>14525</v>
      </c>
      <c r="AY1405" s="3" t="s">
        <v>14526</v>
      </c>
      <c r="AZ1405" s="3" t="s">
        <v>14527</v>
      </c>
      <c r="BA1405" s="3" t="s">
        <v>14527</v>
      </c>
      <c r="BB1405" s="3" t="s">
        <v>14528</v>
      </c>
      <c r="BC1405" s="3" t="s">
        <v>78</v>
      </c>
      <c r="BD1405" s="3" t="s">
        <v>79</v>
      </c>
      <c r="BE1405" s="3" t="s">
        <v>14529</v>
      </c>
      <c r="BF1405" s="3" t="s">
        <v>14528</v>
      </c>
      <c r="BG1405" s="3" t="s">
        <v>14530</v>
      </c>
    </row>
    <row r="1406" spans="1:59" ht="58" x14ac:dyDescent="0.35">
      <c r="A1406" s="2" t="s">
        <v>59</v>
      </c>
      <c r="B1406" s="2" t="s">
        <v>94</v>
      </c>
      <c r="C1406" s="2" t="s">
        <v>14531</v>
      </c>
      <c r="D1406" s="2" t="s">
        <v>14532</v>
      </c>
      <c r="E1406" s="2" t="s">
        <v>14533</v>
      </c>
      <c r="G1406" s="3" t="s">
        <v>64</v>
      </c>
      <c r="I1406" s="3" t="s">
        <v>64</v>
      </c>
      <c r="J1406" s="3" t="s">
        <v>64</v>
      </c>
      <c r="K1406" s="3" t="s">
        <v>65</v>
      </c>
      <c r="L1406" s="2" t="s">
        <v>14534</v>
      </c>
      <c r="M1406" s="2" t="s">
        <v>14535</v>
      </c>
      <c r="N1406" s="3" t="s">
        <v>2265</v>
      </c>
      <c r="P1406" s="3" t="s">
        <v>69</v>
      </c>
      <c r="R1406" s="3" t="s">
        <v>9228</v>
      </c>
      <c r="S1406" s="4">
        <v>7</v>
      </c>
      <c r="T1406" s="4">
        <v>7</v>
      </c>
      <c r="U1406" s="5" t="s">
        <v>14536</v>
      </c>
      <c r="V1406" s="5" t="s">
        <v>14536</v>
      </c>
      <c r="W1406" s="5" t="s">
        <v>72</v>
      </c>
      <c r="X1406" s="5" t="s">
        <v>72</v>
      </c>
      <c r="Y1406" s="4">
        <v>576</v>
      </c>
      <c r="Z1406" s="4">
        <v>26</v>
      </c>
      <c r="AA1406" s="4">
        <v>30</v>
      </c>
      <c r="AB1406" s="4">
        <v>3</v>
      </c>
      <c r="AC1406" s="4">
        <v>5</v>
      </c>
      <c r="AD1406" s="4">
        <v>108</v>
      </c>
      <c r="AE1406" s="4">
        <v>112</v>
      </c>
      <c r="AF1406" s="4">
        <v>1</v>
      </c>
      <c r="AG1406" s="4">
        <v>3</v>
      </c>
      <c r="AH1406" s="4">
        <v>91</v>
      </c>
      <c r="AI1406" s="4">
        <v>92</v>
      </c>
      <c r="AJ1406" s="4">
        <v>14</v>
      </c>
      <c r="AK1406" s="4">
        <v>17</v>
      </c>
      <c r="AL1406" s="4">
        <v>52</v>
      </c>
      <c r="AM1406" s="4">
        <v>52</v>
      </c>
      <c r="AN1406" s="4">
        <v>0</v>
      </c>
      <c r="AO1406" s="4">
        <v>0</v>
      </c>
      <c r="AP1406" s="4">
        <v>19</v>
      </c>
      <c r="AQ1406" s="4">
        <v>22</v>
      </c>
      <c r="AR1406" s="3" t="s">
        <v>64</v>
      </c>
      <c r="AS1406" s="3" t="s">
        <v>64</v>
      </c>
      <c r="AT1406" s="3" t="s">
        <v>73</v>
      </c>
      <c r="AU1406" s="6" t="str">
        <f>HYPERLINK("http://catalog.hathitrust.org/Record/002028204","HathiTrust Record")</f>
        <v>HathiTrust Record</v>
      </c>
      <c r="AV1406" s="6" t="str">
        <f>HYPERLINK("http://mcgill.on.worldcat.org/oclc/30459","Catalog Record")</f>
        <v>Catalog Record</v>
      </c>
      <c r="AW1406" s="6" t="str">
        <f>HYPERLINK("http://www.worldcat.org/oclc/30459","WorldCat Record")</f>
        <v>WorldCat Record</v>
      </c>
      <c r="AX1406" s="3" t="s">
        <v>14537</v>
      </c>
      <c r="AY1406" s="3" t="s">
        <v>14538</v>
      </c>
      <c r="AZ1406" s="3" t="s">
        <v>14539</v>
      </c>
      <c r="BA1406" s="3" t="s">
        <v>14539</v>
      </c>
      <c r="BB1406" s="3" t="s">
        <v>14540</v>
      </c>
      <c r="BC1406" s="3" t="s">
        <v>78</v>
      </c>
      <c r="BD1406" s="3" t="s">
        <v>79</v>
      </c>
      <c r="BE1406" s="3" t="s">
        <v>14541</v>
      </c>
      <c r="BF1406" s="3" t="s">
        <v>14540</v>
      </c>
      <c r="BG1406" s="3" t="s">
        <v>14542</v>
      </c>
    </row>
    <row r="1407" spans="1:59" ht="72.5" x14ac:dyDescent="0.35">
      <c r="A1407" s="2" t="s">
        <v>59</v>
      </c>
      <c r="B1407" s="2" t="s">
        <v>94</v>
      </c>
      <c r="C1407" s="2" t="s">
        <v>14543</v>
      </c>
      <c r="D1407" s="2" t="s">
        <v>14544</v>
      </c>
      <c r="E1407" s="2" t="s">
        <v>14545</v>
      </c>
      <c r="G1407" s="3" t="s">
        <v>64</v>
      </c>
      <c r="I1407" s="3" t="s">
        <v>64</v>
      </c>
      <c r="J1407" s="3" t="s">
        <v>64</v>
      </c>
      <c r="K1407" s="3" t="s">
        <v>65</v>
      </c>
      <c r="M1407" s="2" t="s">
        <v>14546</v>
      </c>
      <c r="N1407" s="3" t="s">
        <v>377</v>
      </c>
      <c r="P1407" s="3" t="s">
        <v>69</v>
      </c>
      <c r="Q1407" s="2" t="s">
        <v>14547</v>
      </c>
      <c r="R1407" s="3" t="s">
        <v>9228</v>
      </c>
      <c r="S1407" s="4">
        <v>2</v>
      </c>
      <c r="T1407" s="4">
        <v>2</v>
      </c>
      <c r="U1407" s="5" t="s">
        <v>12609</v>
      </c>
      <c r="V1407" s="5" t="s">
        <v>12609</v>
      </c>
      <c r="W1407" s="5" t="s">
        <v>72</v>
      </c>
      <c r="X1407" s="5" t="s">
        <v>72</v>
      </c>
      <c r="Y1407" s="4">
        <v>66</v>
      </c>
      <c r="Z1407" s="4">
        <v>4</v>
      </c>
      <c r="AA1407" s="4">
        <v>6</v>
      </c>
      <c r="AB1407" s="4">
        <v>1</v>
      </c>
      <c r="AC1407" s="4">
        <v>3</v>
      </c>
      <c r="AD1407" s="4">
        <v>26</v>
      </c>
      <c r="AE1407" s="4">
        <v>29</v>
      </c>
      <c r="AF1407" s="4">
        <v>0</v>
      </c>
      <c r="AG1407" s="4">
        <v>0</v>
      </c>
      <c r="AH1407" s="4">
        <v>24</v>
      </c>
      <c r="AI1407" s="4">
        <v>27</v>
      </c>
      <c r="AJ1407" s="4">
        <v>2</v>
      </c>
      <c r="AK1407" s="4">
        <v>2</v>
      </c>
      <c r="AL1407" s="4">
        <v>22</v>
      </c>
      <c r="AM1407" s="4">
        <v>24</v>
      </c>
      <c r="AN1407" s="4">
        <v>0</v>
      </c>
      <c r="AO1407" s="4">
        <v>0</v>
      </c>
      <c r="AP1407" s="4">
        <v>2</v>
      </c>
      <c r="AQ1407" s="4">
        <v>2</v>
      </c>
      <c r="AR1407" s="3" t="s">
        <v>64</v>
      </c>
      <c r="AS1407" s="3" t="s">
        <v>64</v>
      </c>
      <c r="AT1407" s="3" t="s">
        <v>64</v>
      </c>
      <c r="AV1407" s="6" t="str">
        <f>HYPERLINK("http://mcgill.on.worldcat.org/oclc/690084925","Catalog Record")</f>
        <v>Catalog Record</v>
      </c>
      <c r="AW1407" s="6" t="str">
        <f>HYPERLINK("http://www.worldcat.org/oclc/690084925","WorldCat Record")</f>
        <v>WorldCat Record</v>
      </c>
      <c r="AX1407" s="3" t="s">
        <v>14548</v>
      </c>
      <c r="AY1407" s="3" t="s">
        <v>14549</v>
      </c>
      <c r="AZ1407" s="3" t="s">
        <v>14550</v>
      </c>
      <c r="BA1407" s="3" t="s">
        <v>14550</v>
      </c>
      <c r="BB1407" s="3" t="s">
        <v>14551</v>
      </c>
      <c r="BC1407" s="3" t="s">
        <v>78</v>
      </c>
      <c r="BD1407" s="3" t="s">
        <v>79</v>
      </c>
      <c r="BE1407" s="3" t="s">
        <v>14552</v>
      </c>
      <c r="BF1407" s="3" t="s">
        <v>14551</v>
      </c>
      <c r="BG1407" s="3" t="s">
        <v>14553</v>
      </c>
    </row>
    <row r="1408" spans="1:59" ht="58" x14ac:dyDescent="0.35">
      <c r="A1408" s="2" t="s">
        <v>59</v>
      </c>
      <c r="B1408" s="2" t="s">
        <v>94</v>
      </c>
      <c r="C1408" s="2" t="s">
        <v>14554</v>
      </c>
      <c r="D1408" s="2" t="s">
        <v>14555</v>
      </c>
      <c r="E1408" s="2" t="s">
        <v>14556</v>
      </c>
      <c r="G1408" s="3" t="s">
        <v>64</v>
      </c>
      <c r="I1408" s="3" t="s">
        <v>64</v>
      </c>
      <c r="J1408" s="3" t="s">
        <v>64</v>
      </c>
      <c r="K1408" s="3" t="s">
        <v>65</v>
      </c>
      <c r="M1408" s="2" t="s">
        <v>14557</v>
      </c>
      <c r="N1408" s="3" t="s">
        <v>861</v>
      </c>
      <c r="P1408" s="3" t="s">
        <v>69</v>
      </c>
      <c r="Q1408" s="2" t="s">
        <v>14558</v>
      </c>
      <c r="R1408" s="3" t="s">
        <v>9228</v>
      </c>
      <c r="S1408" s="4">
        <v>11</v>
      </c>
      <c r="T1408" s="4">
        <v>11</v>
      </c>
      <c r="U1408" s="5" t="s">
        <v>12609</v>
      </c>
      <c r="V1408" s="5" t="s">
        <v>12609</v>
      </c>
      <c r="W1408" s="5" t="s">
        <v>72</v>
      </c>
      <c r="X1408" s="5" t="s">
        <v>72</v>
      </c>
      <c r="Y1408" s="4">
        <v>240</v>
      </c>
      <c r="Z1408" s="4">
        <v>17</v>
      </c>
      <c r="AA1408" s="4">
        <v>92</v>
      </c>
      <c r="AB1408" s="4">
        <v>2</v>
      </c>
      <c r="AC1408" s="4">
        <v>17</v>
      </c>
      <c r="AD1408" s="4">
        <v>75</v>
      </c>
      <c r="AE1408" s="4">
        <v>125</v>
      </c>
      <c r="AF1408" s="4">
        <v>1</v>
      </c>
      <c r="AG1408" s="4">
        <v>8</v>
      </c>
      <c r="AH1408" s="4">
        <v>67</v>
      </c>
      <c r="AI1408" s="4">
        <v>90</v>
      </c>
      <c r="AJ1408" s="4">
        <v>12</v>
      </c>
      <c r="AK1408" s="4">
        <v>24</v>
      </c>
      <c r="AL1408" s="4">
        <v>40</v>
      </c>
      <c r="AM1408" s="4">
        <v>48</v>
      </c>
      <c r="AN1408" s="4">
        <v>0</v>
      </c>
      <c r="AO1408" s="4">
        <v>0</v>
      </c>
      <c r="AP1408" s="4">
        <v>13</v>
      </c>
      <c r="AQ1408" s="4">
        <v>45</v>
      </c>
      <c r="AR1408" s="3" t="s">
        <v>64</v>
      </c>
      <c r="AS1408" s="3" t="s">
        <v>64</v>
      </c>
      <c r="AT1408" s="3" t="s">
        <v>64</v>
      </c>
      <c r="AV1408" s="6" t="str">
        <f>HYPERLINK("http://mcgill.on.worldcat.org/oclc/55488179","Catalog Record")</f>
        <v>Catalog Record</v>
      </c>
      <c r="AW1408" s="6" t="str">
        <f>HYPERLINK("http://www.worldcat.org/oclc/55488179","WorldCat Record")</f>
        <v>WorldCat Record</v>
      </c>
      <c r="AX1408" s="3" t="s">
        <v>14559</v>
      </c>
      <c r="AY1408" s="3" t="s">
        <v>14560</v>
      </c>
      <c r="AZ1408" s="3" t="s">
        <v>14561</v>
      </c>
      <c r="BA1408" s="3" t="s">
        <v>14561</v>
      </c>
      <c r="BB1408" s="3" t="s">
        <v>14562</v>
      </c>
      <c r="BC1408" s="3" t="s">
        <v>78</v>
      </c>
      <c r="BD1408" s="3" t="s">
        <v>79</v>
      </c>
      <c r="BE1408" s="3" t="s">
        <v>14563</v>
      </c>
      <c r="BF1408" s="3" t="s">
        <v>14562</v>
      </c>
      <c r="BG1408" s="3" t="s">
        <v>14564</v>
      </c>
    </row>
    <row r="1409" spans="1:59" ht="58" x14ac:dyDescent="0.35">
      <c r="A1409" s="2" t="s">
        <v>59</v>
      </c>
      <c r="B1409" s="2" t="s">
        <v>94</v>
      </c>
      <c r="C1409" s="2" t="s">
        <v>14565</v>
      </c>
      <c r="D1409" s="2" t="s">
        <v>14566</v>
      </c>
      <c r="E1409" s="2" t="s">
        <v>14567</v>
      </c>
      <c r="G1409" s="3" t="s">
        <v>64</v>
      </c>
      <c r="I1409" s="3" t="s">
        <v>64</v>
      </c>
      <c r="J1409" s="3" t="s">
        <v>64</v>
      </c>
      <c r="K1409" s="3" t="s">
        <v>65</v>
      </c>
      <c r="M1409" s="2" t="s">
        <v>14568</v>
      </c>
      <c r="N1409" s="3" t="s">
        <v>422</v>
      </c>
      <c r="P1409" s="3" t="s">
        <v>69</v>
      </c>
      <c r="Q1409" s="2" t="s">
        <v>14569</v>
      </c>
      <c r="R1409" s="3" t="s">
        <v>9228</v>
      </c>
      <c r="S1409" s="4">
        <v>11</v>
      </c>
      <c r="T1409" s="4">
        <v>11</v>
      </c>
      <c r="U1409" s="5" t="s">
        <v>14402</v>
      </c>
      <c r="V1409" s="5" t="s">
        <v>14402</v>
      </c>
      <c r="W1409" s="5" t="s">
        <v>72</v>
      </c>
      <c r="X1409" s="5" t="s">
        <v>72</v>
      </c>
      <c r="Y1409" s="4">
        <v>125</v>
      </c>
      <c r="Z1409" s="4">
        <v>5</v>
      </c>
      <c r="AA1409" s="4">
        <v>5</v>
      </c>
      <c r="AB1409" s="4">
        <v>2</v>
      </c>
      <c r="AC1409" s="4">
        <v>2</v>
      </c>
      <c r="AD1409" s="4">
        <v>53</v>
      </c>
      <c r="AE1409" s="4">
        <v>54</v>
      </c>
      <c r="AF1409" s="4">
        <v>0</v>
      </c>
      <c r="AG1409" s="4">
        <v>0</v>
      </c>
      <c r="AH1409" s="4">
        <v>49</v>
      </c>
      <c r="AI1409" s="4">
        <v>50</v>
      </c>
      <c r="AJ1409" s="4">
        <v>3</v>
      </c>
      <c r="AK1409" s="4">
        <v>3</v>
      </c>
      <c r="AL1409" s="4">
        <v>33</v>
      </c>
      <c r="AM1409" s="4">
        <v>34</v>
      </c>
      <c r="AN1409" s="4">
        <v>0</v>
      </c>
      <c r="AO1409" s="4">
        <v>0</v>
      </c>
      <c r="AP1409" s="4">
        <v>3</v>
      </c>
      <c r="AQ1409" s="4">
        <v>3</v>
      </c>
      <c r="AR1409" s="3" t="s">
        <v>64</v>
      </c>
      <c r="AS1409" s="3" t="s">
        <v>64</v>
      </c>
      <c r="AT1409" s="3" t="s">
        <v>64</v>
      </c>
      <c r="AV1409" s="6" t="str">
        <f>HYPERLINK("http://mcgill.on.worldcat.org/oclc/45630574","Catalog Record")</f>
        <v>Catalog Record</v>
      </c>
      <c r="AW1409" s="6" t="str">
        <f>HYPERLINK("http://www.worldcat.org/oclc/45630574","WorldCat Record")</f>
        <v>WorldCat Record</v>
      </c>
      <c r="AX1409" s="3" t="s">
        <v>14570</v>
      </c>
      <c r="AY1409" s="3" t="s">
        <v>14571</v>
      </c>
      <c r="AZ1409" s="3" t="s">
        <v>14572</v>
      </c>
      <c r="BA1409" s="3" t="s">
        <v>14572</v>
      </c>
      <c r="BB1409" s="3" t="s">
        <v>14573</v>
      </c>
      <c r="BC1409" s="3" t="s">
        <v>78</v>
      </c>
      <c r="BD1409" s="3" t="s">
        <v>79</v>
      </c>
      <c r="BE1409" s="3" t="s">
        <v>14574</v>
      </c>
      <c r="BF1409" s="3" t="s">
        <v>14573</v>
      </c>
      <c r="BG1409" s="3" t="s">
        <v>14575</v>
      </c>
    </row>
    <row r="1410" spans="1:59" ht="58" x14ac:dyDescent="0.35">
      <c r="A1410" s="2" t="s">
        <v>59</v>
      </c>
      <c r="B1410" s="2" t="s">
        <v>94</v>
      </c>
      <c r="C1410" s="2" t="s">
        <v>14576</v>
      </c>
      <c r="D1410" s="2" t="s">
        <v>14577</v>
      </c>
      <c r="E1410" s="2" t="s">
        <v>14578</v>
      </c>
      <c r="G1410" s="3" t="s">
        <v>64</v>
      </c>
      <c r="I1410" s="3" t="s">
        <v>64</v>
      </c>
      <c r="J1410" s="3" t="s">
        <v>64</v>
      </c>
      <c r="K1410" s="3" t="s">
        <v>65</v>
      </c>
      <c r="L1410" s="2" t="s">
        <v>14579</v>
      </c>
      <c r="M1410" s="2" t="s">
        <v>14580</v>
      </c>
      <c r="N1410" s="3" t="s">
        <v>1154</v>
      </c>
      <c r="P1410" s="3" t="s">
        <v>69</v>
      </c>
      <c r="R1410" s="3" t="s">
        <v>9228</v>
      </c>
      <c r="S1410" s="4">
        <v>6</v>
      </c>
      <c r="T1410" s="4">
        <v>6</v>
      </c>
      <c r="U1410" s="5" t="s">
        <v>1611</v>
      </c>
      <c r="V1410" s="5" t="s">
        <v>1611</v>
      </c>
      <c r="W1410" s="5" t="s">
        <v>72</v>
      </c>
      <c r="X1410" s="5" t="s">
        <v>72</v>
      </c>
      <c r="Y1410" s="4">
        <v>184</v>
      </c>
      <c r="Z1410" s="4">
        <v>13</v>
      </c>
      <c r="AA1410" s="4">
        <v>13</v>
      </c>
      <c r="AB1410" s="4">
        <v>1</v>
      </c>
      <c r="AC1410" s="4">
        <v>1</v>
      </c>
      <c r="AD1410" s="4">
        <v>75</v>
      </c>
      <c r="AE1410" s="4">
        <v>75</v>
      </c>
      <c r="AF1410" s="4">
        <v>0</v>
      </c>
      <c r="AG1410" s="4">
        <v>0</v>
      </c>
      <c r="AH1410" s="4">
        <v>69</v>
      </c>
      <c r="AI1410" s="4">
        <v>69</v>
      </c>
      <c r="AJ1410" s="4">
        <v>8</v>
      </c>
      <c r="AK1410" s="4">
        <v>8</v>
      </c>
      <c r="AL1410" s="4">
        <v>38</v>
      </c>
      <c r="AM1410" s="4">
        <v>38</v>
      </c>
      <c r="AN1410" s="4">
        <v>5</v>
      </c>
      <c r="AO1410" s="4">
        <v>5</v>
      </c>
      <c r="AP1410" s="4">
        <v>9</v>
      </c>
      <c r="AQ1410" s="4">
        <v>9</v>
      </c>
      <c r="AR1410" s="3" t="s">
        <v>64</v>
      </c>
      <c r="AS1410" s="3" t="s">
        <v>64</v>
      </c>
      <c r="AT1410" s="3" t="s">
        <v>73</v>
      </c>
      <c r="AU1410" s="6" t="str">
        <f>HYPERLINK("http://catalog.hathitrust.org/Record/002906991","HathiTrust Record")</f>
        <v>HathiTrust Record</v>
      </c>
      <c r="AV1410" s="6" t="str">
        <f>HYPERLINK("http://mcgill.on.worldcat.org/oclc/30545522","Catalog Record")</f>
        <v>Catalog Record</v>
      </c>
      <c r="AW1410" s="6" t="str">
        <f>HYPERLINK("http://www.worldcat.org/oclc/30545522","WorldCat Record")</f>
        <v>WorldCat Record</v>
      </c>
      <c r="AX1410" s="3" t="s">
        <v>14581</v>
      </c>
      <c r="AY1410" s="3" t="s">
        <v>14582</v>
      </c>
      <c r="AZ1410" s="3" t="s">
        <v>14583</v>
      </c>
      <c r="BA1410" s="3" t="s">
        <v>14583</v>
      </c>
      <c r="BB1410" s="3" t="s">
        <v>14584</v>
      </c>
      <c r="BC1410" s="3" t="s">
        <v>78</v>
      </c>
      <c r="BD1410" s="3" t="s">
        <v>79</v>
      </c>
      <c r="BE1410" s="3" t="s">
        <v>14585</v>
      </c>
      <c r="BF1410" s="3" t="s">
        <v>14584</v>
      </c>
      <c r="BG1410" s="3" t="s">
        <v>14586</v>
      </c>
    </row>
    <row r="1411" spans="1:59" ht="58" x14ac:dyDescent="0.35">
      <c r="A1411" s="2" t="s">
        <v>59</v>
      </c>
      <c r="B1411" s="2" t="s">
        <v>94</v>
      </c>
      <c r="C1411" s="2" t="s">
        <v>14587</v>
      </c>
      <c r="D1411" s="2" t="s">
        <v>14588</v>
      </c>
      <c r="E1411" s="2" t="s">
        <v>14589</v>
      </c>
      <c r="G1411" s="3" t="s">
        <v>64</v>
      </c>
      <c r="I1411" s="3" t="s">
        <v>64</v>
      </c>
      <c r="J1411" s="3" t="s">
        <v>64</v>
      </c>
      <c r="K1411" s="3" t="s">
        <v>65</v>
      </c>
      <c r="M1411" s="2" t="s">
        <v>14590</v>
      </c>
      <c r="N1411" s="3" t="s">
        <v>719</v>
      </c>
      <c r="P1411" s="3" t="s">
        <v>69</v>
      </c>
      <c r="R1411" s="3" t="s">
        <v>9228</v>
      </c>
      <c r="S1411" s="4">
        <v>4</v>
      </c>
      <c r="T1411" s="4">
        <v>4</v>
      </c>
      <c r="U1411" s="5" t="s">
        <v>14591</v>
      </c>
      <c r="V1411" s="5" t="s">
        <v>14591</v>
      </c>
      <c r="W1411" s="5" t="s">
        <v>72</v>
      </c>
      <c r="X1411" s="5" t="s">
        <v>72</v>
      </c>
      <c r="Y1411" s="4">
        <v>509</v>
      </c>
      <c r="Z1411" s="4">
        <v>34</v>
      </c>
      <c r="AA1411" s="4">
        <v>36</v>
      </c>
      <c r="AB1411" s="4">
        <v>4</v>
      </c>
      <c r="AC1411" s="4">
        <v>5</v>
      </c>
      <c r="AD1411" s="4">
        <v>122</v>
      </c>
      <c r="AE1411" s="4">
        <v>123</v>
      </c>
      <c r="AF1411" s="4">
        <v>2</v>
      </c>
      <c r="AG1411" s="4">
        <v>3</v>
      </c>
      <c r="AH1411" s="4">
        <v>102</v>
      </c>
      <c r="AI1411" s="4">
        <v>102</v>
      </c>
      <c r="AJ1411" s="4">
        <v>18</v>
      </c>
      <c r="AK1411" s="4">
        <v>19</v>
      </c>
      <c r="AL1411" s="4">
        <v>54</v>
      </c>
      <c r="AM1411" s="4">
        <v>54</v>
      </c>
      <c r="AN1411" s="4">
        <v>0</v>
      </c>
      <c r="AO1411" s="4">
        <v>0</v>
      </c>
      <c r="AP1411" s="4">
        <v>26</v>
      </c>
      <c r="AQ1411" s="4">
        <v>26</v>
      </c>
      <c r="AR1411" s="3" t="s">
        <v>64</v>
      </c>
      <c r="AS1411" s="3" t="s">
        <v>64</v>
      </c>
      <c r="AT1411" s="3" t="s">
        <v>64</v>
      </c>
      <c r="AV1411" s="6" t="str">
        <f>HYPERLINK("http://mcgill.on.worldcat.org/oclc/10072268","Catalog Record")</f>
        <v>Catalog Record</v>
      </c>
      <c r="AW1411" s="6" t="str">
        <f>HYPERLINK("http://www.worldcat.org/oclc/10072268","WorldCat Record")</f>
        <v>WorldCat Record</v>
      </c>
      <c r="AX1411" s="3" t="s">
        <v>14592</v>
      </c>
      <c r="AY1411" s="3" t="s">
        <v>14593</v>
      </c>
      <c r="AZ1411" s="3" t="s">
        <v>14594</v>
      </c>
      <c r="BA1411" s="3" t="s">
        <v>14594</v>
      </c>
      <c r="BB1411" s="3" t="s">
        <v>14595</v>
      </c>
      <c r="BC1411" s="3" t="s">
        <v>78</v>
      </c>
      <c r="BD1411" s="3" t="s">
        <v>79</v>
      </c>
      <c r="BE1411" s="3" t="s">
        <v>14596</v>
      </c>
      <c r="BF1411" s="3" t="s">
        <v>14595</v>
      </c>
      <c r="BG1411" s="3" t="s">
        <v>14597</v>
      </c>
    </row>
    <row r="1412" spans="1:59" ht="58" x14ac:dyDescent="0.35">
      <c r="A1412" s="2" t="s">
        <v>59</v>
      </c>
      <c r="B1412" s="2" t="s">
        <v>94</v>
      </c>
      <c r="C1412" s="2" t="s">
        <v>14598</v>
      </c>
      <c r="D1412" s="2" t="s">
        <v>14599</v>
      </c>
      <c r="E1412" s="2" t="s">
        <v>14600</v>
      </c>
      <c r="G1412" s="3" t="s">
        <v>64</v>
      </c>
      <c r="I1412" s="3" t="s">
        <v>64</v>
      </c>
      <c r="J1412" s="3" t="s">
        <v>64</v>
      </c>
      <c r="K1412" s="3" t="s">
        <v>65</v>
      </c>
      <c r="M1412" s="2" t="s">
        <v>14601</v>
      </c>
      <c r="N1412" s="3" t="s">
        <v>3563</v>
      </c>
      <c r="P1412" s="3" t="s">
        <v>69</v>
      </c>
      <c r="Q1412" s="2" t="s">
        <v>14602</v>
      </c>
      <c r="R1412" s="3" t="s">
        <v>9228</v>
      </c>
      <c r="S1412" s="4">
        <v>21</v>
      </c>
      <c r="T1412" s="4">
        <v>21</v>
      </c>
      <c r="U1412" s="5" t="s">
        <v>1017</v>
      </c>
      <c r="V1412" s="5" t="s">
        <v>1017</v>
      </c>
      <c r="W1412" s="5" t="s">
        <v>72</v>
      </c>
      <c r="X1412" s="5" t="s">
        <v>72</v>
      </c>
      <c r="Y1412" s="4">
        <v>196</v>
      </c>
      <c r="Z1412" s="4">
        <v>11</v>
      </c>
      <c r="AA1412" s="4">
        <v>12</v>
      </c>
      <c r="AB1412" s="4">
        <v>1</v>
      </c>
      <c r="AC1412" s="4">
        <v>2</v>
      </c>
      <c r="AD1412" s="4">
        <v>84</v>
      </c>
      <c r="AE1412" s="4">
        <v>85</v>
      </c>
      <c r="AF1412" s="4">
        <v>0</v>
      </c>
      <c r="AG1412" s="4">
        <v>1</v>
      </c>
      <c r="AH1412" s="4">
        <v>77</v>
      </c>
      <c r="AI1412" s="4">
        <v>77</v>
      </c>
      <c r="AJ1412" s="4">
        <v>7</v>
      </c>
      <c r="AK1412" s="4">
        <v>8</v>
      </c>
      <c r="AL1412" s="4">
        <v>46</v>
      </c>
      <c r="AM1412" s="4">
        <v>46</v>
      </c>
      <c r="AN1412" s="4">
        <v>0</v>
      </c>
      <c r="AO1412" s="4">
        <v>0</v>
      </c>
      <c r="AP1412" s="4">
        <v>8</v>
      </c>
      <c r="AQ1412" s="4">
        <v>9</v>
      </c>
      <c r="AR1412" s="3" t="s">
        <v>64</v>
      </c>
      <c r="AS1412" s="3" t="s">
        <v>64</v>
      </c>
      <c r="AT1412" s="3" t="s">
        <v>64</v>
      </c>
      <c r="AV1412" s="6" t="str">
        <f>HYPERLINK("http://mcgill.on.worldcat.org/oclc/24629562","Catalog Record")</f>
        <v>Catalog Record</v>
      </c>
      <c r="AW1412" s="6" t="str">
        <f>HYPERLINK("http://www.worldcat.org/oclc/24629562","WorldCat Record")</f>
        <v>WorldCat Record</v>
      </c>
      <c r="AX1412" s="3" t="s">
        <v>14603</v>
      </c>
      <c r="AY1412" s="3" t="s">
        <v>14604</v>
      </c>
      <c r="AZ1412" s="3" t="s">
        <v>14605</v>
      </c>
      <c r="BA1412" s="3" t="s">
        <v>14605</v>
      </c>
      <c r="BB1412" s="3" t="s">
        <v>14606</v>
      </c>
      <c r="BC1412" s="3" t="s">
        <v>78</v>
      </c>
      <c r="BD1412" s="3" t="s">
        <v>79</v>
      </c>
      <c r="BE1412" s="3" t="s">
        <v>14607</v>
      </c>
      <c r="BF1412" s="3" t="s">
        <v>14606</v>
      </c>
      <c r="BG1412" s="3" t="s">
        <v>14608</v>
      </c>
    </row>
    <row r="1413" spans="1:59" ht="58" x14ac:dyDescent="0.35">
      <c r="A1413" s="2" t="s">
        <v>59</v>
      </c>
      <c r="B1413" s="2" t="s">
        <v>94</v>
      </c>
      <c r="C1413" s="2" t="s">
        <v>14609</v>
      </c>
      <c r="D1413" s="2" t="s">
        <v>14610</v>
      </c>
      <c r="E1413" s="2" t="s">
        <v>14611</v>
      </c>
      <c r="G1413" s="3" t="s">
        <v>64</v>
      </c>
      <c r="I1413" s="3" t="s">
        <v>64</v>
      </c>
      <c r="J1413" s="3" t="s">
        <v>64</v>
      </c>
      <c r="K1413" s="3" t="s">
        <v>65</v>
      </c>
      <c r="M1413" s="2" t="s">
        <v>14612</v>
      </c>
      <c r="N1413" s="3" t="s">
        <v>3563</v>
      </c>
      <c r="P1413" s="3" t="s">
        <v>69</v>
      </c>
      <c r="R1413" s="3" t="s">
        <v>9228</v>
      </c>
      <c r="S1413" s="4">
        <v>5</v>
      </c>
      <c r="T1413" s="4">
        <v>5</v>
      </c>
      <c r="U1413" s="5" t="s">
        <v>14613</v>
      </c>
      <c r="V1413" s="5" t="s">
        <v>14613</v>
      </c>
      <c r="W1413" s="5" t="s">
        <v>72</v>
      </c>
      <c r="X1413" s="5" t="s">
        <v>72</v>
      </c>
      <c r="Y1413" s="4">
        <v>203</v>
      </c>
      <c r="Z1413" s="4">
        <v>12</v>
      </c>
      <c r="AA1413" s="4">
        <v>13</v>
      </c>
      <c r="AB1413" s="4">
        <v>1</v>
      </c>
      <c r="AC1413" s="4">
        <v>1</v>
      </c>
      <c r="AD1413" s="4">
        <v>76</v>
      </c>
      <c r="AE1413" s="4">
        <v>77</v>
      </c>
      <c r="AF1413" s="4">
        <v>0</v>
      </c>
      <c r="AG1413" s="4">
        <v>0</v>
      </c>
      <c r="AH1413" s="4">
        <v>72</v>
      </c>
      <c r="AI1413" s="4">
        <v>72</v>
      </c>
      <c r="AJ1413" s="4">
        <v>8</v>
      </c>
      <c r="AK1413" s="4">
        <v>9</v>
      </c>
      <c r="AL1413" s="4">
        <v>44</v>
      </c>
      <c r="AM1413" s="4">
        <v>44</v>
      </c>
      <c r="AN1413" s="4">
        <v>0</v>
      </c>
      <c r="AO1413" s="4">
        <v>0</v>
      </c>
      <c r="AP1413" s="4">
        <v>9</v>
      </c>
      <c r="AQ1413" s="4">
        <v>10</v>
      </c>
      <c r="AR1413" s="3" t="s">
        <v>64</v>
      </c>
      <c r="AS1413" s="3" t="s">
        <v>64</v>
      </c>
      <c r="AT1413" s="3" t="s">
        <v>64</v>
      </c>
      <c r="AV1413" s="6" t="str">
        <f>HYPERLINK("http://mcgill.on.worldcat.org/oclc/22706716","Catalog Record")</f>
        <v>Catalog Record</v>
      </c>
      <c r="AW1413" s="6" t="str">
        <f>HYPERLINK("http://www.worldcat.org/oclc/22706716","WorldCat Record")</f>
        <v>WorldCat Record</v>
      </c>
      <c r="AX1413" s="3" t="s">
        <v>14614</v>
      </c>
      <c r="AY1413" s="3" t="s">
        <v>14615</v>
      </c>
      <c r="AZ1413" s="3" t="s">
        <v>14616</v>
      </c>
      <c r="BA1413" s="3" t="s">
        <v>14616</v>
      </c>
      <c r="BB1413" s="3" t="s">
        <v>14617</v>
      </c>
      <c r="BC1413" s="3" t="s">
        <v>78</v>
      </c>
      <c r="BD1413" s="3" t="s">
        <v>79</v>
      </c>
      <c r="BE1413" s="3" t="s">
        <v>14618</v>
      </c>
      <c r="BF1413" s="3" t="s">
        <v>14617</v>
      </c>
      <c r="BG1413" s="3" t="s">
        <v>14619</v>
      </c>
    </row>
    <row r="1414" spans="1:59" ht="58" x14ac:dyDescent="0.35">
      <c r="A1414" s="2" t="s">
        <v>59</v>
      </c>
      <c r="B1414" s="2" t="s">
        <v>94</v>
      </c>
      <c r="C1414" s="2" t="s">
        <v>14620</v>
      </c>
      <c r="D1414" s="2" t="s">
        <v>14621</v>
      </c>
      <c r="E1414" s="2" t="s">
        <v>14622</v>
      </c>
      <c r="G1414" s="3" t="s">
        <v>64</v>
      </c>
      <c r="I1414" s="3" t="s">
        <v>64</v>
      </c>
      <c r="J1414" s="3" t="s">
        <v>64</v>
      </c>
      <c r="K1414" s="3" t="s">
        <v>65</v>
      </c>
      <c r="L1414" s="2" t="s">
        <v>14623</v>
      </c>
      <c r="M1414" s="2" t="s">
        <v>14624</v>
      </c>
      <c r="N1414" s="3" t="s">
        <v>473</v>
      </c>
      <c r="P1414" s="3" t="s">
        <v>69</v>
      </c>
      <c r="Q1414" s="2" t="s">
        <v>14625</v>
      </c>
      <c r="R1414" s="3" t="s">
        <v>9228</v>
      </c>
      <c r="S1414" s="4">
        <v>8</v>
      </c>
      <c r="T1414" s="4">
        <v>8</v>
      </c>
      <c r="U1414" s="5" t="s">
        <v>7474</v>
      </c>
      <c r="V1414" s="5" t="s">
        <v>7474</v>
      </c>
      <c r="W1414" s="5" t="s">
        <v>72</v>
      </c>
      <c r="X1414" s="5" t="s">
        <v>72</v>
      </c>
      <c r="Y1414" s="4">
        <v>166</v>
      </c>
      <c r="Z1414" s="4">
        <v>17</v>
      </c>
      <c r="AA1414" s="4">
        <v>17</v>
      </c>
      <c r="AB1414" s="4">
        <v>1</v>
      </c>
      <c r="AC1414" s="4">
        <v>1</v>
      </c>
      <c r="AD1414" s="4">
        <v>72</v>
      </c>
      <c r="AE1414" s="4">
        <v>72</v>
      </c>
      <c r="AF1414" s="4">
        <v>0</v>
      </c>
      <c r="AG1414" s="4">
        <v>0</v>
      </c>
      <c r="AH1414" s="4">
        <v>64</v>
      </c>
      <c r="AI1414" s="4">
        <v>64</v>
      </c>
      <c r="AJ1414" s="4">
        <v>12</v>
      </c>
      <c r="AK1414" s="4">
        <v>12</v>
      </c>
      <c r="AL1414" s="4">
        <v>37</v>
      </c>
      <c r="AM1414" s="4">
        <v>37</v>
      </c>
      <c r="AN1414" s="4">
        <v>0</v>
      </c>
      <c r="AO1414" s="4">
        <v>0</v>
      </c>
      <c r="AP1414" s="4">
        <v>14</v>
      </c>
      <c r="AQ1414" s="4">
        <v>14</v>
      </c>
      <c r="AR1414" s="3" t="s">
        <v>64</v>
      </c>
      <c r="AS1414" s="3" t="s">
        <v>64</v>
      </c>
      <c r="AT1414" s="3" t="s">
        <v>73</v>
      </c>
      <c r="AU1414" s="6" t="str">
        <f>HYPERLINK("http://catalog.hathitrust.org/Record/002428126","HathiTrust Record")</f>
        <v>HathiTrust Record</v>
      </c>
      <c r="AV1414" s="6" t="str">
        <f>HYPERLINK("http://mcgill.on.worldcat.org/oclc/21520835","Catalog Record")</f>
        <v>Catalog Record</v>
      </c>
      <c r="AW1414" s="6" t="str">
        <f>HYPERLINK("http://www.worldcat.org/oclc/21520835","WorldCat Record")</f>
        <v>WorldCat Record</v>
      </c>
      <c r="AX1414" s="3" t="s">
        <v>14626</v>
      </c>
      <c r="AY1414" s="3" t="s">
        <v>14627</v>
      </c>
      <c r="AZ1414" s="3" t="s">
        <v>14628</v>
      </c>
      <c r="BA1414" s="3" t="s">
        <v>14628</v>
      </c>
      <c r="BB1414" s="3" t="s">
        <v>14629</v>
      </c>
      <c r="BC1414" s="3" t="s">
        <v>78</v>
      </c>
      <c r="BD1414" s="3" t="s">
        <v>79</v>
      </c>
      <c r="BE1414" s="3" t="s">
        <v>14630</v>
      </c>
      <c r="BF1414" s="3" t="s">
        <v>14629</v>
      </c>
      <c r="BG1414" s="3" t="s">
        <v>14631</v>
      </c>
    </row>
    <row r="1415" spans="1:59" ht="58" x14ac:dyDescent="0.35">
      <c r="A1415" s="2" t="s">
        <v>59</v>
      </c>
      <c r="B1415" s="2" t="s">
        <v>94</v>
      </c>
      <c r="C1415" s="2" t="s">
        <v>14632</v>
      </c>
      <c r="D1415" s="2" t="s">
        <v>14633</v>
      </c>
      <c r="E1415" s="2" t="s">
        <v>14634</v>
      </c>
      <c r="G1415" s="3" t="s">
        <v>64</v>
      </c>
      <c r="I1415" s="3" t="s">
        <v>64</v>
      </c>
      <c r="J1415" s="3" t="s">
        <v>64</v>
      </c>
      <c r="K1415" s="3" t="s">
        <v>65</v>
      </c>
      <c r="M1415" s="2" t="s">
        <v>14635</v>
      </c>
      <c r="N1415" s="3" t="s">
        <v>407</v>
      </c>
      <c r="P1415" s="3" t="s">
        <v>202</v>
      </c>
      <c r="R1415" s="3" t="s">
        <v>9228</v>
      </c>
      <c r="S1415" s="4">
        <v>2</v>
      </c>
      <c r="T1415" s="4">
        <v>2</v>
      </c>
      <c r="U1415" s="5" t="s">
        <v>10049</v>
      </c>
      <c r="V1415" s="5" t="s">
        <v>10049</v>
      </c>
      <c r="W1415" s="5" t="s">
        <v>72</v>
      </c>
      <c r="X1415" s="5" t="s">
        <v>72</v>
      </c>
      <c r="Y1415" s="4">
        <v>70</v>
      </c>
      <c r="Z1415" s="4">
        <v>6</v>
      </c>
      <c r="AA1415" s="4">
        <v>6</v>
      </c>
      <c r="AB1415" s="4">
        <v>1</v>
      </c>
      <c r="AC1415" s="4">
        <v>1</v>
      </c>
      <c r="AD1415" s="4">
        <v>47</v>
      </c>
      <c r="AE1415" s="4">
        <v>47</v>
      </c>
      <c r="AF1415" s="4">
        <v>0</v>
      </c>
      <c r="AG1415" s="4">
        <v>0</v>
      </c>
      <c r="AH1415" s="4">
        <v>44</v>
      </c>
      <c r="AI1415" s="4">
        <v>44</v>
      </c>
      <c r="AJ1415" s="4">
        <v>4</v>
      </c>
      <c r="AK1415" s="4">
        <v>4</v>
      </c>
      <c r="AL1415" s="4">
        <v>34</v>
      </c>
      <c r="AM1415" s="4">
        <v>34</v>
      </c>
      <c r="AN1415" s="4">
        <v>0</v>
      </c>
      <c r="AO1415" s="4">
        <v>0</v>
      </c>
      <c r="AP1415" s="4">
        <v>4</v>
      </c>
      <c r="AQ1415" s="4">
        <v>4</v>
      </c>
      <c r="AR1415" s="3" t="s">
        <v>64</v>
      </c>
      <c r="AS1415" s="3" t="s">
        <v>64</v>
      </c>
      <c r="AT1415" s="3" t="s">
        <v>73</v>
      </c>
      <c r="AU1415" s="6" t="str">
        <f>HYPERLINK("http://catalog.hathitrust.org/Record/000399974","HathiTrust Record")</f>
        <v>HathiTrust Record</v>
      </c>
      <c r="AV1415" s="6" t="str">
        <f>HYPERLINK("http://mcgill.on.worldcat.org/oclc/14984478","Catalog Record")</f>
        <v>Catalog Record</v>
      </c>
      <c r="AW1415" s="6" t="str">
        <f>HYPERLINK("http://www.worldcat.org/oclc/14984478","WorldCat Record")</f>
        <v>WorldCat Record</v>
      </c>
      <c r="AX1415" s="3" t="s">
        <v>14636</v>
      </c>
      <c r="AY1415" s="3" t="s">
        <v>14637</v>
      </c>
      <c r="AZ1415" s="3" t="s">
        <v>14638</v>
      </c>
      <c r="BA1415" s="3" t="s">
        <v>14638</v>
      </c>
      <c r="BB1415" s="3" t="s">
        <v>14639</v>
      </c>
      <c r="BC1415" s="3" t="s">
        <v>78</v>
      </c>
      <c r="BD1415" s="3" t="s">
        <v>79</v>
      </c>
      <c r="BF1415" s="3" t="s">
        <v>14639</v>
      </c>
      <c r="BG1415" s="3" t="s">
        <v>14640</v>
      </c>
    </row>
    <row r="1416" spans="1:59" ht="58" x14ac:dyDescent="0.35">
      <c r="A1416" s="2" t="s">
        <v>59</v>
      </c>
      <c r="B1416" s="2" t="s">
        <v>94</v>
      </c>
      <c r="C1416" s="2" t="s">
        <v>14641</v>
      </c>
      <c r="D1416" s="2" t="s">
        <v>14642</v>
      </c>
      <c r="E1416" s="2" t="s">
        <v>14643</v>
      </c>
      <c r="G1416" s="3" t="s">
        <v>64</v>
      </c>
      <c r="I1416" s="3" t="s">
        <v>64</v>
      </c>
      <c r="J1416" s="3" t="s">
        <v>64</v>
      </c>
      <c r="K1416" s="3" t="s">
        <v>65</v>
      </c>
      <c r="L1416" s="2" t="s">
        <v>14644</v>
      </c>
      <c r="M1416" s="2" t="s">
        <v>14645</v>
      </c>
      <c r="N1416" s="3" t="s">
        <v>303</v>
      </c>
      <c r="P1416" s="3" t="s">
        <v>2192</v>
      </c>
      <c r="Q1416" s="2" t="s">
        <v>14646</v>
      </c>
      <c r="R1416" s="3" t="s">
        <v>9228</v>
      </c>
      <c r="S1416" s="4">
        <v>1</v>
      </c>
      <c r="T1416" s="4">
        <v>1</v>
      </c>
      <c r="U1416" s="5" t="s">
        <v>13915</v>
      </c>
      <c r="V1416" s="5" t="s">
        <v>13915</v>
      </c>
      <c r="W1416" s="5" t="s">
        <v>72</v>
      </c>
      <c r="X1416" s="5" t="s">
        <v>72</v>
      </c>
      <c r="Y1416" s="4">
        <v>95</v>
      </c>
      <c r="Z1416" s="4">
        <v>9</v>
      </c>
      <c r="AA1416" s="4">
        <v>12</v>
      </c>
      <c r="AB1416" s="4">
        <v>1</v>
      </c>
      <c r="AC1416" s="4">
        <v>2</v>
      </c>
      <c r="AD1416" s="4">
        <v>35</v>
      </c>
      <c r="AE1416" s="4">
        <v>49</v>
      </c>
      <c r="AF1416" s="4">
        <v>0</v>
      </c>
      <c r="AG1416" s="4">
        <v>0</v>
      </c>
      <c r="AH1416" s="4">
        <v>31</v>
      </c>
      <c r="AI1416" s="4">
        <v>45</v>
      </c>
      <c r="AJ1416" s="4">
        <v>7</v>
      </c>
      <c r="AK1416" s="4">
        <v>9</v>
      </c>
      <c r="AL1416" s="4">
        <v>23</v>
      </c>
      <c r="AM1416" s="4">
        <v>31</v>
      </c>
      <c r="AN1416" s="4">
        <v>0</v>
      </c>
      <c r="AO1416" s="4">
        <v>5</v>
      </c>
      <c r="AP1416" s="4">
        <v>7</v>
      </c>
      <c r="AQ1416" s="4">
        <v>9</v>
      </c>
      <c r="AR1416" s="3" t="s">
        <v>64</v>
      </c>
      <c r="AS1416" s="3" t="s">
        <v>64</v>
      </c>
      <c r="AT1416" s="3" t="s">
        <v>73</v>
      </c>
      <c r="AU1416" s="6" t="str">
        <f>HYPERLINK("http://catalog.hathitrust.org/Record/002701166","HathiTrust Record")</f>
        <v>HathiTrust Record</v>
      </c>
      <c r="AV1416" s="6" t="str">
        <f>HYPERLINK("http://mcgill.on.worldcat.org/oclc/28569971","Catalog Record")</f>
        <v>Catalog Record</v>
      </c>
      <c r="AW1416" s="6" t="str">
        <f>HYPERLINK("http://www.worldcat.org/oclc/28569971","WorldCat Record")</f>
        <v>WorldCat Record</v>
      </c>
      <c r="AX1416" s="3" t="s">
        <v>14647</v>
      </c>
      <c r="AY1416" s="3" t="s">
        <v>14648</v>
      </c>
      <c r="AZ1416" s="3" t="s">
        <v>14649</v>
      </c>
      <c r="BA1416" s="3" t="s">
        <v>14649</v>
      </c>
      <c r="BB1416" s="3" t="s">
        <v>14650</v>
      </c>
      <c r="BC1416" s="3" t="s">
        <v>78</v>
      </c>
      <c r="BD1416" s="3" t="s">
        <v>79</v>
      </c>
      <c r="BE1416" s="3" t="s">
        <v>14651</v>
      </c>
      <c r="BF1416" s="3" t="s">
        <v>14650</v>
      </c>
      <c r="BG1416" s="3" t="s">
        <v>14652</v>
      </c>
    </row>
    <row r="1417" spans="1:59" ht="58" x14ac:dyDescent="0.35">
      <c r="A1417" s="2" t="s">
        <v>59</v>
      </c>
      <c r="B1417" s="2" t="s">
        <v>94</v>
      </c>
      <c r="C1417" s="2" t="s">
        <v>14653</v>
      </c>
      <c r="D1417" s="2" t="s">
        <v>14654</v>
      </c>
      <c r="E1417" s="2" t="s">
        <v>14655</v>
      </c>
      <c r="G1417" s="3" t="s">
        <v>64</v>
      </c>
      <c r="I1417" s="3" t="s">
        <v>64</v>
      </c>
      <c r="J1417" s="3" t="s">
        <v>64</v>
      </c>
      <c r="K1417" s="3" t="s">
        <v>65</v>
      </c>
      <c r="L1417" s="2" t="s">
        <v>14656</v>
      </c>
      <c r="M1417" s="2" t="s">
        <v>3483</v>
      </c>
      <c r="N1417" s="3" t="s">
        <v>274</v>
      </c>
      <c r="P1417" s="3" t="s">
        <v>69</v>
      </c>
      <c r="Q1417" s="2" t="s">
        <v>14657</v>
      </c>
      <c r="R1417" s="3" t="s">
        <v>9228</v>
      </c>
      <c r="S1417" s="4">
        <v>9</v>
      </c>
      <c r="T1417" s="4">
        <v>9</v>
      </c>
      <c r="U1417" s="5" t="s">
        <v>190</v>
      </c>
      <c r="V1417" s="5" t="s">
        <v>190</v>
      </c>
      <c r="W1417" s="5" t="s">
        <v>72</v>
      </c>
      <c r="X1417" s="5" t="s">
        <v>72</v>
      </c>
      <c r="Y1417" s="4">
        <v>458</v>
      </c>
      <c r="Z1417" s="4">
        <v>34</v>
      </c>
      <c r="AA1417" s="4">
        <v>36</v>
      </c>
      <c r="AB1417" s="4">
        <v>2</v>
      </c>
      <c r="AC1417" s="4">
        <v>4</v>
      </c>
      <c r="AD1417" s="4">
        <v>119</v>
      </c>
      <c r="AE1417" s="4">
        <v>121</v>
      </c>
      <c r="AF1417" s="4">
        <v>1</v>
      </c>
      <c r="AG1417" s="4">
        <v>3</v>
      </c>
      <c r="AH1417" s="4">
        <v>102</v>
      </c>
      <c r="AI1417" s="4">
        <v>102</v>
      </c>
      <c r="AJ1417" s="4">
        <v>20</v>
      </c>
      <c r="AK1417" s="4">
        <v>22</v>
      </c>
      <c r="AL1417" s="4">
        <v>55</v>
      </c>
      <c r="AM1417" s="4">
        <v>55</v>
      </c>
      <c r="AN1417" s="4">
        <v>0</v>
      </c>
      <c r="AO1417" s="4">
        <v>0</v>
      </c>
      <c r="AP1417" s="4">
        <v>27</v>
      </c>
      <c r="AQ1417" s="4">
        <v>28</v>
      </c>
      <c r="AR1417" s="3" t="s">
        <v>64</v>
      </c>
      <c r="AS1417" s="3" t="s">
        <v>64</v>
      </c>
      <c r="AT1417" s="3" t="s">
        <v>64</v>
      </c>
      <c r="AV1417" s="6" t="str">
        <f>HYPERLINK("http://mcgill.on.worldcat.org/oclc/16873812","Catalog Record")</f>
        <v>Catalog Record</v>
      </c>
      <c r="AW1417" s="6" t="str">
        <f>HYPERLINK("http://www.worldcat.org/oclc/16873812","WorldCat Record")</f>
        <v>WorldCat Record</v>
      </c>
      <c r="AX1417" s="3" t="s">
        <v>14658</v>
      </c>
      <c r="AY1417" s="3" t="s">
        <v>14659</v>
      </c>
      <c r="AZ1417" s="3" t="s">
        <v>14660</v>
      </c>
      <c r="BA1417" s="3" t="s">
        <v>14660</v>
      </c>
      <c r="BB1417" s="3" t="s">
        <v>14661</v>
      </c>
      <c r="BC1417" s="3" t="s">
        <v>78</v>
      </c>
      <c r="BD1417" s="3" t="s">
        <v>79</v>
      </c>
      <c r="BE1417" s="3" t="s">
        <v>14662</v>
      </c>
      <c r="BF1417" s="3" t="s">
        <v>14661</v>
      </c>
      <c r="BG1417" s="3" t="s">
        <v>14663</v>
      </c>
    </row>
    <row r="1418" spans="1:59" ht="58" x14ac:dyDescent="0.35">
      <c r="A1418" s="2" t="s">
        <v>59</v>
      </c>
      <c r="B1418" s="2" t="s">
        <v>94</v>
      </c>
      <c r="C1418" s="2" t="s">
        <v>14664</v>
      </c>
      <c r="D1418" s="2" t="s">
        <v>14665</v>
      </c>
      <c r="E1418" s="2" t="s">
        <v>14666</v>
      </c>
      <c r="G1418" s="3" t="s">
        <v>64</v>
      </c>
      <c r="I1418" s="3" t="s">
        <v>64</v>
      </c>
      <c r="J1418" s="3" t="s">
        <v>64</v>
      </c>
      <c r="K1418" s="3" t="s">
        <v>65</v>
      </c>
      <c r="L1418" s="2" t="s">
        <v>14667</v>
      </c>
      <c r="M1418" s="2" t="s">
        <v>14635</v>
      </c>
      <c r="N1418" s="3" t="s">
        <v>407</v>
      </c>
      <c r="P1418" s="3" t="s">
        <v>202</v>
      </c>
      <c r="R1418" s="3" t="s">
        <v>9228</v>
      </c>
      <c r="S1418" s="4">
        <v>2</v>
      </c>
      <c r="T1418" s="4">
        <v>2</v>
      </c>
      <c r="U1418" s="5" t="s">
        <v>14668</v>
      </c>
      <c r="V1418" s="5" t="s">
        <v>14668</v>
      </c>
      <c r="W1418" s="5" t="s">
        <v>72</v>
      </c>
      <c r="X1418" s="5" t="s">
        <v>72</v>
      </c>
      <c r="Y1418" s="4">
        <v>64</v>
      </c>
      <c r="Z1418" s="4">
        <v>7</v>
      </c>
      <c r="AA1418" s="4">
        <v>17</v>
      </c>
      <c r="AB1418" s="4">
        <v>2</v>
      </c>
      <c r="AC1418" s="4">
        <v>2</v>
      </c>
      <c r="AD1418" s="4">
        <v>43</v>
      </c>
      <c r="AE1418" s="4">
        <v>46</v>
      </c>
      <c r="AF1418" s="4">
        <v>0</v>
      </c>
      <c r="AG1418" s="4">
        <v>0</v>
      </c>
      <c r="AH1418" s="4">
        <v>40</v>
      </c>
      <c r="AI1418" s="4">
        <v>41</v>
      </c>
      <c r="AJ1418" s="4">
        <v>4</v>
      </c>
      <c r="AK1418" s="4">
        <v>4</v>
      </c>
      <c r="AL1418" s="4">
        <v>32</v>
      </c>
      <c r="AM1418" s="4">
        <v>33</v>
      </c>
      <c r="AN1418" s="4">
        <v>0</v>
      </c>
      <c r="AO1418" s="4">
        <v>0</v>
      </c>
      <c r="AP1418" s="4">
        <v>4</v>
      </c>
      <c r="AQ1418" s="4">
        <v>6</v>
      </c>
      <c r="AR1418" s="3" t="s">
        <v>64</v>
      </c>
      <c r="AS1418" s="3" t="s">
        <v>64</v>
      </c>
      <c r="AT1418" s="3" t="s">
        <v>73</v>
      </c>
      <c r="AU1418" s="6" t="str">
        <f>HYPERLINK("http://catalog.hathitrust.org/Record/000858004","HathiTrust Record")</f>
        <v>HathiTrust Record</v>
      </c>
      <c r="AV1418" s="6" t="str">
        <f>HYPERLINK("http://mcgill.on.worldcat.org/oclc/16638403","Catalog Record")</f>
        <v>Catalog Record</v>
      </c>
      <c r="AW1418" s="6" t="str">
        <f>HYPERLINK("http://www.worldcat.org/oclc/16638403","WorldCat Record")</f>
        <v>WorldCat Record</v>
      </c>
      <c r="AX1418" s="3" t="s">
        <v>14669</v>
      </c>
      <c r="AY1418" s="3" t="s">
        <v>14670</v>
      </c>
      <c r="AZ1418" s="3" t="s">
        <v>14671</v>
      </c>
      <c r="BA1418" s="3" t="s">
        <v>14671</v>
      </c>
      <c r="BB1418" s="3" t="s">
        <v>14672</v>
      </c>
      <c r="BC1418" s="3" t="s">
        <v>78</v>
      </c>
      <c r="BD1418" s="3" t="s">
        <v>79</v>
      </c>
      <c r="BF1418" s="3" t="s">
        <v>14672</v>
      </c>
      <c r="BG1418" s="3" t="s">
        <v>14673</v>
      </c>
    </row>
    <row r="1419" spans="1:59" ht="58" x14ac:dyDescent="0.35">
      <c r="A1419" s="2" t="s">
        <v>59</v>
      </c>
      <c r="B1419" s="2" t="s">
        <v>94</v>
      </c>
      <c r="C1419" s="2" t="s">
        <v>14674</v>
      </c>
      <c r="D1419" s="2" t="s">
        <v>14675</v>
      </c>
      <c r="E1419" s="2" t="s">
        <v>14676</v>
      </c>
      <c r="G1419" s="3" t="s">
        <v>64</v>
      </c>
      <c r="I1419" s="3" t="s">
        <v>64</v>
      </c>
      <c r="J1419" s="3" t="s">
        <v>64</v>
      </c>
      <c r="K1419" s="3" t="s">
        <v>65</v>
      </c>
      <c r="L1419" s="2" t="s">
        <v>14677</v>
      </c>
      <c r="M1419" s="2" t="s">
        <v>14678</v>
      </c>
      <c r="N1419" s="3" t="s">
        <v>3437</v>
      </c>
      <c r="P1419" s="3" t="s">
        <v>202</v>
      </c>
      <c r="R1419" s="3" t="s">
        <v>9228</v>
      </c>
      <c r="S1419" s="4">
        <v>1</v>
      </c>
      <c r="T1419" s="4">
        <v>1</v>
      </c>
      <c r="U1419" s="5" t="s">
        <v>1447</v>
      </c>
      <c r="V1419" s="5" t="s">
        <v>1447</v>
      </c>
      <c r="W1419" s="5" t="s">
        <v>72</v>
      </c>
      <c r="X1419" s="5" t="s">
        <v>72</v>
      </c>
      <c r="Y1419" s="4">
        <v>35</v>
      </c>
      <c r="Z1419" s="4">
        <v>2</v>
      </c>
      <c r="AA1419" s="4">
        <v>2</v>
      </c>
      <c r="AB1419" s="4">
        <v>1</v>
      </c>
      <c r="AC1419" s="4">
        <v>1</v>
      </c>
      <c r="AD1419" s="4">
        <v>22</v>
      </c>
      <c r="AE1419" s="4">
        <v>24</v>
      </c>
      <c r="AF1419" s="4">
        <v>0</v>
      </c>
      <c r="AG1419" s="4">
        <v>0</v>
      </c>
      <c r="AH1419" s="4">
        <v>19</v>
      </c>
      <c r="AI1419" s="4">
        <v>21</v>
      </c>
      <c r="AJ1419" s="4">
        <v>1</v>
      </c>
      <c r="AK1419" s="4">
        <v>1</v>
      </c>
      <c r="AL1419" s="4">
        <v>17</v>
      </c>
      <c r="AM1419" s="4">
        <v>18</v>
      </c>
      <c r="AN1419" s="4">
        <v>0</v>
      </c>
      <c r="AO1419" s="4">
        <v>0</v>
      </c>
      <c r="AP1419" s="4">
        <v>1</v>
      </c>
      <c r="AQ1419" s="4">
        <v>1</v>
      </c>
      <c r="AR1419" s="3" t="s">
        <v>64</v>
      </c>
      <c r="AS1419" s="3" t="s">
        <v>64</v>
      </c>
      <c r="AT1419" s="3" t="s">
        <v>73</v>
      </c>
      <c r="AU1419" s="6" t="str">
        <f>HYPERLINK("http://catalog.hathitrust.org/Record/002028207","HathiTrust Record")</f>
        <v>HathiTrust Record</v>
      </c>
      <c r="AV1419" s="6" t="str">
        <f>HYPERLINK("http://mcgill.on.worldcat.org/oclc/13533578","Catalog Record")</f>
        <v>Catalog Record</v>
      </c>
      <c r="AW1419" s="6" t="str">
        <f>HYPERLINK("http://www.worldcat.org/oclc/13533578","WorldCat Record")</f>
        <v>WorldCat Record</v>
      </c>
      <c r="AX1419" s="3" t="s">
        <v>14679</v>
      </c>
      <c r="AY1419" s="3" t="s">
        <v>14680</v>
      </c>
      <c r="AZ1419" s="3" t="s">
        <v>14681</v>
      </c>
      <c r="BA1419" s="3" t="s">
        <v>14681</v>
      </c>
      <c r="BB1419" s="3" t="s">
        <v>14682</v>
      </c>
      <c r="BC1419" s="3" t="s">
        <v>78</v>
      </c>
      <c r="BD1419" s="3" t="s">
        <v>79</v>
      </c>
      <c r="BF1419" s="3" t="s">
        <v>14682</v>
      </c>
      <c r="BG1419" s="3" t="s">
        <v>14683</v>
      </c>
    </row>
    <row r="1420" spans="1:59" ht="58" x14ac:dyDescent="0.35">
      <c r="A1420" s="2" t="s">
        <v>59</v>
      </c>
      <c r="B1420" s="2" t="s">
        <v>94</v>
      </c>
      <c r="C1420" s="2" t="s">
        <v>14684</v>
      </c>
      <c r="D1420" s="2" t="s">
        <v>14685</v>
      </c>
      <c r="E1420" s="2" t="s">
        <v>14686</v>
      </c>
      <c r="G1420" s="3" t="s">
        <v>64</v>
      </c>
      <c r="I1420" s="3" t="s">
        <v>64</v>
      </c>
      <c r="J1420" s="3" t="s">
        <v>64</v>
      </c>
      <c r="K1420" s="3" t="s">
        <v>65</v>
      </c>
      <c r="L1420" s="2" t="s">
        <v>14687</v>
      </c>
      <c r="M1420" s="2" t="s">
        <v>14688</v>
      </c>
      <c r="N1420" s="3" t="s">
        <v>3085</v>
      </c>
      <c r="P1420" s="3" t="s">
        <v>202</v>
      </c>
      <c r="R1420" s="3" t="s">
        <v>9228</v>
      </c>
      <c r="S1420" s="4">
        <v>1</v>
      </c>
      <c r="T1420" s="4">
        <v>1</v>
      </c>
      <c r="U1420" s="5" t="s">
        <v>1447</v>
      </c>
      <c r="V1420" s="5" t="s">
        <v>1447</v>
      </c>
      <c r="W1420" s="5" t="s">
        <v>72</v>
      </c>
      <c r="X1420" s="5" t="s">
        <v>72</v>
      </c>
      <c r="Y1420" s="4">
        <v>2</v>
      </c>
      <c r="Z1420" s="4">
        <v>1</v>
      </c>
      <c r="AA1420" s="4">
        <v>1</v>
      </c>
      <c r="AB1420" s="4">
        <v>1</v>
      </c>
      <c r="AC1420" s="4">
        <v>1</v>
      </c>
      <c r="AD1420" s="4">
        <v>1</v>
      </c>
      <c r="AE1420" s="4">
        <v>1</v>
      </c>
      <c r="AF1420" s="4">
        <v>0</v>
      </c>
      <c r="AG1420" s="4">
        <v>0</v>
      </c>
      <c r="AH1420" s="4">
        <v>1</v>
      </c>
      <c r="AI1420" s="4">
        <v>1</v>
      </c>
      <c r="AJ1420" s="4">
        <v>0</v>
      </c>
      <c r="AK1420" s="4">
        <v>0</v>
      </c>
      <c r="AL1420" s="4">
        <v>1</v>
      </c>
      <c r="AM1420" s="4">
        <v>1</v>
      </c>
      <c r="AN1420" s="4">
        <v>0</v>
      </c>
      <c r="AO1420" s="4">
        <v>0</v>
      </c>
      <c r="AP1420" s="4">
        <v>0</v>
      </c>
      <c r="AQ1420" s="4">
        <v>0</v>
      </c>
      <c r="AR1420" s="3" t="s">
        <v>64</v>
      </c>
      <c r="AS1420" s="3" t="s">
        <v>64</v>
      </c>
      <c r="AT1420" s="3" t="s">
        <v>73</v>
      </c>
      <c r="AU1420" s="6" t="str">
        <f>HYPERLINK("http://catalog.hathitrust.org/Record/002602087","HathiTrust Record")</f>
        <v>HathiTrust Record</v>
      </c>
      <c r="AV1420" s="6" t="str">
        <f>HYPERLINK("http://mcgill.on.worldcat.org/oclc/427537402","Catalog Record")</f>
        <v>Catalog Record</v>
      </c>
      <c r="AW1420" s="6" t="str">
        <f>HYPERLINK("http://www.worldcat.org/oclc/427537402","WorldCat Record")</f>
        <v>WorldCat Record</v>
      </c>
      <c r="AX1420" s="3" t="s">
        <v>14689</v>
      </c>
      <c r="AY1420" s="3" t="s">
        <v>14690</v>
      </c>
      <c r="AZ1420" s="3" t="s">
        <v>14691</v>
      </c>
      <c r="BA1420" s="3" t="s">
        <v>14691</v>
      </c>
      <c r="BB1420" s="3" t="s">
        <v>14692</v>
      </c>
      <c r="BC1420" s="3" t="s">
        <v>78</v>
      </c>
      <c r="BD1420" s="3" t="s">
        <v>79</v>
      </c>
      <c r="BF1420" s="3" t="s">
        <v>14692</v>
      </c>
      <c r="BG1420" s="3" t="s">
        <v>14693</v>
      </c>
    </row>
    <row r="1421" spans="1:59" ht="58" x14ac:dyDescent="0.35">
      <c r="A1421" s="2" t="s">
        <v>59</v>
      </c>
      <c r="B1421" s="2" t="s">
        <v>94</v>
      </c>
      <c r="C1421" s="2" t="s">
        <v>14694</v>
      </c>
      <c r="D1421" s="2" t="s">
        <v>14695</v>
      </c>
      <c r="E1421" s="2" t="s">
        <v>14696</v>
      </c>
      <c r="G1421" s="3" t="s">
        <v>64</v>
      </c>
      <c r="I1421" s="3" t="s">
        <v>64</v>
      </c>
      <c r="J1421" s="3" t="s">
        <v>64</v>
      </c>
      <c r="K1421" s="3" t="s">
        <v>65</v>
      </c>
      <c r="L1421" s="2" t="s">
        <v>14697</v>
      </c>
      <c r="M1421" s="2" t="s">
        <v>14698</v>
      </c>
      <c r="N1421" s="3" t="s">
        <v>365</v>
      </c>
      <c r="P1421" s="3" t="s">
        <v>69</v>
      </c>
      <c r="Q1421" s="2" t="s">
        <v>14481</v>
      </c>
      <c r="R1421" s="3" t="s">
        <v>9228</v>
      </c>
      <c r="S1421" s="4">
        <v>4</v>
      </c>
      <c r="T1421" s="4">
        <v>4</v>
      </c>
      <c r="U1421" s="5" t="s">
        <v>2994</v>
      </c>
      <c r="V1421" s="5" t="s">
        <v>2994</v>
      </c>
      <c r="W1421" s="5" t="s">
        <v>72</v>
      </c>
      <c r="X1421" s="5" t="s">
        <v>72</v>
      </c>
      <c r="Y1421" s="4">
        <v>525</v>
      </c>
      <c r="Z1421" s="4">
        <v>34</v>
      </c>
      <c r="AA1421" s="4">
        <v>34</v>
      </c>
      <c r="AB1421" s="4">
        <v>3</v>
      </c>
      <c r="AC1421" s="4">
        <v>3</v>
      </c>
      <c r="AD1421" s="4">
        <v>126</v>
      </c>
      <c r="AE1421" s="4">
        <v>126</v>
      </c>
      <c r="AF1421" s="4">
        <v>2</v>
      </c>
      <c r="AG1421" s="4">
        <v>2</v>
      </c>
      <c r="AH1421" s="4">
        <v>106</v>
      </c>
      <c r="AI1421" s="4">
        <v>106</v>
      </c>
      <c r="AJ1421" s="4">
        <v>21</v>
      </c>
      <c r="AK1421" s="4">
        <v>21</v>
      </c>
      <c r="AL1421" s="4">
        <v>58</v>
      </c>
      <c r="AM1421" s="4">
        <v>58</v>
      </c>
      <c r="AN1421" s="4">
        <v>0</v>
      </c>
      <c r="AO1421" s="4">
        <v>0</v>
      </c>
      <c r="AP1421" s="4">
        <v>29</v>
      </c>
      <c r="AQ1421" s="4">
        <v>29</v>
      </c>
      <c r="AR1421" s="3" t="s">
        <v>64</v>
      </c>
      <c r="AS1421" s="3" t="s">
        <v>64</v>
      </c>
      <c r="AT1421" s="3" t="s">
        <v>73</v>
      </c>
      <c r="AU1421" s="6" t="str">
        <f>HYPERLINK("http://catalog.hathitrust.org/Record/000465415","HathiTrust Record")</f>
        <v>HathiTrust Record</v>
      </c>
      <c r="AV1421" s="6" t="str">
        <f>HYPERLINK("http://mcgill.on.worldcat.org/oclc/11468561","Catalog Record")</f>
        <v>Catalog Record</v>
      </c>
      <c r="AW1421" s="6" t="str">
        <f>HYPERLINK("http://www.worldcat.org/oclc/11468561","WorldCat Record")</f>
        <v>WorldCat Record</v>
      </c>
      <c r="AX1421" s="3" t="s">
        <v>14699</v>
      </c>
      <c r="AY1421" s="3" t="s">
        <v>14700</v>
      </c>
      <c r="AZ1421" s="3" t="s">
        <v>14701</v>
      </c>
      <c r="BA1421" s="3" t="s">
        <v>14701</v>
      </c>
      <c r="BB1421" s="3" t="s">
        <v>14702</v>
      </c>
      <c r="BC1421" s="3" t="s">
        <v>78</v>
      </c>
      <c r="BD1421" s="3" t="s">
        <v>79</v>
      </c>
      <c r="BE1421" s="3" t="s">
        <v>14703</v>
      </c>
      <c r="BF1421" s="3" t="s">
        <v>14702</v>
      </c>
      <c r="BG1421" s="3" t="s">
        <v>14704</v>
      </c>
    </row>
    <row r="1422" spans="1:59" ht="58" x14ac:dyDescent="0.35">
      <c r="A1422" s="2" t="s">
        <v>59</v>
      </c>
      <c r="B1422" s="2" t="s">
        <v>94</v>
      </c>
      <c r="C1422" s="2" t="s">
        <v>14705</v>
      </c>
      <c r="D1422" s="2" t="s">
        <v>14706</v>
      </c>
      <c r="E1422" s="2" t="s">
        <v>14707</v>
      </c>
      <c r="G1422" s="3" t="s">
        <v>64</v>
      </c>
      <c r="I1422" s="3" t="s">
        <v>64</v>
      </c>
      <c r="J1422" s="3" t="s">
        <v>64</v>
      </c>
      <c r="K1422" s="3" t="s">
        <v>65</v>
      </c>
      <c r="L1422" s="2" t="s">
        <v>14708</v>
      </c>
      <c r="M1422" s="2" t="s">
        <v>14709</v>
      </c>
      <c r="N1422" s="3" t="s">
        <v>1154</v>
      </c>
      <c r="P1422" s="3" t="s">
        <v>69</v>
      </c>
      <c r="R1422" s="3" t="s">
        <v>9228</v>
      </c>
      <c r="S1422" s="4">
        <v>10</v>
      </c>
      <c r="T1422" s="4">
        <v>10</v>
      </c>
      <c r="U1422" s="5" t="s">
        <v>4777</v>
      </c>
      <c r="V1422" s="5" t="s">
        <v>4777</v>
      </c>
      <c r="W1422" s="5" t="s">
        <v>72</v>
      </c>
      <c r="X1422" s="5" t="s">
        <v>72</v>
      </c>
      <c r="Y1422" s="4">
        <v>306</v>
      </c>
      <c r="Z1422" s="4">
        <v>15</v>
      </c>
      <c r="AA1422" s="4">
        <v>15</v>
      </c>
      <c r="AB1422" s="4">
        <v>1</v>
      </c>
      <c r="AC1422" s="4">
        <v>1</v>
      </c>
      <c r="AD1422" s="4">
        <v>97</v>
      </c>
      <c r="AE1422" s="4">
        <v>99</v>
      </c>
      <c r="AF1422" s="4">
        <v>0</v>
      </c>
      <c r="AG1422" s="4">
        <v>0</v>
      </c>
      <c r="AH1422" s="4">
        <v>88</v>
      </c>
      <c r="AI1422" s="4">
        <v>90</v>
      </c>
      <c r="AJ1422" s="4">
        <v>9</v>
      </c>
      <c r="AK1422" s="4">
        <v>9</v>
      </c>
      <c r="AL1422" s="4">
        <v>49</v>
      </c>
      <c r="AM1422" s="4">
        <v>50</v>
      </c>
      <c r="AN1422" s="4">
        <v>0</v>
      </c>
      <c r="AO1422" s="4">
        <v>0</v>
      </c>
      <c r="AP1422" s="4">
        <v>12</v>
      </c>
      <c r="AQ1422" s="4">
        <v>12</v>
      </c>
      <c r="AR1422" s="3" t="s">
        <v>64</v>
      </c>
      <c r="AS1422" s="3" t="s">
        <v>64</v>
      </c>
      <c r="AT1422" s="3" t="s">
        <v>73</v>
      </c>
      <c r="AU1422" s="6" t="str">
        <f>HYPERLINK("http://catalog.hathitrust.org/Record/002898653","HathiTrust Record")</f>
        <v>HathiTrust Record</v>
      </c>
      <c r="AV1422" s="6" t="str">
        <f>HYPERLINK("http://mcgill.on.worldcat.org/oclc/30034276","Catalog Record")</f>
        <v>Catalog Record</v>
      </c>
      <c r="AW1422" s="6" t="str">
        <f>HYPERLINK("http://www.worldcat.org/oclc/30034276","WorldCat Record")</f>
        <v>WorldCat Record</v>
      </c>
      <c r="AX1422" s="3" t="s">
        <v>14710</v>
      </c>
      <c r="AY1422" s="3" t="s">
        <v>14711</v>
      </c>
      <c r="AZ1422" s="3" t="s">
        <v>14712</v>
      </c>
      <c r="BA1422" s="3" t="s">
        <v>14712</v>
      </c>
      <c r="BB1422" s="3" t="s">
        <v>14713</v>
      </c>
      <c r="BC1422" s="3" t="s">
        <v>78</v>
      </c>
      <c r="BD1422" s="3" t="s">
        <v>79</v>
      </c>
      <c r="BE1422" s="3" t="s">
        <v>14714</v>
      </c>
      <c r="BF1422" s="3" t="s">
        <v>14713</v>
      </c>
      <c r="BG1422" s="3" t="s">
        <v>14715</v>
      </c>
    </row>
    <row r="1423" spans="1:59" ht="58" x14ac:dyDescent="0.35">
      <c r="A1423" s="2" t="s">
        <v>59</v>
      </c>
      <c r="B1423" s="2" t="s">
        <v>94</v>
      </c>
      <c r="C1423" s="2" t="s">
        <v>14716</v>
      </c>
      <c r="D1423" s="2" t="s">
        <v>14717</v>
      </c>
      <c r="E1423" s="2" t="s">
        <v>14718</v>
      </c>
      <c r="G1423" s="3" t="s">
        <v>64</v>
      </c>
      <c r="I1423" s="3" t="s">
        <v>64</v>
      </c>
      <c r="J1423" s="3" t="s">
        <v>73</v>
      </c>
      <c r="K1423" s="3" t="s">
        <v>65</v>
      </c>
      <c r="L1423" s="2" t="s">
        <v>14719</v>
      </c>
      <c r="M1423" s="2" t="s">
        <v>14720</v>
      </c>
      <c r="N1423" s="3" t="s">
        <v>422</v>
      </c>
      <c r="O1423" s="2" t="s">
        <v>275</v>
      </c>
      <c r="P1423" s="3" t="s">
        <v>69</v>
      </c>
      <c r="Q1423" s="2" t="s">
        <v>14721</v>
      </c>
      <c r="R1423" s="3" t="s">
        <v>9228</v>
      </c>
      <c r="S1423" s="4">
        <v>10</v>
      </c>
      <c r="T1423" s="4">
        <v>10</v>
      </c>
      <c r="U1423" s="5" t="s">
        <v>10073</v>
      </c>
      <c r="V1423" s="5" t="s">
        <v>10073</v>
      </c>
      <c r="W1423" s="5" t="s">
        <v>72</v>
      </c>
      <c r="X1423" s="5" t="s">
        <v>72</v>
      </c>
      <c r="Y1423" s="4">
        <v>123</v>
      </c>
      <c r="Z1423" s="4">
        <v>11</v>
      </c>
      <c r="AA1423" s="4">
        <v>100</v>
      </c>
      <c r="AB1423" s="4">
        <v>2</v>
      </c>
      <c r="AC1423" s="4">
        <v>16</v>
      </c>
      <c r="AD1423" s="4">
        <v>48</v>
      </c>
      <c r="AE1423" s="4">
        <v>156</v>
      </c>
      <c r="AF1423" s="4">
        <v>0</v>
      </c>
      <c r="AG1423" s="4">
        <v>8</v>
      </c>
      <c r="AH1423" s="4">
        <v>44</v>
      </c>
      <c r="AI1423" s="4">
        <v>111</v>
      </c>
      <c r="AJ1423" s="4">
        <v>6</v>
      </c>
      <c r="AK1423" s="4">
        <v>27</v>
      </c>
      <c r="AL1423" s="4">
        <v>26</v>
      </c>
      <c r="AM1423" s="4">
        <v>59</v>
      </c>
      <c r="AN1423" s="4">
        <v>0</v>
      </c>
      <c r="AO1423" s="4">
        <v>0</v>
      </c>
      <c r="AP1423" s="4">
        <v>7</v>
      </c>
      <c r="AQ1423" s="4">
        <v>52</v>
      </c>
      <c r="AR1423" s="3" t="s">
        <v>64</v>
      </c>
      <c r="AS1423" s="3" t="s">
        <v>64</v>
      </c>
      <c r="AT1423" s="3" t="s">
        <v>64</v>
      </c>
      <c r="AV1423" s="6" t="str">
        <f>HYPERLINK("http://mcgill.on.worldcat.org/oclc/46703451","Catalog Record")</f>
        <v>Catalog Record</v>
      </c>
      <c r="AW1423" s="6" t="str">
        <f>HYPERLINK("http://www.worldcat.org/oclc/46703451","WorldCat Record")</f>
        <v>WorldCat Record</v>
      </c>
      <c r="AX1423" s="3" t="s">
        <v>14722</v>
      </c>
      <c r="AY1423" s="3" t="s">
        <v>14723</v>
      </c>
      <c r="AZ1423" s="3" t="s">
        <v>14724</v>
      </c>
      <c r="BA1423" s="3" t="s">
        <v>14724</v>
      </c>
      <c r="BB1423" s="3" t="s">
        <v>14725</v>
      </c>
      <c r="BC1423" s="3" t="s">
        <v>78</v>
      </c>
      <c r="BD1423" s="3" t="s">
        <v>79</v>
      </c>
      <c r="BE1423" s="3" t="s">
        <v>14726</v>
      </c>
      <c r="BF1423" s="3" t="s">
        <v>14725</v>
      </c>
      <c r="BG1423" s="3" t="s">
        <v>14727</v>
      </c>
    </row>
    <row r="1424" spans="1:59" ht="58" x14ac:dyDescent="0.35">
      <c r="A1424" s="2" t="s">
        <v>59</v>
      </c>
      <c r="B1424" s="2" t="s">
        <v>94</v>
      </c>
      <c r="C1424" s="2" t="s">
        <v>14728</v>
      </c>
      <c r="D1424" s="2" t="s">
        <v>14729</v>
      </c>
      <c r="E1424" s="2" t="s">
        <v>14730</v>
      </c>
      <c r="G1424" s="3" t="s">
        <v>64</v>
      </c>
      <c r="I1424" s="3" t="s">
        <v>64</v>
      </c>
      <c r="J1424" s="3" t="s">
        <v>64</v>
      </c>
      <c r="K1424" s="3" t="s">
        <v>65</v>
      </c>
      <c r="L1424" s="2" t="s">
        <v>14731</v>
      </c>
      <c r="M1424" s="2" t="s">
        <v>14732</v>
      </c>
      <c r="N1424" s="3" t="s">
        <v>189</v>
      </c>
      <c r="O1424" s="2" t="s">
        <v>14733</v>
      </c>
      <c r="P1424" s="3" t="s">
        <v>202</v>
      </c>
      <c r="R1424" s="3" t="s">
        <v>9228</v>
      </c>
      <c r="S1424" s="4">
        <v>1</v>
      </c>
      <c r="T1424" s="4">
        <v>1</v>
      </c>
      <c r="U1424" s="5" t="s">
        <v>1447</v>
      </c>
      <c r="V1424" s="5" t="s">
        <v>1447</v>
      </c>
      <c r="W1424" s="5" t="s">
        <v>72</v>
      </c>
      <c r="X1424" s="5" t="s">
        <v>72</v>
      </c>
      <c r="Y1424" s="4">
        <v>33</v>
      </c>
      <c r="Z1424" s="4">
        <v>1</v>
      </c>
      <c r="AA1424" s="4">
        <v>2</v>
      </c>
      <c r="AB1424" s="4">
        <v>1</v>
      </c>
      <c r="AC1424" s="4">
        <v>1</v>
      </c>
      <c r="AD1424" s="4">
        <v>19</v>
      </c>
      <c r="AE1424" s="4">
        <v>20</v>
      </c>
      <c r="AF1424" s="4">
        <v>0</v>
      </c>
      <c r="AG1424" s="4">
        <v>0</v>
      </c>
      <c r="AH1424" s="4">
        <v>17</v>
      </c>
      <c r="AI1424" s="4">
        <v>17</v>
      </c>
      <c r="AJ1424" s="4">
        <v>0</v>
      </c>
      <c r="AK1424" s="4">
        <v>1</v>
      </c>
      <c r="AL1424" s="4">
        <v>17</v>
      </c>
      <c r="AM1424" s="4">
        <v>17</v>
      </c>
      <c r="AN1424" s="4">
        <v>0</v>
      </c>
      <c r="AO1424" s="4">
        <v>0</v>
      </c>
      <c r="AP1424" s="4">
        <v>0</v>
      </c>
      <c r="AQ1424" s="4">
        <v>1</v>
      </c>
      <c r="AR1424" s="3" t="s">
        <v>64</v>
      </c>
      <c r="AS1424" s="3" t="s">
        <v>64</v>
      </c>
      <c r="AT1424" s="3" t="s">
        <v>73</v>
      </c>
      <c r="AU1424" s="6" t="str">
        <f>HYPERLINK("http://catalog.hathitrust.org/Record/002019039","HathiTrust Record")</f>
        <v>HathiTrust Record</v>
      </c>
      <c r="AV1424" s="6" t="str">
        <f>HYPERLINK("http://mcgill.on.worldcat.org/oclc/19134263","Catalog Record")</f>
        <v>Catalog Record</v>
      </c>
      <c r="AW1424" s="6" t="str">
        <f>HYPERLINK("http://www.worldcat.org/oclc/19134263","WorldCat Record")</f>
        <v>WorldCat Record</v>
      </c>
      <c r="AX1424" s="3" t="s">
        <v>14734</v>
      </c>
      <c r="AY1424" s="3" t="s">
        <v>14735</v>
      </c>
      <c r="AZ1424" s="3" t="s">
        <v>14736</v>
      </c>
      <c r="BA1424" s="3" t="s">
        <v>14736</v>
      </c>
      <c r="BB1424" s="3" t="s">
        <v>14737</v>
      </c>
      <c r="BC1424" s="3" t="s">
        <v>78</v>
      </c>
      <c r="BD1424" s="3" t="s">
        <v>79</v>
      </c>
      <c r="BF1424" s="3" t="s">
        <v>14737</v>
      </c>
      <c r="BG1424" s="3" t="s">
        <v>14738</v>
      </c>
    </row>
    <row r="1425" spans="1:59" ht="58" x14ac:dyDescent="0.35">
      <c r="A1425" s="2" t="s">
        <v>59</v>
      </c>
      <c r="B1425" s="2" t="s">
        <v>94</v>
      </c>
      <c r="C1425" s="2" t="s">
        <v>14739</v>
      </c>
      <c r="D1425" s="2" t="s">
        <v>14740</v>
      </c>
      <c r="E1425" s="2" t="s">
        <v>14741</v>
      </c>
      <c r="G1425" s="3" t="s">
        <v>64</v>
      </c>
      <c r="I1425" s="3" t="s">
        <v>64</v>
      </c>
      <c r="J1425" s="3" t="s">
        <v>64</v>
      </c>
      <c r="K1425" s="3" t="s">
        <v>65</v>
      </c>
      <c r="M1425" s="2" t="s">
        <v>14742</v>
      </c>
      <c r="N1425" s="3" t="s">
        <v>201</v>
      </c>
      <c r="P1425" s="3" t="s">
        <v>202</v>
      </c>
      <c r="R1425" s="3" t="s">
        <v>9228</v>
      </c>
      <c r="S1425" s="4">
        <v>1</v>
      </c>
      <c r="T1425" s="4">
        <v>1</v>
      </c>
      <c r="U1425" s="5" t="s">
        <v>1447</v>
      </c>
      <c r="V1425" s="5" t="s">
        <v>1447</v>
      </c>
      <c r="W1425" s="5" t="s">
        <v>72</v>
      </c>
      <c r="X1425" s="5" t="s">
        <v>72</v>
      </c>
      <c r="Y1425" s="4">
        <v>50</v>
      </c>
      <c r="Z1425" s="4">
        <v>4</v>
      </c>
      <c r="AA1425" s="4">
        <v>6</v>
      </c>
      <c r="AB1425" s="4">
        <v>1</v>
      </c>
      <c r="AC1425" s="4">
        <v>1</v>
      </c>
      <c r="AD1425" s="4">
        <v>35</v>
      </c>
      <c r="AE1425" s="4">
        <v>38</v>
      </c>
      <c r="AF1425" s="4">
        <v>0</v>
      </c>
      <c r="AG1425" s="4">
        <v>0</v>
      </c>
      <c r="AH1425" s="4">
        <v>32</v>
      </c>
      <c r="AI1425" s="4">
        <v>35</v>
      </c>
      <c r="AJ1425" s="4">
        <v>3</v>
      </c>
      <c r="AK1425" s="4">
        <v>4</v>
      </c>
      <c r="AL1425" s="4">
        <v>24</v>
      </c>
      <c r="AM1425" s="4">
        <v>25</v>
      </c>
      <c r="AN1425" s="4">
        <v>0</v>
      </c>
      <c r="AO1425" s="4">
        <v>0</v>
      </c>
      <c r="AP1425" s="4">
        <v>3</v>
      </c>
      <c r="AQ1425" s="4">
        <v>4</v>
      </c>
      <c r="AR1425" s="3" t="s">
        <v>64</v>
      </c>
      <c r="AS1425" s="3" t="s">
        <v>64</v>
      </c>
      <c r="AT1425" s="3" t="s">
        <v>73</v>
      </c>
      <c r="AU1425" s="6" t="str">
        <f>HYPERLINK("http://catalog.hathitrust.org/Record/006196236","HathiTrust Record")</f>
        <v>HathiTrust Record</v>
      </c>
      <c r="AV1425" s="6" t="str">
        <f>HYPERLINK("http://mcgill.on.worldcat.org/oclc/9566164","Catalog Record")</f>
        <v>Catalog Record</v>
      </c>
      <c r="AW1425" s="6" t="str">
        <f>HYPERLINK("http://www.worldcat.org/oclc/9566164","WorldCat Record")</f>
        <v>WorldCat Record</v>
      </c>
      <c r="AX1425" s="3" t="s">
        <v>14743</v>
      </c>
      <c r="AY1425" s="3" t="s">
        <v>14744</v>
      </c>
      <c r="AZ1425" s="3" t="s">
        <v>14745</v>
      </c>
      <c r="BA1425" s="3" t="s">
        <v>14745</v>
      </c>
      <c r="BB1425" s="3" t="s">
        <v>14746</v>
      </c>
      <c r="BC1425" s="3" t="s">
        <v>78</v>
      </c>
      <c r="BD1425" s="3" t="s">
        <v>79</v>
      </c>
      <c r="BF1425" s="3" t="s">
        <v>14746</v>
      </c>
      <c r="BG1425" s="3" t="s">
        <v>14747</v>
      </c>
    </row>
    <row r="1426" spans="1:59" ht="58" x14ac:dyDescent="0.35">
      <c r="A1426" s="2" t="s">
        <v>59</v>
      </c>
      <c r="B1426" s="2" t="s">
        <v>94</v>
      </c>
      <c r="C1426" s="2" t="s">
        <v>14748</v>
      </c>
      <c r="D1426" s="2" t="s">
        <v>14749</v>
      </c>
      <c r="E1426" s="2" t="s">
        <v>14750</v>
      </c>
      <c r="G1426" s="3" t="s">
        <v>64</v>
      </c>
      <c r="I1426" s="3" t="s">
        <v>64</v>
      </c>
      <c r="J1426" s="3" t="s">
        <v>64</v>
      </c>
      <c r="K1426" s="3" t="s">
        <v>65</v>
      </c>
      <c r="L1426" s="2" t="s">
        <v>10217</v>
      </c>
      <c r="M1426" s="2" t="s">
        <v>14751</v>
      </c>
      <c r="N1426" s="3" t="s">
        <v>1064</v>
      </c>
      <c r="O1426" s="2" t="s">
        <v>1294</v>
      </c>
      <c r="P1426" s="3" t="s">
        <v>69</v>
      </c>
      <c r="R1426" s="3" t="s">
        <v>9228</v>
      </c>
      <c r="S1426" s="4">
        <v>4</v>
      </c>
      <c r="T1426" s="4">
        <v>4</v>
      </c>
      <c r="U1426" s="5" t="s">
        <v>2994</v>
      </c>
      <c r="V1426" s="5" t="s">
        <v>2994</v>
      </c>
      <c r="W1426" s="5" t="s">
        <v>72</v>
      </c>
      <c r="X1426" s="5" t="s">
        <v>72</v>
      </c>
      <c r="Y1426" s="4">
        <v>275</v>
      </c>
      <c r="Z1426" s="4">
        <v>14</v>
      </c>
      <c r="AA1426" s="4">
        <v>20</v>
      </c>
      <c r="AB1426" s="4">
        <v>1</v>
      </c>
      <c r="AC1426" s="4">
        <v>4</v>
      </c>
      <c r="AD1426" s="4">
        <v>87</v>
      </c>
      <c r="AE1426" s="4">
        <v>94</v>
      </c>
      <c r="AF1426" s="4">
        <v>0</v>
      </c>
      <c r="AG1426" s="4">
        <v>1</v>
      </c>
      <c r="AH1426" s="4">
        <v>80</v>
      </c>
      <c r="AI1426" s="4">
        <v>85</v>
      </c>
      <c r="AJ1426" s="4">
        <v>8</v>
      </c>
      <c r="AK1426" s="4">
        <v>11</v>
      </c>
      <c r="AL1426" s="4">
        <v>43</v>
      </c>
      <c r="AM1426" s="4">
        <v>46</v>
      </c>
      <c r="AN1426" s="4">
        <v>0</v>
      </c>
      <c r="AO1426" s="4">
        <v>0</v>
      </c>
      <c r="AP1426" s="4">
        <v>11</v>
      </c>
      <c r="AQ1426" s="4">
        <v>15</v>
      </c>
      <c r="AR1426" s="3" t="s">
        <v>64</v>
      </c>
      <c r="AS1426" s="3" t="s">
        <v>64</v>
      </c>
      <c r="AT1426" s="3" t="s">
        <v>64</v>
      </c>
      <c r="AV1426" s="6" t="str">
        <f>HYPERLINK("http://mcgill.on.worldcat.org/oclc/40113408","Catalog Record")</f>
        <v>Catalog Record</v>
      </c>
      <c r="AW1426" s="6" t="str">
        <f>HYPERLINK("http://www.worldcat.org/oclc/40113408","WorldCat Record")</f>
        <v>WorldCat Record</v>
      </c>
      <c r="AX1426" s="3" t="s">
        <v>14752</v>
      </c>
      <c r="AY1426" s="3" t="s">
        <v>14753</v>
      </c>
      <c r="AZ1426" s="3" t="s">
        <v>14754</v>
      </c>
      <c r="BA1426" s="3" t="s">
        <v>14754</v>
      </c>
      <c r="BB1426" s="3" t="s">
        <v>14755</v>
      </c>
      <c r="BC1426" s="3" t="s">
        <v>78</v>
      </c>
      <c r="BD1426" s="3" t="s">
        <v>79</v>
      </c>
      <c r="BE1426" s="3" t="s">
        <v>14756</v>
      </c>
      <c r="BF1426" s="3" t="s">
        <v>14755</v>
      </c>
      <c r="BG1426" s="3" t="s">
        <v>14757</v>
      </c>
    </row>
    <row r="1427" spans="1:59" ht="58" x14ac:dyDescent="0.35">
      <c r="A1427" s="2" t="s">
        <v>59</v>
      </c>
      <c r="B1427" s="2" t="s">
        <v>94</v>
      </c>
      <c r="C1427" s="2" t="s">
        <v>14758</v>
      </c>
      <c r="D1427" s="2" t="s">
        <v>14759</v>
      </c>
      <c r="E1427" s="2" t="s">
        <v>14760</v>
      </c>
      <c r="G1427" s="3" t="s">
        <v>64</v>
      </c>
      <c r="I1427" s="3" t="s">
        <v>64</v>
      </c>
      <c r="J1427" s="3" t="s">
        <v>64</v>
      </c>
      <c r="K1427" s="3" t="s">
        <v>65</v>
      </c>
      <c r="L1427" s="2" t="s">
        <v>14761</v>
      </c>
      <c r="M1427" s="2" t="s">
        <v>14762</v>
      </c>
      <c r="N1427" s="3" t="s">
        <v>3085</v>
      </c>
      <c r="P1427" s="3" t="s">
        <v>202</v>
      </c>
      <c r="R1427" s="3" t="s">
        <v>9228</v>
      </c>
      <c r="S1427" s="4">
        <v>1</v>
      </c>
      <c r="T1427" s="4">
        <v>1</v>
      </c>
      <c r="U1427" s="5" t="s">
        <v>1447</v>
      </c>
      <c r="V1427" s="5" t="s">
        <v>1447</v>
      </c>
      <c r="W1427" s="5" t="s">
        <v>72</v>
      </c>
      <c r="X1427" s="5" t="s">
        <v>72</v>
      </c>
      <c r="Y1427" s="4">
        <v>2</v>
      </c>
      <c r="Z1427" s="4">
        <v>1</v>
      </c>
      <c r="AA1427" s="4">
        <v>1</v>
      </c>
      <c r="AB1427" s="4">
        <v>1</v>
      </c>
      <c r="AC1427" s="4">
        <v>1</v>
      </c>
      <c r="AD1427" s="4">
        <v>0</v>
      </c>
      <c r="AE1427" s="4">
        <v>0</v>
      </c>
      <c r="AF1427" s="4">
        <v>0</v>
      </c>
      <c r="AG1427" s="4">
        <v>0</v>
      </c>
      <c r="AH1427" s="4">
        <v>0</v>
      </c>
      <c r="AI1427" s="4">
        <v>0</v>
      </c>
      <c r="AJ1427" s="4">
        <v>0</v>
      </c>
      <c r="AK1427" s="4">
        <v>0</v>
      </c>
      <c r="AL1427" s="4">
        <v>0</v>
      </c>
      <c r="AM1427" s="4">
        <v>0</v>
      </c>
      <c r="AN1427" s="4">
        <v>0</v>
      </c>
      <c r="AO1427" s="4">
        <v>0</v>
      </c>
      <c r="AP1427" s="4">
        <v>0</v>
      </c>
      <c r="AQ1427" s="4">
        <v>0</v>
      </c>
      <c r="AR1427" s="3" t="s">
        <v>64</v>
      </c>
      <c r="AS1427" s="3" t="s">
        <v>64</v>
      </c>
      <c r="AT1427" s="3" t="s">
        <v>64</v>
      </c>
      <c r="AV1427" s="6" t="str">
        <f>HYPERLINK("http://mcgill.on.worldcat.org/oclc/427573133","Catalog Record")</f>
        <v>Catalog Record</v>
      </c>
      <c r="AW1427" s="6" t="str">
        <f>HYPERLINK("http://www.worldcat.org/oclc/427573133","WorldCat Record")</f>
        <v>WorldCat Record</v>
      </c>
      <c r="AX1427" s="3" t="s">
        <v>14763</v>
      </c>
      <c r="AY1427" s="3" t="s">
        <v>14764</v>
      </c>
      <c r="AZ1427" s="3" t="s">
        <v>14765</v>
      </c>
      <c r="BA1427" s="3" t="s">
        <v>14765</v>
      </c>
      <c r="BB1427" s="3" t="s">
        <v>14766</v>
      </c>
      <c r="BC1427" s="3" t="s">
        <v>78</v>
      </c>
      <c r="BD1427" s="3" t="s">
        <v>79</v>
      </c>
      <c r="BF1427" s="3" t="s">
        <v>14766</v>
      </c>
      <c r="BG1427" s="3" t="s">
        <v>14767</v>
      </c>
    </row>
    <row r="1428" spans="1:59" ht="58" x14ac:dyDescent="0.35">
      <c r="A1428" s="2" t="s">
        <v>59</v>
      </c>
      <c r="B1428" s="2" t="s">
        <v>94</v>
      </c>
      <c r="C1428" s="2" t="s">
        <v>14768</v>
      </c>
      <c r="D1428" s="2" t="s">
        <v>14769</v>
      </c>
      <c r="E1428" s="2" t="s">
        <v>14770</v>
      </c>
      <c r="G1428" s="3" t="s">
        <v>64</v>
      </c>
      <c r="I1428" s="3" t="s">
        <v>64</v>
      </c>
      <c r="J1428" s="3" t="s">
        <v>64</v>
      </c>
      <c r="K1428" s="3" t="s">
        <v>65</v>
      </c>
      <c r="L1428" s="2" t="s">
        <v>14771</v>
      </c>
      <c r="M1428" s="2" t="s">
        <v>14772</v>
      </c>
      <c r="N1428" s="3" t="s">
        <v>2116</v>
      </c>
      <c r="P1428" s="3" t="s">
        <v>69</v>
      </c>
      <c r="Q1428" s="2" t="s">
        <v>14773</v>
      </c>
      <c r="R1428" s="3" t="s">
        <v>9228</v>
      </c>
      <c r="S1428" s="4">
        <v>3</v>
      </c>
      <c r="T1428" s="4">
        <v>3</v>
      </c>
      <c r="U1428" s="5" t="s">
        <v>14774</v>
      </c>
      <c r="V1428" s="5" t="s">
        <v>14774</v>
      </c>
      <c r="W1428" s="5" t="s">
        <v>72</v>
      </c>
      <c r="X1428" s="5" t="s">
        <v>72</v>
      </c>
      <c r="Y1428" s="4">
        <v>2</v>
      </c>
      <c r="Z1428" s="4">
        <v>2</v>
      </c>
      <c r="AA1428" s="4">
        <v>2</v>
      </c>
      <c r="AB1428" s="4">
        <v>1</v>
      </c>
      <c r="AC1428" s="4">
        <v>1</v>
      </c>
      <c r="AD1428" s="4">
        <v>1</v>
      </c>
      <c r="AE1428" s="4">
        <v>12</v>
      </c>
      <c r="AF1428" s="4">
        <v>0</v>
      </c>
      <c r="AG1428" s="4">
        <v>0</v>
      </c>
      <c r="AH1428" s="4">
        <v>1</v>
      </c>
      <c r="AI1428" s="4">
        <v>12</v>
      </c>
      <c r="AJ1428" s="4">
        <v>1</v>
      </c>
      <c r="AK1428" s="4">
        <v>1</v>
      </c>
      <c r="AL1428" s="4">
        <v>0</v>
      </c>
      <c r="AM1428" s="4">
        <v>7</v>
      </c>
      <c r="AN1428" s="4">
        <v>0</v>
      </c>
      <c r="AO1428" s="4">
        <v>0</v>
      </c>
      <c r="AP1428" s="4">
        <v>1</v>
      </c>
      <c r="AQ1428" s="4">
        <v>1</v>
      </c>
      <c r="AR1428" s="3" t="s">
        <v>64</v>
      </c>
      <c r="AS1428" s="3" t="s">
        <v>64</v>
      </c>
      <c r="AT1428" s="3" t="s">
        <v>64</v>
      </c>
      <c r="AV1428" s="6" t="str">
        <f>HYPERLINK("http://mcgill.on.worldcat.org/oclc/61548597","Catalog Record")</f>
        <v>Catalog Record</v>
      </c>
      <c r="AW1428" s="6" t="str">
        <f>HYPERLINK("http://www.worldcat.org/oclc/61548597","WorldCat Record")</f>
        <v>WorldCat Record</v>
      </c>
      <c r="AX1428" s="3" t="s">
        <v>14775</v>
      </c>
      <c r="AY1428" s="3" t="s">
        <v>14776</v>
      </c>
      <c r="AZ1428" s="3" t="s">
        <v>14777</v>
      </c>
      <c r="BA1428" s="3" t="s">
        <v>14777</v>
      </c>
      <c r="BB1428" s="3" t="s">
        <v>14778</v>
      </c>
      <c r="BC1428" s="3" t="s">
        <v>78</v>
      </c>
      <c r="BD1428" s="3" t="s">
        <v>79</v>
      </c>
      <c r="BF1428" s="3" t="s">
        <v>14778</v>
      </c>
      <c r="BG1428" s="3" t="s">
        <v>14779</v>
      </c>
    </row>
    <row r="1429" spans="1:59" ht="58" x14ac:dyDescent="0.35">
      <c r="A1429" s="2" t="s">
        <v>59</v>
      </c>
      <c r="B1429" s="2" t="s">
        <v>94</v>
      </c>
      <c r="C1429" s="2" t="s">
        <v>14780</v>
      </c>
      <c r="D1429" s="2" t="s">
        <v>14781</v>
      </c>
      <c r="E1429" s="2" t="s">
        <v>14782</v>
      </c>
      <c r="G1429" s="3" t="s">
        <v>64</v>
      </c>
      <c r="I1429" s="3" t="s">
        <v>64</v>
      </c>
      <c r="J1429" s="3" t="s">
        <v>64</v>
      </c>
      <c r="K1429" s="3" t="s">
        <v>65</v>
      </c>
      <c r="L1429" s="2" t="s">
        <v>14783</v>
      </c>
      <c r="M1429" s="2" t="s">
        <v>14784</v>
      </c>
      <c r="N1429" s="3" t="s">
        <v>226</v>
      </c>
      <c r="P1429" s="3" t="s">
        <v>202</v>
      </c>
      <c r="R1429" s="3" t="s">
        <v>9228</v>
      </c>
      <c r="S1429" s="4">
        <v>1</v>
      </c>
      <c r="T1429" s="4">
        <v>1</v>
      </c>
      <c r="U1429" s="5" t="s">
        <v>190</v>
      </c>
      <c r="V1429" s="5" t="s">
        <v>190</v>
      </c>
      <c r="W1429" s="5" t="s">
        <v>72</v>
      </c>
      <c r="X1429" s="5" t="s">
        <v>72</v>
      </c>
      <c r="Y1429" s="4">
        <v>35</v>
      </c>
      <c r="Z1429" s="4">
        <v>2</v>
      </c>
      <c r="AA1429" s="4">
        <v>4</v>
      </c>
      <c r="AB1429" s="4">
        <v>1</v>
      </c>
      <c r="AC1429" s="4">
        <v>1</v>
      </c>
      <c r="AD1429" s="4">
        <v>24</v>
      </c>
      <c r="AE1429" s="4">
        <v>38</v>
      </c>
      <c r="AF1429" s="4">
        <v>0</v>
      </c>
      <c r="AG1429" s="4">
        <v>0</v>
      </c>
      <c r="AH1429" s="4">
        <v>24</v>
      </c>
      <c r="AI1429" s="4">
        <v>37</v>
      </c>
      <c r="AJ1429" s="4">
        <v>1</v>
      </c>
      <c r="AK1429" s="4">
        <v>2</v>
      </c>
      <c r="AL1429" s="4">
        <v>19</v>
      </c>
      <c r="AM1429" s="4">
        <v>30</v>
      </c>
      <c r="AN1429" s="4">
        <v>0</v>
      </c>
      <c r="AO1429" s="4">
        <v>0</v>
      </c>
      <c r="AP1429" s="4">
        <v>1</v>
      </c>
      <c r="AQ1429" s="4">
        <v>2</v>
      </c>
      <c r="AR1429" s="3" t="s">
        <v>64</v>
      </c>
      <c r="AS1429" s="3" t="s">
        <v>64</v>
      </c>
      <c r="AT1429" s="3" t="s">
        <v>73</v>
      </c>
      <c r="AU1429" s="6" t="str">
        <f>HYPERLINK("http://catalog.hathitrust.org/Record/003953642","HathiTrust Record")</f>
        <v>HathiTrust Record</v>
      </c>
      <c r="AV1429" s="6" t="str">
        <f>HYPERLINK("http://mcgill.on.worldcat.org/oclc/38201799","Catalog Record")</f>
        <v>Catalog Record</v>
      </c>
      <c r="AW1429" s="6" t="str">
        <f>HYPERLINK("http://www.worldcat.org/oclc/38201799","WorldCat Record")</f>
        <v>WorldCat Record</v>
      </c>
      <c r="AX1429" s="3" t="s">
        <v>14785</v>
      </c>
      <c r="AY1429" s="3" t="s">
        <v>14786</v>
      </c>
      <c r="AZ1429" s="3" t="s">
        <v>14787</v>
      </c>
      <c r="BA1429" s="3" t="s">
        <v>14787</v>
      </c>
      <c r="BB1429" s="3" t="s">
        <v>14788</v>
      </c>
      <c r="BC1429" s="3" t="s">
        <v>78</v>
      </c>
      <c r="BD1429" s="3" t="s">
        <v>79</v>
      </c>
      <c r="BE1429" s="3" t="s">
        <v>14789</v>
      </c>
      <c r="BF1429" s="3" t="s">
        <v>14788</v>
      </c>
      <c r="BG1429" s="3" t="s">
        <v>14790</v>
      </c>
    </row>
    <row r="1430" spans="1:59" ht="72.5" x14ac:dyDescent="0.35">
      <c r="A1430" s="2" t="s">
        <v>59</v>
      </c>
      <c r="B1430" s="2" t="s">
        <v>94</v>
      </c>
      <c r="C1430" s="2" t="s">
        <v>14791</v>
      </c>
      <c r="D1430" s="2" t="s">
        <v>14792</v>
      </c>
      <c r="E1430" s="2" t="s">
        <v>14793</v>
      </c>
      <c r="G1430" s="3" t="s">
        <v>64</v>
      </c>
      <c r="I1430" s="3" t="s">
        <v>64</v>
      </c>
      <c r="J1430" s="3" t="s">
        <v>64</v>
      </c>
      <c r="K1430" s="3" t="s">
        <v>65</v>
      </c>
      <c r="M1430" s="2" t="s">
        <v>14794</v>
      </c>
      <c r="N1430" s="3" t="s">
        <v>861</v>
      </c>
      <c r="P1430" s="3" t="s">
        <v>69</v>
      </c>
      <c r="Q1430" s="2" t="s">
        <v>14795</v>
      </c>
      <c r="R1430" s="3" t="s">
        <v>9228</v>
      </c>
      <c r="S1430" s="4">
        <v>11</v>
      </c>
      <c r="T1430" s="4">
        <v>11</v>
      </c>
      <c r="U1430" s="5" t="s">
        <v>14668</v>
      </c>
      <c r="V1430" s="5" t="s">
        <v>14668</v>
      </c>
      <c r="W1430" s="5" t="s">
        <v>72</v>
      </c>
      <c r="X1430" s="5" t="s">
        <v>72</v>
      </c>
      <c r="Y1430" s="4">
        <v>232</v>
      </c>
      <c r="Z1430" s="4">
        <v>18</v>
      </c>
      <c r="AA1430" s="4">
        <v>18</v>
      </c>
      <c r="AB1430" s="4">
        <v>1</v>
      </c>
      <c r="AC1430" s="4">
        <v>1</v>
      </c>
      <c r="AD1430" s="4">
        <v>85</v>
      </c>
      <c r="AE1430" s="4">
        <v>87</v>
      </c>
      <c r="AF1430" s="4">
        <v>0</v>
      </c>
      <c r="AG1430" s="4">
        <v>0</v>
      </c>
      <c r="AH1430" s="4">
        <v>73</v>
      </c>
      <c r="AI1430" s="4">
        <v>74</v>
      </c>
      <c r="AJ1430" s="4">
        <v>13</v>
      </c>
      <c r="AK1430" s="4">
        <v>13</v>
      </c>
      <c r="AL1430" s="4">
        <v>38</v>
      </c>
      <c r="AM1430" s="4">
        <v>40</v>
      </c>
      <c r="AN1430" s="4">
        <v>0</v>
      </c>
      <c r="AO1430" s="4">
        <v>0</v>
      </c>
      <c r="AP1430" s="4">
        <v>15</v>
      </c>
      <c r="AQ1430" s="4">
        <v>15</v>
      </c>
      <c r="AR1430" s="3" t="s">
        <v>64</v>
      </c>
      <c r="AS1430" s="3" t="s">
        <v>64</v>
      </c>
      <c r="AT1430" s="3" t="s">
        <v>64</v>
      </c>
      <c r="AV1430" s="6" t="str">
        <f>HYPERLINK("http://mcgill.on.worldcat.org/oclc/52133026","Catalog Record")</f>
        <v>Catalog Record</v>
      </c>
      <c r="AW1430" s="6" t="str">
        <f>HYPERLINK("http://www.worldcat.org/oclc/52133026","WorldCat Record")</f>
        <v>WorldCat Record</v>
      </c>
      <c r="AX1430" s="3" t="s">
        <v>14796</v>
      </c>
      <c r="AY1430" s="3" t="s">
        <v>14797</v>
      </c>
      <c r="AZ1430" s="3" t="s">
        <v>14798</v>
      </c>
      <c r="BA1430" s="3" t="s">
        <v>14798</v>
      </c>
      <c r="BB1430" s="3" t="s">
        <v>14799</v>
      </c>
      <c r="BC1430" s="3" t="s">
        <v>78</v>
      </c>
      <c r="BD1430" s="3" t="s">
        <v>79</v>
      </c>
      <c r="BE1430" s="3" t="s">
        <v>14800</v>
      </c>
      <c r="BF1430" s="3" t="s">
        <v>14799</v>
      </c>
      <c r="BG1430" s="3" t="s">
        <v>14801</v>
      </c>
    </row>
    <row r="1431" spans="1:59" ht="58" x14ac:dyDescent="0.35">
      <c r="A1431" s="2" t="s">
        <v>59</v>
      </c>
      <c r="B1431" s="2" t="s">
        <v>94</v>
      </c>
      <c r="C1431" s="2" t="s">
        <v>14802</v>
      </c>
      <c r="D1431" s="2" t="s">
        <v>14803</v>
      </c>
      <c r="E1431" s="2" t="s">
        <v>14804</v>
      </c>
      <c r="G1431" s="3" t="s">
        <v>64</v>
      </c>
      <c r="I1431" s="3" t="s">
        <v>64</v>
      </c>
      <c r="J1431" s="3" t="s">
        <v>64</v>
      </c>
      <c r="K1431" s="3" t="s">
        <v>65</v>
      </c>
      <c r="L1431" s="2" t="s">
        <v>14805</v>
      </c>
      <c r="M1431" s="2" t="s">
        <v>14806</v>
      </c>
      <c r="N1431" s="3" t="s">
        <v>214</v>
      </c>
      <c r="P1431" s="3" t="s">
        <v>69</v>
      </c>
      <c r="R1431" s="3" t="s">
        <v>9228</v>
      </c>
      <c r="S1431" s="4">
        <v>6</v>
      </c>
      <c r="T1431" s="4">
        <v>6</v>
      </c>
      <c r="U1431" s="5" t="s">
        <v>5900</v>
      </c>
      <c r="V1431" s="5" t="s">
        <v>5900</v>
      </c>
      <c r="W1431" s="5" t="s">
        <v>72</v>
      </c>
      <c r="X1431" s="5" t="s">
        <v>72</v>
      </c>
      <c r="Y1431" s="4">
        <v>200</v>
      </c>
      <c r="Z1431" s="4">
        <v>17</v>
      </c>
      <c r="AA1431" s="4">
        <v>17</v>
      </c>
      <c r="AB1431" s="4">
        <v>1</v>
      </c>
      <c r="AC1431" s="4">
        <v>1</v>
      </c>
      <c r="AD1431" s="4">
        <v>78</v>
      </c>
      <c r="AE1431" s="4">
        <v>78</v>
      </c>
      <c r="AF1431" s="4">
        <v>0</v>
      </c>
      <c r="AG1431" s="4">
        <v>0</v>
      </c>
      <c r="AH1431" s="4">
        <v>70</v>
      </c>
      <c r="AI1431" s="4">
        <v>70</v>
      </c>
      <c r="AJ1431" s="4">
        <v>13</v>
      </c>
      <c r="AK1431" s="4">
        <v>13</v>
      </c>
      <c r="AL1431" s="4">
        <v>43</v>
      </c>
      <c r="AM1431" s="4">
        <v>43</v>
      </c>
      <c r="AN1431" s="4">
        <v>0</v>
      </c>
      <c r="AO1431" s="4">
        <v>0</v>
      </c>
      <c r="AP1431" s="4">
        <v>13</v>
      </c>
      <c r="AQ1431" s="4">
        <v>13</v>
      </c>
      <c r="AR1431" s="3" t="s">
        <v>64</v>
      </c>
      <c r="AS1431" s="3" t="s">
        <v>64</v>
      </c>
      <c r="AT1431" s="3" t="s">
        <v>64</v>
      </c>
      <c r="AV1431" s="6" t="str">
        <f>HYPERLINK("http://mcgill.on.worldcat.org/oclc/465330376","Catalog Record")</f>
        <v>Catalog Record</v>
      </c>
      <c r="AW1431" s="6" t="str">
        <f>HYPERLINK("http://www.worldcat.org/oclc/465330376","WorldCat Record")</f>
        <v>WorldCat Record</v>
      </c>
      <c r="AX1431" s="3" t="s">
        <v>14807</v>
      </c>
      <c r="AY1431" s="3" t="s">
        <v>14808</v>
      </c>
      <c r="AZ1431" s="3" t="s">
        <v>14809</v>
      </c>
      <c r="BA1431" s="3" t="s">
        <v>14809</v>
      </c>
      <c r="BB1431" s="3" t="s">
        <v>14810</v>
      </c>
      <c r="BC1431" s="3" t="s">
        <v>78</v>
      </c>
      <c r="BD1431" s="3" t="s">
        <v>79</v>
      </c>
      <c r="BE1431" s="3" t="s">
        <v>14811</v>
      </c>
      <c r="BF1431" s="3" t="s">
        <v>14810</v>
      </c>
      <c r="BG1431" s="3" t="s">
        <v>14812</v>
      </c>
    </row>
    <row r="1432" spans="1:59" ht="58" x14ac:dyDescent="0.35">
      <c r="A1432" s="2" t="s">
        <v>59</v>
      </c>
      <c r="B1432" s="2" t="s">
        <v>94</v>
      </c>
      <c r="C1432" s="2" t="s">
        <v>14813</v>
      </c>
      <c r="D1432" s="2" t="s">
        <v>14814</v>
      </c>
      <c r="E1432" s="2" t="s">
        <v>14815</v>
      </c>
      <c r="G1432" s="3" t="s">
        <v>64</v>
      </c>
      <c r="I1432" s="3" t="s">
        <v>64</v>
      </c>
      <c r="J1432" s="3" t="s">
        <v>64</v>
      </c>
      <c r="K1432" s="3" t="s">
        <v>65</v>
      </c>
      <c r="L1432" s="2" t="s">
        <v>14816</v>
      </c>
      <c r="M1432" s="2" t="s">
        <v>14817</v>
      </c>
      <c r="N1432" s="3" t="s">
        <v>340</v>
      </c>
      <c r="P1432" s="3" t="s">
        <v>69</v>
      </c>
      <c r="R1432" s="3" t="s">
        <v>9228</v>
      </c>
      <c r="S1432" s="4">
        <v>15</v>
      </c>
      <c r="T1432" s="4">
        <v>15</v>
      </c>
      <c r="U1432" s="5" t="s">
        <v>14818</v>
      </c>
      <c r="V1432" s="5" t="s">
        <v>14818</v>
      </c>
      <c r="W1432" s="5" t="s">
        <v>72</v>
      </c>
      <c r="X1432" s="5" t="s">
        <v>72</v>
      </c>
      <c r="Y1432" s="4">
        <v>260</v>
      </c>
      <c r="Z1432" s="4">
        <v>16</v>
      </c>
      <c r="AA1432" s="4">
        <v>42</v>
      </c>
      <c r="AB1432" s="4">
        <v>1</v>
      </c>
      <c r="AC1432" s="4">
        <v>5</v>
      </c>
      <c r="AD1432" s="4">
        <v>87</v>
      </c>
      <c r="AE1432" s="4">
        <v>91</v>
      </c>
      <c r="AF1432" s="4">
        <v>0</v>
      </c>
      <c r="AG1432" s="4">
        <v>0</v>
      </c>
      <c r="AH1432" s="4">
        <v>79</v>
      </c>
      <c r="AI1432" s="4">
        <v>81</v>
      </c>
      <c r="AJ1432" s="4">
        <v>9</v>
      </c>
      <c r="AK1432" s="4">
        <v>10</v>
      </c>
      <c r="AL1432" s="4">
        <v>46</v>
      </c>
      <c r="AM1432" s="4">
        <v>46</v>
      </c>
      <c r="AN1432" s="4">
        <v>0</v>
      </c>
      <c r="AO1432" s="4">
        <v>0</v>
      </c>
      <c r="AP1432" s="4">
        <v>13</v>
      </c>
      <c r="AQ1432" s="4">
        <v>16</v>
      </c>
      <c r="AR1432" s="3" t="s">
        <v>64</v>
      </c>
      <c r="AS1432" s="3" t="s">
        <v>64</v>
      </c>
      <c r="AT1432" s="3" t="s">
        <v>73</v>
      </c>
      <c r="AU1432" s="6" t="str">
        <f>HYPERLINK("http://catalog.hathitrust.org/Record/003969224","HathiTrust Record")</f>
        <v>HathiTrust Record</v>
      </c>
      <c r="AV1432" s="6" t="str">
        <f>HYPERLINK("http://mcgill.on.worldcat.org/oclc/38216395","Catalog Record")</f>
        <v>Catalog Record</v>
      </c>
      <c r="AW1432" s="6" t="str">
        <f>HYPERLINK("http://www.worldcat.org/oclc/38216395","WorldCat Record")</f>
        <v>WorldCat Record</v>
      </c>
      <c r="AX1432" s="3" t="s">
        <v>14819</v>
      </c>
      <c r="AY1432" s="3" t="s">
        <v>14820</v>
      </c>
      <c r="AZ1432" s="3" t="s">
        <v>14821</v>
      </c>
      <c r="BA1432" s="3" t="s">
        <v>14821</v>
      </c>
      <c r="BB1432" s="3" t="s">
        <v>14822</v>
      </c>
      <c r="BC1432" s="3" t="s">
        <v>78</v>
      </c>
      <c r="BD1432" s="3" t="s">
        <v>79</v>
      </c>
      <c r="BE1432" s="3" t="s">
        <v>14823</v>
      </c>
      <c r="BF1432" s="3" t="s">
        <v>14822</v>
      </c>
      <c r="BG1432" s="3" t="s">
        <v>14824</v>
      </c>
    </row>
    <row r="1433" spans="1:59" ht="58" x14ac:dyDescent="0.35">
      <c r="A1433" s="2" t="s">
        <v>59</v>
      </c>
      <c r="B1433" s="2" t="s">
        <v>94</v>
      </c>
      <c r="C1433" s="2" t="s">
        <v>14825</v>
      </c>
      <c r="D1433" s="2" t="s">
        <v>14826</v>
      </c>
      <c r="E1433" s="2" t="s">
        <v>14827</v>
      </c>
      <c r="G1433" s="3" t="s">
        <v>64</v>
      </c>
      <c r="I1433" s="3" t="s">
        <v>64</v>
      </c>
      <c r="J1433" s="3" t="s">
        <v>64</v>
      </c>
      <c r="K1433" s="3" t="s">
        <v>65</v>
      </c>
      <c r="L1433" s="2" t="s">
        <v>14828</v>
      </c>
      <c r="M1433" s="2" t="s">
        <v>14829</v>
      </c>
      <c r="N1433" s="3" t="s">
        <v>1530</v>
      </c>
      <c r="P1433" s="3" t="s">
        <v>69</v>
      </c>
      <c r="Q1433" s="2" t="s">
        <v>14830</v>
      </c>
      <c r="R1433" s="3" t="s">
        <v>9228</v>
      </c>
      <c r="S1433" s="4">
        <v>8</v>
      </c>
      <c r="T1433" s="4">
        <v>8</v>
      </c>
      <c r="U1433" s="5" t="s">
        <v>14831</v>
      </c>
      <c r="V1433" s="5" t="s">
        <v>14831</v>
      </c>
      <c r="W1433" s="5" t="s">
        <v>72</v>
      </c>
      <c r="X1433" s="5" t="s">
        <v>72</v>
      </c>
      <c r="Y1433" s="4">
        <v>213</v>
      </c>
      <c r="Z1433" s="4">
        <v>9</v>
      </c>
      <c r="AA1433" s="4">
        <v>11</v>
      </c>
      <c r="AB1433" s="4">
        <v>1</v>
      </c>
      <c r="AC1433" s="4">
        <v>3</v>
      </c>
      <c r="AD1433" s="4">
        <v>75</v>
      </c>
      <c r="AE1433" s="4">
        <v>76</v>
      </c>
      <c r="AF1433" s="4">
        <v>0</v>
      </c>
      <c r="AG1433" s="4">
        <v>1</v>
      </c>
      <c r="AH1433" s="4">
        <v>69</v>
      </c>
      <c r="AI1433" s="4">
        <v>70</v>
      </c>
      <c r="AJ1433" s="4">
        <v>7</v>
      </c>
      <c r="AK1433" s="4">
        <v>8</v>
      </c>
      <c r="AL1433" s="4">
        <v>44</v>
      </c>
      <c r="AM1433" s="4">
        <v>44</v>
      </c>
      <c r="AN1433" s="4">
        <v>0</v>
      </c>
      <c r="AO1433" s="4">
        <v>0</v>
      </c>
      <c r="AP1433" s="4">
        <v>7</v>
      </c>
      <c r="AQ1433" s="4">
        <v>8</v>
      </c>
      <c r="AR1433" s="3" t="s">
        <v>64</v>
      </c>
      <c r="AS1433" s="3" t="s">
        <v>64</v>
      </c>
      <c r="AT1433" s="3" t="s">
        <v>64</v>
      </c>
      <c r="AV1433" s="6" t="str">
        <f>HYPERLINK("http://mcgill.on.worldcat.org/oclc/47297757","Catalog Record")</f>
        <v>Catalog Record</v>
      </c>
      <c r="AW1433" s="6" t="str">
        <f>HYPERLINK("http://www.worldcat.org/oclc/47297757","WorldCat Record")</f>
        <v>WorldCat Record</v>
      </c>
      <c r="AX1433" s="3" t="s">
        <v>14832</v>
      </c>
      <c r="AY1433" s="3" t="s">
        <v>14833</v>
      </c>
      <c r="AZ1433" s="3" t="s">
        <v>14834</v>
      </c>
      <c r="BA1433" s="3" t="s">
        <v>14834</v>
      </c>
      <c r="BB1433" s="3" t="s">
        <v>14835</v>
      </c>
      <c r="BC1433" s="3" t="s">
        <v>78</v>
      </c>
      <c r="BD1433" s="3" t="s">
        <v>79</v>
      </c>
      <c r="BE1433" s="3" t="s">
        <v>14836</v>
      </c>
      <c r="BF1433" s="3" t="s">
        <v>14835</v>
      </c>
      <c r="BG1433" s="3" t="s">
        <v>14837</v>
      </c>
    </row>
    <row r="1434" spans="1:59" ht="58" x14ac:dyDescent="0.35">
      <c r="A1434" s="2" t="s">
        <v>59</v>
      </c>
      <c r="B1434" s="2" t="s">
        <v>94</v>
      </c>
      <c r="C1434" s="2" t="s">
        <v>14838</v>
      </c>
      <c r="D1434" s="2" t="s">
        <v>14839</v>
      </c>
      <c r="E1434" s="2" t="s">
        <v>14840</v>
      </c>
      <c r="G1434" s="3" t="s">
        <v>64</v>
      </c>
      <c r="I1434" s="3" t="s">
        <v>64</v>
      </c>
      <c r="J1434" s="3" t="s">
        <v>64</v>
      </c>
      <c r="K1434" s="3" t="s">
        <v>65</v>
      </c>
      <c r="M1434" s="2" t="s">
        <v>14841</v>
      </c>
      <c r="N1434" s="3" t="s">
        <v>422</v>
      </c>
      <c r="P1434" s="3" t="s">
        <v>69</v>
      </c>
      <c r="R1434" s="3" t="s">
        <v>9228</v>
      </c>
      <c r="S1434" s="4">
        <v>14</v>
      </c>
      <c r="T1434" s="4">
        <v>14</v>
      </c>
      <c r="U1434" s="5" t="s">
        <v>14831</v>
      </c>
      <c r="V1434" s="5" t="s">
        <v>14831</v>
      </c>
      <c r="W1434" s="5" t="s">
        <v>72</v>
      </c>
      <c r="X1434" s="5" t="s">
        <v>72</v>
      </c>
      <c r="Y1434" s="4">
        <v>274</v>
      </c>
      <c r="Z1434" s="4">
        <v>13</v>
      </c>
      <c r="AA1434" s="4">
        <v>90</v>
      </c>
      <c r="AB1434" s="4">
        <v>2</v>
      </c>
      <c r="AC1434" s="4">
        <v>19</v>
      </c>
      <c r="AD1434" s="4">
        <v>80</v>
      </c>
      <c r="AE1434" s="4">
        <v>130</v>
      </c>
      <c r="AF1434" s="4">
        <v>0</v>
      </c>
      <c r="AG1434" s="4">
        <v>8</v>
      </c>
      <c r="AH1434" s="4">
        <v>75</v>
      </c>
      <c r="AI1434" s="4">
        <v>95</v>
      </c>
      <c r="AJ1434" s="4">
        <v>9</v>
      </c>
      <c r="AK1434" s="4">
        <v>22</v>
      </c>
      <c r="AL1434" s="4">
        <v>48</v>
      </c>
      <c r="AM1434" s="4">
        <v>52</v>
      </c>
      <c r="AN1434" s="4">
        <v>0</v>
      </c>
      <c r="AO1434" s="4">
        <v>0</v>
      </c>
      <c r="AP1434" s="4">
        <v>9</v>
      </c>
      <c r="AQ1434" s="4">
        <v>43</v>
      </c>
      <c r="AR1434" s="3" t="s">
        <v>64</v>
      </c>
      <c r="AS1434" s="3" t="s">
        <v>64</v>
      </c>
      <c r="AT1434" s="3" t="s">
        <v>64</v>
      </c>
      <c r="AV1434" s="6" t="str">
        <f>HYPERLINK("http://mcgill.on.worldcat.org/oclc/46462906","Catalog Record")</f>
        <v>Catalog Record</v>
      </c>
      <c r="AW1434" s="6" t="str">
        <f>HYPERLINK("http://www.worldcat.org/oclc/46462906","WorldCat Record")</f>
        <v>WorldCat Record</v>
      </c>
      <c r="AX1434" s="3" t="s">
        <v>14842</v>
      </c>
      <c r="AY1434" s="3" t="s">
        <v>14843</v>
      </c>
      <c r="AZ1434" s="3" t="s">
        <v>14844</v>
      </c>
      <c r="BA1434" s="3" t="s">
        <v>14844</v>
      </c>
      <c r="BB1434" s="3" t="s">
        <v>14845</v>
      </c>
      <c r="BC1434" s="3" t="s">
        <v>78</v>
      </c>
      <c r="BD1434" s="3" t="s">
        <v>79</v>
      </c>
      <c r="BE1434" s="3" t="s">
        <v>14846</v>
      </c>
      <c r="BF1434" s="3" t="s">
        <v>14845</v>
      </c>
      <c r="BG1434" s="3" t="s">
        <v>14847</v>
      </c>
    </row>
    <row r="1435" spans="1:59" ht="58" x14ac:dyDescent="0.35">
      <c r="A1435" s="2" t="s">
        <v>59</v>
      </c>
      <c r="B1435" s="2" t="s">
        <v>94</v>
      </c>
      <c r="C1435" s="2" t="s">
        <v>14848</v>
      </c>
      <c r="D1435" s="2" t="s">
        <v>14849</v>
      </c>
      <c r="E1435" s="2" t="s">
        <v>14850</v>
      </c>
      <c r="G1435" s="3" t="s">
        <v>64</v>
      </c>
      <c r="I1435" s="3" t="s">
        <v>64</v>
      </c>
      <c r="J1435" s="3" t="s">
        <v>64</v>
      </c>
      <c r="K1435" s="3" t="s">
        <v>65</v>
      </c>
      <c r="L1435" s="2" t="s">
        <v>14851</v>
      </c>
      <c r="M1435" s="2" t="s">
        <v>14852</v>
      </c>
      <c r="N1435" s="3" t="s">
        <v>733</v>
      </c>
      <c r="O1435" s="2" t="s">
        <v>14853</v>
      </c>
      <c r="P1435" s="3" t="s">
        <v>14854</v>
      </c>
      <c r="Q1435" s="2" t="s">
        <v>14855</v>
      </c>
      <c r="R1435" s="3" t="s">
        <v>9228</v>
      </c>
      <c r="S1435" s="4">
        <v>1</v>
      </c>
      <c r="T1435" s="4">
        <v>1</v>
      </c>
      <c r="U1435" s="5" t="s">
        <v>14856</v>
      </c>
      <c r="V1435" s="5" t="s">
        <v>14856</v>
      </c>
      <c r="W1435" s="5" t="s">
        <v>72</v>
      </c>
      <c r="X1435" s="5" t="s">
        <v>72</v>
      </c>
      <c r="Y1435" s="4">
        <v>63</v>
      </c>
      <c r="Z1435" s="4">
        <v>5</v>
      </c>
      <c r="AA1435" s="4">
        <v>5</v>
      </c>
      <c r="AB1435" s="4">
        <v>1</v>
      </c>
      <c r="AC1435" s="4">
        <v>1</v>
      </c>
      <c r="AD1435" s="4">
        <v>36</v>
      </c>
      <c r="AE1435" s="4">
        <v>36</v>
      </c>
      <c r="AF1435" s="4">
        <v>0</v>
      </c>
      <c r="AG1435" s="4">
        <v>0</v>
      </c>
      <c r="AH1435" s="4">
        <v>34</v>
      </c>
      <c r="AI1435" s="4">
        <v>34</v>
      </c>
      <c r="AJ1435" s="4">
        <v>3</v>
      </c>
      <c r="AK1435" s="4">
        <v>3</v>
      </c>
      <c r="AL1435" s="4">
        <v>28</v>
      </c>
      <c r="AM1435" s="4">
        <v>28</v>
      </c>
      <c r="AN1435" s="4">
        <v>0</v>
      </c>
      <c r="AO1435" s="4">
        <v>0</v>
      </c>
      <c r="AP1435" s="4">
        <v>3</v>
      </c>
      <c r="AQ1435" s="4">
        <v>3</v>
      </c>
      <c r="AR1435" s="3" t="s">
        <v>64</v>
      </c>
      <c r="AS1435" s="3" t="s">
        <v>64</v>
      </c>
      <c r="AT1435" s="3" t="s">
        <v>73</v>
      </c>
      <c r="AU1435" s="6" t="str">
        <f>HYPERLINK("http://catalog.hathitrust.org/Record/006196223","HathiTrust Record")</f>
        <v>HathiTrust Record</v>
      </c>
      <c r="AV1435" s="6" t="str">
        <f>HYPERLINK("http://mcgill.on.worldcat.org/oclc/10484494","Catalog Record")</f>
        <v>Catalog Record</v>
      </c>
      <c r="AW1435" s="6" t="str">
        <f>HYPERLINK("http://www.worldcat.org/oclc/10484494","WorldCat Record")</f>
        <v>WorldCat Record</v>
      </c>
      <c r="AX1435" s="3" t="s">
        <v>14857</v>
      </c>
      <c r="AY1435" s="3" t="s">
        <v>14858</v>
      </c>
      <c r="AZ1435" s="3" t="s">
        <v>14859</v>
      </c>
      <c r="BA1435" s="3" t="s">
        <v>14859</v>
      </c>
      <c r="BB1435" s="3" t="s">
        <v>14860</v>
      </c>
      <c r="BC1435" s="3" t="s">
        <v>78</v>
      </c>
      <c r="BD1435" s="3" t="s">
        <v>79</v>
      </c>
      <c r="BE1435" s="3" t="s">
        <v>14861</v>
      </c>
      <c r="BF1435" s="3" t="s">
        <v>14860</v>
      </c>
      <c r="BG1435" s="3" t="s">
        <v>14862</v>
      </c>
    </row>
    <row r="1436" spans="1:59" ht="58" x14ac:dyDescent="0.35">
      <c r="A1436" s="2" t="s">
        <v>59</v>
      </c>
      <c r="B1436" s="2" t="s">
        <v>94</v>
      </c>
      <c r="C1436" s="2" t="s">
        <v>14863</v>
      </c>
      <c r="D1436" s="2" t="s">
        <v>14864</v>
      </c>
      <c r="E1436" s="2" t="s">
        <v>14865</v>
      </c>
      <c r="G1436" s="3" t="s">
        <v>64</v>
      </c>
      <c r="I1436" s="3" t="s">
        <v>64</v>
      </c>
      <c r="J1436" s="3" t="s">
        <v>64</v>
      </c>
      <c r="K1436" s="3" t="s">
        <v>65</v>
      </c>
      <c r="L1436" s="2" t="s">
        <v>14866</v>
      </c>
      <c r="M1436" s="2" t="s">
        <v>1723</v>
      </c>
      <c r="N1436" s="3" t="s">
        <v>214</v>
      </c>
      <c r="P1436" s="3" t="s">
        <v>69</v>
      </c>
      <c r="R1436" s="3" t="s">
        <v>9228</v>
      </c>
      <c r="S1436" s="4">
        <v>7</v>
      </c>
      <c r="T1436" s="4">
        <v>7</v>
      </c>
      <c r="U1436" s="5" t="s">
        <v>7772</v>
      </c>
      <c r="V1436" s="5" t="s">
        <v>7772</v>
      </c>
      <c r="W1436" s="5" t="s">
        <v>72</v>
      </c>
      <c r="X1436" s="5" t="s">
        <v>72</v>
      </c>
      <c r="Y1436" s="4">
        <v>144</v>
      </c>
      <c r="Z1436" s="4">
        <v>12</v>
      </c>
      <c r="AA1436" s="4">
        <v>12</v>
      </c>
      <c r="AB1436" s="4">
        <v>1</v>
      </c>
      <c r="AC1436" s="4">
        <v>1</v>
      </c>
      <c r="AD1436" s="4">
        <v>68</v>
      </c>
      <c r="AE1436" s="4">
        <v>68</v>
      </c>
      <c r="AF1436" s="4">
        <v>0</v>
      </c>
      <c r="AG1436" s="4">
        <v>0</v>
      </c>
      <c r="AH1436" s="4">
        <v>64</v>
      </c>
      <c r="AI1436" s="4">
        <v>64</v>
      </c>
      <c r="AJ1436" s="4">
        <v>9</v>
      </c>
      <c r="AK1436" s="4">
        <v>9</v>
      </c>
      <c r="AL1436" s="4">
        <v>37</v>
      </c>
      <c r="AM1436" s="4">
        <v>37</v>
      </c>
      <c r="AN1436" s="4">
        <v>0</v>
      </c>
      <c r="AO1436" s="4">
        <v>0</v>
      </c>
      <c r="AP1436" s="4">
        <v>10</v>
      </c>
      <c r="AQ1436" s="4">
        <v>10</v>
      </c>
      <c r="AR1436" s="3" t="s">
        <v>64</v>
      </c>
      <c r="AS1436" s="3" t="s">
        <v>64</v>
      </c>
      <c r="AT1436" s="3" t="s">
        <v>64</v>
      </c>
      <c r="AV1436" s="6" t="str">
        <f>HYPERLINK("http://mcgill.on.worldcat.org/oclc/465366101","Catalog Record")</f>
        <v>Catalog Record</v>
      </c>
      <c r="AW1436" s="6" t="str">
        <f>HYPERLINK("http://www.worldcat.org/oclc/465366101","WorldCat Record")</f>
        <v>WorldCat Record</v>
      </c>
      <c r="AX1436" s="3" t="s">
        <v>14867</v>
      </c>
      <c r="AY1436" s="3" t="s">
        <v>14868</v>
      </c>
      <c r="AZ1436" s="3" t="s">
        <v>14869</v>
      </c>
      <c r="BA1436" s="3" t="s">
        <v>14869</v>
      </c>
      <c r="BB1436" s="3" t="s">
        <v>14870</v>
      </c>
      <c r="BC1436" s="3" t="s">
        <v>78</v>
      </c>
      <c r="BD1436" s="3" t="s">
        <v>79</v>
      </c>
      <c r="BE1436" s="3" t="s">
        <v>14871</v>
      </c>
      <c r="BF1436" s="3" t="s">
        <v>14870</v>
      </c>
      <c r="BG1436" s="3" t="s">
        <v>14872</v>
      </c>
    </row>
    <row r="1437" spans="1:59" ht="58" x14ac:dyDescent="0.35">
      <c r="A1437" s="2" t="s">
        <v>59</v>
      </c>
      <c r="B1437" s="2" t="s">
        <v>94</v>
      </c>
      <c r="C1437" s="2" t="s">
        <v>14873</v>
      </c>
      <c r="D1437" s="2" t="s">
        <v>14874</v>
      </c>
      <c r="E1437" s="2" t="s">
        <v>14875</v>
      </c>
      <c r="G1437" s="3" t="s">
        <v>64</v>
      </c>
      <c r="I1437" s="3" t="s">
        <v>64</v>
      </c>
      <c r="J1437" s="3" t="s">
        <v>64</v>
      </c>
      <c r="K1437" s="3" t="s">
        <v>65</v>
      </c>
      <c r="L1437" s="2" t="s">
        <v>14876</v>
      </c>
      <c r="M1437" s="2" t="s">
        <v>14877</v>
      </c>
      <c r="N1437" s="3" t="s">
        <v>315</v>
      </c>
      <c r="P1437" s="3" t="s">
        <v>69</v>
      </c>
      <c r="R1437" s="3" t="s">
        <v>9228</v>
      </c>
      <c r="S1437" s="4">
        <v>7</v>
      </c>
      <c r="T1437" s="4">
        <v>7</v>
      </c>
      <c r="U1437" s="5" t="s">
        <v>14878</v>
      </c>
      <c r="V1437" s="5" t="s">
        <v>14878</v>
      </c>
      <c r="W1437" s="5" t="s">
        <v>72</v>
      </c>
      <c r="X1437" s="5" t="s">
        <v>72</v>
      </c>
      <c r="Y1437" s="4">
        <v>232</v>
      </c>
      <c r="Z1437" s="4">
        <v>4</v>
      </c>
      <c r="AA1437" s="4">
        <v>26</v>
      </c>
      <c r="AB1437" s="4">
        <v>2</v>
      </c>
      <c r="AC1437" s="4">
        <v>5</v>
      </c>
      <c r="AD1437" s="4">
        <v>69</v>
      </c>
      <c r="AE1437" s="4">
        <v>104</v>
      </c>
      <c r="AF1437" s="4">
        <v>0</v>
      </c>
      <c r="AG1437" s="4">
        <v>2</v>
      </c>
      <c r="AH1437" s="4">
        <v>68</v>
      </c>
      <c r="AI1437" s="4">
        <v>94</v>
      </c>
      <c r="AJ1437" s="4">
        <v>1</v>
      </c>
      <c r="AK1437" s="4">
        <v>12</v>
      </c>
      <c r="AL1437" s="4">
        <v>38</v>
      </c>
      <c r="AM1437" s="4">
        <v>54</v>
      </c>
      <c r="AN1437" s="4">
        <v>0</v>
      </c>
      <c r="AO1437" s="4">
        <v>0</v>
      </c>
      <c r="AP1437" s="4">
        <v>2</v>
      </c>
      <c r="AQ1437" s="4">
        <v>16</v>
      </c>
      <c r="AR1437" s="3" t="s">
        <v>64</v>
      </c>
      <c r="AS1437" s="3" t="s">
        <v>64</v>
      </c>
      <c r="AT1437" s="3" t="s">
        <v>64</v>
      </c>
      <c r="AV1437" s="6" t="str">
        <f>HYPERLINK("http://mcgill.on.worldcat.org/oclc/14214959","Catalog Record")</f>
        <v>Catalog Record</v>
      </c>
      <c r="AW1437" s="6" t="str">
        <f>HYPERLINK("http://www.worldcat.org/oclc/14214959","WorldCat Record")</f>
        <v>WorldCat Record</v>
      </c>
      <c r="AX1437" s="3" t="s">
        <v>14879</v>
      </c>
      <c r="AY1437" s="3" t="s">
        <v>14880</v>
      </c>
      <c r="AZ1437" s="3" t="s">
        <v>14881</v>
      </c>
      <c r="BA1437" s="3" t="s">
        <v>14881</v>
      </c>
      <c r="BB1437" s="3" t="s">
        <v>14882</v>
      </c>
      <c r="BC1437" s="3" t="s">
        <v>78</v>
      </c>
      <c r="BD1437" s="3" t="s">
        <v>79</v>
      </c>
      <c r="BE1437" s="3" t="s">
        <v>14883</v>
      </c>
      <c r="BF1437" s="3" t="s">
        <v>14882</v>
      </c>
      <c r="BG1437" s="3" t="s">
        <v>14884</v>
      </c>
    </row>
    <row r="1438" spans="1:59" ht="58" x14ac:dyDescent="0.35">
      <c r="A1438" s="2" t="s">
        <v>59</v>
      </c>
      <c r="B1438" s="2" t="s">
        <v>94</v>
      </c>
      <c r="C1438" s="2" t="s">
        <v>14885</v>
      </c>
      <c r="D1438" s="2" t="s">
        <v>14886</v>
      </c>
      <c r="E1438" s="2" t="s">
        <v>14887</v>
      </c>
      <c r="G1438" s="3" t="s">
        <v>64</v>
      </c>
      <c r="I1438" s="3" t="s">
        <v>64</v>
      </c>
      <c r="J1438" s="3" t="s">
        <v>64</v>
      </c>
      <c r="K1438" s="3" t="s">
        <v>65</v>
      </c>
      <c r="L1438" s="2" t="s">
        <v>14888</v>
      </c>
      <c r="M1438" s="2" t="s">
        <v>14889</v>
      </c>
      <c r="N1438" s="3" t="s">
        <v>264</v>
      </c>
      <c r="O1438" s="2" t="s">
        <v>1294</v>
      </c>
      <c r="P1438" s="3" t="s">
        <v>69</v>
      </c>
      <c r="R1438" s="3" t="s">
        <v>9228</v>
      </c>
      <c r="S1438" s="4">
        <v>3</v>
      </c>
      <c r="T1438" s="4">
        <v>3</v>
      </c>
      <c r="U1438" s="5" t="s">
        <v>7430</v>
      </c>
      <c r="V1438" s="5" t="s">
        <v>7430</v>
      </c>
      <c r="W1438" s="5" t="s">
        <v>72</v>
      </c>
      <c r="X1438" s="5" t="s">
        <v>72</v>
      </c>
      <c r="Y1438" s="4">
        <v>437</v>
      </c>
      <c r="Z1438" s="4">
        <v>26</v>
      </c>
      <c r="AA1438" s="4">
        <v>31</v>
      </c>
      <c r="AB1438" s="4">
        <v>2</v>
      </c>
      <c r="AC1438" s="4">
        <v>4</v>
      </c>
      <c r="AD1438" s="4">
        <v>117</v>
      </c>
      <c r="AE1438" s="4">
        <v>121</v>
      </c>
      <c r="AF1438" s="4">
        <v>1</v>
      </c>
      <c r="AG1438" s="4">
        <v>3</v>
      </c>
      <c r="AH1438" s="4">
        <v>105</v>
      </c>
      <c r="AI1438" s="4">
        <v>107</v>
      </c>
      <c r="AJ1438" s="4">
        <v>16</v>
      </c>
      <c r="AK1438" s="4">
        <v>20</v>
      </c>
      <c r="AL1438" s="4">
        <v>56</v>
      </c>
      <c r="AM1438" s="4">
        <v>56</v>
      </c>
      <c r="AN1438" s="4">
        <v>0</v>
      </c>
      <c r="AO1438" s="4">
        <v>0</v>
      </c>
      <c r="AP1438" s="4">
        <v>19</v>
      </c>
      <c r="AQ1438" s="4">
        <v>22</v>
      </c>
      <c r="AR1438" s="3" t="s">
        <v>64</v>
      </c>
      <c r="AS1438" s="3" t="s">
        <v>64</v>
      </c>
      <c r="AT1438" s="3" t="s">
        <v>73</v>
      </c>
      <c r="AU1438" s="6" t="str">
        <f>HYPERLINK("http://catalog.hathitrust.org/Record/000250432","HathiTrust Record")</f>
        <v>HathiTrust Record</v>
      </c>
      <c r="AV1438" s="6" t="str">
        <f>HYPERLINK("http://mcgill.on.worldcat.org/oclc/2984426","Catalog Record")</f>
        <v>Catalog Record</v>
      </c>
      <c r="AW1438" s="6" t="str">
        <f>HYPERLINK("http://www.worldcat.org/oclc/2984426","WorldCat Record")</f>
        <v>WorldCat Record</v>
      </c>
      <c r="AX1438" s="3" t="s">
        <v>14890</v>
      </c>
      <c r="AY1438" s="3" t="s">
        <v>14891</v>
      </c>
      <c r="AZ1438" s="3" t="s">
        <v>14892</v>
      </c>
      <c r="BA1438" s="3" t="s">
        <v>14892</v>
      </c>
      <c r="BB1438" s="3" t="s">
        <v>14893</v>
      </c>
      <c r="BC1438" s="3" t="s">
        <v>78</v>
      </c>
      <c r="BD1438" s="3" t="s">
        <v>79</v>
      </c>
      <c r="BE1438" s="3" t="s">
        <v>14894</v>
      </c>
      <c r="BF1438" s="3" t="s">
        <v>14893</v>
      </c>
      <c r="BG1438" s="3" t="s">
        <v>14895</v>
      </c>
    </row>
    <row r="1439" spans="1:59" ht="58" x14ac:dyDescent="0.35">
      <c r="A1439" s="2" t="s">
        <v>59</v>
      </c>
      <c r="B1439" s="2" t="s">
        <v>94</v>
      </c>
      <c r="C1439" s="2" t="s">
        <v>14896</v>
      </c>
      <c r="D1439" s="2" t="s">
        <v>14897</v>
      </c>
      <c r="E1439" s="2" t="s">
        <v>14898</v>
      </c>
      <c r="G1439" s="3" t="s">
        <v>64</v>
      </c>
      <c r="I1439" s="3" t="s">
        <v>64</v>
      </c>
      <c r="J1439" s="3" t="s">
        <v>64</v>
      </c>
      <c r="K1439" s="3" t="s">
        <v>65</v>
      </c>
      <c r="L1439" s="2" t="s">
        <v>14899</v>
      </c>
      <c r="M1439" s="2" t="s">
        <v>14900</v>
      </c>
      <c r="N1439" s="3" t="s">
        <v>1154</v>
      </c>
      <c r="P1439" s="3" t="s">
        <v>69</v>
      </c>
      <c r="Q1439" s="2" t="s">
        <v>14901</v>
      </c>
      <c r="R1439" s="3" t="s">
        <v>9228</v>
      </c>
      <c r="S1439" s="4">
        <v>4</v>
      </c>
      <c r="T1439" s="4">
        <v>4</v>
      </c>
      <c r="U1439" s="5" t="s">
        <v>14902</v>
      </c>
      <c r="V1439" s="5" t="s">
        <v>14902</v>
      </c>
      <c r="W1439" s="5" t="s">
        <v>72</v>
      </c>
      <c r="X1439" s="5" t="s">
        <v>72</v>
      </c>
      <c r="Y1439" s="4">
        <v>152</v>
      </c>
      <c r="Z1439" s="4">
        <v>9</v>
      </c>
      <c r="AA1439" s="4">
        <v>9</v>
      </c>
      <c r="AB1439" s="4">
        <v>1</v>
      </c>
      <c r="AC1439" s="4">
        <v>1</v>
      </c>
      <c r="AD1439" s="4">
        <v>78</v>
      </c>
      <c r="AE1439" s="4">
        <v>81</v>
      </c>
      <c r="AF1439" s="4">
        <v>0</v>
      </c>
      <c r="AG1439" s="4">
        <v>0</v>
      </c>
      <c r="AH1439" s="4">
        <v>74</v>
      </c>
      <c r="AI1439" s="4">
        <v>77</v>
      </c>
      <c r="AJ1439" s="4">
        <v>7</v>
      </c>
      <c r="AK1439" s="4">
        <v>7</v>
      </c>
      <c r="AL1439" s="4">
        <v>37</v>
      </c>
      <c r="AM1439" s="4">
        <v>38</v>
      </c>
      <c r="AN1439" s="4">
        <v>0</v>
      </c>
      <c r="AO1439" s="4">
        <v>0</v>
      </c>
      <c r="AP1439" s="4">
        <v>7</v>
      </c>
      <c r="AQ1439" s="4">
        <v>7</v>
      </c>
      <c r="AR1439" s="3" t="s">
        <v>64</v>
      </c>
      <c r="AS1439" s="3" t="s">
        <v>64</v>
      </c>
      <c r="AT1439" s="3" t="s">
        <v>64</v>
      </c>
      <c r="AV1439" s="6" t="str">
        <f>HYPERLINK("http://mcgill.on.worldcat.org/oclc/31300407","Catalog Record")</f>
        <v>Catalog Record</v>
      </c>
      <c r="AW1439" s="6" t="str">
        <f>HYPERLINK("http://www.worldcat.org/oclc/31300407","WorldCat Record")</f>
        <v>WorldCat Record</v>
      </c>
      <c r="AX1439" s="3" t="s">
        <v>14903</v>
      </c>
      <c r="AY1439" s="3" t="s">
        <v>14904</v>
      </c>
      <c r="AZ1439" s="3" t="s">
        <v>14905</v>
      </c>
      <c r="BA1439" s="3" t="s">
        <v>14905</v>
      </c>
      <c r="BB1439" s="3" t="s">
        <v>14906</v>
      </c>
      <c r="BC1439" s="3" t="s">
        <v>78</v>
      </c>
      <c r="BD1439" s="3" t="s">
        <v>79</v>
      </c>
      <c r="BE1439" s="3" t="s">
        <v>14907</v>
      </c>
      <c r="BF1439" s="3" t="s">
        <v>14906</v>
      </c>
      <c r="BG1439" s="3" t="s">
        <v>14908</v>
      </c>
    </row>
    <row r="1440" spans="1:59" ht="58" x14ac:dyDescent="0.35">
      <c r="A1440" s="2" t="s">
        <v>59</v>
      </c>
      <c r="B1440" s="2" t="s">
        <v>94</v>
      </c>
      <c r="C1440" s="2" t="s">
        <v>14909</v>
      </c>
      <c r="D1440" s="2" t="s">
        <v>14910</v>
      </c>
      <c r="E1440" s="2" t="s">
        <v>14911</v>
      </c>
      <c r="G1440" s="3" t="s">
        <v>64</v>
      </c>
      <c r="I1440" s="3" t="s">
        <v>64</v>
      </c>
      <c r="J1440" s="3" t="s">
        <v>64</v>
      </c>
      <c r="K1440" s="3" t="s">
        <v>65</v>
      </c>
      <c r="L1440" s="2" t="s">
        <v>14912</v>
      </c>
      <c r="M1440" s="2" t="s">
        <v>14913</v>
      </c>
      <c r="N1440" s="3" t="s">
        <v>328</v>
      </c>
      <c r="P1440" s="3" t="s">
        <v>69</v>
      </c>
      <c r="R1440" s="3" t="s">
        <v>9228</v>
      </c>
      <c r="S1440" s="4">
        <v>23</v>
      </c>
      <c r="T1440" s="4">
        <v>23</v>
      </c>
      <c r="U1440" s="5" t="s">
        <v>14914</v>
      </c>
      <c r="V1440" s="5" t="s">
        <v>14914</v>
      </c>
      <c r="W1440" s="5" t="s">
        <v>72</v>
      </c>
      <c r="X1440" s="5" t="s">
        <v>72</v>
      </c>
      <c r="Y1440" s="4">
        <v>140</v>
      </c>
      <c r="Z1440" s="4">
        <v>7</v>
      </c>
      <c r="AA1440" s="4">
        <v>85</v>
      </c>
      <c r="AB1440" s="4">
        <v>2</v>
      </c>
      <c r="AC1440" s="4">
        <v>15</v>
      </c>
      <c r="AD1440" s="4">
        <v>59</v>
      </c>
      <c r="AE1440" s="4">
        <v>124</v>
      </c>
      <c r="AF1440" s="4">
        <v>1</v>
      </c>
      <c r="AG1440" s="4">
        <v>8</v>
      </c>
      <c r="AH1440" s="4">
        <v>55</v>
      </c>
      <c r="AI1440" s="4">
        <v>89</v>
      </c>
      <c r="AJ1440" s="4">
        <v>4</v>
      </c>
      <c r="AK1440" s="4">
        <v>21</v>
      </c>
      <c r="AL1440" s="4">
        <v>37</v>
      </c>
      <c r="AM1440" s="4">
        <v>48</v>
      </c>
      <c r="AN1440" s="4">
        <v>0</v>
      </c>
      <c r="AO1440" s="4">
        <v>0</v>
      </c>
      <c r="AP1440" s="4">
        <v>4</v>
      </c>
      <c r="AQ1440" s="4">
        <v>41</v>
      </c>
      <c r="AR1440" s="3" t="s">
        <v>64</v>
      </c>
      <c r="AS1440" s="3" t="s">
        <v>64</v>
      </c>
      <c r="AT1440" s="3" t="s">
        <v>64</v>
      </c>
      <c r="AV1440" s="6" t="str">
        <f>HYPERLINK("http://mcgill.on.worldcat.org/oclc/670375499","Catalog Record")</f>
        <v>Catalog Record</v>
      </c>
      <c r="AW1440" s="6" t="str">
        <f>HYPERLINK("http://www.worldcat.org/oclc/670375499","WorldCat Record")</f>
        <v>WorldCat Record</v>
      </c>
      <c r="AX1440" s="3" t="s">
        <v>14915</v>
      </c>
      <c r="AY1440" s="3" t="s">
        <v>14916</v>
      </c>
      <c r="AZ1440" s="3" t="s">
        <v>14917</v>
      </c>
      <c r="BA1440" s="3" t="s">
        <v>14917</v>
      </c>
      <c r="BB1440" s="3" t="s">
        <v>14918</v>
      </c>
      <c r="BC1440" s="3" t="s">
        <v>78</v>
      </c>
      <c r="BD1440" s="3" t="s">
        <v>414</v>
      </c>
      <c r="BE1440" s="3" t="s">
        <v>14919</v>
      </c>
      <c r="BF1440" s="3" t="s">
        <v>14918</v>
      </c>
      <c r="BG1440" s="3" t="s">
        <v>14920</v>
      </c>
    </row>
    <row r="1441" spans="1:59" ht="58" x14ac:dyDescent="0.35">
      <c r="A1441" s="2" t="s">
        <v>59</v>
      </c>
      <c r="B1441" s="2" t="s">
        <v>94</v>
      </c>
      <c r="C1441" s="2" t="s">
        <v>14921</v>
      </c>
      <c r="D1441" s="2" t="s">
        <v>14922</v>
      </c>
      <c r="E1441" s="2" t="s">
        <v>14923</v>
      </c>
      <c r="G1441" s="3" t="s">
        <v>64</v>
      </c>
      <c r="I1441" s="3" t="s">
        <v>64</v>
      </c>
      <c r="J1441" s="3" t="s">
        <v>64</v>
      </c>
      <c r="K1441" s="3" t="s">
        <v>65</v>
      </c>
      <c r="L1441" s="2" t="s">
        <v>14924</v>
      </c>
      <c r="M1441" s="2" t="s">
        <v>14925</v>
      </c>
      <c r="N1441" s="3" t="s">
        <v>719</v>
      </c>
      <c r="P1441" s="3" t="s">
        <v>69</v>
      </c>
      <c r="R1441" s="3" t="s">
        <v>9228</v>
      </c>
      <c r="S1441" s="4">
        <v>5</v>
      </c>
      <c r="T1441" s="4">
        <v>5</v>
      </c>
      <c r="U1441" s="5" t="s">
        <v>5298</v>
      </c>
      <c r="V1441" s="5" t="s">
        <v>5298</v>
      </c>
      <c r="W1441" s="5" t="s">
        <v>72</v>
      </c>
      <c r="X1441" s="5" t="s">
        <v>72</v>
      </c>
      <c r="Y1441" s="4">
        <v>370</v>
      </c>
      <c r="Z1441" s="4">
        <v>25</v>
      </c>
      <c r="AA1441" s="4">
        <v>90</v>
      </c>
      <c r="AB1441" s="4">
        <v>2</v>
      </c>
      <c r="AC1441" s="4">
        <v>15</v>
      </c>
      <c r="AD1441" s="4">
        <v>117</v>
      </c>
      <c r="AE1441" s="4">
        <v>149</v>
      </c>
      <c r="AF1441" s="4">
        <v>1</v>
      </c>
      <c r="AG1441" s="4">
        <v>8</v>
      </c>
      <c r="AH1441" s="4">
        <v>105</v>
      </c>
      <c r="AI1441" s="4">
        <v>112</v>
      </c>
      <c r="AJ1441" s="4">
        <v>15</v>
      </c>
      <c r="AK1441" s="4">
        <v>25</v>
      </c>
      <c r="AL1441" s="4">
        <v>59</v>
      </c>
      <c r="AM1441" s="4">
        <v>61</v>
      </c>
      <c r="AN1441" s="4">
        <v>0</v>
      </c>
      <c r="AO1441" s="4">
        <v>0</v>
      </c>
      <c r="AP1441" s="4">
        <v>18</v>
      </c>
      <c r="AQ1441" s="4">
        <v>45</v>
      </c>
      <c r="AR1441" s="3" t="s">
        <v>64</v>
      </c>
      <c r="AS1441" s="3" t="s">
        <v>64</v>
      </c>
      <c r="AT1441" s="3" t="s">
        <v>64</v>
      </c>
      <c r="AV1441" s="6" t="str">
        <f>HYPERLINK("http://mcgill.on.worldcat.org/oclc/10532544","Catalog Record")</f>
        <v>Catalog Record</v>
      </c>
      <c r="AW1441" s="6" t="str">
        <f>HYPERLINK("http://www.worldcat.org/oclc/10532544","WorldCat Record")</f>
        <v>WorldCat Record</v>
      </c>
      <c r="AX1441" s="3" t="s">
        <v>14926</v>
      </c>
      <c r="AY1441" s="3" t="s">
        <v>14927</v>
      </c>
      <c r="AZ1441" s="3" t="s">
        <v>14928</v>
      </c>
      <c r="BA1441" s="3" t="s">
        <v>14928</v>
      </c>
      <c r="BB1441" s="3" t="s">
        <v>14929</v>
      </c>
      <c r="BC1441" s="3" t="s">
        <v>78</v>
      </c>
      <c r="BD1441" s="3" t="s">
        <v>79</v>
      </c>
      <c r="BE1441" s="3" t="s">
        <v>14930</v>
      </c>
      <c r="BF1441" s="3" t="s">
        <v>14929</v>
      </c>
      <c r="BG1441" s="3" t="s">
        <v>14931</v>
      </c>
    </row>
    <row r="1442" spans="1:59" ht="58" x14ac:dyDescent="0.35">
      <c r="A1442" s="2" t="s">
        <v>59</v>
      </c>
      <c r="B1442" s="2" t="s">
        <v>94</v>
      </c>
      <c r="C1442" s="2" t="s">
        <v>14932</v>
      </c>
      <c r="D1442" s="2" t="s">
        <v>14933</v>
      </c>
      <c r="E1442" s="2" t="s">
        <v>14934</v>
      </c>
      <c r="G1442" s="3" t="s">
        <v>64</v>
      </c>
      <c r="I1442" s="3" t="s">
        <v>64</v>
      </c>
      <c r="J1442" s="3" t="s">
        <v>64</v>
      </c>
      <c r="K1442" s="3" t="s">
        <v>65</v>
      </c>
      <c r="L1442" s="2" t="s">
        <v>14935</v>
      </c>
      <c r="M1442" s="2" t="s">
        <v>14936</v>
      </c>
      <c r="N1442" s="3" t="s">
        <v>328</v>
      </c>
      <c r="P1442" s="3" t="s">
        <v>69</v>
      </c>
      <c r="Q1442" s="2" t="s">
        <v>14937</v>
      </c>
      <c r="R1442" s="3" t="s">
        <v>9228</v>
      </c>
      <c r="S1442" s="4">
        <v>3</v>
      </c>
      <c r="T1442" s="4">
        <v>3</v>
      </c>
      <c r="U1442" s="5" t="s">
        <v>14938</v>
      </c>
      <c r="V1442" s="5" t="s">
        <v>14938</v>
      </c>
      <c r="W1442" s="5" t="s">
        <v>72</v>
      </c>
      <c r="X1442" s="5" t="s">
        <v>72</v>
      </c>
      <c r="Y1442" s="4">
        <v>39</v>
      </c>
      <c r="Z1442" s="4">
        <v>5</v>
      </c>
      <c r="AA1442" s="4">
        <v>5</v>
      </c>
      <c r="AB1442" s="4">
        <v>1</v>
      </c>
      <c r="AC1442" s="4">
        <v>1</v>
      </c>
      <c r="AD1442" s="4">
        <v>23</v>
      </c>
      <c r="AE1442" s="4">
        <v>23</v>
      </c>
      <c r="AF1442" s="4">
        <v>0</v>
      </c>
      <c r="AG1442" s="4">
        <v>0</v>
      </c>
      <c r="AH1442" s="4">
        <v>23</v>
      </c>
      <c r="AI1442" s="4">
        <v>23</v>
      </c>
      <c r="AJ1442" s="4">
        <v>3</v>
      </c>
      <c r="AK1442" s="4">
        <v>3</v>
      </c>
      <c r="AL1442" s="4">
        <v>17</v>
      </c>
      <c r="AM1442" s="4">
        <v>17</v>
      </c>
      <c r="AN1442" s="4">
        <v>0</v>
      </c>
      <c r="AO1442" s="4">
        <v>0</v>
      </c>
      <c r="AP1442" s="4">
        <v>3</v>
      </c>
      <c r="AQ1442" s="4">
        <v>3</v>
      </c>
      <c r="AR1442" s="3" t="s">
        <v>64</v>
      </c>
      <c r="AS1442" s="3" t="s">
        <v>64</v>
      </c>
      <c r="AT1442" s="3" t="s">
        <v>64</v>
      </c>
      <c r="AV1442" s="6" t="str">
        <f>HYPERLINK("http://mcgill.on.worldcat.org/oclc/751113233","Catalog Record")</f>
        <v>Catalog Record</v>
      </c>
      <c r="AW1442" s="6" t="str">
        <f>HYPERLINK("http://www.worldcat.org/oclc/751113233","WorldCat Record")</f>
        <v>WorldCat Record</v>
      </c>
      <c r="AX1442" s="3" t="s">
        <v>14939</v>
      </c>
      <c r="AY1442" s="3" t="s">
        <v>14940</v>
      </c>
      <c r="AZ1442" s="3" t="s">
        <v>14941</v>
      </c>
      <c r="BA1442" s="3" t="s">
        <v>14941</v>
      </c>
      <c r="BB1442" s="3" t="s">
        <v>14942</v>
      </c>
      <c r="BC1442" s="3" t="s">
        <v>78</v>
      </c>
      <c r="BD1442" s="3" t="s">
        <v>79</v>
      </c>
      <c r="BE1442" s="3" t="s">
        <v>14943</v>
      </c>
      <c r="BF1442" s="3" t="s">
        <v>14942</v>
      </c>
      <c r="BG1442" s="3" t="s">
        <v>14944</v>
      </c>
    </row>
    <row r="1443" spans="1:59" ht="58" x14ac:dyDescent="0.35">
      <c r="A1443" s="2" t="s">
        <v>59</v>
      </c>
      <c r="B1443" s="2" t="s">
        <v>94</v>
      </c>
      <c r="C1443" s="2" t="s">
        <v>14945</v>
      </c>
      <c r="D1443" s="2" t="s">
        <v>14946</v>
      </c>
      <c r="E1443" s="2" t="s">
        <v>14947</v>
      </c>
      <c r="G1443" s="3" t="s">
        <v>64</v>
      </c>
      <c r="I1443" s="3" t="s">
        <v>64</v>
      </c>
      <c r="J1443" s="3" t="s">
        <v>64</v>
      </c>
      <c r="K1443" s="3" t="s">
        <v>65</v>
      </c>
      <c r="M1443" s="2" t="s">
        <v>14948</v>
      </c>
      <c r="N1443" s="3" t="s">
        <v>3312</v>
      </c>
      <c r="O1443" s="2" t="s">
        <v>14949</v>
      </c>
      <c r="P1443" s="3" t="s">
        <v>14950</v>
      </c>
      <c r="R1443" s="3" t="s">
        <v>9228</v>
      </c>
      <c r="S1443" s="4">
        <v>1</v>
      </c>
      <c r="T1443" s="4">
        <v>1</v>
      </c>
      <c r="U1443" s="5" t="s">
        <v>13903</v>
      </c>
      <c r="V1443" s="5" t="s">
        <v>13903</v>
      </c>
      <c r="W1443" s="5" t="s">
        <v>72</v>
      </c>
      <c r="X1443" s="5" t="s">
        <v>72</v>
      </c>
      <c r="Y1443" s="4">
        <v>33</v>
      </c>
      <c r="Z1443" s="4">
        <v>5</v>
      </c>
      <c r="AA1443" s="4">
        <v>8</v>
      </c>
      <c r="AB1443" s="4">
        <v>1</v>
      </c>
      <c r="AC1443" s="4">
        <v>1</v>
      </c>
      <c r="AD1443" s="4">
        <v>22</v>
      </c>
      <c r="AE1443" s="4">
        <v>28</v>
      </c>
      <c r="AF1443" s="4">
        <v>0</v>
      </c>
      <c r="AG1443" s="4">
        <v>0</v>
      </c>
      <c r="AH1443" s="4">
        <v>22</v>
      </c>
      <c r="AI1443" s="4">
        <v>27</v>
      </c>
      <c r="AJ1443" s="4">
        <v>3</v>
      </c>
      <c r="AK1443" s="4">
        <v>5</v>
      </c>
      <c r="AL1443" s="4">
        <v>12</v>
      </c>
      <c r="AM1443" s="4">
        <v>17</v>
      </c>
      <c r="AN1443" s="4">
        <v>0</v>
      </c>
      <c r="AO1443" s="4">
        <v>0</v>
      </c>
      <c r="AP1443" s="4">
        <v>3</v>
      </c>
      <c r="AQ1443" s="4">
        <v>5</v>
      </c>
      <c r="AR1443" s="3" t="s">
        <v>73</v>
      </c>
      <c r="AS1443" s="3" t="s">
        <v>64</v>
      </c>
      <c r="AT1443" s="3" t="s">
        <v>73</v>
      </c>
      <c r="AU1443" s="6" t="str">
        <f>HYPERLINK("http://catalog.hathitrust.org/Record/007908276","HathiTrust Record")</f>
        <v>HathiTrust Record</v>
      </c>
      <c r="AV1443" s="6" t="str">
        <f>HYPERLINK("http://mcgill.on.worldcat.org/oclc/3827089","Catalog Record")</f>
        <v>Catalog Record</v>
      </c>
      <c r="AW1443" s="6" t="str">
        <f>HYPERLINK("http://www.worldcat.org/oclc/3827089","WorldCat Record")</f>
        <v>WorldCat Record</v>
      </c>
      <c r="AX1443" s="3" t="s">
        <v>14951</v>
      </c>
      <c r="AY1443" s="3" t="s">
        <v>14952</v>
      </c>
      <c r="AZ1443" s="3" t="s">
        <v>14953</v>
      </c>
      <c r="BA1443" s="3" t="s">
        <v>14953</v>
      </c>
      <c r="BB1443" s="3" t="s">
        <v>14954</v>
      </c>
      <c r="BC1443" s="3" t="s">
        <v>78</v>
      </c>
      <c r="BD1443" s="3" t="s">
        <v>79</v>
      </c>
      <c r="BF1443" s="3" t="s">
        <v>14954</v>
      </c>
      <c r="BG1443" s="3" t="s">
        <v>14955</v>
      </c>
    </row>
    <row r="1444" spans="1:59" ht="58" x14ac:dyDescent="0.35">
      <c r="A1444" s="2" t="s">
        <v>59</v>
      </c>
      <c r="B1444" s="2" t="s">
        <v>94</v>
      </c>
      <c r="C1444" s="2" t="s">
        <v>14956</v>
      </c>
      <c r="D1444" s="2" t="s">
        <v>14957</v>
      </c>
      <c r="E1444" s="2" t="s">
        <v>14958</v>
      </c>
      <c r="G1444" s="3" t="s">
        <v>64</v>
      </c>
      <c r="I1444" s="3" t="s">
        <v>64</v>
      </c>
      <c r="J1444" s="3" t="s">
        <v>64</v>
      </c>
      <c r="K1444" s="3" t="s">
        <v>65</v>
      </c>
      <c r="L1444" s="2" t="s">
        <v>14959</v>
      </c>
      <c r="M1444" s="2" t="s">
        <v>14960</v>
      </c>
      <c r="N1444" s="3" t="s">
        <v>328</v>
      </c>
      <c r="P1444" s="3" t="s">
        <v>69</v>
      </c>
      <c r="R1444" s="3" t="s">
        <v>9228</v>
      </c>
      <c r="S1444" s="4">
        <v>1</v>
      </c>
      <c r="T1444" s="4">
        <v>1</v>
      </c>
      <c r="U1444" s="5" t="s">
        <v>14961</v>
      </c>
      <c r="V1444" s="5" t="s">
        <v>14961</v>
      </c>
      <c r="W1444" s="5" t="s">
        <v>72</v>
      </c>
      <c r="X1444" s="5" t="s">
        <v>72</v>
      </c>
      <c r="Y1444" s="4">
        <v>82</v>
      </c>
      <c r="Z1444" s="4">
        <v>9</v>
      </c>
      <c r="AA1444" s="4">
        <v>9</v>
      </c>
      <c r="AB1444" s="4">
        <v>1</v>
      </c>
      <c r="AC1444" s="4">
        <v>1</v>
      </c>
      <c r="AD1444" s="4">
        <v>38</v>
      </c>
      <c r="AE1444" s="4">
        <v>39</v>
      </c>
      <c r="AF1444" s="4">
        <v>0</v>
      </c>
      <c r="AG1444" s="4">
        <v>0</v>
      </c>
      <c r="AH1444" s="4">
        <v>36</v>
      </c>
      <c r="AI1444" s="4">
        <v>37</v>
      </c>
      <c r="AJ1444" s="4">
        <v>7</v>
      </c>
      <c r="AK1444" s="4">
        <v>7</v>
      </c>
      <c r="AL1444" s="4">
        <v>25</v>
      </c>
      <c r="AM1444" s="4">
        <v>26</v>
      </c>
      <c r="AN1444" s="4">
        <v>0</v>
      </c>
      <c r="AO1444" s="4">
        <v>0</v>
      </c>
      <c r="AP1444" s="4">
        <v>7</v>
      </c>
      <c r="AQ1444" s="4">
        <v>7</v>
      </c>
      <c r="AR1444" s="3" t="s">
        <v>64</v>
      </c>
      <c r="AS1444" s="3" t="s">
        <v>64</v>
      </c>
      <c r="AT1444" s="3" t="s">
        <v>64</v>
      </c>
      <c r="AV1444" s="6" t="str">
        <f>HYPERLINK("http://mcgill.on.worldcat.org/oclc/757839092","Catalog Record")</f>
        <v>Catalog Record</v>
      </c>
      <c r="AW1444" s="6" t="str">
        <f>HYPERLINK("http://www.worldcat.org/oclc/757839092","WorldCat Record")</f>
        <v>WorldCat Record</v>
      </c>
      <c r="AX1444" s="3" t="s">
        <v>14962</v>
      </c>
      <c r="AY1444" s="3" t="s">
        <v>14963</v>
      </c>
      <c r="AZ1444" s="3" t="s">
        <v>14964</v>
      </c>
      <c r="BA1444" s="3" t="s">
        <v>14964</v>
      </c>
      <c r="BB1444" s="3" t="s">
        <v>14965</v>
      </c>
      <c r="BC1444" s="3" t="s">
        <v>78</v>
      </c>
      <c r="BD1444" s="3" t="s">
        <v>79</v>
      </c>
      <c r="BE1444" s="3" t="s">
        <v>14966</v>
      </c>
      <c r="BF1444" s="3" t="s">
        <v>14965</v>
      </c>
      <c r="BG1444" s="3" t="s">
        <v>14967</v>
      </c>
    </row>
    <row r="1445" spans="1:59" ht="58" x14ac:dyDescent="0.35">
      <c r="A1445" s="2" t="s">
        <v>59</v>
      </c>
      <c r="B1445" s="2" t="s">
        <v>94</v>
      </c>
      <c r="C1445" s="2" t="s">
        <v>14968</v>
      </c>
      <c r="D1445" s="2" t="s">
        <v>14969</v>
      </c>
      <c r="E1445" s="2" t="s">
        <v>14970</v>
      </c>
      <c r="G1445" s="3" t="s">
        <v>64</v>
      </c>
      <c r="I1445" s="3" t="s">
        <v>64</v>
      </c>
      <c r="J1445" s="3" t="s">
        <v>64</v>
      </c>
      <c r="K1445" s="3" t="s">
        <v>65</v>
      </c>
      <c r="M1445" s="2" t="s">
        <v>14971</v>
      </c>
      <c r="N1445" s="3" t="s">
        <v>340</v>
      </c>
      <c r="P1445" s="3" t="s">
        <v>69</v>
      </c>
      <c r="R1445" s="3" t="s">
        <v>9228</v>
      </c>
      <c r="S1445" s="4">
        <v>6</v>
      </c>
      <c r="T1445" s="4">
        <v>6</v>
      </c>
      <c r="U1445" s="5" t="s">
        <v>4927</v>
      </c>
      <c r="V1445" s="5" t="s">
        <v>4927</v>
      </c>
      <c r="W1445" s="5" t="s">
        <v>72</v>
      </c>
      <c r="X1445" s="5" t="s">
        <v>72</v>
      </c>
      <c r="Y1445" s="4">
        <v>355</v>
      </c>
      <c r="Z1445" s="4">
        <v>17</v>
      </c>
      <c r="AA1445" s="4">
        <v>23</v>
      </c>
      <c r="AB1445" s="4">
        <v>1</v>
      </c>
      <c r="AC1445" s="4">
        <v>4</v>
      </c>
      <c r="AD1445" s="4">
        <v>92</v>
      </c>
      <c r="AE1445" s="4">
        <v>105</v>
      </c>
      <c r="AF1445" s="4">
        <v>0</v>
      </c>
      <c r="AG1445" s="4">
        <v>1</v>
      </c>
      <c r="AH1445" s="4">
        <v>84</v>
      </c>
      <c r="AI1445" s="4">
        <v>96</v>
      </c>
      <c r="AJ1445" s="4">
        <v>11</v>
      </c>
      <c r="AK1445" s="4">
        <v>13</v>
      </c>
      <c r="AL1445" s="4">
        <v>50</v>
      </c>
      <c r="AM1445" s="4">
        <v>53</v>
      </c>
      <c r="AN1445" s="4">
        <v>0</v>
      </c>
      <c r="AO1445" s="4">
        <v>0</v>
      </c>
      <c r="AP1445" s="4">
        <v>13</v>
      </c>
      <c r="AQ1445" s="4">
        <v>14</v>
      </c>
      <c r="AR1445" s="3" t="s">
        <v>64</v>
      </c>
      <c r="AS1445" s="3" t="s">
        <v>64</v>
      </c>
      <c r="AT1445" s="3" t="s">
        <v>64</v>
      </c>
      <c r="AV1445" s="6" t="str">
        <f>HYPERLINK("http://mcgill.on.worldcat.org/oclc/38739016","Catalog Record")</f>
        <v>Catalog Record</v>
      </c>
      <c r="AW1445" s="6" t="str">
        <f>HYPERLINK("http://www.worldcat.org/oclc/38739016","WorldCat Record")</f>
        <v>WorldCat Record</v>
      </c>
      <c r="AX1445" s="3" t="s">
        <v>14972</v>
      </c>
      <c r="AY1445" s="3" t="s">
        <v>14973</v>
      </c>
      <c r="AZ1445" s="3" t="s">
        <v>14974</v>
      </c>
      <c r="BA1445" s="3" t="s">
        <v>14974</v>
      </c>
      <c r="BB1445" s="3" t="s">
        <v>14975</v>
      </c>
      <c r="BC1445" s="3" t="s">
        <v>78</v>
      </c>
      <c r="BD1445" s="3" t="s">
        <v>79</v>
      </c>
      <c r="BE1445" s="3" t="s">
        <v>14976</v>
      </c>
      <c r="BF1445" s="3" t="s">
        <v>14975</v>
      </c>
      <c r="BG1445" s="3" t="s">
        <v>14977</v>
      </c>
    </row>
    <row r="1446" spans="1:59" ht="58" x14ac:dyDescent="0.35">
      <c r="A1446" s="2" t="s">
        <v>59</v>
      </c>
      <c r="B1446" s="2" t="s">
        <v>94</v>
      </c>
      <c r="C1446" s="2" t="s">
        <v>14978</v>
      </c>
      <c r="D1446" s="2" t="s">
        <v>14979</v>
      </c>
      <c r="E1446" s="2" t="s">
        <v>14980</v>
      </c>
      <c r="G1446" s="3" t="s">
        <v>64</v>
      </c>
      <c r="I1446" s="3" t="s">
        <v>64</v>
      </c>
      <c r="J1446" s="3" t="s">
        <v>64</v>
      </c>
      <c r="K1446" s="3" t="s">
        <v>65</v>
      </c>
      <c r="M1446" s="2" t="s">
        <v>14981</v>
      </c>
      <c r="N1446" s="3" t="s">
        <v>87</v>
      </c>
      <c r="P1446" s="3" t="s">
        <v>69</v>
      </c>
      <c r="R1446" s="3" t="s">
        <v>9228</v>
      </c>
      <c r="S1446" s="4">
        <v>0</v>
      </c>
      <c r="T1446" s="4">
        <v>0</v>
      </c>
      <c r="W1446" s="5" t="s">
        <v>72</v>
      </c>
      <c r="X1446" s="5" t="s">
        <v>72</v>
      </c>
      <c r="Y1446" s="4">
        <v>21</v>
      </c>
      <c r="Z1446" s="4">
        <v>9</v>
      </c>
      <c r="AA1446" s="4">
        <v>111</v>
      </c>
      <c r="AB1446" s="4">
        <v>1</v>
      </c>
      <c r="AC1446" s="4">
        <v>16</v>
      </c>
      <c r="AD1446" s="4">
        <v>10</v>
      </c>
      <c r="AE1446" s="4">
        <v>93</v>
      </c>
      <c r="AF1446" s="4">
        <v>0</v>
      </c>
      <c r="AG1446" s="4">
        <v>8</v>
      </c>
      <c r="AH1446" s="4">
        <v>7</v>
      </c>
      <c r="AI1446" s="4">
        <v>51</v>
      </c>
      <c r="AJ1446" s="4">
        <v>3</v>
      </c>
      <c r="AK1446" s="4">
        <v>23</v>
      </c>
      <c r="AL1446" s="4">
        <v>5</v>
      </c>
      <c r="AM1446" s="4">
        <v>25</v>
      </c>
      <c r="AN1446" s="4">
        <v>0</v>
      </c>
      <c r="AO1446" s="4">
        <v>0</v>
      </c>
      <c r="AP1446" s="4">
        <v>4</v>
      </c>
      <c r="AQ1446" s="4">
        <v>47</v>
      </c>
      <c r="AR1446" s="3" t="s">
        <v>64</v>
      </c>
      <c r="AS1446" s="3" t="s">
        <v>64</v>
      </c>
      <c r="AT1446" s="3" t="s">
        <v>64</v>
      </c>
      <c r="AV1446" s="6" t="str">
        <f>HYPERLINK("http://mcgill.on.worldcat.org/oclc/937391851","Catalog Record")</f>
        <v>Catalog Record</v>
      </c>
      <c r="AW1446" s="6" t="str">
        <f>HYPERLINK("http://www.worldcat.org/oclc/937391851","WorldCat Record")</f>
        <v>WorldCat Record</v>
      </c>
      <c r="AX1446" s="3" t="s">
        <v>14982</v>
      </c>
      <c r="AY1446" s="3" t="s">
        <v>14983</v>
      </c>
      <c r="AZ1446" s="3" t="s">
        <v>14984</v>
      </c>
      <c r="BA1446" s="3" t="s">
        <v>14984</v>
      </c>
      <c r="BB1446" s="3" t="s">
        <v>14985</v>
      </c>
      <c r="BC1446" s="3" t="s">
        <v>78</v>
      </c>
      <c r="BD1446" s="3" t="s">
        <v>79</v>
      </c>
      <c r="BE1446" s="3" t="s">
        <v>14986</v>
      </c>
      <c r="BF1446" s="3" t="s">
        <v>14985</v>
      </c>
      <c r="BG1446" s="3" t="s">
        <v>14987</v>
      </c>
    </row>
    <row r="1447" spans="1:59" ht="58" x14ac:dyDescent="0.35">
      <c r="A1447" s="2" t="s">
        <v>59</v>
      </c>
      <c r="B1447" s="2" t="s">
        <v>94</v>
      </c>
      <c r="C1447" s="2" t="s">
        <v>14988</v>
      </c>
      <c r="D1447" s="2" t="s">
        <v>14989</v>
      </c>
      <c r="E1447" s="2" t="s">
        <v>14990</v>
      </c>
      <c r="G1447" s="3" t="s">
        <v>64</v>
      </c>
      <c r="I1447" s="3" t="s">
        <v>64</v>
      </c>
      <c r="J1447" s="3" t="s">
        <v>64</v>
      </c>
      <c r="K1447" s="3" t="s">
        <v>65</v>
      </c>
      <c r="L1447" s="2" t="s">
        <v>14991</v>
      </c>
      <c r="M1447" s="2" t="s">
        <v>14992</v>
      </c>
      <c r="N1447" s="3" t="s">
        <v>1029</v>
      </c>
      <c r="P1447" s="3" t="s">
        <v>69</v>
      </c>
      <c r="Q1447" s="2" t="s">
        <v>14993</v>
      </c>
      <c r="R1447" s="3" t="s">
        <v>9228</v>
      </c>
      <c r="S1447" s="4">
        <v>9</v>
      </c>
      <c r="T1447" s="4">
        <v>9</v>
      </c>
      <c r="U1447" s="5" t="s">
        <v>3690</v>
      </c>
      <c r="V1447" s="5" t="s">
        <v>3690</v>
      </c>
      <c r="W1447" s="5" t="s">
        <v>72</v>
      </c>
      <c r="X1447" s="5" t="s">
        <v>72</v>
      </c>
      <c r="Y1447" s="4">
        <v>86</v>
      </c>
      <c r="Z1447" s="4">
        <v>4</v>
      </c>
      <c r="AA1447" s="4">
        <v>20</v>
      </c>
      <c r="AB1447" s="4">
        <v>2</v>
      </c>
      <c r="AC1447" s="4">
        <v>5</v>
      </c>
      <c r="AD1447" s="4">
        <v>11</v>
      </c>
      <c r="AE1447" s="4">
        <v>76</v>
      </c>
      <c r="AF1447" s="4">
        <v>0</v>
      </c>
      <c r="AG1447" s="4">
        <v>1</v>
      </c>
      <c r="AH1447" s="4">
        <v>10</v>
      </c>
      <c r="AI1447" s="4">
        <v>70</v>
      </c>
      <c r="AJ1447" s="4">
        <v>2</v>
      </c>
      <c r="AK1447" s="4">
        <v>9</v>
      </c>
      <c r="AL1447" s="4">
        <v>7</v>
      </c>
      <c r="AM1447" s="4">
        <v>41</v>
      </c>
      <c r="AN1447" s="4">
        <v>0</v>
      </c>
      <c r="AO1447" s="4">
        <v>0</v>
      </c>
      <c r="AP1447" s="4">
        <v>2</v>
      </c>
      <c r="AQ1447" s="4">
        <v>12</v>
      </c>
      <c r="AR1447" s="3" t="s">
        <v>64</v>
      </c>
      <c r="AS1447" s="3" t="s">
        <v>64</v>
      </c>
      <c r="AT1447" s="3" t="s">
        <v>64</v>
      </c>
      <c r="AV1447" s="6" t="str">
        <f>HYPERLINK("http://mcgill.on.worldcat.org/oclc/436241376","Catalog Record")</f>
        <v>Catalog Record</v>
      </c>
      <c r="AW1447" s="6" t="str">
        <f>HYPERLINK("http://www.worldcat.org/oclc/436241376","WorldCat Record")</f>
        <v>WorldCat Record</v>
      </c>
      <c r="AX1447" s="3" t="s">
        <v>14994</v>
      </c>
      <c r="AY1447" s="3" t="s">
        <v>14995</v>
      </c>
      <c r="AZ1447" s="3" t="s">
        <v>14996</v>
      </c>
      <c r="BA1447" s="3" t="s">
        <v>14996</v>
      </c>
      <c r="BB1447" s="3" t="s">
        <v>14997</v>
      </c>
      <c r="BC1447" s="3" t="s">
        <v>78</v>
      </c>
      <c r="BD1447" s="3" t="s">
        <v>79</v>
      </c>
      <c r="BE1447" s="3" t="s">
        <v>14998</v>
      </c>
      <c r="BF1447" s="3" t="s">
        <v>14997</v>
      </c>
      <c r="BG1447" s="3" t="s">
        <v>14999</v>
      </c>
    </row>
    <row r="1448" spans="1:59" ht="58" x14ac:dyDescent="0.35">
      <c r="A1448" s="2" t="s">
        <v>59</v>
      </c>
      <c r="B1448" s="2" t="s">
        <v>94</v>
      </c>
      <c r="C1448" s="2" t="s">
        <v>15000</v>
      </c>
      <c r="D1448" s="2" t="s">
        <v>15001</v>
      </c>
      <c r="E1448" s="2" t="s">
        <v>15002</v>
      </c>
      <c r="G1448" s="3" t="s">
        <v>64</v>
      </c>
      <c r="I1448" s="3" t="s">
        <v>64</v>
      </c>
      <c r="J1448" s="3" t="s">
        <v>64</v>
      </c>
      <c r="K1448" s="3" t="s">
        <v>65</v>
      </c>
      <c r="M1448" s="2" t="s">
        <v>15003</v>
      </c>
      <c r="N1448" s="3" t="s">
        <v>1320</v>
      </c>
      <c r="P1448" s="3" t="s">
        <v>69</v>
      </c>
      <c r="R1448" s="3" t="s">
        <v>9228</v>
      </c>
      <c r="S1448" s="4">
        <v>3</v>
      </c>
      <c r="T1448" s="4">
        <v>3</v>
      </c>
      <c r="U1448" s="5" t="s">
        <v>15004</v>
      </c>
      <c r="V1448" s="5" t="s">
        <v>15004</v>
      </c>
      <c r="W1448" s="5" t="s">
        <v>72</v>
      </c>
      <c r="X1448" s="5" t="s">
        <v>72</v>
      </c>
      <c r="Y1448" s="4">
        <v>149</v>
      </c>
      <c r="Z1448" s="4">
        <v>11</v>
      </c>
      <c r="AA1448" s="4">
        <v>15</v>
      </c>
      <c r="AB1448" s="4">
        <v>1</v>
      </c>
      <c r="AC1448" s="4">
        <v>4</v>
      </c>
      <c r="AD1448" s="4">
        <v>74</v>
      </c>
      <c r="AE1448" s="4">
        <v>76</v>
      </c>
      <c r="AF1448" s="4">
        <v>0</v>
      </c>
      <c r="AG1448" s="4">
        <v>0</v>
      </c>
      <c r="AH1448" s="4">
        <v>67</v>
      </c>
      <c r="AI1448" s="4">
        <v>69</v>
      </c>
      <c r="AJ1448" s="4">
        <v>7</v>
      </c>
      <c r="AK1448" s="4">
        <v>8</v>
      </c>
      <c r="AL1448" s="4">
        <v>42</v>
      </c>
      <c r="AM1448" s="4">
        <v>42</v>
      </c>
      <c r="AN1448" s="4">
        <v>0</v>
      </c>
      <c r="AO1448" s="4">
        <v>0</v>
      </c>
      <c r="AP1448" s="4">
        <v>7</v>
      </c>
      <c r="AQ1448" s="4">
        <v>8</v>
      </c>
      <c r="AR1448" s="3" t="s">
        <v>64</v>
      </c>
      <c r="AS1448" s="3" t="s">
        <v>64</v>
      </c>
      <c r="AT1448" s="3" t="s">
        <v>73</v>
      </c>
      <c r="AU1448" s="6" t="str">
        <f>HYPERLINK("http://catalog.hathitrust.org/Record/002982472","HathiTrust Record")</f>
        <v>HathiTrust Record</v>
      </c>
      <c r="AV1448" s="6" t="str">
        <f>HYPERLINK("http://mcgill.on.worldcat.org/oclc/32625535","Catalog Record")</f>
        <v>Catalog Record</v>
      </c>
      <c r="AW1448" s="6" t="str">
        <f>HYPERLINK("http://www.worldcat.org/oclc/32625535","WorldCat Record")</f>
        <v>WorldCat Record</v>
      </c>
      <c r="AX1448" s="3" t="s">
        <v>15005</v>
      </c>
      <c r="AY1448" s="3" t="s">
        <v>15006</v>
      </c>
      <c r="AZ1448" s="3" t="s">
        <v>15007</v>
      </c>
      <c r="BA1448" s="3" t="s">
        <v>15007</v>
      </c>
      <c r="BB1448" s="3" t="s">
        <v>15008</v>
      </c>
      <c r="BC1448" s="3" t="s">
        <v>78</v>
      </c>
      <c r="BD1448" s="3" t="s">
        <v>79</v>
      </c>
      <c r="BE1448" s="3" t="s">
        <v>15009</v>
      </c>
      <c r="BF1448" s="3" t="s">
        <v>15008</v>
      </c>
      <c r="BG1448" s="3" t="s">
        <v>15010</v>
      </c>
    </row>
    <row r="1449" spans="1:59" ht="72.5" x14ac:dyDescent="0.35">
      <c r="A1449" s="2" t="s">
        <v>59</v>
      </c>
      <c r="B1449" s="2" t="s">
        <v>94</v>
      </c>
      <c r="C1449" s="2" t="s">
        <v>15011</v>
      </c>
      <c r="D1449" s="2" t="s">
        <v>15012</v>
      </c>
      <c r="E1449" s="2" t="s">
        <v>15013</v>
      </c>
      <c r="G1449" s="3" t="s">
        <v>64</v>
      </c>
      <c r="I1449" s="3" t="s">
        <v>64</v>
      </c>
      <c r="J1449" s="3" t="s">
        <v>64</v>
      </c>
      <c r="K1449" s="3" t="s">
        <v>65</v>
      </c>
      <c r="M1449" s="2" t="s">
        <v>15014</v>
      </c>
      <c r="N1449" s="3" t="s">
        <v>390</v>
      </c>
      <c r="P1449" s="3" t="s">
        <v>69</v>
      </c>
      <c r="R1449" s="3" t="s">
        <v>9228</v>
      </c>
      <c r="S1449" s="4">
        <v>3</v>
      </c>
      <c r="T1449" s="4">
        <v>3</v>
      </c>
      <c r="U1449" s="5" t="s">
        <v>15004</v>
      </c>
      <c r="V1449" s="5" t="s">
        <v>15004</v>
      </c>
      <c r="W1449" s="5" t="s">
        <v>72</v>
      </c>
      <c r="X1449" s="5" t="s">
        <v>72</v>
      </c>
      <c r="Y1449" s="4">
        <v>57</v>
      </c>
      <c r="Z1449" s="4">
        <v>10</v>
      </c>
      <c r="AA1449" s="4">
        <v>10</v>
      </c>
      <c r="AB1449" s="4">
        <v>3</v>
      </c>
      <c r="AC1449" s="4">
        <v>3</v>
      </c>
      <c r="AD1449" s="4">
        <v>35</v>
      </c>
      <c r="AE1449" s="4">
        <v>35</v>
      </c>
      <c r="AF1449" s="4">
        <v>1</v>
      </c>
      <c r="AG1449" s="4">
        <v>1</v>
      </c>
      <c r="AH1449" s="4">
        <v>32</v>
      </c>
      <c r="AI1449" s="4">
        <v>32</v>
      </c>
      <c r="AJ1449" s="4">
        <v>7</v>
      </c>
      <c r="AK1449" s="4">
        <v>7</v>
      </c>
      <c r="AL1449" s="4">
        <v>23</v>
      </c>
      <c r="AM1449" s="4">
        <v>23</v>
      </c>
      <c r="AN1449" s="4">
        <v>1</v>
      </c>
      <c r="AO1449" s="4">
        <v>1</v>
      </c>
      <c r="AP1449" s="4">
        <v>6</v>
      </c>
      <c r="AQ1449" s="4">
        <v>6</v>
      </c>
      <c r="AR1449" s="3" t="s">
        <v>64</v>
      </c>
      <c r="AS1449" s="3" t="s">
        <v>64</v>
      </c>
      <c r="AT1449" s="3" t="s">
        <v>73</v>
      </c>
      <c r="AU1449" s="6" t="str">
        <f>HYPERLINK("http://catalog.hathitrust.org/Record/000305055","HathiTrust Record")</f>
        <v>HathiTrust Record</v>
      </c>
      <c r="AV1449" s="6" t="str">
        <f>HYPERLINK("http://mcgill.on.worldcat.org/oclc/7975965","Catalog Record")</f>
        <v>Catalog Record</v>
      </c>
      <c r="AW1449" s="6" t="str">
        <f>HYPERLINK("http://www.worldcat.org/oclc/7975965","WorldCat Record")</f>
        <v>WorldCat Record</v>
      </c>
      <c r="AX1449" s="3" t="s">
        <v>15015</v>
      </c>
      <c r="AY1449" s="3" t="s">
        <v>15016</v>
      </c>
      <c r="AZ1449" s="3" t="s">
        <v>15017</v>
      </c>
      <c r="BA1449" s="3" t="s">
        <v>15017</v>
      </c>
      <c r="BB1449" s="3" t="s">
        <v>15018</v>
      </c>
      <c r="BC1449" s="3" t="s">
        <v>78</v>
      </c>
      <c r="BD1449" s="3" t="s">
        <v>79</v>
      </c>
      <c r="BF1449" s="3" t="s">
        <v>15018</v>
      </c>
      <c r="BG1449" s="3" t="s">
        <v>15019</v>
      </c>
    </row>
    <row r="1450" spans="1:59" ht="58" x14ac:dyDescent="0.35">
      <c r="A1450" s="2" t="s">
        <v>59</v>
      </c>
      <c r="B1450" s="2" t="s">
        <v>94</v>
      </c>
      <c r="C1450" s="2" t="s">
        <v>15020</v>
      </c>
      <c r="D1450" s="2" t="s">
        <v>15021</v>
      </c>
      <c r="E1450" s="2" t="s">
        <v>15022</v>
      </c>
      <c r="G1450" s="3" t="s">
        <v>64</v>
      </c>
      <c r="I1450" s="3" t="s">
        <v>64</v>
      </c>
      <c r="J1450" s="3" t="s">
        <v>64</v>
      </c>
      <c r="K1450" s="3" t="s">
        <v>65</v>
      </c>
      <c r="M1450" s="2" t="s">
        <v>15023</v>
      </c>
      <c r="N1450" s="3" t="s">
        <v>651</v>
      </c>
      <c r="P1450" s="3" t="s">
        <v>69</v>
      </c>
      <c r="R1450" s="3" t="s">
        <v>9228</v>
      </c>
      <c r="S1450" s="4">
        <v>10</v>
      </c>
      <c r="T1450" s="4">
        <v>10</v>
      </c>
      <c r="U1450" s="5" t="s">
        <v>15024</v>
      </c>
      <c r="V1450" s="5" t="s">
        <v>15024</v>
      </c>
      <c r="W1450" s="5" t="s">
        <v>72</v>
      </c>
      <c r="X1450" s="5" t="s">
        <v>72</v>
      </c>
      <c r="Y1450" s="4">
        <v>210</v>
      </c>
      <c r="Z1450" s="4">
        <v>5</v>
      </c>
      <c r="AA1450" s="4">
        <v>113</v>
      </c>
      <c r="AB1450" s="4">
        <v>2</v>
      </c>
      <c r="AC1450" s="4">
        <v>20</v>
      </c>
      <c r="AD1450" s="4">
        <v>79</v>
      </c>
      <c r="AE1450" s="4">
        <v>151</v>
      </c>
      <c r="AF1450" s="4">
        <v>1</v>
      </c>
      <c r="AG1450" s="4">
        <v>8</v>
      </c>
      <c r="AH1450" s="4">
        <v>76</v>
      </c>
      <c r="AI1450" s="4">
        <v>110</v>
      </c>
      <c r="AJ1450" s="4">
        <v>3</v>
      </c>
      <c r="AK1450" s="4">
        <v>26</v>
      </c>
      <c r="AL1450" s="4">
        <v>44</v>
      </c>
      <c r="AM1450" s="4">
        <v>57</v>
      </c>
      <c r="AN1450" s="4">
        <v>0</v>
      </c>
      <c r="AO1450" s="4">
        <v>0</v>
      </c>
      <c r="AP1450" s="4">
        <v>3</v>
      </c>
      <c r="AQ1450" s="4">
        <v>49</v>
      </c>
      <c r="AR1450" s="3" t="s">
        <v>64</v>
      </c>
      <c r="AS1450" s="3" t="s">
        <v>64</v>
      </c>
      <c r="AT1450" s="3" t="s">
        <v>64</v>
      </c>
      <c r="AV1450" s="6" t="str">
        <f>HYPERLINK("http://mcgill.on.worldcat.org/oclc/51913560","Catalog Record")</f>
        <v>Catalog Record</v>
      </c>
      <c r="AW1450" s="6" t="str">
        <f>HYPERLINK("http://www.worldcat.org/oclc/51913560","WorldCat Record")</f>
        <v>WorldCat Record</v>
      </c>
      <c r="AX1450" s="3" t="s">
        <v>15025</v>
      </c>
      <c r="AY1450" s="3" t="s">
        <v>15026</v>
      </c>
      <c r="AZ1450" s="3" t="s">
        <v>15027</v>
      </c>
      <c r="BA1450" s="3" t="s">
        <v>15027</v>
      </c>
      <c r="BB1450" s="3" t="s">
        <v>15028</v>
      </c>
      <c r="BC1450" s="3" t="s">
        <v>78</v>
      </c>
      <c r="BD1450" s="3" t="s">
        <v>79</v>
      </c>
      <c r="BE1450" s="3" t="s">
        <v>15029</v>
      </c>
      <c r="BF1450" s="3" t="s">
        <v>15028</v>
      </c>
      <c r="BG1450" s="3" t="s">
        <v>15030</v>
      </c>
    </row>
    <row r="1451" spans="1:59" ht="58" x14ac:dyDescent="0.35">
      <c r="A1451" s="2" t="s">
        <v>59</v>
      </c>
      <c r="B1451" s="2" t="s">
        <v>94</v>
      </c>
      <c r="C1451" s="2" t="s">
        <v>15031</v>
      </c>
      <c r="D1451" s="2" t="s">
        <v>15032</v>
      </c>
      <c r="E1451" s="2" t="s">
        <v>15033</v>
      </c>
      <c r="F1451" s="3" t="s">
        <v>388</v>
      </c>
      <c r="G1451" s="3" t="s">
        <v>73</v>
      </c>
      <c r="I1451" s="3" t="s">
        <v>64</v>
      </c>
      <c r="J1451" s="3" t="s">
        <v>64</v>
      </c>
      <c r="K1451" s="3" t="s">
        <v>65</v>
      </c>
      <c r="L1451" s="2" t="s">
        <v>15034</v>
      </c>
      <c r="M1451" s="2" t="s">
        <v>15035</v>
      </c>
      <c r="N1451" s="3" t="s">
        <v>175</v>
      </c>
      <c r="P1451" s="3" t="s">
        <v>69</v>
      </c>
      <c r="Q1451" s="2" t="s">
        <v>15036</v>
      </c>
      <c r="R1451" s="3" t="s">
        <v>9228</v>
      </c>
      <c r="S1451" s="4">
        <v>0</v>
      </c>
      <c r="T1451" s="4">
        <v>0</v>
      </c>
      <c r="W1451" s="5" t="s">
        <v>72</v>
      </c>
      <c r="X1451" s="5" t="s">
        <v>72</v>
      </c>
      <c r="Y1451" s="4">
        <v>31</v>
      </c>
      <c r="Z1451" s="4">
        <v>4</v>
      </c>
      <c r="AA1451" s="4">
        <v>7</v>
      </c>
      <c r="AB1451" s="4">
        <v>1</v>
      </c>
      <c r="AC1451" s="4">
        <v>3</v>
      </c>
      <c r="AD1451" s="4">
        <v>11</v>
      </c>
      <c r="AE1451" s="4">
        <v>13</v>
      </c>
      <c r="AF1451" s="4">
        <v>0</v>
      </c>
      <c r="AG1451" s="4">
        <v>0</v>
      </c>
      <c r="AH1451" s="4">
        <v>10</v>
      </c>
      <c r="AI1451" s="4">
        <v>12</v>
      </c>
      <c r="AJ1451" s="4">
        <v>2</v>
      </c>
      <c r="AK1451" s="4">
        <v>2</v>
      </c>
      <c r="AL1451" s="4">
        <v>6</v>
      </c>
      <c r="AM1451" s="4">
        <v>8</v>
      </c>
      <c r="AN1451" s="4">
        <v>0</v>
      </c>
      <c r="AO1451" s="4">
        <v>0</v>
      </c>
      <c r="AP1451" s="4">
        <v>2</v>
      </c>
      <c r="AQ1451" s="4">
        <v>2</v>
      </c>
      <c r="AR1451" s="3" t="s">
        <v>64</v>
      </c>
      <c r="AS1451" s="3" t="s">
        <v>64</v>
      </c>
      <c r="AT1451" s="3" t="s">
        <v>64</v>
      </c>
      <c r="AV1451" s="6" t="str">
        <f>HYPERLINK("http://mcgill.on.worldcat.org/oclc/884738528","Catalog Record")</f>
        <v>Catalog Record</v>
      </c>
      <c r="AW1451" s="6" t="str">
        <f>HYPERLINK("http://www.worldcat.org/oclc/884738528","WorldCat Record")</f>
        <v>WorldCat Record</v>
      </c>
      <c r="AX1451" s="3" t="s">
        <v>15037</v>
      </c>
      <c r="AY1451" s="3" t="s">
        <v>15038</v>
      </c>
      <c r="AZ1451" s="3" t="s">
        <v>15039</v>
      </c>
      <c r="BA1451" s="3" t="s">
        <v>15039</v>
      </c>
      <c r="BB1451" s="3" t="s">
        <v>15040</v>
      </c>
      <c r="BC1451" s="3" t="s">
        <v>78</v>
      </c>
      <c r="BD1451" s="3" t="s">
        <v>79</v>
      </c>
      <c r="BE1451" s="3" t="s">
        <v>15041</v>
      </c>
      <c r="BF1451" s="3" t="s">
        <v>15040</v>
      </c>
      <c r="BG1451" s="3" t="s">
        <v>15042</v>
      </c>
    </row>
    <row r="1452" spans="1:59" ht="58" x14ac:dyDescent="0.35">
      <c r="A1452" s="2" t="s">
        <v>59</v>
      </c>
      <c r="B1452" s="2" t="s">
        <v>94</v>
      </c>
      <c r="C1452" s="2" t="s">
        <v>15031</v>
      </c>
      <c r="D1452" s="2" t="s">
        <v>15032</v>
      </c>
      <c r="E1452" s="2" t="s">
        <v>15033</v>
      </c>
      <c r="F1452" s="3" t="s">
        <v>3660</v>
      </c>
      <c r="G1452" s="3" t="s">
        <v>73</v>
      </c>
      <c r="I1452" s="3" t="s">
        <v>64</v>
      </c>
      <c r="J1452" s="3" t="s">
        <v>64</v>
      </c>
      <c r="K1452" s="3" t="s">
        <v>65</v>
      </c>
      <c r="L1452" s="2" t="s">
        <v>15034</v>
      </c>
      <c r="M1452" s="2" t="s">
        <v>15035</v>
      </c>
      <c r="N1452" s="3" t="s">
        <v>175</v>
      </c>
      <c r="P1452" s="3" t="s">
        <v>69</v>
      </c>
      <c r="Q1452" s="2" t="s">
        <v>15036</v>
      </c>
      <c r="R1452" s="3" t="s">
        <v>9228</v>
      </c>
      <c r="S1452" s="4">
        <v>0</v>
      </c>
      <c r="T1452" s="4">
        <v>0</v>
      </c>
      <c r="W1452" s="5" t="s">
        <v>72</v>
      </c>
      <c r="X1452" s="5" t="s">
        <v>72</v>
      </c>
      <c r="Y1452" s="4">
        <v>31</v>
      </c>
      <c r="Z1452" s="4">
        <v>4</v>
      </c>
      <c r="AA1452" s="4">
        <v>7</v>
      </c>
      <c r="AB1452" s="4">
        <v>1</v>
      </c>
      <c r="AC1452" s="4">
        <v>3</v>
      </c>
      <c r="AD1452" s="4">
        <v>11</v>
      </c>
      <c r="AE1452" s="4">
        <v>13</v>
      </c>
      <c r="AF1452" s="4">
        <v>0</v>
      </c>
      <c r="AG1452" s="4">
        <v>0</v>
      </c>
      <c r="AH1452" s="4">
        <v>10</v>
      </c>
      <c r="AI1452" s="4">
        <v>12</v>
      </c>
      <c r="AJ1452" s="4">
        <v>2</v>
      </c>
      <c r="AK1452" s="4">
        <v>2</v>
      </c>
      <c r="AL1452" s="4">
        <v>6</v>
      </c>
      <c r="AM1452" s="4">
        <v>8</v>
      </c>
      <c r="AN1452" s="4">
        <v>0</v>
      </c>
      <c r="AO1452" s="4">
        <v>0</v>
      </c>
      <c r="AP1452" s="4">
        <v>2</v>
      </c>
      <c r="AQ1452" s="4">
        <v>2</v>
      </c>
      <c r="AR1452" s="3" t="s">
        <v>64</v>
      </c>
      <c r="AS1452" s="3" t="s">
        <v>64</v>
      </c>
      <c r="AT1452" s="3" t="s">
        <v>64</v>
      </c>
      <c r="AV1452" s="6" t="str">
        <f>HYPERLINK("http://mcgill.on.worldcat.org/oclc/884738528","Catalog Record")</f>
        <v>Catalog Record</v>
      </c>
      <c r="AW1452" s="6" t="str">
        <f>HYPERLINK("http://www.worldcat.org/oclc/884738528","WorldCat Record")</f>
        <v>WorldCat Record</v>
      </c>
      <c r="AX1452" s="3" t="s">
        <v>15037</v>
      </c>
      <c r="AY1452" s="3" t="s">
        <v>15038</v>
      </c>
      <c r="AZ1452" s="3" t="s">
        <v>15039</v>
      </c>
      <c r="BA1452" s="3" t="s">
        <v>15039</v>
      </c>
      <c r="BB1452" s="3" t="s">
        <v>15043</v>
      </c>
      <c r="BC1452" s="3" t="s">
        <v>78</v>
      </c>
      <c r="BD1452" s="3" t="s">
        <v>79</v>
      </c>
      <c r="BE1452" s="3" t="s">
        <v>15041</v>
      </c>
      <c r="BF1452" s="3" t="s">
        <v>15043</v>
      </c>
      <c r="BG1452" s="3" t="s">
        <v>15044</v>
      </c>
    </row>
    <row r="1453" spans="1:59" ht="58" x14ac:dyDescent="0.35">
      <c r="A1453" s="2" t="s">
        <v>59</v>
      </c>
      <c r="B1453" s="2" t="s">
        <v>94</v>
      </c>
      <c r="C1453" s="2" t="s">
        <v>15031</v>
      </c>
      <c r="D1453" s="2" t="s">
        <v>15032</v>
      </c>
      <c r="E1453" s="2" t="s">
        <v>15033</v>
      </c>
      <c r="F1453" s="3" t="s">
        <v>399</v>
      </c>
      <c r="G1453" s="3" t="s">
        <v>73</v>
      </c>
      <c r="I1453" s="3" t="s">
        <v>64</v>
      </c>
      <c r="J1453" s="3" t="s">
        <v>64</v>
      </c>
      <c r="K1453" s="3" t="s">
        <v>65</v>
      </c>
      <c r="L1453" s="2" t="s">
        <v>15034</v>
      </c>
      <c r="M1453" s="2" t="s">
        <v>15035</v>
      </c>
      <c r="N1453" s="3" t="s">
        <v>175</v>
      </c>
      <c r="P1453" s="3" t="s">
        <v>69</v>
      </c>
      <c r="Q1453" s="2" t="s">
        <v>15036</v>
      </c>
      <c r="R1453" s="3" t="s">
        <v>9228</v>
      </c>
      <c r="S1453" s="4">
        <v>0</v>
      </c>
      <c r="T1453" s="4">
        <v>0</v>
      </c>
      <c r="W1453" s="5" t="s">
        <v>72</v>
      </c>
      <c r="X1453" s="5" t="s">
        <v>72</v>
      </c>
      <c r="Y1453" s="4">
        <v>31</v>
      </c>
      <c r="Z1453" s="4">
        <v>4</v>
      </c>
      <c r="AA1453" s="4">
        <v>7</v>
      </c>
      <c r="AB1453" s="4">
        <v>1</v>
      </c>
      <c r="AC1453" s="4">
        <v>3</v>
      </c>
      <c r="AD1453" s="4">
        <v>11</v>
      </c>
      <c r="AE1453" s="4">
        <v>13</v>
      </c>
      <c r="AF1453" s="4">
        <v>0</v>
      </c>
      <c r="AG1453" s="4">
        <v>0</v>
      </c>
      <c r="AH1453" s="4">
        <v>10</v>
      </c>
      <c r="AI1453" s="4">
        <v>12</v>
      </c>
      <c r="AJ1453" s="4">
        <v>2</v>
      </c>
      <c r="AK1453" s="4">
        <v>2</v>
      </c>
      <c r="AL1453" s="4">
        <v>6</v>
      </c>
      <c r="AM1453" s="4">
        <v>8</v>
      </c>
      <c r="AN1453" s="4">
        <v>0</v>
      </c>
      <c r="AO1453" s="4">
        <v>0</v>
      </c>
      <c r="AP1453" s="4">
        <v>2</v>
      </c>
      <c r="AQ1453" s="4">
        <v>2</v>
      </c>
      <c r="AR1453" s="3" t="s">
        <v>64</v>
      </c>
      <c r="AS1453" s="3" t="s">
        <v>64</v>
      </c>
      <c r="AT1453" s="3" t="s">
        <v>64</v>
      </c>
      <c r="AV1453" s="6" t="str">
        <f>HYPERLINK("http://mcgill.on.worldcat.org/oclc/884738528","Catalog Record")</f>
        <v>Catalog Record</v>
      </c>
      <c r="AW1453" s="6" t="str">
        <f>HYPERLINK("http://www.worldcat.org/oclc/884738528","WorldCat Record")</f>
        <v>WorldCat Record</v>
      </c>
      <c r="AX1453" s="3" t="s">
        <v>15037</v>
      </c>
      <c r="AY1453" s="3" t="s">
        <v>15038</v>
      </c>
      <c r="AZ1453" s="3" t="s">
        <v>15039</v>
      </c>
      <c r="BA1453" s="3" t="s">
        <v>15039</v>
      </c>
      <c r="BB1453" s="3" t="s">
        <v>15045</v>
      </c>
      <c r="BC1453" s="3" t="s">
        <v>78</v>
      </c>
      <c r="BD1453" s="3" t="s">
        <v>79</v>
      </c>
      <c r="BE1453" s="3" t="s">
        <v>15041</v>
      </c>
      <c r="BF1453" s="3" t="s">
        <v>15045</v>
      </c>
      <c r="BG1453" s="3" t="s">
        <v>15046</v>
      </c>
    </row>
    <row r="1454" spans="1:59" ht="58" x14ac:dyDescent="0.35">
      <c r="A1454" s="2" t="s">
        <v>59</v>
      </c>
      <c r="B1454" s="2" t="s">
        <v>94</v>
      </c>
      <c r="C1454" s="2" t="s">
        <v>15047</v>
      </c>
      <c r="D1454" s="2" t="s">
        <v>15048</v>
      </c>
      <c r="E1454" s="2" t="s">
        <v>15049</v>
      </c>
      <c r="G1454" s="3" t="s">
        <v>64</v>
      </c>
      <c r="I1454" s="3" t="s">
        <v>64</v>
      </c>
      <c r="J1454" s="3" t="s">
        <v>64</v>
      </c>
      <c r="K1454" s="3" t="s">
        <v>65</v>
      </c>
      <c r="L1454" s="2" t="s">
        <v>15050</v>
      </c>
      <c r="M1454" s="2" t="s">
        <v>15051</v>
      </c>
      <c r="N1454" s="3" t="s">
        <v>499</v>
      </c>
      <c r="P1454" s="3" t="s">
        <v>69</v>
      </c>
      <c r="R1454" s="3" t="s">
        <v>9228</v>
      </c>
      <c r="S1454" s="4">
        <v>1</v>
      </c>
      <c r="T1454" s="4">
        <v>1</v>
      </c>
      <c r="U1454" s="5" t="s">
        <v>15052</v>
      </c>
      <c r="V1454" s="5" t="s">
        <v>15052</v>
      </c>
      <c r="W1454" s="5" t="s">
        <v>72</v>
      </c>
      <c r="X1454" s="5" t="s">
        <v>72</v>
      </c>
      <c r="Y1454" s="4">
        <v>17</v>
      </c>
      <c r="Z1454" s="4">
        <v>3</v>
      </c>
      <c r="AA1454" s="4">
        <v>3</v>
      </c>
      <c r="AB1454" s="4">
        <v>1</v>
      </c>
      <c r="AC1454" s="4">
        <v>1</v>
      </c>
      <c r="AD1454" s="4">
        <v>7</v>
      </c>
      <c r="AE1454" s="4">
        <v>7</v>
      </c>
      <c r="AF1454" s="4">
        <v>0</v>
      </c>
      <c r="AG1454" s="4">
        <v>0</v>
      </c>
      <c r="AH1454" s="4">
        <v>6</v>
      </c>
      <c r="AI1454" s="4">
        <v>6</v>
      </c>
      <c r="AJ1454" s="4">
        <v>2</v>
      </c>
      <c r="AK1454" s="4">
        <v>2</v>
      </c>
      <c r="AL1454" s="4">
        <v>4</v>
      </c>
      <c r="AM1454" s="4">
        <v>4</v>
      </c>
      <c r="AN1454" s="4">
        <v>0</v>
      </c>
      <c r="AO1454" s="4">
        <v>0</v>
      </c>
      <c r="AP1454" s="4">
        <v>2</v>
      </c>
      <c r="AQ1454" s="4">
        <v>2</v>
      </c>
      <c r="AR1454" s="3" t="s">
        <v>64</v>
      </c>
      <c r="AS1454" s="3" t="s">
        <v>64</v>
      </c>
      <c r="AT1454" s="3" t="s">
        <v>64</v>
      </c>
      <c r="AV1454" s="6" t="str">
        <f>HYPERLINK("http://mcgill.on.worldcat.org/oclc/65211039","Catalog Record")</f>
        <v>Catalog Record</v>
      </c>
      <c r="AW1454" s="6" t="str">
        <f>HYPERLINK("http://www.worldcat.org/oclc/65211039","WorldCat Record")</f>
        <v>WorldCat Record</v>
      </c>
      <c r="AX1454" s="3" t="s">
        <v>15053</v>
      </c>
      <c r="AY1454" s="3" t="s">
        <v>15054</v>
      </c>
      <c r="AZ1454" s="3" t="s">
        <v>15055</v>
      </c>
      <c r="BA1454" s="3" t="s">
        <v>15055</v>
      </c>
      <c r="BB1454" s="3" t="s">
        <v>15056</v>
      </c>
      <c r="BC1454" s="3" t="s">
        <v>78</v>
      </c>
      <c r="BD1454" s="3" t="s">
        <v>79</v>
      </c>
      <c r="BE1454" s="3" t="s">
        <v>15057</v>
      </c>
      <c r="BF1454" s="3" t="s">
        <v>15056</v>
      </c>
      <c r="BG1454" s="3" t="s">
        <v>15058</v>
      </c>
    </row>
    <row r="1455" spans="1:59" ht="58" x14ac:dyDescent="0.35">
      <c r="A1455" s="2" t="s">
        <v>59</v>
      </c>
      <c r="B1455" s="2" t="s">
        <v>94</v>
      </c>
      <c r="C1455" s="2" t="s">
        <v>15059</v>
      </c>
      <c r="D1455" s="2" t="s">
        <v>15060</v>
      </c>
      <c r="E1455" s="2" t="s">
        <v>15061</v>
      </c>
      <c r="G1455" s="3" t="s">
        <v>64</v>
      </c>
      <c r="I1455" s="3" t="s">
        <v>64</v>
      </c>
      <c r="J1455" s="3" t="s">
        <v>64</v>
      </c>
      <c r="K1455" s="3" t="s">
        <v>65</v>
      </c>
      <c r="M1455" s="2" t="s">
        <v>15062</v>
      </c>
      <c r="N1455" s="3" t="s">
        <v>136</v>
      </c>
      <c r="P1455" s="3" t="s">
        <v>69</v>
      </c>
      <c r="Q1455" s="2" t="s">
        <v>15063</v>
      </c>
      <c r="R1455" s="3" t="s">
        <v>9228</v>
      </c>
      <c r="S1455" s="4">
        <v>22</v>
      </c>
      <c r="T1455" s="4">
        <v>22</v>
      </c>
      <c r="U1455" s="5" t="s">
        <v>15064</v>
      </c>
      <c r="V1455" s="5" t="s">
        <v>15064</v>
      </c>
      <c r="W1455" s="5" t="s">
        <v>72</v>
      </c>
      <c r="X1455" s="5" t="s">
        <v>72</v>
      </c>
      <c r="Y1455" s="4">
        <v>109</v>
      </c>
      <c r="Z1455" s="4">
        <v>5</v>
      </c>
      <c r="AA1455" s="4">
        <v>5</v>
      </c>
      <c r="AB1455" s="4">
        <v>1</v>
      </c>
      <c r="AC1455" s="4">
        <v>1</v>
      </c>
      <c r="AD1455" s="4">
        <v>38</v>
      </c>
      <c r="AE1455" s="4">
        <v>38</v>
      </c>
      <c r="AF1455" s="4">
        <v>0</v>
      </c>
      <c r="AG1455" s="4">
        <v>0</v>
      </c>
      <c r="AH1455" s="4">
        <v>36</v>
      </c>
      <c r="AI1455" s="4">
        <v>36</v>
      </c>
      <c r="AJ1455" s="4">
        <v>2</v>
      </c>
      <c r="AK1455" s="4">
        <v>2</v>
      </c>
      <c r="AL1455" s="4">
        <v>20</v>
      </c>
      <c r="AM1455" s="4">
        <v>20</v>
      </c>
      <c r="AN1455" s="4">
        <v>0</v>
      </c>
      <c r="AO1455" s="4">
        <v>0</v>
      </c>
      <c r="AP1455" s="4">
        <v>3</v>
      </c>
      <c r="AQ1455" s="4">
        <v>3</v>
      </c>
      <c r="AR1455" s="3" t="s">
        <v>64</v>
      </c>
      <c r="AS1455" s="3" t="s">
        <v>64</v>
      </c>
      <c r="AT1455" s="3" t="s">
        <v>64</v>
      </c>
      <c r="AV1455" s="6" t="str">
        <f>HYPERLINK("http://mcgill.on.worldcat.org/oclc/47035402","Catalog Record")</f>
        <v>Catalog Record</v>
      </c>
      <c r="AW1455" s="6" t="str">
        <f>HYPERLINK("http://www.worldcat.org/oclc/47035402","WorldCat Record")</f>
        <v>WorldCat Record</v>
      </c>
      <c r="AX1455" s="3" t="s">
        <v>15065</v>
      </c>
      <c r="AY1455" s="3" t="s">
        <v>15066</v>
      </c>
      <c r="AZ1455" s="3" t="s">
        <v>15067</v>
      </c>
      <c r="BA1455" s="3" t="s">
        <v>15067</v>
      </c>
      <c r="BB1455" s="3" t="s">
        <v>15068</v>
      </c>
      <c r="BC1455" s="3" t="s">
        <v>78</v>
      </c>
      <c r="BD1455" s="3" t="s">
        <v>79</v>
      </c>
      <c r="BE1455" s="3" t="s">
        <v>15069</v>
      </c>
      <c r="BF1455" s="3" t="s">
        <v>15068</v>
      </c>
      <c r="BG1455" s="3" t="s">
        <v>15070</v>
      </c>
    </row>
    <row r="1456" spans="1:59" ht="58" x14ac:dyDescent="0.35">
      <c r="A1456" s="2" t="s">
        <v>59</v>
      </c>
      <c r="B1456" s="2" t="s">
        <v>94</v>
      </c>
      <c r="C1456" s="2" t="s">
        <v>15071</v>
      </c>
      <c r="D1456" s="2" t="s">
        <v>15072</v>
      </c>
      <c r="E1456" s="2" t="s">
        <v>15073</v>
      </c>
      <c r="G1456" s="3" t="s">
        <v>64</v>
      </c>
      <c r="I1456" s="3" t="s">
        <v>64</v>
      </c>
      <c r="J1456" s="3" t="s">
        <v>64</v>
      </c>
      <c r="K1456" s="3" t="s">
        <v>65</v>
      </c>
      <c r="M1456" s="2" t="s">
        <v>15074</v>
      </c>
      <c r="N1456" s="3" t="s">
        <v>1530</v>
      </c>
      <c r="P1456" s="3" t="s">
        <v>69</v>
      </c>
      <c r="R1456" s="3" t="s">
        <v>9228</v>
      </c>
      <c r="S1456" s="4">
        <v>15</v>
      </c>
      <c r="T1456" s="4">
        <v>15</v>
      </c>
      <c r="U1456" s="5" t="s">
        <v>15075</v>
      </c>
      <c r="V1456" s="5" t="s">
        <v>15075</v>
      </c>
      <c r="W1456" s="5" t="s">
        <v>72</v>
      </c>
      <c r="X1456" s="5" t="s">
        <v>72</v>
      </c>
      <c r="Y1456" s="4">
        <v>356</v>
      </c>
      <c r="Z1456" s="4">
        <v>17</v>
      </c>
      <c r="AA1456" s="4">
        <v>22</v>
      </c>
      <c r="AB1456" s="4">
        <v>3</v>
      </c>
      <c r="AC1456" s="4">
        <v>6</v>
      </c>
      <c r="AD1456" s="4">
        <v>85</v>
      </c>
      <c r="AE1456" s="4">
        <v>88</v>
      </c>
      <c r="AF1456" s="4">
        <v>1</v>
      </c>
      <c r="AG1456" s="4">
        <v>2</v>
      </c>
      <c r="AH1456" s="4">
        <v>79</v>
      </c>
      <c r="AI1456" s="4">
        <v>80</v>
      </c>
      <c r="AJ1456" s="4">
        <v>8</v>
      </c>
      <c r="AK1456" s="4">
        <v>11</v>
      </c>
      <c r="AL1456" s="4">
        <v>43</v>
      </c>
      <c r="AM1456" s="4">
        <v>43</v>
      </c>
      <c r="AN1456" s="4">
        <v>0</v>
      </c>
      <c r="AO1456" s="4">
        <v>0</v>
      </c>
      <c r="AP1456" s="4">
        <v>8</v>
      </c>
      <c r="AQ1456" s="4">
        <v>10</v>
      </c>
      <c r="AR1456" s="3" t="s">
        <v>64</v>
      </c>
      <c r="AS1456" s="3" t="s">
        <v>64</v>
      </c>
      <c r="AT1456" s="3" t="s">
        <v>64</v>
      </c>
      <c r="AV1456" s="6" t="str">
        <f>HYPERLINK("http://mcgill.on.worldcat.org/oclc/47805086","Catalog Record")</f>
        <v>Catalog Record</v>
      </c>
      <c r="AW1456" s="6" t="str">
        <f>HYPERLINK("http://www.worldcat.org/oclc/47805086","WorldCat Record")</f>
        <v>WorldCat Record</v>
      </c>
      <c r="AX1456" s="3" t="s">
        <v>15076</v>
      </c>
      <c r="AY1456" s="3" t="s">
        <v>15077</v>
      </c>
      <c r="AZ1456" s="3" t="s">
        <v>15078</v>
      </c>
      <c r="BA1456" s="3" t="s">
        <v>15078</v>
      </c>
      <c r="BB1456" s="3" t="s">
        <v>15079</v>
      </c>
      <c r="BC1456" s="3" t="s">
        <v>78</v>
      </c>
      <c r="BD1456" s="3" t="s">
        <v>79</v>
      </c>
      <c r="BE1456" s="3" t="s">
        <v>15080</v>
      </c>
      <c r="BF1456" s="3" t="s">
        <v>15079</v>
      </c>
      <c r="BG1456" s="3" t="s">
        <v>15081</v>
      </c>
    </row>
    <row r="1457" spans="1:59" ht="58" x14ac:dyDescent="0.35">
      <c r="A1457" s="2" t="s">
        <v>59</v>
      </c>
      <c r="B1457" s="2" t="s">
        <v>94</v>
      </c>
      <c r="C1457" s="2" t="s">
        <v>15082</v>
      </c>
      <c r="D1457" s="2" t="s">
        <v>15083</v>
      </c>
      <c r="E1457" s="2" t="s">
        <v>15084</v>
      </c>
      <c r="G1457" s="3" t="s">
        <v>64</v>
      </c>
      <c r="I1457" s="3" t="s">
        <v>64</v>
      </c>
      <c r="J1457" s="3" t="s">
        <v>64</v>
      </c>
      <c r="K1457" s="3" t="s">
        <v>65</v>
      </c>
      <c r="L1457" s="2" t="s">
        <v>15085</v>
      </c>
      <c r="M1457" s="2" t="s">
        <v>15086</v>
      </c>
      <c r="N1457" s="3" t="s">
        <v>449</v>
      </c>
      <c r="P1457" s="3" t="s">
        <v>69</v>
      </c>
      <c r="R1457" s="3" t="s">
        <v>9228</v>
      </c>
      <c r="S1457" s="4">
        <v>7</v>
      </c>
      <c r="T1457" s="4">
        <v>7</v>
      </c>
      <c r="U1457" s="5" t="s">
        <v>2019</v>
      </c>
      <c r="V1457" s="5" t="s">
        <v>2019</v>
      </c>
      <c r="W1457" s="5" t="s">
        <v>72</v>
      </c>
      <c r="X1457" s="5" t="s">
        <v>72</v>
      </c>
      <c r="Y1457" s="4">
        <v>367</v>
      </c>
      <c r="Z1457" s="4">
        <v>22</v>
      </c>
      <c r="AA1457" s="4">
        <v>26</v>
      </c>
      <c r="AB1457" s="4">
        <v>2</v>
      </c>
      <c r="AC1457" s="4">
        <v>4</v>
      </c>
      <c r="AD1457" s="4">
        <v>94</v>
      </c>
      <c r="AE1457" s="4">
        <v>98</v>
      </c>
      <c r="AF1457" s="4">
        <v>1</v>
      </c>
      <c r="AG1457" s="4">
        <v>3</v>
      </c>
      <c r="AH1457" s="4">
        <v>83</v>
      </c>
      <c r="AI1457" s="4">
        <v>84</v>
      </c>
      <c r="AJ1457" s="4">
        <v>12</v>
      </c>
      <c r="AK1457" s="4">
        <v>15</v>
      </c>
      <c r="AL1457" s="4">
        <v>48</v>
      </c>
      <c r="AM1457" s="4">
        <v>48</v>
      </c>
      <c r="AN1457" s="4">
        <v>0</v>
      </c>
      <c r="AO1457" s="4">
        <v>0</v>
      </c>
      <c r="AP1457" s="4">
        <v>18</v>
      </c>
      <c r="AQ1457" s="4">
        <v>22</v>
      </c>
      <c r="AR1457" s="3" t="s">
        <v>64</v>
      </c>
      <c r="AS1457" s="3" t="s">
        <v>64</v>
      </c>
      <c r="AT1457" s="3" t="s">
        <v>64</v>
      </c>
      <c r="AV1457" s="6" t="str">
        <f>HYPERLINK("http://mcgill.on.worldcat.org/oclc/71812843","Catalog Record")</f>
        <v>Catalog Record</v>
      </c>
      <c r="AW1457" s="6" t="str">
        <f>HYPERLINK("http://www.worldcat.org/oclc/71812843","WorldCat Record")</f>
        <v>WorldCat Record</v>
      </c>
      <c r="AX1457" s="3" t="s">
        <v>15087</v>
      </c>
      <c r="AY1457" s="3" t="s">
        <v>15088</v>
      </c>
      <c r="AZ1457" s="3" t="s">
        <v>15089</v>
      </c>
      <c r="BA1457" s="3" t="s">
        <v>15089</v>
      </c>
      <c r="BB1457" s="3" t="s">
        <v>15090</v>
      </c>
      <c r="BC1457" s="3" t="s">
        <v>78</v>
      </c>
      <c r="BD1457" s="3" t="s">
        <v>79</v>
      </c>
      <c r="BE1457" s="3" t="s">
        <v>15091</v>
      </c>
      <c r="BF1457" s="3" t="s">
        <v>15090</v>
      </c>
      <c r="BG1457" s="3" t="s">
        <v>15092</v>
      </c>
    </row>
    <row r="1458" spans="1:59" ht="58" x14ac:dyDescent="0.35">
      <c r="A1458" s="2" t="s">
        <v>59</v>
      </c>
      <c r="B1458" s="2" t="s">
        <v>94</v>
      </c>
      <c r="C1458" s="2" t="s">
        <v>15093</v>
      </c>
      <c r="D1458" s="2" t="s">
        <v>15094</v>
      </c>
      <c r="E1458" s="2" t="s">
        <v>15095</v>
      </c>
      <c r="G1458" s="3" t="s">
        <v>64</v>
      </c>
      <c r="I1458" s="3" t="s">
        <v>64</v>
      </c>
      <c r="J1458" s="3" t="s">
        <v>64</v>
      </c>
      <c r="K1458" s="3" t="s">
        <v>65</v>
      </c>
      <c r="L1458" s="2" t="s">
        <v>15096</v>
      </c>
      <c r="M1458" s="2" t="s">
        <v>10856</v>
      </c>
      <c r="N1458" s="3" t="s">
        <v>538</v>
      </c>
      <c r="P1458" s="3" t="s">
        <v>69</v>
      </c>
      <c r="R1458" s="3" t="s">
        <v>9228</v>
      </c>
      <c r="S1458" s="4">
        <v>4</v>
      </c>
      <c r="T1458" s="4">
        <v>4</v>
      </c>
      <c r="U1458" s="5" t="s">
        <v>15004</v>
      </c>
      <c r="V1458" s="5" t="s">
        <v>15004</v>
      </c>
      <c r="W1458" s="5" t="s">
        <v>72</v>
      </c>
      <c r="X1458" s="5" t="s">
        <v>72</v>
      </c>
      <c r="Y1458" s="4">
        <v>143</v>
      </c>
      <c r="Z1458" s="4">
        <v>11</v>
      </c>
      <c r="AA1458" s="4">
        <v>14</v>
      </c>
      <c r="AB1458" s="4">
        <v>1</v>
      </c>
      <c r="AC1458" s="4">
        <v>4</v>
      </c>
      <c r="AD1458" s="4">
        <v>58</v>
      </c>
      <c r="AE1458" s="4">
        <v>63</v>
      </c>
      <c r="AF1458" s="4">
        <v>0</v>
      </c>
      <c r="AG1458" s="4">
        <v>0</v>
      </c>
      <c r="AH1458" s="4">
        <v>53</v>
      </c>
      <c r="AI1458" s="4">
        <v>58</v>
      </c>
      <c r="AJ1458" s="4">
        <v>8</v>
      </c>
      <c r="AK1458" s="4">
        <v>8</v>
      </c>
      <c r="AL1458" s="4">
        <v>32</v>
      </c>
      <c r="AM1458" s="4">
        <v>33</v>
      </c>
      <c r="AN1458" s="4">
        <v>0</v>
      </c>
      <c r="AO1458" s="4">
        <v>0</v>
      </c>
      <c r="AP1458" s="4">
        <v>9</v>
      </c>
      <c r="AQ1458" s="4">
        <v>9</v>
      </c>
      <c r="AR1458" s="3" t="s">
        <v>64</v>
      </c>
      <c r="AS1458" s="3" t="s">
        <v>64</v>
      </c>
      <c r="AT1458" s="3" t="s">
        <v>73</v>
      </c>
      <c r="AU1458" s="6" t="str">
        <f>HYPERLINK("http://catalog.hathitrust.org/Record/007266881","HathiTrust Record")</f>
        <v>HathiTrust Record</v>
      </c>
      <c r="AV1458" s="6" t="str">
        <f>HYPERLINK("http://mcgill.on.worldcat.org/oclc/64510549","Catalog Record")</f>
        <v>Catalog Record</v>
      </c>
      <c r="AW1458" s="6" t="str">
        <f>HYPERLINK("http://www.worldcat.org/oclc/64510549","WorldCat Record")</f>
        <v>WorldCat Record</v>
      </c>
      <c r="AX1458" s="3" t="s">
        <v>15097</v>
      </c>
      <c r="AY1458" s="3" t="s">
        <v>15098</v>
      </c>
      <c r="AZ1458" s="3" t="s">
        <v>15099</v>
      </c>
      <c r="BA1458" s="3" t="s">
        <v>15099</v>
      </c>
      <c r="BB1458" s="3" t="s">
        <v>15100</v>
      </c>
      <c r="BC1458" s="3" t="s">
        <v>78</v>
      </c>
      <c r="BD1458" s="3" t="s">
        <v>79</v>
      </c>
      <c r="BE1458" s="3" t="s">
        <v>15101</v>
      </c>
      <c r="BF1458" s="3" t="s">
        <v>15100</v>
      </c>
      <c r="BG1458" s="3" t="s">
        <v>15102</v>
      </c>
    </row>
    <row r="1459" spans="1:59" ht="58" x14ac:dyDescent="0.35">
      <c r="A1459" s="2" t="s">
        <v>59</v>
      </c>
      <c r="B1459" s="2" t="s">
        <v>94</v>
      </c>
      <c r="C1459" s="2" t="s">
        <v>15103</v>
      </c>
      <c r="D1459" s="2" t="s">
        <v>15104</v>
      </c>
      <c r="E1459" s="2" t="s">
        <v>15105</v>
      </c>
      <c r="G1459" s="3" t="s">
        <v>64</v>
      </c>
      <c r="I1459" s="3" t="s">
        <v>64</v>
      </c>
      <c r="J1459" s="3" t="s">
        <v>64</v>
      </c>
      <c r="K1459" s="3" t="s">
        <v>65</v>
      </c>
      <c r="L1459" s="2" t="s">
        <v>15106</v>
      </c>
      <c r="M1459" s="2" t="s">
        <v>15107</v>
      </c>
      <c r="N1459" s="3" t="s">
        <v>68</v>
      </c>
      <c r="P1459" s="3" t="s">
        <v>69</v>
      </c>
      <c r="Q1459" s="2" t="s">
        <v>15108</v>
      </c>
      <c r="R1459" s="3" t="s">
        <v>9228</v>
      </c>
      <c r="S1459" s="4">
        <v>5</v>
      </c>
      <c r="T1459" s="4">
        <v>5</v>
      </c>
      <c r="U1459" s="5" t="s">
        <v>9925</v>
      </c>
      <c r="V1459" s="5" t="s">
        <v>9925</v>
      </c>
      <c r="W1459" s="5" t="s">
        <v>72</v>
      </c>
      <c r="X1459" s="5" t="s">
        <v>72</v>
      </c>
      <c r="Y1459" s="4">
        <v>37</v>
      </c>
      <c r="Z1459" s="4">
        <v>4</v>
      </c>
      <c r="AA1459" s="4">
        <v>4</v>
      </c>
      <c r="AB1459" s="4">
        <v>1</v>
      </c>
      <c r="AC1459" s="4">
        <v>1</v>
      </c>
      <c r="AD1459" s="4">
        <v>25</v>
      </c>
      <c r="AE1459" s="4">
        <v>25</v>
      </c>
      <c r="AF1459" s="4">
        <v>0</v>
      </c>
      <c r="AG1459" s="4">
        <v>0</v>
      </c>
      <c r="AH1459" s="4">
        <v>23</v>
      </c>
      <c r="AI1459" s="4">
        <v>23</v>
      </c>
      <c r="AJ1459" s="4">
        <v>2</v>
      </c>
      <c r="AK1459" s="4">
        <v>2</v>
      </c>
      <c r="AL1459" s="4">
        <v>20</v>
      </c>
      <c r="AM1459" s="4">
        <v>20</v>
      </c>
      <c r="AN1459" s="4">
        <v>0</v>
      </c>
      <c r="AO1459" s="4">
        <v>0</v>
      </c>
      <c r="AP1459" s="4">
        <v>2</v>
      </c>
      <c r="AQ1459" s="4">
        <v>2</v>
      </c>
      <c r="AR1459" s="3" t="s">
        <v>64</v>
      </c>
      <c r="AS1459" s="3" t="s">
        <v>64</v>
      </c>
      <c r="AT1459" s="3" t="s">
        <v>73</v>
      </c>
      <c r="AU1459" s="6" t="str">
        <f>HYPERLINK("http://catalog.hathitrust.org/Record/005430731","HathiTrust Record")</f>
        <v>HathiTrust Record</v>
      </c>
      <c r="AV1459" s="6" t="str">
        <f>HYPERLINK("http://mcgill.on.worldcat.org/oclc/63387955","Catalog Record")</f>
        <v>Catalog Record</v>
      </c>
      <c r="AW1459" s="6" t="str">
        <f>HYPERLINK("http://www.worldcat.org/oclc/63387955","WorldCat Record")</f>
        <v>WorldCat Record</v>
      </c>
      <c r="AX1459" s="3" t="s">
        <v>15109</v>
      </c>
      <c r="AY1459" s="3" t="s">
        <v>15110</v>
      </c>
      <c r="AZ1459" s="3" t="s">
        <v>15111</v>
      </c>
      <c r="BA1459" s="3" t="s">
        <v>15111</v>
      </c>
      <c r="BB1459" s="3" t="s">
        <v>15112</v>
      </c>
      <c r="BC1459" s="3" t="s">
        <v>78</v>
      </c>
      <c r="BD1459" s="3" t="s">
        <v>79</v>
      </c>
      <c r="BE1459" s="3" t="s">
        <v>15113</v>
      </c>
      <c r="BF1459" s="3" t="s">
        <v>15112</v>
      </c>
      <c r="BG1459" s="3" t="s">
        <v>15114</v>
      </c>
    </row>
    <row r="1460" spans="1:59" ht="58" x14ac:dyDescent="0.35">
      <c r="A1460" s="2" t="s">
        <v>59</v>
      </c>
      <c r="B1460" s="2" t="s">
        <v>94</v>
      </c>
      <c r="C1460" s="2" t="s">
        <v>15115</v>
      </c>
      <c r="D1460" s="2" t="s">
        <v>15116</v>
      </c>
      <c r="E1460" s="2" t="s">
        <v>15117</v>
      </c>
      <c r="G1460" s="3" t="s">
        <v>64</v>
      </c>
      <c r="I1460" s="3" t="s">
        <v>64</v>
      </c>
      <c r="J1460" s="3" t="s">
        <v>64</v>
      </c>
      <c r="K1460" s="3" t="s">
        <v>65</v>
      </c>
      <c r="M1460" s="2" t="s">
        <v>7651</v>
      </c>
      <c r="N1460" s="3" t="s">
        <v>1029</v>
      </c>
      <c r="P1460" s="3" t="s">
        <v>69</v>
      </c>
      <c r="R1460" s="3" t="s">
        <v>9228</v>
      </c>
      <c r="S1460" s="4">
        <v>8</v>
      </c>
      <c r="T1460" s="4">
        <v>8</v>
      </c>
      <c r="U1460" s="5" t="s">
        <v>2019</v>
      </c>
      <c r="V1460" s="5" t="s">
        <v>2019</v>
      </c>
      <c r="W1460" s="5" t="s">
        <v>72</v>
      </c>
      <c r="X1460" s="5" t="s">
        <v>72</v>
      </c>
      <c r="Y1460" s="4">
        <v>205</v>
      </c>
      <c r="Z1460" s="4">
        <v>15</v>
      </c>
      <c r="AA1460" s="4">
        <v>76</v>
      </c>
      <c r="AB1460" s="4">
        <v>3</v>
      </c>
      <c r="AC1460" s="4">
        <v>15</v>
      </c>
      <c r="AD1460" s="4">
        <v>70</v>
      </c>
      <c r="AE1460" s="4">
        <v>116</v>
      </c>
      <c r="AF1460" s="4">
        <v>1</v>
      </c>
      <c r="AG1460" s="4">
        <v>8</v>
      </c>
      <c r="AH1460" s="4">
        <v>65</v>
      </c>
      <c r="AI1460" s="4">
        <v>87</v>
      </c>
      <c r="AJ1460" s="4">
        <v>11</v>
      </c>
      <c r="AK1460" s="4">
        <v>23</v>
      </c>
      <c r="AL1460" s="4">
        <v>38</v>
      </c>
      <c r="AM1460" s="4">
        <v>46</v>
      </c>
      <c r="AN1460" s="4">
        <v>0</v>
      </c>
      <c r="AO1460" s="4">
        <v>0</v>
      </c>
      <c r="AP1460" s="4">
        <v>11</v>
      </c>
      <c r="AQ1460" s="4">
        <v>39</v>
      </c>
      <c r="AR1460" s="3" t="s">
        <v>64</v>
      </c>
      <c r="AS1460" s="3" t="s">
        <v>64</v>
      </c>
      <c r="AT1460" s="3" t="s">
        <v>73</v>
      </c>
      <c r="AU1460" s="6" t="str">
        <f>HYPERLINK("http://catalog.hathitrust.org/Record/006874742","HathiTrust Record")</f>
        <v>HathiTrust Record</v>
      </c>
      <c r="AV1460" s="6" t="str">
        <f>HYPERLINK("http://mcgill.on.worldcat.org/oclc/314840825","Catalog Record")</f>
        <v>Catalog Record</v>
      </c>
      <c r="AW1460" s="6" t="str">
        <f>HYPERLINK("http://www.worldcat.org/oclc/314840825","WorldCat Record")</f>
        <v>WorldCat Record</v>
      </c>
      <c r="AX1460" s="3" t="s">
        <v>15118</v>
      </c>
      <c r="AY1460" s="3" t="s">
        <v>15119</v>
      </c>
      <c r="AZ1460" s="3" t="s">
        <v>15120</v>
      </c>
      <c r="BA1460" s="3" t="s">
        <v>15120</v>
      </c>
      <c r="BB1460" s="3" t="s">
        <v>15121</v>
      </c>
      <c r="BC1460" s="3" t="s">
        <v>78</v>
      </c>
      <c r="BD1460" s="3" t="s">
        <v>79</v>
      </c>
      <c r="BE1460" s="3" t="s">
        <v>15122</v>
      </c>
      <c r="BF1460" s="3" t="s">
        <v>15121</v>
      </c>
      <c r="BG1460" s="3" t="s">
        <v>15123</v>
      </c>
    </row>
    <row r="1461" spans="1:59" ht="58" x14ac:dyDescent="0.35">
      <c r="A1461" s="2" t="s">
        <v>59</v>
      </c>
      <c r="B1461" s="2" t="s">
        <v>94</v>
      </c>
      <c r="C1461" s="2" t="s">
        <v>15124</v>
      </c>
      <c r="D1461" s="2" t="s">
        <v>15125</v>
      </c>
      <c r="E1461" s="2" t="s">
        <v>15126</v>
      </c>
      <c r="G1461" s="3" t="s">
        <v>64</v>
      </c>
      <c r="I1461" s="3" t="s">
        <v>64</v>
      </c>
      <c r="J1461" s="3" t="s">
        <v>64</v>
      </c>
      <c r="K1461" s="3" t="s">
        <v>65</v>
      </c>
      <c r="L1461" s="2" t="s">
        <v>15127</v>
      </c>
      <c r="M1461" s="2" t="s">
        <v>15128</v>
      </c>
      <c r="N1461" s="3" t="s">
        <v>538</v>
      </c>
      <c r="P1461" s="3" t="s">
        <v>69</v>
      </c>
      <c r="Q1461" s="2" t="s">
        <v>15129</v>
      </c>
      <c r="R1461" s="3" t="s">
        <v>9228</v>
      </c>
      <c r="S1461" s="4">
        <v>11</v>
      </c>
      <c r="T1461" s="4">
        <v>11</v>
      </c>
      <c r="U1461" s="5" t="s">
        <v>15130</v>
      </c>
      <c r="V1461" s="5" t="s">
        <v>15130</v>
      </c>
      <c r="W1461" s="5" t="s">
        <v>72</v>
      </c>
      <c r="X1461" s="5" t="s">
        <v>72</v>
      </c>
      <c r="Y1461" s="4">
        <v>265</v>
      </c>
      <c r="Z1461" s="4">
        <v>17</v>
      </c>
      <c r="AA1461" s="4">
        <v>20</v>
      </c>
      <c r="AB1461" s="4">
        <v>2</v>
      </c>
      <c r="AC1461" s="4">
        <v>5</v>
      </c>
      <c r="AD1461" s="4">
        <v>89</v>
      </c>
      <c r="AE1461" s="4">
        <v>91</v>
      </c>
      <c r="AF1461" s="4">
        <v>1</v>
      </c>
      <c r="AG1461" s="4">
        <v>3</v>
      </c>
      <c r="AH1461" s="4">
        <v>80</v>
      </c>
      <c r="AI1461" s="4">
        <v>81</v>
      </c>
      <c r="AJ1461" s="4">
        <v>12</v>
      </c>
      <c r="AK1461" s="4">
        <v>14</v>
      </c>
      <c r="AL1461" s="4">
        <v>48</v>
      </c>
      <c r="AM1461" s="4">
        <v>48</v>
      </c>
      <c r="AN1461" s="4">
        <v>0</v>
      </c>
      <c r="AO1461" s="4">
        <v>0</v>
      </c>
      <c r="AP1461" s="4">
        <v>13</v>
      </c>
      <c r="AQ1461" s="4">
        <v>14</v>
      </c>
      <c r="AR1461" s="3" t="s">
        <v>64</v>
      </c>
      <c r="AS1461" s="3" t="s">
        <v>64</v>
      </c>
      <c r="AT1461" s="3" t="s">
        <v>73</v>
      </c>
      <c r="AU1461" s="6" t="str">
        <f>HYPERLINK("http://catalog.hathitrust.org/Record/005553382","HathiTrust Record")</f>
        <v>HathiTrust Record</v>
      </c>
      <c r="AV1461" s="6" t="str">
        <f>HYPERLINK("http://mcgill.on.worldcat.org/oclc/68624057","Catalog Record")</f>
        <v>Catalog Record</v>
      </c>
      <c r="AW1461" s="6" t="str">
        <f>HYPERLINK("http://www.worldcat.org/oclc/68624057","WorldCat Record")</f>
        <v>WorldCat Record</v>
      </c>
      <c r="AX1461" s="3" t="s">
        <v>15131</v>
      </c>
      <c r="AY1461" s="3" t="s">
        <v>15132</v>
      </c>
      <c r="AZ1461" s="3" t="s">
        <v>15133</v>
      </c>
      <c r="BA1461" s="3" t="s">
        <v>15133</v>
      </c>
      <c r="BB1461" s="3" t="s">
        <v>15134</v>
      </c>
      <c r="BC1461" s="3" t="s">
        <v>78</v>
      </c>
      <c r="BD1461" s="3" t="s">
        <v>79</v>
      </c>
      <c r="BE1461" s="3" t="s">
        <v>15135</v>
      </c>
      <c r="BF1461" s="3" t="s">
        <v>15134</v>
      </c>
      <c r="BG1461" s="3" t="s">
        <v>15136</v>
      </c>
    </row>
    <row r="1462" spans="1:59" ht="58" x14ac:dyDescent="0.35">
      <c r="A1462" s="2" t="s">
        <v>59</v>
      </c>
      <c r="B1462" s="2" t="s">
        <v>94</v>
      </c>
      <c r="C1462" s="2" t="s">
        <v>15137</v>
      </c>
      <c r="D1462" s="2" t="s">
        <v>15138</v>
      </c>
      <c r="E1462" s="2" t="s">
        <v>15139</v>
      </c>
      <c r="G1462" s="3" t="s">
        <v>64</v>
      </c>
      <c r="I1462" s="3" t="s">
        <v>64</v>
      </c>
      <c r="J1462" s="3" t="s">
        <v>64</v>
      </c>
      <c r="K1462" s="3" t="s">
        <v>65</v>
      </c>
      <c r="M1462" s="2" t="s">
        <v>4901</v>
      </c>
      <c r="N1462" s="3" t="s">
        <v>1029</v>
      </c>
      <c r="P1462" s="3" t="s">
        <v>69</v>
      </c>
      <c r="Q1462" s="2" t="s">
        <v>6961</v>
      </c>
      <c r="R1462" s="3" t="s">
        <v>9228</v>
      </c>
      <c r="S1462" s="4">
        <v>8</v>
      </c>
      <c r="T1462" s="4">
        <v>8</v>
      </c>
      <c r="U1462" s="5" t="s">
        <v>15140</v>
      </c>
      <c r="V1462" s="5" t="s">
        <v>15140</v>
      </c>
      <c r="W1462" s="5" t="s">
        <v>72</v>
      </c>
      <c r="X1462" s="5" t="s">
        <v>72</v>
      </c>
      <c r="Y1462" s="4">
        <v>109</v>
      </c>
      <c r="Z1462" s="4">
        <v>10</v>
      </c>
      <c r="AA1462" s="4">
        <v>14</v>
      </c>
      <c r="AB1462" s="4">
        <v>1</v>
      </c>
      <c r="AC1462" s="4">
        <v>5</v>
      </c>
      <c r="AD1462" s="4">
        <v>38</v>
      </c>
      <c r="AE1462" s="4">
        <v>41</v>
      </c>
      <c r="AF1462" s="4">
        <v>0</v>
      </c>
      <c r="AG1462" s="4">
        <v>1</v>
      </c>
      <c r="AH1462" s="4">
        <v>34</v>
      </c>
      <c r="AI1462" s="4">
        <v>37</v>
      </c>
      <c r="AJ1462" s="4">
        <v>6</v>
      </c>
      <c r="AK1462" s="4">
        <v>7</v>
      </c>
      <c r="AL1462" s="4">
        <v>24</v>
      </c>
      <c r="AM1462" s="4">
        <v>25</v>
      </c>
      <c r="AN1462" s="4">
        <v>0</v>
      </c>
      <c r="AO1462" s="4">
        <v>0</v>
      </c>
      <c r="AP1462" s="4">
        <v>6</v>
      </c>
      <c r="AQ1462" s="4">
        <v>7</v>
      </c>
      <c r="AR1462" s="3" t="s">
        <v>64</v>
      </c>
      <c r="AS1462" s="3" t="s">
        <v>64</v>
      </c>
      <c r="AT1462" s="3" t="s">
        <v>64</v>
      </c>
      <c r="AV1462" s="6" t="str">
        <f>HYPERLINK("http://mcgill.on.worldcat.org/oclc/212007849","Catalog Record")</f>
        <v>Catalog Record</v>
      </c>
      <c r="AW1462" s="6" t="str">
        <f>HYPERLINK("http://www.worldcat.org/oclc/212007849","WorldCat Record")</f>
        <v>WorldCat Record</v>
      </c>
      <c r="AX1462" s="3" t="s">
        <v>15141</v>
      </c>
      <c r="AY1462" s="3" t="s">
        <v>15142</v>
      </c>
      <c r="AZ1462" s="3" t="s">
        <v>15143</v>
      </c>
      <c r="BA1462" s="3" t="s">
        <v>15143</v>
      </c>
      <c r="BB1462" s="3" t="s">
        <v>15144</v>
      </c>
      <c r="BC1462" s="3" t="s">
        <v>78</v>
      </c>
      <c r="BD1462" s="3" t="s">
        <v>79</v>
      </c>
      <c r="BE1462" s="3" t="s">
        <v>15145</v>
      </c>
      <c r="BF1462" s="3" t="s">
        <v>15144</v>
      </c>
      <c r="BG1462" s="3" t="s">
        <v>15146</v>
      </c>
    </row>
    <row r="1463" spans="1:59" ht="58" x14ac:dyDescent="0.35">
      <c r="A1463" s="2" t="s">
        <v>59</v>
      </c>
      <c r="B1463" s="2" t="s">
        <v>94</v>
      </c>
      <c r="C1463" s="2" t="s">
        <v>15147</v>
      </c>
      <c r="D1463" s="2" t="s">
        <v>15148</v>
      </c>
      <c r="E1463" s="2" t="s">
        <v>15149</v>
      </c>
      <c r="G1463" s="3" t="s">
        <v>64</v>
      </c>
      <c r="I1463" s="3" t="s">
        <v>64</v>
      </c>
      <c r="J1463" s="3" t="s">
        <v>64</v>
      </c>
      <c r="K1463" s="3" t="s">
        <v>65</v>
      </c>
      <c r="L1463" s="2" t="s">
        <v>15150</v>
      </c>
      <c r="M1463" s="2" t="s">
        <v>15151</v>
      </c>
      <c r="N1463" s="3" t="s">
        <v>499</v>
      </c>
      <c r="P1463" s="3" t="s">
        <v>69</v>
      </c>
      <c r="R1463" s="3" t="s">
        <v>9228</v>
      </c>
      <c r="S1463" s="4">
        <v>15</v>
      </c>
      <c r="T1463" s="4">
        <v>15</v>
      </c>
      <c r="U1463" s="5" t="s">
        <v>9925</v>
      </c>
      <c r="V1463" s="5" t="s">
        <v>9925</v>
      </c>
      <c r="W1463" s="5" t="s">
        <v>72</v>
      </c>
      <c r="X1463" s="5" t="s">
        <v>72</v>
      </c>
      <c r="Y1463" s="4">
        <v>204</v>
      </c>
      <c r="Z1463" s="4">
        <v>16</v>
      </c>
      <c r="AA1463" s="4">
        <v>96</v>
      </c>
      <c r="AB1463" s="4">
        <v>1</v>
      </c>
      <c r="AC1463" s="4">
        <v>18</v>
      </c>
      <c r="AD1463" s="4">
        <v>63</v>
      </c>
      <c r="AE1463" s="4">
        <v>116</v>
      </c>
      <c r="AF1463" s="4">
        <v>0</v>
      </c>
      <c r="AG1463" s="4">
        <v>8</v>
      </c>
      <c r="AH1463" s="4">
        <v>58</v>
      </c>
      <c r="AI1463" s="4">
        <v>82</v>
      </c>
      <c r="AJ1463" s="4">
        <v>9</v>
      </c>
      <c r="AK1463" s="4">
        <v>20</v>
      </c>
      <c r="AL1463" s="4">
        <v>39</v>
      </c>
      <c r="AM1463" s="4">
        <v>45</v>
      </c>
      <c r="AN1463" s="4">
        <v>0</v>
      </c>
      <c r="AO1463" s="4">
        <v>0</v>
      </c>
      <c r="AP1463" s="4">
        <v>11</v>
      </c>
      <c r="AQ1463" s="4">
        <v>42</v>
      </c>
      <c r="AR1463" s="3" t="s">
        <v>64</v>
      </c>
      <c r="AS1463" s="3" t="s">
        <v>64</v>
      </c>
      <c r="AT1463" s="3" t="s">
        <v>64</v>
      </c>
      <c r="AV1463" s="6" t="str">
        <f>HYPERLINK("http://mcgill.on.worldcat.org/oclc/56840712","Catalog Record")</f>
        <v>Catalog Record</v>
      </c>
      <c r="AW1463" s="6" t="str">
        <f>HYPERLINK("http://www.worldcat.org/oclc/56840712","WorldCat Record")</f>
        <v>WorldCat Record</v>
      </c>
      <c r="AX1463" s="3" t="s">
        <v>15152</v>
      </c>
      <c r="AY1463" s="3" t="s">
        <v>15153</v>
      </c>
      <c r="AZ1463" s="3" t="s">
        <v>15154</v>
      </c>
      <c r="BA1463" s="3" t="s">
        <v>15154</v>
      </c>
      <c r="BB1463" s="3" t="s">
        <v>15155</v>
      </c>
      <c r="BC1463" s="3" t="s">
        <v>78</v>
      </c>
      <c r="BD1463" s="3" t="s">
        <v>79</v>
      </c>
      <c r="BE1463" s="3" t="s">
        <v>15156</v>
      </c>
      <c r="BF1463" s="3" t="s">
        <v>15155</v>
      </c>
      <c r="BG1463" s="3" t="s">
        <v>15157</v>
      </c>
    </row>
    <row r="1464" spans="1:59" ht="58" x14ac:dyDescent="0.35">
      <c r="A1464" s="2" t="s">
        <v>59</v>
      </c>
      <c r="B1464" s="2" t="s">
        <v>94</v>
      </c>
      <c r="C1464" s="2" t="s">
        <v>15158</v>
      </c>
      <c r="D1464" s="2" t="s">
        <v>15159</v>
      </c>
      <c r="E1464" s="2" t="s">
        <v>15160</v>
      </c>
      <c r="G1464" s="3" t="s">
        <v>64</v>
      </c>
      <c r="I1464" s="3" t="s">
        <v>64</v>
      </c>
      <c r="J1464" s="3" t="s">
        <v>64</v>
      </c>
      <c r="K1464" s="3" t="s">
        <v>65</v>
      </c>
      <c r="M1464" s="2" t="s">
        <v>15161</v>
      </c>
      <c r="N1464" s="3" t="s">
        <v>861</v>
      </c>
      <c r="P1464" s="3" t="s">
        <v>69</v>
      </c>
      <c r="R1464" s="3" t="s">
        <v>9228</v>
      </c>
      <c r="S1464" s="4">
        <v>18</v>
      </c>
      <c r="T1464" s="4">
        <v>18</v>
      </c>
      <c r="U1464" s="5" t="s">
        <v>5957</v>
      </c>
      <c r="V1464" s="5" t="s">
        <v>5957</v>
      </c>
      <c r="W1464" s="5" t="s">
        <v>72</v>
      </c>
      <c r="X1464" s="5" t="s">
        <v>72</v>
      </c>
      <c r="Y1464" s="4">
        <v>198</v>
      </c>
      <c r="Z1464" s="4">
        <v>9</v>
      </c>
      <c r="AA1464" s="4">
        <v>76</v>
      </c>
      <c r="AB1464" s="4">
        <v>1</v>
      </c>
      <c r="AC1464" s="4">
        <v>15</v>
      </c>
      <c r="AD1464" s="4">
        <v>66</v>
      </c>
      <c r="AE1464" s="4">
        <v>119</v>
      </c>
      <c r="AF1464" s="4">
        <v>0</v>
      </c>
      <c r="AG1464" s="4">
        <v>8</v>
      </c>
      <c r="AH1464" s="4">
        <v>62</v>
      </c>
      <c r="AI1464" s="4">
        <v>88</v>
      </c>
      <c r="AJ1464" s="4">
        <v>5</v>
      </c>
      <c r="AK1464" s="4">
        <v>23</v>
      </c>
      <c r="AL1464" s="4">
        <v>38</v>
      </c>
      <c r="AM1464" s="4">
        <v>43</v>
      </c>
      <c r="AN1464" s="4">
        <v>0</v>
      </c>
      <c r="AO1464" s="4">
        <v>0</v>
      </c>
      <c r="AP1464" s="4">
        <v>6</v>
      </c>
      <c r="AQ1464" s="4">
        <v>40</v>
      </c>
      <c r="AR1464" s="3" t="s">
        <v>64</v>
      </c>
      <c r="AS1464" s="3" t="s">
        <v>64</v>
      </c>
      <c r="AT1464" s="3" t="s">
        <v>73</v>
      </c>
      <c r="AU1464" s="6" t="str">
        <f>HYPERLINK("http://catalog.hathitrust.org/Record/007258085","HathiTrust Record")</f>
        <v>HathiTrust Record</v>
      </c>
      <c r="AV1464" s="6" t="str">
        <f>HYPERLINK("http://mcgill.on.worldcat.org/oclc/56324744","Catalog Record")</f>
        <v>Catalog Record</v>
      </c>
      <c r="AW1464" s="6" t="str">
        <f>HYPERLINK("http://www.worldcat.org/oclc/56324744","WorldCat Record")</f>
        <v>WorldCat Record</v>
      </c>
      <c r="AX1464" s="3" t="s">
        <v>15162</v>
      </c>
      <c r="AY1464" s="3" t="s">
        <v>15163</v>
      </c>
      <c r="AZ1464" s="3" t="s">
        <v>15164</v>
      </c>
      <c r="BA1464" s="3" t="s">
        <v>15164</v>
      </c>
      <c r="BB1464" s="3" t="s">
        <v>15165</v>
      </c>
      <c r="BC1464" s="3" t="s">
        <v>78</v>
      </c>
      <c r="BD1464" s="3" t="s">
        <v>79</v>
      </c>
      <c r="BE1464" s="3" t="s">
        <v>15166</v>
      </c>
      <c r="BF1464" s="3" t="s">
        <v>15165</v>
      </c>
      <c r="BG1464" s="3" t="s">
        <v>15167</v>
      </c>
    </row>
    <row r="1465" spans="1:59" ht="58" x14ac:dyDescent="0.35">
      <c r="A1465" s="2" t="s">
        <v>59</v>
      </c>
      <c r="B1465" s="2" t="s">
        <v>94</v>
      </c>
      <c r="C1465" s="2" t="s">
        <v>15168</v>
      </c>
      <c r="D1465" s="2" t="s">
        <v>15169</v>
      </c>
      <c r="E1465" s="2" t="s">
        <v>15170</v>
      </c>
      <c r="G1465" s="3" t="s">
        <v>64</v>
      </c>
      <c r="I1465" s="3" t="s">
        <v>64</v>
      </c>
      <c r="J1465" s="3" t="s">
        <v>64</v>
      </c>
      <c r="K1465" s="3" t="s">
        <v>65</v>
      </c>
      <c r="M1465" s="2" t="s">
        <v>1142</v>
      </c>
      <c r="N1465" s="3" t="s">
        <v>68</v>
      </c>
      <c r="P1465" s="3" t="s">
        <v>69</v>
      </c>
      <c r="Q1465" s="2" t="s">
        <v>15171</v>
      </c>
      <c r="R1465" s="3" t="s">
        <v>9228</v>
      </c>
      <c r="S1465" s="4">
        <v>3</v>
      </c>
      <c r="T1465" s="4">
        <v>3</v>
      </c>
      <c r="U1465" s="5" t="s">
        <v>12576</v>
      </c>
      <c r="V1465" s="5" t="s">
        <v>12576</v>
      </c>
      <c r="W1465" s="5" t="s">
        <v>72</v>
      </c>
      <c r="X1465" s="5" t="s">
        <v>72</v>
      </c>
      <c r="Y1465" s="4">
        <v>134</v>
      </c>
      <c r="Z1465" s="4">
        <v>11</v>
      </c>
      <c r="AA1465" s="4">
        <v>14</v>
      </c>
      <c r="AB1465" s="4">
        <v>1</v>
      </c>
      <c r="AC1465" s="4">
        <v>4</v>
      </c>
      <c r="AD1465" s="4">
        <v>56</v>
      </c>
      <c r="AE1465" s="4">
        <v>62</v>
      </c>
      <c r="AF1465" s="4">
        <v>0</v>
      </c>
      <c r="AG1465" s="4">
        <v>0</v>
      </c>
      <c r="AH1465" s="4">
        <v>52</v>
      </c>
      <c r="AI1465" s="4">
        <v>58</v>
      </c>
      <c r="AJ1465" s="4">
        <v>9</v>
      </c>
      <c r="AK1465" s="4">
        <v>9</v>
      </c>
      <c r="AL1465" s="4">
        <v>30</v>
      </c>
      <c r="AM1465" s="4">
        <v>32</v>
      </c>
      <c r="AN1465" s="4">
        <v>0</v>
      </c>
      <c r="AO1465" s="4">
        <v>0</v>
      </c>
      <c r="AP1465" s="4">
        <v>9</v>
      </c>
      <c r="AQ1465" s="4">
        <v>9</v>
      </c>
      <c r="AR1465" s="3" t="s">
        <v>64</v>
      </c>
      <c r="AS1465" s="3" t="s">
        <v>64</v>
      </c>
      <c r="AT1465" s="3" t="s">
        <v>64</v>
      </c>
      <c r="AV1465" s="6" t="str">
        <f>HYPERLINK("http://mcgill.on.worldcat.org/oclc/59280161","Catalog Record")</f>
        <v>Catalog Record</v>
      </c>
      <c r="AW1465" s="6" t="str">
        <f>HYPERLINK("http://www.worldcat.org/oclc/59280161","WorldCat Record")</f>
        <v>WorldCat Record</v>
      </c>
      <c r="AX1465" s="3" t="s">
        <v>15172</v>
      </c>
      <c r="AY1465" s="3" t="s">
        <v>15173</v>
      </c>
      <c r="AZ1465" s="3" t="s">
        <v>15174</v>
      </c>
      <c r="BA1465" s="3" t="s">
        <v>15174</v>
      </c>
      <c r="BB1465" s="3" t="s">
        <v>15175</v>
      </c>
      <c r="BC1465" s="3" t="s">
        <v>78</v>
      </c>
      <c r="BD1465" s="3" t="s">
        <v>79</v>
      </c>
      <c r="BE1465" s="3" t="s">
        <v>15176</v>
      </c>
      <c r="BF1465" s="3" t="s">
        <v>15175</v>
      </c>
      <c r="BG1465" s="3" t="s">
        <v>15177</v>
      </c>
    </row>
    <row r="1466" spans="1:59" ht="58" x14ac:dyDescent="0.35">
      <c r="A1466" s="2" t="s">
        <v>59</v>
      </c>
      <c r="B1466" s="2" t="s">
        <v>94</v>
      </c>
      <c r="C1466" s="2" t="s">
        <v>15178</v>
      </c>
      <c r="D1466" s="2" t="s">
        <v>15179</v>
      </c>
      <c r="E1466" s="2" t="s">
        <v>15180</v>
      </c>
      <c r="G1466" s="3" t="s">
        <v>64</v>
      </c>
      <c r="I1466" s="3" t="s">
        <v>64</v>
      </c>
      <c r="J1466" s="3" t="s">
        <v>64</v>
      </c>
      <c r="K1466" s="3" t="s">
        <v>65</v>
      </c>
      <c r="L1466" s="2" t="s">
        <v>15181</v>
      </c>
      <c r="M1466" s="2" t="s">
        <v>15182</v>
      </c>
      <c r="N1466" s="3" t="s">
        <v>214</v>
      </c>
      <c r="P1466" s="3" t="s">
        <v>69</v>
      </c>
      <c r="Q1466" s="2" t="s">
        <v>15183</v>
      </c>
      <c r="R1466" s="3" t="s">
        <v>9228</v>
      </c>
      <c r="S1466" s="4">
        <v>1</v>
      </c>
      <c r="T1466" s="4">
        <v>1</v>
      </c>
      <c r="U1466" s="5" t="s">
        <v>15184</v>
      </c>
      <c r="V1466" s="5" t="s">
        <v>15184</v>
      </c>
      <c r="W1466" s="5" t="s">
        <v>72</v>
      </c>
      <c r="X1466" s="5" t="s">
        <v>72</v>
      </c>
      <c r="Y1466" s="4">
        <v>95</v>
      </c>
      <c r="Z1466" s="4">
        <v>8</v>
      </c>
      <c r="AA1466" s="4">
        <v>76</v>
      </c>
      <c r="AB1466" s="4">
        <v>1</v>
      </c>
      <c r="AC1466" s="4">
        <v>15</v>
      </c>
      <c r="AD1466" s="4">
        <v>39</v>
      </c>
      <c r="AE1466" s="4">
        <v>112</v>
      </c>
      <c r="AF1466" s="4">
        <v>0</v>
      </c>
      <c r="AG1466" s="4">
        <v>8</v>
      </c>
      <c r="AH1466" s="4">
        <v>38</v>
      </c>
      <c r="AI1466" s="4">
        <v>80</v>
      </c>
      <c r="AJ1466" s="4">
        <v>6</v>
      </c>
      <c r="AK1466" s="4">
        <v>21</v>
      </c>
      <c r="AL1466" s="4">
        <v>24</v>
      </c>
      <c r="AM1466" s="4">
        <v>43</v>
      </c>
      <c r="AN1466" s="4">
        <v>0</v>
      </c>
      <c r="AO1466" s="4">
        <v>0</v>
      </c>
      <c r="AP1466" s="4">
        <v>6</v>
      </c>
      <c r="AQ1466" s="4">
        <v>40</v>
      </c>
      <c r="AR1466" s="3" t="s">
        <v>64</v>
      </c>
      <c r="AS1466" s="3" t="s">
        <v>64</v>
      </c>
      <c r="AT1466" s="3" t="s">
        <v>64</v>
      </c>
      <c r="AV1466" s="6" t="str">
        <f>HYPERLINK("http://mcgill.on.worldcat.org/oclc/277196081","Catalog Record")</f>
        <v>Catalog Record</v>
      </c>
      <c r="AW1466" s="6" t="str">
        <f>HYPERLINK("http://www.worldcat.org/oclc/277196081","WorldCat Record")</f>
        <v>WorldCat Record</v>
      </c>
      <c r="AX1466" s="3" t="s">
        <v>15185</v>
      </c>
      <c r="AY1466" s="3" t="s">
        <v>15186</v>
      </c>
      <c r="AZ1466" s="3" t="s">
        <v>15187</v>
      </c>
      <c r="BA1466" s="3" t="s">
        <v>15187</v>
      </c>
      <c r="BB1466" s="3" t="s">
        <v>15188</v>
      </c>
      <c r="BC1466" s="3" t="s">
        <v>78</v>
      </c>
      <c r="BD1466" s="3" t="s">
        <v>79</v>
      </c>
      <c r="BE1466" s="3" t="s">
        <v>15189</v>
      </c>
      <c r="BF1466" s="3" t="s">
        <v>15188</v>
      </c>
      <c r="BG1466" s="3" t="s">
        <v>15190</v>
      </c>
    </row>
    <row r="1467" spans="1:59" ht="58" x14ac:dyDescent="0.35">
      <c r="A1467" s="2" t="s">
        <v>59</v>
      </c>
      <c r="B1467" s="2" t="s">
        <v>94</v>
      </c>
      <c r="C1467" s="2" t="s">
        <v>15191</v>
      </c>
      <c r="D1467" s="2" t="s">
        <v>15192</v>
      </c>
      <c r="E1467" s="2" t="s">
        <v>15193</v>
      </c>
      <c r="G1467" s="3" t="s">
        <v>64</v>
      </c>
      <c r="I1467" s="3" t="s">
        <v>64</v>
      </c>
      <c r="J1467" s="3" t="s">
        <v>64</v>
      </c>
      <c r="K1467" s="3" t="s">
        <v>65</v>
      </c>
      <c r="M1467" s="2" t="s">
        <v>15194</v>
      </c>
      <c r="N1467" s="3" t="s">
        <v>449</v>
      </c>
      <c r="P1467" s="3" t="s">
        <v>69</v>
      </c>
      <c r="R1467" s="3" t="s">
        <v>9228</v>
      </c>
      <c r="S1467" s="4">
        <v>5</v>
      </c>
      <c r="T1467" s="4">
        <v>5</v>
      </c>
      <c r="U1467" s="5" t="s">
        <v>15195</v>
      </c>
      <c r="V1467" s="5" t="s">
        <v>15195</v>
      </c>
      <c r="W1467" s="5" t="s">
        <v>72</v>
      </c>
      <c r="X1467" s="5" t="s">
        <v>72</v>
      </c>
      <c r="Y1467" s="4">
        <v>159</v>
      </c>
      <c r="Z1467" s="4">
        <v>12</v>
      </c>
      <c r="AA1467" s="4">
        <v>15</v>
      </c>
      <c r="AB1467" s="4">
        <v>2</v>
      </c>
      <c r="AC1467" s="4">
        <v>5</v>
      </c>
      <c r="AD1467" s="4">
        <v>52</v>
      </c>
      <c r="AE1467" s="4">
        <v>62</v>
      </c>
      <c r="AF1467" s="4">
        <v>1</v>
      </c>
      <c r="AG1467" s="4">
        <v>3</v>
      </c>
      <c r="AH1467" s="4">
        <v>47</v>
      </c>
      <c r="AI1467" s="4">
        <v>56</v>
      </c>
      <c r="AJ1467" s="4">
        <v>10</v>
      </c>
      <c r="AK1467" s="4">
        <v>12</v>
      </c>
      <c r="AL1467" s="4">
        <v>30</v>
      </c>
      <c r="AM1467" s="4">
        <v>33</v>
      </c>
      <c r="AN1467" s="4">
        <v>0</v>
      </c>
      <c r="AO1467" s="4">
        <v>0</v>
      </c>
      <c r="AP1467" s="4">
        <v>10</v>
      </c>
      <c r="AQ1467" s="4">
        <v>11</v>
      </c>
      <c r="AR1467" s="3" t="s">
        <v>64</v>
      </c>
      <c r="AS1467" s="3" t="s">
        <v>64</v>
      </c>
      <c r="AT1467" s="3" t="s">
        <v>73</v>
      </c>
      <c r="AU1467" s="6" t="str">
        <f>HYPERLINK("http://catalog.hathitrust.org/Record/005896145","HathiTrust Record")</f>
        <v>HathiTrust Record</v>
      </c>
      <c r="AV1467" s="6" t="str">
        <f>HYPERLINK("http://mcgill.on.worldcat.org/oclc/185691318","Catalog Record")</f>
        <v>Catalog Record</v>
      </c>
      <c r="AW1467" s="6" t="str">
        <f>HYPERLINK("http://www.worldcat.org/oclc/185691318","WorldCat Record")</f>
        <v>WorldCat Record</v>
      </c>
      <c r="AX1467" s="3" t="s">
        <v>15196</v>
      </c>
      <c r="AY1467" s="3" t="s">
        <v>15197</v>
      </c>
      <c r="AZ1467" s="3" t="s">
        <v>15198</v>
      </c>
      <c r="BA1467" s="3" t="s">
        <v>15198</v>
      </c>
      <c r="BB1467" s="3" t="s">
        <v>15199</v>
      </c>
      <c r="BC1467" s="3" t="s">
        <v>78</v>
      </c>
      <c r="BD1467" s="3" t="s">
        <v>79</v>
      </c>
      <c r="BE1467" s="3" t="s">
        <v>15200</v>
      </c>
      <c r="BF1467" s="3" t="s">
        <v>15199</v>
      </c>
      <c r="BG1467" s="3" t="s">
        <v>15201</v>
      </c>
    </row>
    <row r="1468" spans="1:59" ht="58" x14ac:dyDescent="0.35">
      <c r="A1468" s="2" t="s">
        <v>59</v>
      </c>
      <c r="B1468" s="2" t="s">
        <v>94</v>
      </c>
      <c r="C1468" s="2" t="s">
        <v>15202</v>
      </c>
      <c r="D1468" s="2" t="s">
        <v>15203</v>
      </c>
      <c r="E1468" s="2" t="s">
        <v>15204</v>
      </c>
      <c r="G1468" s="3" t="s">
        <v>64</v>
      </c>
      <c r="I1468" s="3" t="s">
        <v>64</v>
      </c>
      <c r="J1468" s="3" t="s">
        <v>64</v>
      </c>
      <c r="K1468" s="3" t="s">
        <v>65</v>
      </c>
      <c r="M1468" s="2" t="s">
        <v>5100</v>
      </c>
      <c r="N1468" s="3" t="s">
        <v>328</v>
      </c>
      <c r="P1468" s="3" t="s">
        <v>69</v>
      </c>
      <c r="Q1468" s="2" t="s">
        <v>15205</v>
      </c>
      <c r="R1468" s="3" t="s">
        <v>9228</v>
      </c>
      <c r="S1468" s="4">
        <v>1</v>
      </c>
      <c r="T1468" s="4">
        <v>1</v>
      </c>
      <c r="U1468" s="5" t="s">
        <v>15206</v>
      </c>
      <c r="V1468" s="5" t="s">
        <v>15206</v>
      </c>
      <c r="W1468" s="5" t="s">
        <v>72</v>
      </c>
      <c r="X1468" s="5" t="s">
        <v>72</v>
      </c>
      <c r="Y1468" s="4">
        <v>83</v>
      </c>
      <c r="Z1468" s="4">
        <v>7</v>
      </c>
      <c r="AA1468" s="4">
        <v>9</v>
      </c>
      <c r="AB1468" s="4">
        <v>1</v>
      </c>
      <c r="AC1468" s="4">
        <v>1</v>
      </c>
      <c r="AD1468" s="4">
        <v>47</v>
      </c>
      <c r="AE1468" s="4">
        <v>52</v>
      </c>
      <c r="AF1468" s="4">
        <v>0</v>
      </c>
      <c r="AG1468" s="4">
        <v>0</v>
      </c>
      <c r="AH1468" s="4">
        <v>45</v>
      </c>
      <c r="AI1468" s="4">
        <v>49</v>
      </c>
      <c r="AJ1468" s="4">
        <v>4</v>
      </c>
      <c r="AK1468" s="4">
        <v>6</v>
      </c>
      <c r="AL1468" s="4">
        <v>24</v>
      </c>
      <c r="AM1468" s="4">
        <v>25</v>
      </c>
      <c r="AN1468" s="4">
        <v>0</v>
      </c>
      <c r="AO1468" s="4">
        <v>0</v>
      </c>
      <c r="AP1468" s="4">
        <v>5</v>
      </c>
      <c r="AQ1468" s="4">
        <v>7</v>
      </c>
      <c r="AR1468" s="3" t="s">
        <v>64</v>
      </c>
      <c r="AS1468" s="3" t="s">
        <v>64</v>
      </c>
      <c r="AT1468" s="3" t="s">
        <v>64</v>
      </c>
      <c r="AV1468" s="6" t="str">
        <f>HYPERLINK("http://mcgill.on.worldcat.org/oclc/751249194","Catalog Record")</f>
        <v>Catalog Record</v>
      </c>
      <c r="AW1468" s="6" t="str">
        <f>HYPERLINK("http://www.worldcat.org/oclc/751249194","WorldCat Record")</f>
        <v>WorldCat Record</v>
      </c>
      <c r="AX1468" s="3" t="s">
        <v>15207</v>
      </c>
      <c r="AY1468" s="3" t="s">
        <v>15208</v>
      </c>
      <c r="AZ1468" s="3" t="s">
        <v>15209</v>
      </c>
      <c r="BA1468" s="3" t="s">
        <v>15209</v>
      </c>
      <c r="BB1468" s="3" t="s">
        <v>15210</v>
      </c>
      <c r="BC1468" s="3" t="s">
        <v>78</v>
      </c>
      <c r="BD1468" s="3" t="s">
        <v>79</v>
      </c>
      <c r="BE1468" s="3" t="s">
        <v>15211</v>
      </c>
      <c r="BF1468" s="3" t="s">
        <v>15210</v>
      </c>
      <c r="BG1468" s="3" t="s">
        <v>15212</v>
      </c>
    </row>
    <row r="1469" spans="1:59" ht="58" x14ac:dyDescent="0.35">
      <c r="A1469" s="2" t="s">
        <v>59</v>
      </c>
      <c r="B1469" s="2" t="s">
        <v>94</v>
      </c>
      <c r="C1469" s="2" t="s">
        <v>15213</v>
      </c>
      <c r="D1469" s="2" t="s">
        <v>15214</v>
      </c>
      <c r="E1469" s="2" t="s">
        <v>15215</v>
      </c>
      <c r="G1469" s="3" t="s">
        <v>64</v>
      </c>
      <c r="I1469" s="3" t="s">
        <v>64</v>
      </c>
      <c r="J1469" s="3" t="s">
        <v>64</v>
      </c>
      <c r="K1469" s="3" t="s">
        <v>65</v>
      </c>
      <c r="L1469" s="2" t="s">
        <v>15216</v>
      </c>
      <c r="M1469" s="2" t="s">
        <v>537</v>
      </c>
      <c r="N1469" s="3" t="s">
        <v>538</v>
      </c>
      <c r="P1469" s="3" t="s">
        <v>69</v>
      </c>
      <c r="Q1469" s="2" t="s">
        <v>6961</v>
      </c>
      <c r="R1469" s="3" t="s">
        <v>9228</v>
      </c>
      <c r="S1469" s="4">
        <v>13</v>
      </c>
      <c r="T1469" s="4">
        <v>13</v>
      </c>
      <c r="U1469" s="5" t="s">
        <v>15217</v>
      </c>
      <c r="V1469" s="5" t="s">
        <v>15217</v>
      </c>
      <c r="W1469" s="5" t="s">
        <v>72</v>
      </c>
      <c r="X1469" s="5" t="s">
        <v>72</v>
      </c>
      <c r="Y1469" s="4">
        <v>154</v>
      </c>
      <c r="Z1469" s="4">
        <v>10</v>
      </c>
      <c r="AA1469" s="4">
        <v>14</v>
      </c>
      <c r="AB1469" s="4">
        <v>1</v>
      </c>
      <c r="AC1469" s="4">
        <v>5</v>
      </c>
      <c r="AD1469" s="4">
        <v>53</v>
      </c>
      <c r="AE1469" s="4">
        <v>58</v>
      </c>
      <c r="AF1469" s="4">
        <v>0</v>
      </c>
      <c r="AG1469" s="4">
        <v>1</v>
      </c>
      <c r="AH1469" s="4">
        <v>49</v>
      </c>
      <c r="AI1469" s="4">
        <v>54</v>
      </c>
      <c r="AJ1469" s="4">
        <v>7</v>
      </c>
      <c r="AK1469" s="4">
        <v>8</v>
      </c>
      <c r="AL1469" s="4">
        <v>28</v>
      </c>
      <c r="AM1469" s="4">
        <v>30</v>
      </c>
      <c r="AN1469" s="4">
        <v>0</v>
      </c>
      <c r="AO1469" s="4">
        <v>0</v>
      </c>
      <c r="AP1469" s="4">
        <v>8</v>
      </c>
      <c r="AQ1469" s="4">
        <v>9</v>
      </c>
      <c r="AR1469" s="3" t="s">
        <v>64</v>
      </c>
      <c r="AS1469" s="3" t="s">
        <v>64</v>
      </c>
      <c r="AT1469" s="3" t="s">
        <v>64</v>
      </c>
      <c r="AV1469" s="6" t="str">
        <f>HYPERLINK("http://mcgill.on.worldcat.org/oclc/73742688","Catalog Record")</f>
        <v>Catalog Record</v>
      </c>
      <c r="AW1469" s="6" t="str">
        <f>HYPERLINK("http://www.worldcat.org/oclc/73742688","WorldCat Record")</f>
        <v>WorldCat Record</v>
      </c>
      <c r="AX1469" s="3" t="s">
        <v>15218</v>
      </c>
      <c r="AY1469" s="3" t="s">
        <v>15219</v>
      </c>
      <c r="AZ1469" s="3" t="s">
        <v>15220</v>
      </c>
      <c r="BA1469" s="3" t="s">
        <v>15220</v>
      </c>
      <c r="BB1469" s="3" t="s">
        <v>15221</v>
      </c>
      <c r="BC1469" s="3" t="s">
        <v>78</v>
      </c>
      <c r="BD1469" s="3" t="s">
        <v>79</v>
      </c>
      <c r="BE1469" s="3" t="s">
        <v>15222</v>
      </c>
      <c r="BF1469" s="3" t="s">
        <v>15221</v>
      </c>
      <c r="BG1469" s="3" t="s">
        <v>15223</v>
      </c>
    </row>
    <row r="1470" spans="1:59" ht="58" x14ac:dyDescent="0.35">
      <c r="A1470" s="2" t="s">
        <v>59</v>
      </c>
      <c r="B1470" s="2" t="s">
        <v>94</v>
      </c>
      <c r="C1470" s="2" t="s">
        <v>15224</v>
      </c>
      <c r="D1470" s="2" t="s">
        <v>15225</v>
      </c>
      <c r="E1470" s="2" t="s">
        <v>15226</v>
      </c>
      <c r="G1470" s="3" t="s">
        <v>64</v>
      </c>
      <c r="I1470" s="3" t="s">
        <v>64</v>
      </c>
      <c r="J1470" s="3" t="s">
        <v>64</v>
      </c>
      <c r="K1470" s="3" t="s">
        <v>65</v>
      </c>
      <c r="M1470" s="2" t="s">
        <v>15227</v>
      </c>
      <c r="N1470" s="3" t="s">
        <v>68</v>
      </c>
      <c r="P1470" s="3" t="s">
        <v>69</v>
      </c>
      <c r="R1470" s="3" t="s">
        <v>9228</v>
      </c>
      <c r="S1470" s="4">
        <v>5</v>
      </c>
      <c r="T1470" s="4">
        <v>5</v>
      </c>
      <c r="U1470" s="5" t="s">
        <v>2536</v>
      </c>
      <c r="V1470" s="5" t="s">
        <v>2536</v>
      </c>
      <c r="W1470" s="5" t="s">
        <v>72</v>
      </c>
      <c r="X1470" s="5" t="s">
        <v>72</v>
      </c>
      <c r="Y1470" s="4">
        <v>189</v>
      </c>
      <c r="Z1470" s="4">
        <v>10</v>
      </c>
      <c r="AA1470" s="4">
        <v>77</v>
      </c>
      <c r="AB1470" s="4">
        <v>2</v>
      </c>
      <c r="AC1470" s="4">
        <v>15</v>
      </c>
      <c r="AD1470" s="4">
        <v>70</v>
      </c>
      <c r="AE1470" s="4">
        <v>124</v>
      </c>
      <c r="AF1470" s="4">
        <v>1</v>
      </c>
      <c r="AG1470" s="4">
        <v>8</v>
      </c>
      <c r="AH1470" s="4">
        <v>62</v>
      </c>
      <c r="AI1470" s="4">
        <v>89</v>
      </c>
      <c r="AJ1470" s="4">
        <v>8</v>
      </c>
      <c r="AK1470" s="4">
        <v>22</v>
      </c>
      <c r="AL1470" s="4">
        <v>39</v>
      </c>
      <c r="AM1470" s="4">
        <v>46</v>
      </c>
      <c r="AN1470" s="4">
        <v>0</v>
      </c>
      <c r="AO1470" s="4">
        <v>0</v>
      </c>
      <c r="AP1470" s="4">
        <v>8</v>
      </c>
      <c r="AQ1470" s="4">
        <v>41</v>
      </c>
      <c r="AR1470" s="3" t="s">
        <v>64</v>
      </c>
      <c r="AS1470" s="3" t="s">
        <v>64</v>
      </c>
      <c r="AT1470" s="3" t="s">
        <v>64</v>
      </c>
      <c r="AV1470" s="6" t="str">
        <f>HYPERLINK("http://mcgill.on.worldcat.org/oclc/63270645","Catalog Record")</f>
        <v>Catalog Record</v>
      </c>
      <c r="AW1470" s="6" t="str">
        <f>HYPERLINK("http://www.worldcat.org/oclc/63270645","WorldCat Record")</f>
        <v>WorldCat Record</v>
      </c>
      <c r="AX1470" s="3" t="s">
        <v>15228</v>
      </c>
      <c r="AY1470" s="3" t="s">
        <v>15229</v>
      </c>
      <c r="AZ1470" s="3" t="s">
        <v>15230</v>
      </c>
      <c r="BA1470" s="3" t="s">
        <v>15230</v>
      </c>
      <c r="BB1470" s="3" t="s">
        <v>15231</v>
      </c>
      <c r="BC1470" s="3" t="s">
        <v>78</v>
      </c>
      <c r="BD1470" s="3" t="s">
        <v>79</v>
      </c>
      <c r="BE1470" s="3" t="s">
        <v>15232</v>
      </c>
      <c r="BF1470" s="3" t="s">
        <v>15231</v>
      </c>
      <c r="BG1470" s="3" t="s">
        <v>15233</v>
      </c>
    </row>
    <row r="1471" spans="1:59" ht="58" x14ac:dyDescent="0.35">
      <c r="A1471" s="2" t="s">
        <v>59</v>
      </c>
      <c r="B1471" s="2" t="s">
        <v>94</v>
      </c>
      <c r="C1471" s="2" t="s">
        <v>15234</v>
      </c>
      <c r="D1471" s="2" t="s">
        <v>15235</v>
      </c>
      <c r="E1471" s="2" t="s">
        <v>15236</v>
      </c>
      <c r="G1471" s="3" t="s">
        <v>64</v>
      </c>
      <c r="I1471" s="3" t="s">
        <v>64</v>
      </c>
      <c r="J1471" s="3" t="s">
        <v>64</v>
      </c>
      <c r="K1471" s="3" t="s">
        <v>65</v>
      </c>
      <c r="L1471" s="2" t="s">
        <v>15237</v>
      </c>
      <c r="M1471" s="2" t="s">
        <v>15238</v>
      </c>
      <c r="N1471" s="3" t="s">
        <v>68</v>
      </c>
      <c r="P1471" s="3" t="s">
        <v>69</v>
      </c>
      <c r="R1471" s="3" t="s">
        <v>9228</v>
      </c>
      <c r="S1471" s="4">
        <v>5</v>
      </c>
      <c r="T1471" s="4">
        <v>5</v>
      </c>
      <c r="U1471" s="5" t="s">
        <v>15239</v>
      </c>
      <c r="V1471" s="5" t="s">
        <v>15239</v>
      </c>
      <c r="W1471" s="5" t="s">
        <v>72</v>
      </c>
      <c r="X1471" s="5" t="s">
        <v>72</v>
      </c>
      <c r="Y1471" s="4">
        <v>520</v>
      </c>
      <c r="Z1471" s="4">
        <v>26</v>
      </c>
      <c r="AA1471" s="4">
        <v>52</v>
      </c>
      <c r="AB1471" s="4">
        <v>3</v>
      </c>
      <c r="AC1471" s="4">
        <v>8</v>
      </c>
      <c r="AD1471" s="4">
        <v>96</v>
      </c>
      <c r="AE1471" s="4">
        <v>99</v>
      </c>
      <c r="AF1471" s="4">
        <v>2</v>
      </c>
      <c r="AG1471" s="4">
        <v>3</v>
      </c>
      <c r="AH1471" s="4">
        <v>82</v>
      </c>
      <c r="AI1471" s="4">
        <v>84</v>
      </c>
      <c r="AJ1471" s="4">
        <v>14</v>
      </c>
      <c r="AK1471" s="4">
        <v>15</v>
      </c>
      <c r="AL1471" s="4">
        <v>47</v>
      </c>
      <c r="AM1471" s="4">
        <v>47</v>
      </c>
      <c r="AN1471" s="4">
        <v>0</v>
      </c>
      <c r="AO1471" s="4">
        <v>0</v>
      </c>
      <c r="AP1471" s="4">
        <v>18</v>
      </c>
      <c r="AQ1471" s="4">
        <v>20</v>
      </c>
      <c r="AR1471" s="3" t="s">
        <v>64</v>
      </c>
      <c r="AS1471" s="3" t="s">
        <v>64</v>
      </c>
      <c r="AT1471" s="3" t="s">
        <v>73</v>
      </c>
      <c r="AU1471" s="6" t="str">
        <f>HYPERLINK("http://catalog.hathitrust.org/Record/005225286","HathiTrust Record")</f>
        <v>HathiTrust Record</v>
      </c>
      <c r="AV1471" s="6" t="str">
        <f>HYPERLINK("http://mcgill.on.worldcat.org/oclc/63472755","Catalog Record")</f>
        <v>Catalog Record</v>
      </c>
      <c r="AW1471" s="6" t="str">
        <f>HYPERLINK("http://www.worldcat.org/oclc/63472755","WorldCat Record")</f>
        <v>WorldCat Record</v>
      </c>
      <c r="AX1471" s="3" t="s">
        <v>15240</v>
      </c>
      <c r="AY1471" s="3" t="s">
        <v>15241</v>
      </c>
      <c r="AZ1471" s="3" t="s">
        <v>15242</v>
      </c>
      <c r="BA1471" s="3" t="s">
        <v>15242</v>
      </c>
      <c r="BB1471" s="3" t="s">
        <v>15243</v>
      </c>
      <c r="BC1471" s="3" t="s">
        <v>78</v>
      </c>
      <c r="BD1471" s="3" t="s">
        <v>79</v>
      </c>
      <c r="BE1471" s="3" t="s">
        <v>15244</v>
      </c>
      <c r="BF1471" s="3" t="s">
        <v>15243</v>
      </c>
      <c r="BG1471" s="3" t="s">
        <v>15245</v>
      </c>
    </row>
    <row r="1472" spans="1:59" ht="58" x14ac:dyDescent="0.35">
      <c r="A1472" s="2" t="s">
        <v>59</v>
      </c>
      <c r="B1472" s="2" t="s">
        <v>94</v>
      </c>
      <c r="C1472" s="2" t="s">
        <v>15246</v>
      </c>
      <c r="D1472" s="2" t="s">
        <v>15247</v>
      </c>
      <c r="E1472" s="2" t="s">
        <v>15248</v>
      </c>
      <c r="G1472" s="3" t="s">
        <v>64</v>
      </c>
      <c r="I1472" s="3" t="s">
        <v>64</v>
      </c>
      <c r="J1472" s="3" t="s">
        <v>64</v>
      </c>
      <c r="K1472" s="3" t="s">
        <v>65</v>
      </c>
      <c r="L1472" s="2" t="s">
        <v>7404</v>
      </c>
      <c r="M1472" s="2" t="s">
        <v>8836</v>
      </c>
      <c r="N1472" s="3" t="s">
        <v>68</v>
      </c>
      <c r="P1472" s="3" t="s">
        <v>69</v>
      </c>
      <c r="R1472" s="3" t="s">
        <v>9228</v>
      </c>
      <c r="S1472" s="4">
        <v>5</v>
      </c>
      <c r="T1472" s="4">
        <v>5</v>
      </c>
      <c r="U1472" s="5" t="s">
        <v>15217</v>
      </c>
      <c r="V1472" s="5" t="s">
        <v>15217</v>
      </c>
      <c r="W1472" s="5" t="s">
        <v>72</v>
      </c>
      <c r="X1472" s="5" t="s">
        <v>72</v>
      </c>
      <c r="Y1472" s="4">
        <v>343</v>
      </c>
      <c r="Z1472" s="4">
        <v>13</v>
      </c>
      <c r="AA1472" s="4">
        <v>20</v>
      </c>
      <c r="AB1472" s="4">
        <v>1</v>
      </c>
      <c r="AC1472" s="4">
        <v>6</v>
      </c>
      <c r="AD1472" s="4">
        <v>82</v>
      </c>
      <c r="AE1472" s="4">
        <v>89</v>
      </c>
      <c r="AF1472" s="4">
        <v>0</v>
      </c>
      <c r="AG1472" s="4">
        <v>3</v>
      </c>
      <c r="AH1472" s="4">
        <v>77</v>
      </c>
      <c r="AI1472" s="4">
        <v>81</v>
      </c>
      <c r="AJ1472" s="4">
        <v>7</v>
      </c>
      <c r="AK1472" s="4">
        <v>11</v>
      </c>
      <c r="AL1472" s="4">
        <v>46</v>
      </c>
      <c r="AM1472" s="4">
        <v>47</v>
      </c>
      <c r="AN1472" s="4">
        <v>0</v>
      </c>
      <c r="AO1472" s="4">
        <v>0</v>
      </c>
      <c r="AP1472" s="4">
        <v>9</v>
      </c>
      <c r="AQ1472" s="4">
        <v>12</v>
      </c>
      <c r="AR1472" s="3" t="s">
        <v>64</v>
      </c>
      <c r="AS1472" s="3" t="s">
        <v>64</v>
      </c>
      <c r="AT1472" s="3" t="s">
        <v>64</v>
      </c>
      <c r="AV1472" s="6" t="str">
        <f>HYPERLINK("http://mcgill.on.worldcat.org/oclc/65201282","Catalog Record")</f>
        <v>Catalog Record</v>
      </c>
      <c r="AW1472" s="6" t="str">
        <f>HYPERLINK("http://www.worldcat.org/oclc/65201282","WorldCat Record")</f>
        <v>WorldCat Record</v>
      </c>
      <c r="AX1472" s="3" t="s">
        <v>15249</v>
      </c>
      <c r="AY1472" s="3" t="s">
        <v>15250</v>
      </c>
      <c r="AZ1472" s="3" t="s">
        <v>15251</v>
      </c>
      <c r="BA1472" s="3" t="s">
        <v>15251</v>
      </c>
      <c r="BB1472" s="3" t="s">
        <v>15252</v>
      </c>
      <c r="BC1472" s="3" t="s">
        <v>78</v>
      </c>
      <c r="BD1472" s="3" t="s">
        <v>79</v>
      </c>
      <c r="BE1472" s="3" t="s">
        <v>15253</v>
      </c>
      <c r="BF1472" s="3" t="s">
        <v>15252</v>
      </c>
      <c r="BG1472" s="3" t="s">
        <v>15254</v>
      </c>
    </row>
    <row r="1473" spans="1:59" ht="58" x14ac:dyDescent="0.35">
      <c r="A1473" s="2" t="s">
        <v>59</v>
      </c>
      <c r="B1473" s="2" t="s">
        <v>94</v>
      </c>
      <c r="C1473" s="2" t="s">
        <v>15255</v>
      </c>
      <c r="D1473" s="2" t="s">
        <v>15256</v>
      </c>
      <c r="E1473" s="2" t="s">
        <v>15257</v>
      </c>
      <c r="G1473" s="3" t="s">
        <v>64</v>
      </c>
      <c r="I1473" s="3" t="s">
        <v>64</v>
      </c>
      <c r="J1473" s="3" t="s">
        <v>64</v>
      </c>
      <c r="K1473" s="3" t="s">
        <v>65</v>
      </c>
      <c r="M1473" s="2" t="s">
        <v>15258</v>
      </c>
      <c r="N1473" s="3" t="s">
        <v>1029</v>
      </c>
      <c r="P1473" s="3" t="s">
        <v>69</v>
      </c>
      <c r="R1473" s="3" t="s">
        <v>9228</v>
      </c>
      <c r="S1473" s="4">
        <v>38</v>
      </c>
      <c r="T1473" s="4">
        <v>38</v>
      </c>
      <c r="U1473" s="5" t="s">
        <v>2312</v>
      </c>
      <c r="V1473" s="5" t="s">
        <v>2312</v>
      </c>
      <c r="W1473" s="5" t="s">
        <v>72</v>
      </c>
      <c r="X1473" s="5" t="s">
        <v>72</v>
      </c>
      <c r="Y1473" s="4">
        <v>444</v>
      </c>
      <c r="Z1473" s="4">
        <v>22</v>
      </c>
      <c r="AA1473" s="4">
        <v>26</v>
      </c>
      <c r="AB1473" s="4">
        <v>2</v>
      </c>
      <c r="AC1473" s="4">
        <v>5</v>
      </c>
      <c r="AD1473" s="4">
        <v>79</v>
      </c>
      <c r="AE1473" s="4">
        <v>88</v>
      </c>
      <c r="AF1473" s="4">
        <v>0</v>
      </c>
      <c r="AG1473" s="4">
        <v>2</v>
      </c>
      <c r="AH1473" s="4">
        <v>71</v>
      </c>
      <c r="AI1473" s="4">
        <v>78</v>
      </c>
      <c r="AJ1473" s="4">
        <v>11</v>
      </c>
      <c r="AK1473" s="4">
        <v>12</v>
      </c>
      <c r="AL1473" s="4">
        <v>41</v>
      </c>
      <c r="AM1473" s="4">
        <v>43</v>
      </c>
      <c r="AN1473" s="4">
        <v>0</v>
      </c>
      <c r="AO1473" s="4">
        <v>0</v>
      </c>
      <c r="AP1473" s="4">
        <v>15</v>
      </c>
      <c r="AQ1473" s="4">
        <v>17</v>
      </c>
      <c r="AR1473" s="3" t="s">
        <v>64</v>
      </c>
      <c r="AS1473" s="3" t="s">
        <v>64</v>
      </c>
      <c r="AT1473" s="3" t="s">
        <v>64</v>
      </c>
      <c r="AV1473" s="6" t="str">
        <f>HYPERLINK("http://mcgill.on.worldcat.org/oclc/225874251","Catalog Record")</f>
        <v>Catalog Record</v>
      </c>
      <c r="AW1473" s="6" t="str">
        <f>HYPERLINK("http://www.worldcat.org/oclc/225874251","WorldCat Record")</f>
        <v>WorldCat Record</v>
      </c>
      <c r="AX1473" s="3" t="s">
        <v>15259</v>
      </c>
      <c r="AY1473" s="3" t="s">
        <v>15260</v>
      </c>
      <c r="AZ1473" s="3" t="s">
        <v>15261</v>
      </c>
      <c r="BA1473" s="3" t="s">
        <v>15261</v>
      </c>
      <c r="BB1473" s="3" t="s">
        <v>15262</v>
      </c>
      <c r="BC1473" s="3" t="s">
        <v>78</v>
      </c>
      <c r="BD1473" s="3" t="s">
        <v>79</v>
      </c>
      <c r="BE1473" s="3" t="s">
        <v>15263</v>
      </c>
      <c r="BF1473" s="3" t="s">
        <v>15262</v>
      </c>
      <c r="BG1473" s="3" t="s">
        <v>15264</v>
      </c>
    </row>
    <row r="1474" spans="1:59" ht="116" x14ac:dyDescent="0.35">
      <c r="A1474" s="2" t="s">
        <v>59</v>
      </c>
      <c r="B1474" s="2" t="s">
        <v>3778</v>
      </c>
      <c r="C1474" s="2" t="s">
        <v>15265</v>
      </c>
      <c r="D1474" s="2" t="s">
        <v>15266</v>
      </c>
      <c r="E1474" s="2" t="s">
        <v>15267</v>
      </c>
      <c r="G1474" s="3" t="s">
        <v>64</v>
      </c>
      <c r="I1474" s="3" t="s">
        <v>64</v>
      </c>
      <c r="J1474" s="3" t="s">
        <v>64</v>
      </c>
      <c r="K1474" s="3" t="s">
        <v>65</v>
      </c>
      <c r="L1474" s="2" t="s">
        <v>15268</v>
      </c>
      <c r="M1474" s="2" t="s">
        <v>15269</v>
      </c>
      <c r="N1474" s="3" t="s">
        <v>175</v>
      </c>
      <c r="O1474" s="2" t="s">
        <v>4729</v>
      </c>
      <c r="P1474" s="3" t="s">
        <v>3784</v>
      </c>
      <c r="Q1474" s="2" t="s">
        <v>15270</v>
      </c>
      <c r="R1474" s="3" t="s">
        <v>9228</v>
      </c>
      <c r="S1474" s="4">
        <v>1</v>
      </c>
      <c r="T1474" s="4">
        <v>1</v>
      </c>
      <c r="U1474" s="5" t="s">
        <v>15271</v>
      </c>
      <c r="V1474" s="5" t="s">
        <v>15271</v>
      </c>
      <c r="W1474" s="5" t="s">
        <v>72</v>
      </c>
      <c r="X1474" s="5" t="s">
        <v>72</v>
      </c>
      <c r="Y1474" s="4">
        <v>21</v>
      </c>
      <c r="Z1474" s="4">
        <v>3</v>
      </c>
      <c r="AA1474" s="4">
        <v>4</v>
      </c>
      <c r="AB1474" s="4">
        <v>1</v>
      </c>
      <c r="AC1474" s="4">
        <v>2</v>
      </c>
      <c r="AD1474" s="4">
        <v>14</v>
      </c>
      <c r="AE1474" s="4">
        <v>15</v>
      </c>
      <c r="AF1474" s="4">
        <v>0</v>
      </c>
      <c r="AG1474" s="4">
        <v>0</v>
      </c>
      <c r="AH1474" s="4">
        <v>13</v>
      </c>
      <c r="AI1474" s="4">
        <v>14</v>
      </c>
      <c r="AJ1474" s="4">
        <v>2</v>
      </c>
      <c r="AK1474" s="4">
        <v>2</v>
      </c>
      <c r="AL1474" s="4">
        <v>10</v>
      </c>
      <c r="AM1474" s="4">
        <v>11</v>
      </c>
      <c r="AN1474" s="4">
        <v>0</v>
      </c>
      <c r="AO1474" s="4">
        <v>0</v>
      </c>
      <c r="AP1474" s="4">
        <v>2</v>
      </c>
      <c r="AQ1474" s="4">
        <v>2</v>
      </c>
      <c r="AR1474" s="3" t="s">
        <v>64</v>
      </c>
      <c r="AS1474" s="3" t="s">
        <v>64</v>
      </c>
      <c r="AT1474" s="3" t="s">
        <v>64</v>
      </c>
      <c r="AV1474" s="6" t="str">
        <f>HYPERLINK("http://mcgill.on.worldcat.org/oclc/889747343","Catalog Record")</f>
        <v>Catalog Record</v>
      </c>
      <c r="AW1474" s="6" t="str">
        <f>HYPERLINK("http://www.worldcat.org/oclc/889747343","WorldCat Record")</f>
        <v>WorldCat Record</v>
      </c>
      <c r="AX1474" s="3" t="s">
        <v>15272</v>
      </c>
      <c r="AY1474" s="3" t="s">
        <v>15273</v>
      </c>
      <c r="AZ1474" s="3" t="s">
        <v>15274</v>
      </c>
      <c r="BA1474" s="3" t="s">
        <v>15274</v>
      </c>
      <c r="BB1474" s="3" t="s">
        <v>15275</v>
      </c>
      <c r="BC1474" s="3" t="s">
        <v>78</v>
      </c>
      <c r="BD1474" s="3" t="s">
        <v>79</v>
      </c>
      <c r="BE1474" s="3" t="s">
        <v>15276</v>
      </c>
      <c r="BF1474" s="3" t="s">
        <v>15275</v>
      </c>
      <c r="BG1474" s="3" t="s">
        <v>15277</v>
      </c>
    </row>
    <row r="1475" spans="1:59" ht="58" x14ac:dyDescent="0.35">
      <c r="A1475" s="2" t="s">
        <v>59</v>
      </c>
      <c r="B1475" s="2" t="s">
        <v>94</v>
      </c>
      <c r="C1475" s="2" t="s">
        <v>15278</v>
      </c>
      <c r="D1475" s="2" t="s">
        <v>15279</v>
      </c>
      <c r="E1475" s="2" t="s">
        <v>15280</v>
      </c>
      <c r="G1475" s="3" t="s">
        <v>64</v>
      </c>
      <c r="I1475" s="3" t="s">
        <v>64</v>
      </c>
      <c r="J1475" s="3" t="s">
        <v>64</v>
      </c>
      <c r="K1475" s="3" t="s">
        <v>65</v>
      </c>
      <c r="M1475" s="2" t="s">
        <v>15281</v>
      </c>
      <c r="N1475" s="3" t="s">
        <v>87</v>
      </c>
      <c r="P1475" s="3" t="s">
        <v>69</v>
      </c>
      <c r="Q1475" s="2" t="s">
        <v>15282</v>
      </c>
      <c r="R1475" s="3" t="s">
        <v>9228</v>
      </c>
      <c r="S1475" s="4">
        <v>1</v>
      </c>
      <c r="T1475" s="4">
        <v>1</v>
      </c>
      <c r="U1475" s="5" t="s">
        <v>15283</v>
      </c>
      <c r="V1475" s="5" t="s">
        <v>15283</v>
      </c>
      <c r="W1475" s="5" t="s">
        <v>72</v>
      </c>
      <c r="X1475" s="5" t="s">
        <v>72</v>
      </c>
      <c r="Y1475" s="4">
        <v>43</v>
      </c>
      <c r="Z1475" s="4">
        <v>1</v>
      </c>
      <c r="AA1475" s="4">
        <v>5</v>
      </c>
      <c r="AB1475" s="4">
        <v>1</v>
      </c>
      <c r="AC1475" s="4">
        <v>3</v>
      </c>
      <c r="AD1475" s="4">
        <v>13</v>
      </c>
      <c r="AE1475" s="4">
        <v>23</v>
      </c>
      <c r="AF1475" s="4">
        <v>0</v>
      </c>
      <c r="AG1475" s="4">
        <v>0</v>
      </c>
      <c r="AH1475" s="4">
        <v>13</v>
      </c>
      <c r="AI1475" s="4">
        <v>23</v>
      </c>
      <c r="AJ1475" s="4">
        <v>0</v>
      </c>
      <c r="AK1475" s="4">
        <v>2</v>
      </c>
      <c r="AL1475" s="4">
        <v>10</v>
      </c>
      <c r="AM1475" s="4">
        <v>15</v>
      </c>
      <c r="AN1475" s="4">
        <v>0</v>
      </c>
      <c r="AO1475" s="4">
        <v>0</v>
      </c>
      <c r="AP1475" s="4">
        <v>0</v>
      </c>
      <c r="AQ1475" s="4">
        <v>2</v>
      </c>
      <c r="AR1475" s="3" t="s">
        <v>64</v>
      </c>
      <c r="AS1475" s="3" t="s">
        <v>64</v>
      </c>
      <c r="AT1475" s="3" t="s">
        <v>64</v>
      </c>
      <c r="AV1475" s="6" t="str">
        <f>HYPERLINK("http://mcgill.on.worldcat.org/oclc/896126950","Catalog Record")</f>
        <v>Catalog Record</v>
      </c>
      <c r="AW1475" s="6" t="str">
        <f>HYPERLINK("http://www.worldcat.org/oclc/896126950","WorldCat Record")</f>
        <v>WorldCat Record</v>
      </c>
      <c r="AX1475" s="3" t="s">
        <v>15284</v>
      </c>
      <c r="AY1475" s="3" t="s">
        <v>15285</v>
      </c>
      <c r="AZ1475" s="3" t="s">
        <v>15286</v>
      </c>
      <c r="BA1475" s="3" t="s">
        <v>15286</v>
      </c>
      <c r="BB1475" s="3" t="s">
        <v>15287</v>
      </c>
      <c r="BC1475" s="3" t="s">
        <v>78</v>
      </c>
      <c r="BD1475" s="3" t="s">
        <v>79</v>
      </c>
      <c r="BE1475" s="3" t="s">
        <v>15288</v>
      </c>
      <c r="BF1475" s="3" t="s">
        <v>15287</v>
      </c>
      <c r="BG1475" s="3" t="s">
        <v>15289</v>
      </c>
    </row>
    <row r="1476" spans="1:59" ht="58" x14ac:dyDescent="0.35">
      <c r="A1476" s="2" t="s">
        <v>59</v>
      </c>
      <c r="B1476" s="2" t="s">
        <v>94</v>
      </c>
      <c r="C1476" s="2" t="s">
        <v>15290</v>
      </c>
      <c r="D1476" s="2" t="s">
        <v>15291</v>
      </c>
      <c r="E1476" s="2" t="s">
        <v>15292</v>
      </c>
      <c r="G1476" s="3" t="s">
        <v>64</v>
      </c>
      <c r="I1476" s="3" t="s">
        <v>64</v>
      </c>
      <c r="J1476" s="3" t="s">
        <v>64</v>
      </c>
      <c r="K1476" s="3" t="s">
        <v>65</v>
      </c>
      <c r="L1476" s="2" t="s">
        <v>15293</v>
      </c>
      <c r="M1476" s="2" t="s">
        <v>15294</v>
      </c>
      <c r="N1476" s="3" t="s">
        <v>651</v>
      </c>
      <c r="P1476" s="3" t="s">
        <v>69</v>
      </c>
      <c r="Q1476" s="2" t="s">
        <v>15295</v>
      </c>
      <c r="R1476" s="3" t="s">
        <v>9228</v>
      </c>
      <c r="S1476" s="4">
        <v>15</v>
      </c>
      <c r="T1476" s="4">
        <v>15</v>
      </c>
      <c r="U1476" s="5" t="s">
        <v>15217</v>
      </c>
      <c r="V1476" s="5" t="s">
        <v>15217</v>
      </c>
      <c r="W1476" s="5" t="s">
        <v>72</v>
      </c>
      <c r="X1476" s="5" t="s">
        <v>72</v>
      </c>
      <c r="Y1476" s="4">
        <v>322</v>
      </c>
      <c r="Z1476" s="4">
        <v>19</v>
      </c>
      <c r="AA1476" s="4">
        <v>99</v>
      </c>
      <c r="AB1476" s="4">
        <v>2</v>
      </c>
      <c r="AC1476" s="4">
        <v>17</v>
      </c>
      <c r="AD1476" s="4">
        <v>89</v>
      </c>
      <c r="AE1476" s="4">
        <v>130</v>
      </c>
      <c r="AF1476" s="4">
        <v>1</v>
      </c>
      <c r="AG1476" s="4">
        <v>8</v>
      </c>
      <c r="AH1476" s="4">
        <v>80</v>
      </c>
      <c r="AI1476" s="4">
        <v>95</v>
      </c>
      <c r="AJ1476" s="4">
        <v>12</v>
      </c>
      <c r="AK1476" s="4">
        <v>23</v>
      </c>
      <c r="AL1476" s="4">
        <v>52</v>
      </c>
      <c r="AM1476" s="4">
        <v>54</v>
      </c>
      <c r="AN1476" s="4">
        <v>0</v>
      </c>
      <c r="AO1476" s="4">
        <v>0</v>
      </c>
      <c r="AP1476" s="4">
        <v>14</v>
      </c>
      <c r="AQ1476" s="4">
        <v>44</v>
      </c>
      <c r="AR1476" s="3" t="s">
        <v>64</v>
      </c>
      <c r="AS1476" s="3" t="s">
        <v>64</v>
      </c>
      <c r="AT1476" s="3" t="s">
        <v>64</v>
      </c>
      <c r="AV1476" s="6" t="str">
        <f>HYPERLINK("http://mcgill.on.worldcat.org/oclc/51274613","Catalog Record")</f>
        <v>Catalog Record</v>
      </c>
      <c r="AW1476" s="6" t="str">
        <f>HYPERLINK("http://www.worldcat.org/oclc/51274613","WorldCat Record")</f>
        <v>WorldCat Record</v>
      </c>
      <c r="AX1476" s="3" t="s">
        <v>15296</v>
      </c>
      <c r="AY1476" s="3" t="s">
        <v>15297</v>
      </c>
      <c r="AZ1476" s="3" t="s">
        <v>15298</v>
      </c>
      <c r="BA1476" s="3" t="s">
        <v>15298</v>
      </c>
      <c r="BB1476" s="3" t="s">
        <v>15299</v>
      </c>
      <c r="BC1476" s="3" t="s">
        <v>78</v>
      </c>
      <c r="BD1476" s="3" t="s">
        <v>79</v>
      </c>
      <c r="BE1476" s="3" t="s">
        <v>15300</v>
      </c>
      <c r="BF1476" s="3" t="s">
        <v>15299</v>
      </c>
      <c r="BG1476" s="3" t="s">
        <v>15301</v>
      </c>
    </row>
    <row r="1477" spans="1:59" ht="58" x14ac:dyDescent="0.35">
      <c r="A1477" s="2" t="s">
        <v>59</v>
      </c>
      <c r="B1477" s="2" t="s">
        <v>94</v>
      </c>
      <c r="C1477" s="2" t="s">
        <v>15302</v>
      </c>
      <c r="D1477" s="2" t="s">
        <v>15303</v>
      </c>
      <c r="E1477" s="2" t="s">
        <v>15304</v>
      </c>
      <c r="G1477" s="3" t="s">
        <v>64</v>
      </c>
      <c r="I1477" s="3" t="s">
        <v>64</v>
      </c>
      <c r="J1477" s="3" t="s">
        <v>64</v>
      </c>
      <c r="K1477" s="3" t="s">
        <v>65</v>
      </c>
      <c r="M1477" s="2" t="s">
        <v>15305</v>
      </c>
      <c r="N1477" s="3" t="s">
        <v>422</v>
      </c>
      <c r="P1477" s="3" t="s">
        <v>69</v>
      </c>
      <c r="Q1477" s="2" t="s">
        <v>15306</v>
      </c>
      <c r="R1477" s="3" t="s">
        <v>9228</v>
      </c>
      <c r="S1477" s="4">
        <v>11</v>
      </c>
      <c r="T1477" s="4">
        <v>11</v>
      </c>
      <c r="U1477" s="5" t="s">
        <v>2500</v>
      </c>
      <c r="V1477" s="5" t="s">
        <v>2500</v>
      </c>
      <c r="W1477" s="5" t="s">
        <v>72</v>
      </c>
      <c r="X1477" s="5" t="s">
        <v>72</v>
      </c>
      <c r="Y1477" s="4">
        <v>198</v>
      </c>
      <c r="Z1477" s="4">
        <v>10</v>
      </c>
      <c r="AA1477" s="4">
        <v>31</v>
      </c>
      <c r="AB1477" s="4">
        <v>2</v>
      </c>
      <c r="AC1477" s="4">
        <v>3</v>
      </c>
      <c r="AD1477" s="4">
        <v>89</v>
      </c>
      <c r="AE1477" s="4">
        <v>110</v>
      </c>
      <c r="AF1477" s="4">
        <v>0</v>
      </c>
      <c r="AG1477" s="4">
        <v>0</v>
      </c>
      <c r="AH1477" s="4">
        <v>86</v>
      </c>
      <c r="AI1477" s="4">
        <v>95</v>
      </c>
      <c r="AJ1477" s="4">
        <v>7</v>
      </c>
      <c r="AK1477" s="4">
        <v>12</v>
      </c>
      <c r="AL1477" s="4">
        <v>46</v>
      </c>
      <c r="AM1477" s="4">
        <v>49</v>
      </c>
      <c r="AN1477" s="4">
        <v>0</v>
      </c>
      <c r="AO1477" s="4">
        <v>0</v>
      </c>
      <c r="AP1477" s="4">
        <v>7</v>
      </c>
      <c r="AQ1477" s="4">
        <v>19</v>
      </c>
      <c r="AR1477" s="3" t="s">
        <v>64</v>
      </c>
      <c r="AS1477" s="3" t="s">
        <v>64</v>
      </c>
      <c r="AT1477" s="3" t="s">
        <v>64</v>
      </c>
      <c r="AV1477" s="6" t="str">
        <f>HYPERLINK("http://mcgill.on.worldcat.org/oclc/46822853","Catalog Record")</f>
        <v>Catalog Record</v>
      </c>
      <c r="AW1477" s="6" t="str">
        <f>HYPERLINK("http://www.worldcat.org/oclc/46822853","WorldCat Record")</f>
        <v>WorldCat Record</v>
      </c>
      <c r="AX1477" s="3" t="s">
        <v>15307</v>
      </c>
      <c r="AY1477" s="3" t="s">
        <v>15308</v>
      </c>
      <c r="AZ1477" s="3" t="s">
        <v>15309</v>
      </c>
      <c r="BA1477" s="3" t="s">
        <v>15309</v>
      </c>
      <c r="BB1477" s="3" t="s">
        <v>15310</v>
      </c>
      <c r="BC1477" s="3" t="s">
        <v>78</v>
      </c>
      <c r="BD1477" s="3" t="s">
        <v>79</v>
      </c>
      <c r="BE1477" s="3" t="s">
        <v>15311</v>
      </c>
      <c r="BF1477" s="3" t="s">
        <v>15310</v>
      </c>
      <c r="BG1477" s="3" t="s">
        <v>15312</v>
      </c>
    </row>
    <row r="1478" spans="1:59" ht="58" x14ac:dyDescent="0.35">
      <c r="A1478" s="2" t="s">
        <v>59</v>
      </c>
      <c r="B1478" s="2" t="s">
        <v>94</v>
      </c>
      <c r="C1478" s="2" t="s">
        <v>15313</v>
      </c>
      <c r="D1478" s="2" t="s">
        <v>15314</v>
      </c>
      <c r="E1478" s="2" t="s">
        <v>15315</v>
      </c>
      <c r="G1478" s="3" t="s">
        <v>64</v>
      </c>
      <c r="I1478" s="3" t="s">
        <v>64</v>
      </c>
      <c r="J1478" s="3" t="s">
        <v>64</v>
      </c>
      <c r="K1478" s="3" t="s">
        <v>65</v>
      </c>
      <c r="L1478" s="2" t="s">
        <v>15316</v>
      </c>
      <c r="M1478" s="2" t="s">
        <v>15317</v>
      </c>
      <c r="N1478" s="3" t="s">
        <v>365</v>
      </c>
      <c r="P1478" s="3" t="s">
        <v>69</v>
      </c>
      <c r="R1478" s="3" t="s">
        <v>9228</v>
      </c>
      <c r="S1478" s="4">
        <v>30</v>
      </c>
      <c r="T1478" s="4">
        <v>30</v>
      </c>
      <c r="U1478" s="5" t="s">
        <v>15318</v>
      </c>
      <c r="V1478" s="5" t="s">
        <v>15318</v>
      </c>
      <c r="W1478" s="5" t="s">
        <v>72</v>
      </c>
      <c r="X1478" s="5" t="s">
        <v>72</v>
      </c>
      <c r="Y1478" s="4">
        <v>366</v>
      </c>
      <c r="Z1478" s="4">
        <v>22</v>
      </c>
      <c r="AA1478" s="4">
        <v>29</v>
      </c>
      <c r="AB1478" s="4">
        <v>2</v>
      </c>
      <c r="AC1478" s="4">
        <v>4</v>
      </c>
      <c r="AD1478" s="4">
        <v>107</v>
      </c>
      <c r="AE1478" s="4">
        <v>116</v>
      </c>
      <c r="AF1478" s="4">
        <v>1</v>
      </c>
      <c r="AG1478" s="4">
        <v>3</v>
      </c>
      <c r="AH1478" s="4">
        <v>97</v>
      </c>
      <c r="AI1478" s="4">
        <v>99</v>
      </c>
      <c r="AJ1478" s="4">
        <v>14</v>
      </c>
      <c r="AK1478" s="4">
        <v>18</v>
      </c>
      <c r="AL1478" s="4">
        <v>54</v>
      </c>
      <c r="AM1478" s="4">
        <v>56</v>
      </c>
      <c r="AN1478" s="4">
        <v>0</v>
      </c>
      <c r="AO1478" s="4">
        <v>0</v>
      </c>
      <c r="AP1478" s="4">
        <v>16</v>
      </c>
      <c r="AQ1478" s="4">
        <v>22</v>
      </c>
      <c r="AR1478" s="3" t="s">
        <v>64</v>
      </c>
      <c r="AS1478" s="3" t="s">
        <v>64</v>
      </c>
      <c r="AT1478" s="3" t="s">
        <v>73</v>
      </c>
      <c r="AU1478" s="6" t="str">
        <f>HYPERLINK("http://catalog.hathitrust.org/Record/000461483","HathiTrust Record")</f>
        <v>HathiTrust Record</v>
      </c>
      <c r="AV1478" s="6" t="str">
        <f>HYPERLINK("http://mcgill.on.worldcat.org/oclc/11043046","Catalog Record")</f>
        <v>Catalog Record</v>
      </c>
      <c r="AW1478" s="6" t="str">
        <f>HYPERLINK("http://www.worldcat.org/oclc/11043046","WorldCat Record")</f>
        <v>WorldCat Record</v>
      </c>
      <c r="AX1478" s="3" t="s">
        <v>15319</v>
      </c>
      <c r="AY1478" s="3" t="s">
        <v>15320</v>
      </c>
      <c r="AZ1478" s="3" t="s">
        <v>15321</v>
      </c>
      <c r="BA1478" s="3" t="s">
        <v>15321</v>
      </c>
      <c r="BB1478" s="3" t="s">
        <v>15322</v>
      </c>
      <c r="BC1478" s="3" t="s">
        <v>78</v>
      </c>
      <c r="BD1478" s="3" t="s">
        <v>79</v>
      </c>
      <c r="BE1478" s="3" t="s">
        <v>15323</v>
      </c>
      <c r="BF1478" s="3" t="s">
        <v>15322</v>
      </c>
      <c r="BG1478" s="3" t="s">
        <v>15324</v>
      </c>
    </row>
    <row r="1479" spans="1:59" ht="58" x14ac:dyDescent="0.35">
      <c r="A1479" s="2" t="s">
        <v>59</v>
      </c>
      <c r="B1479" s="2" t="s">
        <v>94</v>
      </c>
      <c r="C1479" s="2" t="s">
        <v>15325</v>
      </c>
      <c r="D1479" s="2" t="s">
        <v>15326</v>
      </c>
      <c r="E1479" s="2" t="s">
        <v>15327</v>
      </c>
      <c r="G1479" s="3" t="s">
        <v>64</v>
      </c>
      <c r="I1479" s="3" t="s">
        <v>64</v>
      </c>
      <c r="J1479" s="3" t="s">
        <v>64</v>
      </c>
      <c r="K1479" s="3" t="s">
        <v>65</v>
      </c>
      <c r="L1479" s="2" t="s">
        <v>15328</v>
      </c>
      <c r="M1479" s="2" t="s">
        <v>15329</v>
      </c>
      <c r="N1479" s="3" t="s">
        <v>214</v>
      </c>
      <c r="P1479" s="3" t="s">
        <v>69</v>
      </c>
      <c r="Q1479" s="2" t="s">
        <v>450</v>
      </c>
      <c r="R1479" s="3" t="s">
        <v>9228</v>
      </c>
      <c r="S1479" s="4">
        <v>1</v>
      </c>
      <c r="T1479" s="4">
        <v>1</v>
      </c>
      <c r="U1479" s="5" t="s">
        <v>10330</v>
      </c>
      <c r="V1479" s="5" t="s">
        <v>10330</v>
      </c>
      <c r="W1479" s="5" t="s">
        <v>72</v>
      </c>
      <c r="X1479" s="5" t="s">
        <v>72</v>
      </c>
      <c r="Y1479" s="4">
        <v>196</v>
      </c>
      <c r="Z1479" s="4">
        <v>9</v>
      </c>
      <c r="AA1479" s="4">
        <v>77</v>
      </c>
      <c r="AB1479" s="4">
        <v>1</v>
      </c>
      <c r="AC1479" s="4">
        <v>15</v>
      </c>
      <c r="AD1479" s="4">
        <v>66</v>
      </c>
      <c r="AE1479" s="4">
        <v>129</v>
      </c>
      <c r="AF1479" s="4">
        <v>0</v>
      </c>
      <c r="AG1479" s="4">
        <v>8</v>
      </c>
      <c r="AH1479" s="4">
        <v>62</v>
      </c>
      <c r="AI1479" s="4">
        <v>96</v>
      </c>
      <c r="AJ1479" s="4">
        <v>5</v>
      </c>
      <c r="AK1479" s="4">
        <v>23</v>
      </c>
      <c r="AL1479" s="4">
        <v>41</v>
      </c>
      <c r="AM1479" s="4">
        <v>54</v>
      </c>
      <c r="AN1479" s="4">
        <v>0</v>
      </c>
      <c r="AO1479" s="4">
        <v>0</v>
      </c>
      <c r="AP1479" s="4">
        <v>6</v>
      </c>
      <c r="AQ1479" s="4">
        <v>40</v>
      </c>
      <c r="AR1479" s="3" t="s">
        <v>64</v>
      </c>
      <c r="AS1479" s="3" t="s">
        <v>64</v>
      </c>
      <c r="AT1479" s="3" t="s">
        <v>64</v>
      </c>
      <c r="AV1479" s="6" t="str">
        <f>HYPERLINK("http://mcgill.on.worldcat.org/oclc/610019333","Catalog Record")</f>
        <v>Catalog Record</v>
      </c>
      <c r="AW1479" s="6" t="str">
        <f>HYPERLINK("http://www.worldcat.org/oclc/610019333","WorldCat Record")</f>
        <v>WorldCat Record</v>
      </c>
      <c r="AX1479" s="3" t="s">
        <v>15330</v>
      </c>
      <c r="AY1479" s="3" t="s">
        <v>15331</v>
      </c>
      <c r="AZ1479" s="3" t="s">
        <v>15332</v>
      </c>
      <c r="BA1479" s="3" t="s">
        <v>15332</v>
      </c>
      <c r="BB1479" s="3" t="s">
        <v>15333</v>
      </c>
      <c r="BC1479" s="3" t="s">
        <v>78</v>
      </c>
      <c r="BD1479" s="3" t="s">
        <v>79</v>
      </c>
      <c r="BE1479" s="3" t="s">
        <v>15334</v>
      </c>
      <c r="BF1479" s="3" t="s">
        <v>15333</v>
      </c>
      <c r="BG1479" s="3" t="s">
        <v>15335</v>
      </c>
    </row>
    <row r="1480" spans="1:59" ht="58" x14ac:dyDescent="0.35">
      <c r="A1480" s="2" t="s">
        <v>59</v>
      </c>
      <c r="B1480" s="2" t="s">
        <v>94</v>
      </c>
      <c r="C1480" s="2" t="s">
        <v>15336</v>
      </c>
      <c r="D1480" s="2" t="s">
        <v>15337</v>
      </c>
      <c r="E1480" s="2" t="s">
        <v>15338</v>
      </c>
      <c r="G1480" s="3" t="s">
        <v>64</v>
      </c>
      <c r="I1480" s="3" t="s">
        <v>73</v>
      </c>
      <c r="J1480" s="3" t="s">
        <v>64</v>
      </c>
      <c r="K1480" s="3" t="s">
        <v>65</v>
      </c>
      <c r="L1480" s="2" t="s">
        <v>15339</v>
      </c>
      <c r="M1480" s="2" t="s">
        <v>15340</v>
      </c>
      <c r="N1480" s="3" t="s">
        <v>2214</v>
      </c>
      <c r="P1480" s="3" t="s">
        <v>69</v>
      </c>
      <c r="Q1480" s="2" t="s">
        <v>15341</v>
      </c>
      <c r="R1480" s="3" t="s">
        <v>9228</v>
      </c>
      <c r="S1480" s="4">
        <v>16</v>
      </c>
      <c r="T1480" s="4">
        <v>38</v>
      </c>
      <c r="U1480" s="5" t="s">
        <v>15342</v>
      </c>
      <c r="V1480" s="5" t="s">
        <v>5525</v>
      </c>
      <c r="W1480" s="5" t="s">
        <v>72</v>
      </c>
      <c r="X1480" s="5" t="s">
        <v>72</v>
      </c>
      <c r="Y1480" s="4">
        <v>572</v>
      </c>
      <c r="Z1480" s="4">
        <v>33</v>
      </c>
      <c r="AA1480" s="4">
        <v>36</v>
      </c>
      <c r="AB1480" s="4">
        <v>2</v>
      </c>
      <c r="AC1480" s="4">
        <v>5</v>
      </c>
      <c r="AD1480" s="4">
        <v>121</v>
      </c>
      <c r="AE1480" s="4">
        <v>125</v>
      </c>
      <c r="AF1480" s="4">
        <v>1</v>
      </c>
      <c r="AG1480" s="4">
        <v>4</v>
      </c>
      <c r="AH1480" s="4">
        <v>102</v>
      </c>
      <c r="AI1480" s="4">
        <v>104</v>
      </c>
      <c r="AJ1480" s="4">
        <v>20</v>
      </c>
      <c r="AK1480" s="4">
        <v>23</v>
      </c>
      <c r="AL1480" s="4">
        <v>55</v>
      </c>
      <c r="AM1480" s="4">
        <v>56</v>
      </c>
      <c r="AN1480" s="4">
        <v>0</v>
      </c>
      <c r="AO1480" s="4">
        <v>0</v>
      </c>
      <c r="AP1480" s="4">
        <v>25</v>
      </c>
      <c r="AQ1480" s="4">
        <v>27</v>
      </c>
      <c r="AR1480" s="3" t="s">
        <v>64</v>
      </c>
      <c r="AS1480" s="3" t="s">
        <v>64</v>
      </c>
      <c r="AT1480" s="3" t="s">
        <v>73</v>
      </c>
      <c r="AU1480" s="6" t="str">
        <f>HYPERLINK("http://catalog.hathitrust.org/Record/000685327","HathiTrust Record")</f>
        <v>HathiTrust Record</v>
      </c>
      <c r="AV1480" s="6" t="str">
        <f>HYPERLINK("http://mcgill.on.worldcat.org/oclc/1747182","Catalog Record")</f>
        <v>Catalog Record</v>
      </c>
      <c r="AW1480" s="6" t="str">
        <f>HYPERLINK("http://www.worldcat.org/oclc/1747182","WorldCat Record")</f>
        <v>WorldCat Record</v>
      </c>
      <c r="AX1480" s="3" t="s">
        <v>15343</v>
      </c>
      <c r="AY1480" s="3" t="s">
        <v>15344</v>
      </c>
      <c r="AZ1480" s="3" t="s">
        <v>15345</v>
      </c>
      <c r="BA1480" s="3" t="s">
        <v>15345</v>
      </c>
      <c r="BB1480" s="3" t="s">
        <v>15346</v>
      </c>
      <c r="BC1480" s="3" t="s">
        <v>78</v>
      </c>
      <c r="BD1480" s="3" t="s">
        <v>414</v>
      </c>
      <c r="BE1480" s="3" t="s">
        <v>15347</v>
      </c>
      <c r="BF1480" s="3" t="s">
        <v>15346</v>
      </c>
      <c r="BG1480" s="3" t="s">
        <v>15348</v>
      </c>
    </row>
    <row r="1481" spans="1:59" ht="58" x14ac:dyDescent="0.35">
      <c r="A1481" s="2" t="s">
        <v>59</v>
      </c>
      <c r="B1481" s="2" t="s">
        <v>94</v>
      </c>
      <c r="C1481" s="2" t="s">
        <v>15336</v>
      </c>
      <c r="D1481" s="2" t="s">
        <v>15337</v>
      </c>
      <c r="E1481" s="2" t="s">
        <v>15338</v>
      </c>
      <c r="G1481" s="3" t="s">
        <v>64</v>
      </c>
      <c r="I1481" s="3" t="s">
        <v>73</v>
      </c>
      <c r="J1481" s="3" t="s">
        <v>64</v>
      </c>
      <c r="K1481" s="3" t="s">
        <v>65</v>
      </c>
      <c r="L1481" s="2" t="s">
        <v>15339</v>
      </c>
      <c r="M1481" s="2" t="s">
        <v>15340</v>
      </c>
      <c r="N1481" s="3" t="s">
        <v>2214</v>
      </c>
      <c r="P1481" s="3" t="s">
        <v>69</v>
      </c>
      <c r="Q1481" s="2" t="s">
        <v>15341</v>
      </c>
      <c r="R1481" s="3" t="s">
        <v>9228</v>
      </c>
      <c r="S1481" s="4">
        <v>22</v>
      </c>
      <c r="T1481" s="4">
        <v>38</v>
      </c>
      <c r="U1481" s="5" t="s">
        <v>5525</v>
      </c>
      <c r="V1481" s="5" t="s">
        <v>5525</v>
      </c>
      <c r="W1481" s="5" t="s">
        <v>72</v>
      </c>
      <c r="X1481" s="5" t="s">
        <v>72</v>
      </c>
      <c r="Y1481" s="4">
        <v>572</v>
      </c>
      <c r="Z1481" s="4">
        <v>33</v>
      </c>
      <c r="AA1481" s="4">
        <v>36</v>
      </c>
      <c r="AB1481" s="4">
        <v>2</v>
      </c>
      <c r="AC1481" s="4">
        <v>5</v>
      </c>
      <c r="AD1481" s="4">
        <v>121</v>
      </c>
      <c r="AE1481" s="4">
        <v>125</v>
      </c>
      <c r="AF1481" s="4">
        <v>1</v>
      </c>
      <c r="AG1481" s="4">
        <v>4</v>
      </c>
      <c r="AH1481" s="4">
        <v>102</v>
      </c>
      <c r="AI1481" s="4">
        <v>104</v>
      </c>
      <c r="AJ1481" s="4">
        <v>20</v>
      </c>
      <c r="AK1481" s="4">
        <v>23</v>
      </c>
      <c r="AL1481" s="4">
        <v>55</v>
      </c>
      <c r="AM1481" s="4">
        <v>56</v>
      </c>
      <c r="AN1481" s="4">
        <v>0</v>
      </c>
      <c r="AO1481" s="4">
        <v>0</v>
      </c>
      <c r="AP1481" s="4">
        <v>25</v>
      </c>
      <c r="AQ1481" s="4">
        <v>27</v>
      </c>
      <c r="AR1481" s="3" t="s">
        <v>64</v>
      </c>
      <c r="AS1481" s="3" t="s">
        <v>64</v>
      </c>
      <c r="AT1481" s="3" t="s">
        <v>73</v>
      </c>
      <c r="AU1481" s="6" t="str">
        <f>HYPERLINK("http://catalog.hathitrust.org/Record/000685327","HathiTrust Record")</f>
        <v>HathiTrust Record</v>
      </c>
      <c r="AV1481" s="6" t="str">
        <f>HYPERLINK("http://mcgill.on.worldcat.org/oclc/1747182","Catalog Record")</f>
        <v>Catalog Record</v>
      </c>
      <c r="AW1481" s="6" t="str">
        <f>HYPERLINK("http://www.worldcat.org/oclc/1747182","WorldCat Record")</f>
        <v>WorldCat Record</v>
      </c>
      <c r="AX1481" s="3" t="s">
        <v>15343</v>
      </c>
      <c r="AY1481" s="3" t="s">
        <v>15344</v>
      </c>
      <c r="AZ1481" s="3" t="s">
        <v>15345</v>
      </c>
      <c r="BA1481" s="3" t="s">
        <v>15345</v>
      </c>
      <c r="BB1481" s="3" t="s">
        <v>15349</v>
      </c>
      <c r="BC1481" s="3" t="s">
        <v>78</v>
      </c>
      <c r="BD1481" s="3" t="s">
        <v>79</v>
      </c>
      <c r="BE1481" s="3" t="s">
        <v>15347</v>
      </c>
      <c r="BF1481" s="3" t="s">
        <v>15349</v>
      </c>
      <c r="BG1481" s="3" t="s">
        <v>15350</v>
      </c>
    </row>
    <row r="1482" spans="1:59" ht="58" x14ac:dyDescent="0.35">
      <c r="A1482" s="2" t="s">
        <v>59</v>
      </c>
      <c r="B1482" s="2" t="s">
        <v>94</v>
      </c>
      <c r="C1482" s="2" t="s">
        <v>15351</v>
      </c>
      <c r="D1482" s="2" t="s">
        <v>15352</v>
      </c>
      <c r="E1482" s="2" t="s">
        <v>15353</v>
      </c>
      <c r="G1482" s="3" t="s">
        <v>64</v>
      </c>
      <c r="I1482" s="3" t="s">
        <v>64</v>
      </c>
      <c r="J1482" s="3" t="s">
        <v>64</v>
      </c>
      <c r="K1482" s="3" t="s">
        <v>65</v>
      </c>
      <c r="L1482" s="2" t="s">
        <v>15354</v>
      </c>
      <c r="M1482" s="2" t="s">
        <v>15355</v>
      </c>
      <c r="N1482" s="3" t="s">
        <v>68</v>
      </c>
      <c r="P1482" s="3" t="s">
        <v>69</v>
      </c>
      <c r="Q1482" s="2" t="s">
        <v>15356</v>
      </c>
      <c r="R1482" s="3" t="s">
        <v>9228</v>
      </c>
      <c r="S1482" s="4">
        <v>1</v>
      </c>
      <c r="T1482" s="4">
        <v>1</v>
      </c>
      <c r="U1482" s="5" t="s">
        <v>15195</v>
      </c>
      <c r="V1482" s="5" t="s">
        <v>15195</v>
      </c>
      <c r="W1482" s="5" t="s">
        <v>72</v>
      </c>
      <c r="X1482" s="5" t="s">
        <v>72</v>
      </c>
      <c r="Y1482" s="4">
        <v>152</v>
      </c>
      <c r="Z1482" s="4">
        <v>13</v>
      </c>
      <c r="AA1482" s="4">
        <v>14</v>
      </c>
      <c r="AB1482" s="4">
        <v>2</v>
      </c>
      <c r="AC1482" s="4">
        <v>2</v>
      </c>
      <c r="AD1482" s="4">
        <v>73</v>
      </c>
      <c r="AE1482" s="4">
        <v>73</v>
      </c>
      <c r="AF1482" s="4">
        <v>1</v>
      </c>
      <c r="AG1482" s="4">
        <v>1</v>
      </c>
      <c r="AH1482" s="4">
        <v>67</v>
      </c>
      <c r="AI1482" s="4">
        <v>67</v>
      </c>
      <c r="AJ1482" s="4">
        <v>11</v>
      </c>
      <c r="AK1482" s="4">
        <v>11</v>
      </c>
      <c r="AL1482" s="4">
        <v>39</v>
      </c>
      <c r="AM1482" s="4">
        <v>39</v>
      </c>
      <c r="AN1482" s="4">
        <v>5</v>
      </c>
      <c r="AO1482" s="4">
        <v>5</v>
      </c>
      <c r="AP1482" s="4">
        <v>11</v>
      </c>
      <c r="AQ1482" s="4">
        <v>11</v>
      </c>
      <c r="AR1482" s="3" t="s">
        <v>64</v>
      </c>
      <c r="AS1482" s="3" t="s">
        <v>64</v>
      </c>
      <c r="AT1482" s="3" t="s">
        <v>73</v>
      </c>
      <c r="AU1482" s="6" t="str">
        <f>HYPERLINK("http://catalog.hathitrust.org/Record/005539365","HathiTrust Record")</f>
        <v>HathiTrust Record</v>
      </c>
      <c r="AV1482" s="6" t="str">
        <f>HYPERLINK("http://mcgill.on.worldcat.org/oclc/71238963","Catalog Record")</f>
        <v>Catalog Record</v>
      </c>
      <c r="AW1482" s="6" t="str">
        <f>HYPERLINK("http://www.worldcat.org/oclc/71238963","WorldCat Record")</f>
        <v>WorldCat Record</v>
      </c>
      <c r="AX1482" s="3" t="s">
        <v>15357</v>
      </c>
      <c r="AY1482" s="3" t="s">
        <v>15358</v>
      </c>
      <c r="AZ1482" s="3" t="s">
        <v>15359</v>
      </c>
      <c r="BA1482" s="3" t="s">
        <v>15359</v>
      </c>
      <c r="BB1482" s="3" t="s">
        <v>15360</v>
      </c>
      <c r="BC1482" s="3" t="s">
        <v>78</v>
      </c>
      <c r="BD1482" s="3" t="s">
        <v>79</v>
      </c>
      <c r="BE1482" s="3" t="s">
        <v>15361</v>
      </c>
      <c r="BF1482" s="3" t="s">
        <v>15360</v>
      </c>
      <c r="BG1482" s="3" t="s">
        <v>15362</v>
      </c>
    </row>
    <row r="1483" spans="1:59" ht="116" x14ac:dyDescent="0.35">
      <c r="A1483" s="2" t="s">
        <v>59</v>
      </c>
      <c r="B1483" s="2" t="s">
        <v>3778</v>
      </c>
      <c r="C1483" s="2" t="s">
        <v>15363</v>
      </c>
      <c r="D1483" s="2" t="s">
        <v>15364</v>
      </c>
      <c r="E1483" s="2" t="s">
        <v>15365</v>
      </c>
      <c r="G1483" s="3" t="s">
        <v>64</v>
      </c>
      <c r="I1483" s="3" t="s">
        <v>64</v>
      </c>
      <c r="J1483" s="3" t="s">
        <v>64</v>
      </c>
      <c r="K1483" s="3" t="s">
        <v>65</v>
      </c>
      <c r="M1483" s="2" t="s">
        <v>15366</v>
      </c>
      <c r="N1483" s="3" t="s">
        <v>1645</v>
      </c>
      <c r="O1483" s="2" t="s">
        <v>15367</v>
      </c>
      <c r="P1483" s="3" t="s">
        <v>3784</v>
      </c>
      <c r="Q1483" s="2" t="s">
        <v>15368</v>
      </c>
      <c r="R1483" s="3" t="s">
        <v>9228</v>
      </c>
      <c r="S1483" s="4">
        <v>0</v>
      </c>
      <c r="T1483" s="4">
        <v>0</v>
      </c>
      <c r="W1483" s="5" t="s">
        <v>15369</v>
      </c>
      <c r="X1483" s="5" t="s">
        <v>15369</v>
      </c>
      <c r="Y1483" s="4">
        <v>3</v>
      </c>
      <c r="Z1483" s="4">
        <v>1</v>
      </c>
      <c r="AA1483" s="4">
        <v>1</v>
      </c>
      <c r="AB1483" s="4">
        <v>1</v>
      </c>
      <c r="AC1483" s="4">
        <v>1</v>
      </c>
      <c r="AD1483" s="4">
        <v>1</v>
      </c>
      <c r="AE1483" s="4">
        <v>1</v>
      </c>
      <c r="AF1483" s="4">
        <v>0</v>
      </c>
      <c r="AG1483" s="4">
        <v>0</v>
      </c>
      <c r="AH1483" s="4">
        <v>1</v>
      </c>
      <c r="AI1483" s="4">
        <v>1</v>
      </c>
      <c r="AJ1483" s="4">
        <v>0</v>
      </c>
      <c r="AK1483" s="4">
        <v>0</v>
      </c>
      <c r="AL1483" s="4">
        <v>1</v>
      </c>
      <c r="AM1483" s="4">
        <v>1</v>
      </c>
      <c r="AN1483" s="4">
        <v>0</v>
      </c>
      <c r="AO1483" s="4">
        <v>0</v>
      </c>
      <c r="AP1483" s="4">
        <v>0</v>
      </c>
      <c r="AQ1483" s="4">
        <v>0</v>
      </c>
      <c r="AR1483" s="3" t="s">
        <v>64</v>
      </c>
      <c r="AS1483" s="3" t="s">
        <v>64</v>
      </c>
      <c r="AT1483" s="3" t="s">
        <v>64</v>
      </c>
      <c r="AV1483" s="6" t="str">
        <f>HYPERLINK("http://mcgill.on.worldcat.org/oclc/1047603602","Catalog Record")</f>
        <v>Catalog Record</v>
      </c>
      <c r="AW1483" s="6" t="str">
        <f>HYPERLINK("http://www.worldcat.org/oclc/1047603602","WorldCat Record")</f>
        <v>WorldCat Record</v>
      </c>
      <c r="AX1483" s="3" t="s">
        <v>15370</v>
      </c>
      <c r="AY1483" s="3" t="s">
        <v>15371</v>
      </c>
      <c r="AZ1483" s="3" t="s">
        <v>15372</v>
      </c>
      <c r="BA1483" s="3" t="s">
        <v>15372</v>
      </c>
      <c r="BB1483" s="3" t="s">
        <v>15373</v>
      </c>
      <c r="BC1483" s="3" t="s">
        <v>78</v>
      </c>
      <c r="BD1483" s="3" t="s">
        <v>79</v>
      </c>
      <c r="BE1483" s="3" t="s">
        <v>15374</v>
      </c>
      <c r="BF1483" s="3" t="s">
        <v>15373</v>
      </c>
      <c r="BG1483" s="3" t="s">
        <v>15375</v>
      </c>
    </row>
    <row r="1484" spans="1:59" ht="58" x14ac:dyDescent="0.35">
      <c r="A1484" s="2" t="s">
        <v>59</v>
      </c>
      <c r="B1484" s="2" t="s">
        <v>94</v>
      </c>
      <c r="C1484" s="2" t="s">
        <v>15376</v>
      </c>
      <c r="D1484" s="2" t="s">
        <v>15377</v>
      </c>
      <c r="E1484" s="2" t="s">
        <v>15378</v>
      </c>
      <c r="G1484" s="3" t="s">
        <v>64</v>
      </c>
      <c r="I1484" s="3" t="s">
        <v>64</v>
      </c>
      <c r="J1484" s="3" t="s">
        <v>64</v>
      </c>
      <c r="K1484" s="3" t="s">
        <v>65</v>
      </c>
      <c r="L1484" s="2" t="s">
        <v>15379</v>
      </c>
      <c r="M1484" s="2" t="s">
        <v>15380</v>
      </c>
      <c r="N1484" s="3" t="s">
        <v>486</v>
      </c>
      <c r="P1484" s="3" t="s">
        <v>69</v>
      </c>
      <c r="Q1484" s="2" t="s">
        <v>15381</v>
      </c>
      <c r="R1484" s="3" t="s">
        <v>9228</v>
      </c>
      <c r="S1484" s="4">
        <v>12</v>
      </c>
      <c r="T1484" s="4">
        <v>12</v>
      </c>
      <c r="U1484" s="5" t="s">
        <v>15382</v>
      </c>
      <c r="V1484" s="5" t="s">
        <v>15382</v>
      </c>
      <c r="W1484" s="5" t="s">
        <v>72</v>
      </c>
      <c r="X1484" s="5" t="s">
        <v>72</v>
      </c>
      <c r="Y1484" s="4">
        <v>377</v>
      </c>
      <c r="Z1484" s="4">
        <v>21</v>
      </c>
      <c r="AA1484" s="4">
        <v>24</v>
      </c>
      <c r="AB1484" s="4">
        <v>2</v>
      </c>
      <c r="AC1484" s="4">
        <v>3</v>
      </c>
      <c r="AD1484" s="4">
        <v>109</v>
      </c>
      <c r="AE1484" s="4">
        <v>114</v>
      </c>
      <c r="AF1484" s="4">
        <v>1</v>
      </c>
      <c r="AG1484" s="4">
        <v>2</v>
      </c>
      <c r="AH1484" s="4">
        <v>98</v>
      </c>
      <c r="AI1484" s="4">
        <v>101</v>
      </c>
      <c r="AJ1484" s="4">
        <v>16</v>
      </c>
      <c r="AK1484" s="4">
        <v>19</v>
      </c>
      <c r="AL1484" s="4">
        <v>53</v>
      </c>
      <c r="AM1484" s="4">
        <v>55</v>
      </c>
      <c r="AN1484" s="4">
        <v>0</v>
      </c>
      <c r="AO1484" s="4">
        <v>0</v>
      </c>
      <c r="AP1484" s="4">
        <v>18</v>
      </c>
      <c r="AQ1484" s="4">
        <v>21</v>
      </c>
      <c r="AR1484" s="3" t="s">
        <v>64</v>
      </c>
      <c r="AS1484" s="3" t="s">
        <v>64</v>
      </c>
      <c r="AT1484" s="3" t="s">
        <v>73</v>
      </c>
      <c r="AU1484" s="6" t="str">
        <f>HYPERLINK("http://catalog.hathitrust.org/Record/000745364","HathiTrust Record")</f>
        <v>HathiTrust Record</v>
      </c>
      <c r="AV1484" s="6" t="str">
        <f>HYPERLINK("http://mcgill.on.worldcat.org/oclc/5219739","Catalog Record")</f>
        <v>Catalog Record</v>
      </c>
      <c r="AW1484" s="6" t="str">
        <f>HYPERLINK("http://www.worldcat.org/oclc/5219739","WorldCat Record")</f>
        <v>WorldCat Record</v>
      </c>
      <c r="AX1484" s="3" t="s">
        <v>15383</v>
      </c>
      <c r="AY1484" s="3" t="s">
        <v>15384</v>
      </c>
      <c r="AZ1484" s="3" t="s">
        <v>15385</v>
      </c>
      <c r="BA1484" s="3" t="s">
        <v>15385</v>
      </c>
      <c r="BB1484" s="3" t="s">
        <v>15386</v>
      </c>
      <c r="BC1484" s="3" t="s">
        <v>78</v>
      </c>
      <c r="BD1484" s="3" t="s">
        <v>79</v>
      </c>
      <c r="BE1484" s="3" t="s">
        <v>15387</v>
      </c>
      <c r="BF1484" s="3" t="s">
        <v>15386</v>
      </c>
      <c r="BG1484" s="3" t="s">
        <v>15388</v>
      </c>
    </row>
    <row r="1485" spans="1:59" ht="58" x14ac:dyDescent="0.35">
      <c r="A1485" s="2" t="s">
        <v>59</v>
      </c>
      <c r="B1485" s="2" t="s">
        <v>94</v>
      </c>
      <c r="C1485" s="2" t="s">
        <v>15389</v>
      </c>
      <c r="D1485" s="2" t="s">
        <v>15390</v>
      </c>
      <c r="E1485" s="2" t="s">
        <v>15391</v>
      </c>
      <c r="G1485" s="3" t="s">
        <v>64</v>
      </c>
      <c r="I1485" s="3" t="s">
        <v>64</v>
      </c>
      <c r="J1485" s="3" t="s">
        <v>64</v>
      </c>
      <c r="K1485" s="3" t="s">
        <v>65</v>
      </c>
      <c r="M1485" s="2" t="s">
        <v>15392</v>
      </c>
      <c r="N1485" s="3" t="s">
        <v>651</v>
      </c>
      <c r="P1485" s="3" t="s">
        <v>69</v>
      </c>
      <c r="R1485" s="3" t="s">
        <v>9228</v>
      </c>
      <c r="S1485" s="4">
        <v>22</v>
      </c>
      <c r="T1485" s="4">
        <v>22</v>
      </c>
      <c r="U1485" s="5" t="s">
        <v>1204</v>
      </c>
      <c r="V1485" s="5" t="s">
        <v>1204</v>
      </c>
      <c r="W1485" s="5" t="s">
        <v>72</v>
      </c>
      <c r="X1485" s="5" t="s">
        <v>72</v>
      </c>
      <c r="Y1485" s="4">
        <v>276</v>
      </c>
      <c r="Z1485" s="4">
        <v>10</v>
      </c>
      <c r="AA1485" s="4">
        <v>13</v>
      </c>
      <c r="AB1485" s="4">
        <v>1</v>
      </c>
      <c r="AC1485" s="4">
        <v>4</v>
      </c>
      <c r="AD1485" s="4">
        <v>80</v>
      </c>
      <c r="AE1485" s="4">
        <v>81</v>
      </c>
      <c r="AF1485" s="4">
        <v>0</v>
      </c>
      <c r="AG1485" s="4">
        <v>0</v>
      </c>
      <c r="AH1485" s="4">
        <v>74</v>
      </c>
      <c r="AI1485" s="4">
        <v>75</v>
      </c>
      <c r="AJ1485" s="4">
        <v>4</v>
      </c>
      <c r="AK1485" s="4">
        <v>4</v>
      </c>
      <c r="AL1485" s="4">
        <v>44</v>
      </c>
      <c r="AM1485" s="4">
        <v>44</v>
      </c>
      <c r="AN1485" s="4">
        <v>0</v>
      </c>
      <c r="AO1485" s="4">
        <v>0</v>
      </c>
      <c r="AP1485" s="4">
        <v>7</v>
      </c>
      <c r="AQ1485" s="4">
        <v>7</v>
      </c>
      <c r="AR1485" s="3" t="s">
        <v>64</v>
      </c>
      <c r="AS1485" s="3" t="s">
        <v>64</v>
      </c>
      <c r="AT1485" s="3" t="s">
        <v>64</v>
      </c>
      <c r="AV1485" s="6" t="str">
        <f>HYPERLINK("http://mcgill.on.worldcat.org/oclc/50606442","Catalog Record")</f>
        <v>Catalog Record</v>
      </c>
      <c r="AW1485" s="6" t="str">
        <f>HYPERLINK("http://www.worldcat.org/oclc/50606442","WorldCat Record")</f>
        <v>WorldCat Record</v>
      </c>
      <c r="AX1485" s="3" t="s">
        <v>15393</v>
      </c>
      <c r="AY1485" s="3" t="s">
        <v>15394</v>
      </c>
      <c r="AZ1485" s="3" t="s">
        <v>15395</v>
      </c>
      <c r="BA1485" s="3" t="s">
        <v>15395</v>
      </c>
      <c r="BB1485" s="3" t="s">
        <v>15396</v>
      </c>
      <c r="BC1485" s="3" t="s">
        <v>78</v>
      </c>
      <c r="BD1485" s="3" t="s">
        <v>79</v>
      </c>
      <c r="BE1485" s="3" t="s">
        <v>15397</v>
      </c>
      <c r="BF1485" s="3" t="s">
        <v>15396</v>
      </c>
      <c r="BG1485" s="3" t="s">
        <v>15398</v>
      </c>
    </row>
    <row r="1486" spans="1:59" ht="58" x14ac:dyDescent="0.35">
      <c r="A1486" s="2" t="s">
        <v>59</v>
      </c>
      <c r="B1486" s="2" t="s">
        <v>94</v>
      </c>
      <c r="C1486" s="2" t="s">
        <v>15399</v>
      </c>
      <c r="D1486" s="2" t="s">
        <v>15400</v>
      </c>
      <c r="E1486" s="2" t="s">
        <v>15401</v>
      </c>
      <c r="G1486" s="3" t="s">
        <v>64</v>
      </c>
      <c r="I1486" s="3" t="s">
        <v>64</v>
      </c>
      <c r="J1486" s="3" t="s">
        <v>64</v>
      </c>
      <c r="K1486" s="3" t="s">
        <v>65</v>
      </c>
      <c r="L1486" s="2" t="s">
        <v>15402</v>
      </c>
      <c r="M1486" s="2" t="s">
        <v>15403</v>
      </c>
      <c r="N1486" s="3" t="s">
        <v>486</v>
      </c>
      <c r="P1486" s="3" t="s">
        <v>69</v>
      </c>
      <c r="R1486" s="3" t="s">
        <v>9228</v>
      </c>
      <c r="S1486" s="4">
        <v>17</v>
      </c>
      <c r="T1486" s="4">
        <v>17</v>
      </c>
      <c r="U1486" s="5" t="s">
        <v>15404</v>
      </c>
      <c r="V1486" s="5" t="s">
        <v>15404</v>
      </c>
      <c r="W1486" s="5" t="s">
        <v>72</v>
      </c>
      <c r="X1486" s="5" t="s">
        <v>72</v>
      </c>
      <c r="Y1486" s="4">
        <v>246</v>
      </c>
      <c r="Z1486" s="4">
        <v>27</v>
      </c>
      <c r="AA1486" s="4">
        <v>32</v>
      </c>
      <c r="AB1486" s="4">
        <v>2</v>
      </c>
      <c r="AC1486" s="4">
        <v>3</v>
      </c>
      <c r="AD1486" s="4">
        <v>90</v>
      </c>
      <c r="AE1486" s="4">
        <v>100</v>
      </c>
      <c r="AF1486" s="4">
        <v>1</v>
      </c>
      <c r="AG1486" s="4">
        <v>2</v>
      </c>
      <c r="AH1486" s="4">
        <v>76</v>
      </c>
      <c r="AI1486" s="4">
        <v>84</v>
      </c>
      <c r="AJ1486" s="4">
        <v>17</v>
      </c>
      <c r="AK1486" s="4">
        <v>21</v>
      </c>
      <c r="AL1486" s="4">
        <v>47</v>
      </c>
      <c r="AM1486" s="4">
        <v>50</v>
      </c>
      <c r="AN1486" s="4">
        <v>0</v>
      </c>
      <c r="AO1486" s="4">
        <v>0</v>
      </c>
      <c r="AP1486" s="4">
        <v>18</v>
      </c>
      <c r="AQ1486" s="4">
        <v>21</v>
      </c>
      <c r="AR1486" s="3" t="s">
        <v>73</v>
      </c>
      <c r="AS1486" s="3" t="s">
        <v>64</v>
      </c>
      <c r="AT1486" s="3" t="s">
        <v>64</v>
      </c>
      <c r="AV1486" s="6" t="str">
        <f>HYPERLINK("http://mcgill.on.worldcat.org/oclc/7322845","Catalog Record")</f>
        <v>Catalog Record</v>
      </c>
      <c r="AW1486" s="6" t="str">
        <f>HYPERLINK("http://www.worldcat.org/oclc/7322845","WorldCat Record")</f>
        <v>WorldCat Record</v>
      </c>
      <c r="AX1486" s="3" t="s">
        <v>15405</v>
      </c>
      <c r="AY1486" s="3" t="s">
        <v>15406</v>
      </c>
      <c r="AZ1486" s="3" t="s">
        <v>15407</v>
      </c>
      <c r="BA1486" s="3" t="s">
        <v>15407</v>
      </c>
      <c r="BB1486" s="3" t="s">
        <v>15408</v>
      </c>
      <c r="BC1486" s="3" t="s">
        <v>78</v>
      </c>
      <c r="BD1486" s="3" t="s">
        <v>79</v>
      </c>
      <c r="BE1486" s="3" t="s">
        <v>15409</v>
      </c>
      <c r="BF1486" s="3" t="s">
        <v>15408</v>
      </c>
      <c r="BG1486" s="3" t="s">
        <v>15410</v>
      </c>
    </row>
    <row r="1487" spans="1:59" ht="116" x14ac:dyDescent="0.35">
      <c r="A1487" s="2" t="s">
        <v>59</v>
      </c>
      <c r="B1487" s="2" t="s">
        <v>3778</v>
      </c>
      <c r="C1487" s="2" t="s">
        <v>15411</v>
      </c>
      <c r="D1487" s="2" t="s">
        <v>15412</v>
      </c>
      <c r="E1487" s="2" t="s">
        <v>15413</v>
      </c>
      <c r="G1487" s="3" t="s">
        <v>64</v>
      </c>
      <c r="I1487" s="3" t="s">
        <v>64</v>
      </c>
      <c r="J1487" s="3" t="s">
        <v>64</v>
      </c>
      <c r="K1487" s="3" t="s">
        <v>65</v>
      </c>
      <c r="L1487" s="2" t="s">
        <v>15414</v>
      </c>
      <c r="M1487" s="2" t="s">
        <v>15415</v>
      </c>
      <c r="N1487" s="3" t="s">
        <v>1645</v>
      </c>
      <c r="O1487" s="2" t="s">
        <v>3783</v>
      </c>
      <c r="P1487" s="3" t="s">
        <v>3784</v>
      </c>
      <c r="R1487" s="3" t="s">
        <v>9228</v>
      </c>
      <c r="S1487" s="4">
        <v>0</v>
      </c>
      <c r="T1487" s="4">
        <v>0</v>
      </c>
      <c r="W1487" s="5" t="s">
        <v>72</v>
      </c>
      <c r="X1487" s="5" t="s">
        <v>72</v>
      </c>
      <c r="Y1487" s="4">
        <v>18</v>
      </c>
      <c r="Z1487" s="4">
        <v>1</v>
      </c>
      <c r="AA1487" s="4">
        <v>1</v>
      </c>
      <c r="AB1487" s="4">
        <v>1</v>
      </c>
      <c r="AC1487" s="4">
        <v>1</v>
      </c>
      <c r="AD1487" s="4">
        <v>14</v>
      </c>
      <c r="AE1487" s="4">
        <v>14</v>
      </c>
      <c r="AF1487" s="4">
        <v>0</v>
      </c>
      <c r="AG1487" s="4">
        <v>0</v>
      </c>
      <c r="AH1487" s="4">
        <v>13</v>
      </c>
      <c r="AI1487" s="4">
        <v>13</v>
      </c>
      <c r="AJ1487" s="4">
        <v>0</v>
      </c>
      <c r="AK1487" s="4">
        <v>0</v>
      </c>
      <c r="AL1487" s="4">
        <v>13</v>
      </c>
      <c r="AM1487" s="4">
        <v>13</v>
      </c>
      <c r="AN1487" s="4">
        <v>0</v>
      </c>
      <c r="AO1487" s="4">
        <v>0</v>
      </c>
      <c r="AP1487" s="4">
        <v>0</v>
      </c>
      <c r="AQ1487" s="4">
        <v>0</v>
      </c>
      <c r="AR1487" s="3" t="s">
        <v>64</v>
      </c>
      <c r="AS1487" s="3" t="s">
        <v>64</v>
      </c>
      <c r="AT1487" s="3" t="s">
        <v>64</v>
      </c>
      <c r="AV1487" s="6" t="str">
        <f>HYPERLINK("http://mcgill.on.worldcat.org/oclc/1013162757","Catalog Record")</f>
        <v>Catalog Record</v>
      </c>
      <c r="AW1487" s="6" t="str">
        <f>HYPERLINK("http://www.worldcat.org/oclc/1013162757","WorldCat Record")</f>
        <v>WorldCat Record</v>
      </c>
      <c r="AX1487" s="3" t="s">
        <v>15416</v>
      </c>
      <c r="AY1487" s="3" t="s">
        <v>15417</v>
      </c>
      <c r="AZ1487" s="3" t="s">
        <v>15418</v>
      </c>
      <c r="BA1487" s="3" t="s">
        <v>15418</v>
      </c>
      <c r="BB1487" s="3" t="s">
        <v>15419</v>
      </c>
      <c r="BC1487" s="3" t="s">
        <v>78</v>
      </c>
      <c r="BD1487" s="3" t="s">
        <v>79</v>
      </c>
      <c r="BE1487" s="3" t="s">
        <v>15420</v>
      </c>
      <c r="BF1487" s="3" t="s">
        <v>15419</v>
      </c>
      <c r="BG1487" s="3" t="s">
        <v>15421</v>
      </c>
    </row>
    <row r="1488" spans="1:59" ht="116" x14ac:dyDescent="0.35">
      <c r="A1488" s="2" t="s">
        <v>59</v>
      </c>
      <c r="B1488" s="2" t="s">
        <v>3778</v>
      </c>
      <c r="C1488" s="2" t="s">
        <v>15422</v>
      </c>
      <c r="D1488" s="2" t="s">
        <v>15423</v>
      </c>
      <c r="E1488" s="2" t="s">
        <v>15424</v>
      </c>
      <c r="G1488" s="3" t="s">
        <v>64</v>
      </c>
      <c r="I1488" s="3" t="s">
        <v>64</v>
      </c>
      <c r="J1488" s="3" t="s">
        <v>64</v>
      </c>
      <c r="K1488" s="3" t="s">
        <v>65</v>
      </c>
      <c r="M1488" s="2" t="s">
        <v>15425</v>
      </c>
      <c r="N1488" s="3" t="s">
        <v>538</v>
      </c>
      <c r="O1488" s="2" t="s">
        <v>3783</v>
      </c>
      <c r="P1488" s="3" t="s">
        <v>3784</v>
      </c>
      <c r="R1488" s="3" t="s">
        <v>9228</v>
      </c>
      <c r="S1488" s="4">
        <v>4</v>
      </c>
      <c r="T1488" s="4">
        <v>4</v>
      </c>
      <c r="U1488" s="5" t="s">
        <v>8596</v>
      </c>
      <c r="V1488" s="5" t="s">
        <v>8596</v>
      </c>
      <c r="W1488" s="5" t="s">
        <v>72</v>
      </c>
      <c r="X1488" s="5" t="s">
        <v>72</v>
      </c>
      <c r="Y1488" s="4">
        <v>19</v>
      </c>
      <c r="Z1488" s="4">
        <v>3</v>
      </c>
      <c r="AA1488" s="4">
        <v>3</v>
      </c>
      <c r="AB1488" s="4">
        <v>1</v>
      </c>
      <c r="AC1488" s="4">
        <v>1</v>
      </c>
      <c r="AD1488" s="4">
        <v>11</v>
      </c>
      <c r="AE1488" s="4">
        <v>11</v>
      </c>
      <c r="AF1488" s="4">
        <v>0</v>
      </c>
      <c r="AG1488" s="4">
        <v>0</v>
      </c>
      <c r="AH1488" s="4">
        <v>10</v>
      </c>
      <c r="AI1488" s="4">
        <v>10</v>
      </c>
      <c r="AJ1488" s="4">
        <v>1</v>
      </c>
      <c r="AK1488" s="4">
        <v>1</v>
      </c>
      <c r="AL1488" s="4">
        <v>9</v>
      </c>
      <c r="AM1488" s="4">
        <v>9</v>
      </c>
      <c r="AN1488" s="4">
        <v>0</v>
      </c>
      <c r="AO1488" s="4">
        <v>0</v>
      </c>
      <c r="AP1488" s="4">
        <v>1</v>
      </c>
      <c r="AQ1488" s="4">
        <v>1</v>
      </c>
      <c r="AR1488" s="3" t="s">
        <v>64</v>
      </c>
      <c r="AS1488" s="3" t="s">
        <v>64</v>
      </c>
      <c r="AT1488" s="3" t="s">
        <v>64</v>
      </c>
      <c r="AV1488" s="6" t="str">
        <f>HYPERLINK("http://mcgill.on.worldcat.org/oclc/182549578","Catalog Record")</f>
        <v>Catalog Record</v>
      </c>
      <c r="AW1488" s="6" t="str">
        <f>HYPERLINK("http://www.worldcat.org/oclc/182549578","WorldCat Record")</f>
        <v>WorldCat Record</v>
      </c>
      <c r="AX1488" s="3" t="s">
        <v>15426</v>
      </c>
      <c r="AY1488" s="3" t="s">
        <v>15427</v>
      </c>
      <c r="AZ1488" s="3" t="s">
        <v>15428</v>
      </c>
      <c r="BA1488" s="3" t="s">
        <v>15428</v>
      </c>
      <c r="BB1488" s="3" t="s">
        <v>15429</v>
      </c>
      <c r="BC1488" s="3" t="s">
        <v>78</v>
      </c>
      <c r="BD1488" s="3" t="s">
        <v>79</v>
      </c>
      <c r="BE1488" s="3" t="s">
        <v>15430</v>
      </c>
      <c r="BF1488" s="3" t="s">
        <v>15429</v>
      </c>
      <c r="BG1488" s="3" t="s">
        <v>15431</v>
      </c>
    </row>
    <row r="1489" spans="1:59" ht="116" x14ac:dyDescent="0.35">
      <c r="A1489" s="2" t="s">
        <v>59</v>
      </c>
      <c r="B1489" s="2" t="s">
        <v>3778</v>
      </c>
      <c r="C1489" s="2" t="s">
        <v>15432</v>
      </c>
      <c r="D1489" s="2" t="s">
        <v>15433</v>
      </c>
      <c r="E1489" s="2" t="s">
        <v>15434</v>
      </c>
      <c r="G1489" s="3" t="s">
        <v>64</v>
      </c>
      <c r="I1489" s="3" t="s">
        <v>64</v>
      </c>
      <c r="J1489" s="3" t="s">
        <v>64</v>
      </c>
      <c r="K1489" s="3" t="s">
        <v>65</v>
      </c>
      <c r="L1489" s="2" t="s">
        <v>15435</v>
      </c>
      <c r="M1489" s="2" t="s">
        <v>15436</v>
      </c>
      <c r="N1489" s="3" t="s">
        <v>136</v>
      </c>
      <c r="O1489" s="2" t="s">
        <v>3783</v>
      </c>
      <c r="P1489" s="3" t="s">
        <v>3784</v>
      </c>
      <c r="Q1489" s="2" t="s">
        <v>15437</v>
      </c>
      <c r="R1489" s="3" t="s">
        <v>9228</v>
      </c>
      <c r="S1489" s="4">
        <v>1</v>
      </c>
      <c r="T1489" s="4">
        <v>1</v>
      </c>
      <c r="U1489" s="5" t="s">
        <v>8596</v>
      </c>
      <c r="V1489" s="5" t="s">
        <v>8596</v>
      </c>
      <c r="W1489" s="5" t="s">
        <v>72</v>
      </c>
      <c r="X1489" s="5" t="s">
        <v>72</v>
      </c>
      <c r="Y1489" s="4">
        <v>25</v>
      </c>
      <c r="Z1489" s="4">
        <v>1</v>
      </c>
      <c r="AA1489" s="4">
        <v>1</v>
      </c>
      <c r="AB1489" s="4">
        <v>1</v>
      </c>
      <c r="AC1489" s="4">
        <v>1</v>
      </c>
      <c r="AD1489" s="4">
        <v>14</v>
      </c>
      <c r="AE1489" s="4">
        <v>14</v>
      </c>
      <c r="AF1489" s="4">
        <v>0</v>
      </c>
      <c r="AG1489" s="4">
        <v>0</v>
      </c>
      <c r="AH1489" s="4">
        <v>12</v>
      </c>
      <c r="AI1489" s="4">
        <v>12</v>
      </c>
      <c r="AJ1489" s="4">
        <v>0</v>
      </c>
      <c r="AK1489" s="4">
        <v>0</v>
      </c>
      <c r="AL1489" s="4">
        <v>12</v>
      </c>
      <c r="AM1489" s="4">
        <v>12</v>
      </c>
      <c r="AN1489" s="4">
        <v>0</v>
      </c>
      <c r="AO1489" s="4">
        <v>0</v>
      </c>
      <c r="AP1489" s="4">
        <v>0</v>
      </c>
      <c r="AQ1489" s="4">
        <v>0</v>
      </c>
      <c r="AR1489" s="3" t="s">
        <v>64</v>
      </c>
      <c r="AS1489" s="3" t="s">
        <v>64</v>
      </c>
      <c r="AT1489" s="3" t="s">
        <v>73</v>
      </c>
      <c r="AU1489" s="6" t="str">
        <f>HYPERLINK("http://catalog.hathitrust.org/Record/003515162","HathiTrust Record")</f>
        <v>HathiTrust Record</v>
      </c>
      <c r="AV1489" s="6" t="str">
        <f>HYPERLINK("http://mcgill.on.worldcat.org/oclc/44929114","Catalog Record")</f>
        <v>Catalog Record</v>
      </c>
      <c r="AW1489" s="6" t="str">
        <f>HYPERLINK("http://www.worldcat.org/oclc/44929114","WorldCat Record")</f>
        <v>WorldCat Record</v>
      </c>
      <c r="AX1489" s="3" t="s">
        <v>15438</v>
      </c>
      <c r="AY1489" s="3" t="s">
        <v>15439</v>
      </c>
      <c r="AZ1489" s="3" t="s">
        <v>15440</v>
      </c>
      <c r="BA1489" s="3" t="s">
        <v>15440</v>
      </c>
      <c r="BB1489" s="3" t="s">
        <v>15441</v>
      </c>
      <c r="BC1489" s="3" t="s">
        <v>78</v>
      </c>
      <c r="BD1489" s="3" t="s">
        <v>79</v>
      </c>
      <c r="BE1489" s="3" t="s">
        <v>15442</v>
      </c>
      <c r="BF1489" s="3" t="s">
        <v>15441</v>
      </c>
      <c r="BG1489" s="3" t="s">
        <v>15443</v>
      </c>
    </row>
    <row r="1490" spans="1:59" ht="58" x14ac:dyDescent="0.35">
      <c r="A1490" s="2" t="s">
        <v>59</v>
      </c>
      <c r="B1490" s="2" t="s">
        <v>94</v>
      </c>
      <c r="C1490" s="2" t="s">
        <v>15444</v>
      </c>
      <c r="D1490" s="2" t="s">
        <v>15445</v>
      </c>
      <c r="E1490" s="2" t="s">
        <v>15446</v>
      </c>
      <c r="G1490" s="3" t="s">
        <v>64</v>
      </c>
      <c r="I1490" s="3" t="s">
        <v>64</v>
      </c>
      <c r="J1490" s="3" t="s">
        <v>64</v>
      </c>
      <c r="K1490" s="3" t="s">
        <v>65</v>
      </c>
      <c r="L1490" s="2" t="s">
        <v>15447</v>
      </c>
      <c r="M1490" s="2" t="s">
        <v>15448</v>
      </c>
      <c r="N1490" s="3" t="s">
        <v>1167</v>
      </c>
      <c r="P1490" s="3" t="s">
        <v>69</v>
      </c>
      <c r="Q1490" s="2" t="s">
        <v>15449</v>
      </c>
      <c r="R1490" s="3" t="s">
        <v>9228</v>
      </c>
      <c r="S1490" s="4">
        <v>17</v>
      </c>
      <c r="T1490" s="4">
        <v>17</v>
      </c>
      <c r="U1490" s="5" t="s">
        <v>9462</v>
      </c>
      <c r="V1490" s="5" t="s">
        <v>9462</v>
      </c>
      <c r="W1490" s="5" t="s">
        <v>72</v>
      </c>
      <c r="X1490" s="5" t="s">
        <v>72</v>
      </c>
      <c r="Y1490" s="4">
        <v>321</v>
      </c>
      <c r="Z1490" s="4">
        <v>23</v>
      </c>
      <c r="AA1490" s="4">
        <v>25</v>
      </c>
      <c r="AB1490" s="4">
        <v>2</v>
      </c>
      <c r="AC1490" s="4">
        <v>3</v>
      </c>
      <c r="AD1490" s="4">
        <v>106</v>
      </c>
      <c r="AE1490" s="4">
        <v>108</v>
      </c>
      <c r="AF1490" s="4">
        <v>1</v>
      </c>
      <c r="AG1490" s="4">
        <v>1</v>
      </c>
      <c r="AH1490" s="4">
        <v>94</v>
      </c>
      <c r="AI1490" s="4">
        <v>95</v>
      </c>
      <c r="AJ1490" s="4">
        <v>15</v>
      </c>
      <c r="AK1490" s="4">
        <v>15</v>
      </c>
      <c r="AL1490" s="4">
        <v>52</v>
      </c>
      <c r="AM1490" s="4">
        <v>53</v>
      </c>
      <c r="AN1490" s="4">
        <v>0</v>
      </c>
      <c r="AO1490" s="4">
        <v>0</v>
      </c>
      <c r="AP1490" s="4">
        <v>18</v>
      </c>
      <c r="AQ1490" s="4">
        <v>19</v>
      </c>
      <c r="AR1490" s="3" t="s">
        <v>64</v>
      </c>
      <c r="AS1490" s="3" t="s">
        <v>64</v>
      </c>
      <c r="AT1490" s="3" t="s">
        <v>73</v>
      </c>
      <c r="AU1490" s="6" t="str">
        <f>HYPERLINK("http://catalog.hathitrust.org/Record/000137191","HathiTrust Record")</f>
        <v>HathiTrust Record</v>
      </c>
      <c r="AV1490" s="6" t="str">
        <f>HYPERLINK("http://mcgill.on.worldcat.org/oclc/3892803","Catalog Record")</f>
        <v>Catalog Record</v>
      </c>
      <c r="AW1490" s="6" t="str">
        <f>HYPERLINK("http://www.worldcat.org/oclc/3892803","WorldCat Record")</f>
        <v>WorldCat Record</v>
      </c>
      <c r="AX1490" s="3" t="s">
        <v>15450</v>
      </c>
      <c r="AY1490" s="3" t="s">
        <v>15451</v>
      </c>
      <c r="AZ1490" s="3" t="s">
        <v>15452</v>
      </c>
      <c r="BA1490" s="3" t="s">
        <v>15452</v>
      </c>
      <c r="BB1490" s="3" t="s">
        <v>15453</v>
      </c>
      <c r="BC1490" s="3" t="s">
        <v>78</v>
      </c>
      <c r="BD1490" s="3" t="s">
        <v>79</v>
      </c>
      <c r="BE1490" s="3" t="s">
        <v>15454</v>
      </c>
      <c r="BF1490" s="3" t="s">
        <v>15453</v>
      </c>
      <c r="BG1490" s="3" t="s">
        <v>15455</v>
      </c>
    </row>
    <row r="1491" spans="1:59" ht="58" x14ac:dyDescent="0.35">
      <c r="A1491" s="2" t="s">
        <v>59</v>
      </c>
      <c r="B1491" s="2" t="s">
        <v>94</v>
      </c>
      <c r="C1491" s="2" t="s">
        <v>15456</v>
      </c>
      <c r="D1491" s="2" t="s">
        <v>15457</v>
      </c>
      <c r="E1491" s="2" t="s">
        <v>15458</v>
      </c>
      <c r="G1491" s="3" t="s">
        <v>64</v>
      </c>
      <c r="I1491" s="3" t="s">
        <v>64</v>
      </c>
      <c r="J1491" s="3" t="s">
        <v>64</v>
      </c>
      <c r="K1491" s="3" t="s">
        <v>65</v>
      </c>
      <c r="L1491" s="2" t="s">
        <v>15459</v>
      </c>
      <c r="M1491" s="2" t="s">
        <v>15460</v>
      </c>
      <c r="N1491" s="3" t="s">
        <v>315</v>
      </c>
      <c r="P1491" s="3" t="s">
        <v>69</v>
      </c>
      <c r="R1491" s="3" t="s">
        <v>9228</v>
      </c>
      <c r="S1491" s="4">
        <v>21</v>
      </c>
      <c r="T1491" s="4">
        <v>21</v>
      </c>
      <c r="U1491" s="5" t="s">
        <v>1424</v>
      </c>
      <c r="V1491" s="5" t="s">
        <v>1424</v>
      </c>
      <c r="W1491" s="5" t="s">
        <v>72</v>
      </c>
      <c r="X1491" s="5" t="s">
        <v>72</v>
      </c>
      <c r="Y1491" s="4">
        <v>320</v>
      </c>
      <c r="Z1491" s="4">
        <v>15</v>
      </c>
      <c r="AA1491" s="4">
        <v>26</v>
      </c>
      <c r="AB1491" s="4">
        <v>1</v>
      </c>
      <c r="AC1491" s="4">
        <v>1</v>
      </c>
      <c r="AD1491" s="4">
        <v>75</v>
      </c>
      <c r="AE1491" s="4">
        <v>114</v>
      </c>
      <c r="AF1491" s="4">
        <v>0</v>
      </c>
      <c r="AG1491" s="4">
        <v>0</v>
      </c>
      <c r="AH1491" s="4">
        <v>66</v>
      </c>
      <c r="AI1491" s="4">
        <v>100</v>
      </c>
      <c r="AJ1491" s="4">
        <v>8</v>
      </c>
      <c r="AK1491" s="4">
        <v>17</v>
      </c>
      <c r="AL1491" s="4">
        <v>39</v>
      </c>
      <c r="AM1491" s="4">
        <v>56</v>
      </c>
      <c r="AN1491" s="4">
        <v>5</v>
      </c>
      <c r="AO1491" s="4">
        <v>5</v>
      </c>
      <c r="AP1491" s="4">
        <v>12</v>
      </c>
      <c r="AQ1491" s="4">
        <v>22</v>
      </c>
      <c r="AR1491" s="3" t="s">
        <v>64</v>
      </c>
      <c r="AS1491" s="3" t="s">
        <v>64</v>
      </c>
      <c r="AT1491" s="3" t="s">
        <v>73</v>
      </c>
      <c r="AU1491" s="6" t="str">
        <f>HYPERLINK("http://catalog.hathitrust.org/Record/102093555","HathiTrust Record")</f>
        <v>HathiTrust Record</v>
      </c>
      <c r="AV1491" s="6" t="str">
        <f>HYPERLINK("http://mcgill.on.worldcat.org/oclc/15196880","Catalog Record")</f>
        <v>Catalog Record</v>
      </c>
      <c r="AW1491" s="6" t="str">
        <f>HYPERLINK("http://www.worldcat.org/oclc/15196880","WorldCat Record")</f>
        <v>WorldCat Record</v>
      </c>
      <c r="AX1491" s="3" t="s">
        <v>15461</v>
      </c>
      <c r="AY1491" s="3" t="s">
        <v>15462</v>
      </c>
      <c r="AZ1491" s="3" t="s">
        <v>15463</v>
      </c>
      <c r="BA1491" s="3" t="s">
        <v>15463</v>
      </c>
      <c r="BB1491" s="3" t="s">
        <v>15464</v>
      </c>
      <c r="BC1491" s="3" t="s">
        <v>78</v>
      </c>
      <c r="BD1491" s="3" t="s">
        <v>79</v>
      </c>
      <c r="BE1491" s="3" t="s">
        <v>15465</v>
      </c>
      <c r="BF1491" s="3" t="s">
        <v>15464</v>
      </c>
      <c r="BG1491" s="3" t="s">
        <v>15466</v>
      </c>
    </row>
    <row r="1492" spans="1:59" ht="58" x14ac:dyDescent="0.35">
      <c r="A1492" s="2" t="s">
        <v>59</v>
      </c>
      <c r="B1492" s="2" t="s">
        <v>94</v>
      </c>
      <c r="C1492" s="2" t="s">
        <v>15467</v>
      </c>
      <c r="D1492" s="2" t="s">
        <v>15468</v>
      </c>
      <c r="E1492" s="2" t="s">
        <v>15469</v>
      </c>
      <c r="G1492" s="3" t="s">
        <v>64</v>
      </c>
      <c r="I1492" s="3" t="s">
        <v>64</v>
      </c>
      <c r="J1492" s="3" t="s">
        <v>64</v>
      </c>
      <c r="K1492" s="3" t="s">
        <v>65</v>
      </c>
      <c r="L1492" s="2" t="s">
        <v>15470</v>
      </c>
      <c r="M1492" s="2" t="s">
        <v>15471</v>
      </c>
      <c r="N1492" s="3" t="s">
        <v>538</v>
      </c>
      <c r="P1492" s="3" t="s">
        <v>69</v>
      </c>
      <c r="R1492" s="3" t="s">
        <v>9228</v>
      </c>
      <c r="S1492" s="4">
        <v>5</v>
      </c>
      <c r="T1492" s="4">
        <v>5</v>
      </c>
      <c r="U1492" s="5" t="s">
        <v>3588</v>
      </c>
      <c r="V1492" s="5" t="s">
        <v>3588</v>
      </c>
      <c r="W1492" s="5" t="s">
        <v>72</v>
      </c>
      <c r="X1492" s="5" t="s">
        <v>72</v>
      </c>
      <c r="Y1492" s="4">
        <v>512</v>
      </c>
      <c r="Z1492" s="4">
        <v>23</v>
      </c>
      <c r="AA1492" s="4">
        <v>56</v>
      </c>
      <c r="AB1492" s="4">
        <v>1</v>
      </c>
      <c r="AC1492" s="4">
        <v>7</v>
      </c>
      <c r="AD1492" s="4">
        <v>90</v>
      </c>
      <c r="AE1492" s="4">
        <v>101</v>
      </c>
      <c r="AF1492" s="4">
        <v>0</v>
      </c>
      <c r="AG1492" s="4">
        <v>0</v>
      </c>
      <c r="AH1492" s="4">
        <v>77</v>
      </c>
      <c r="AI1492" s="4">
        <v>84</v>
      </c>
      <c r="AJ1492" s="4">
        <v>9</v>
      </c>
      <c r="AK1492" s="4">
        <v>10</v>
      </c>
      <c r="AL1492" s="4">
        <v>42</v>
      </c>
      <c r="AM1492" s="4">
        <v>46</v>
      </c>
      <c r="AN1492" s="4">
        <v>0</v>
      </c>
      <c r="AO1492" s="4">
        <v>0</v>
      </c>
      <c r="AP1492" s="4">
        <v>17</v>
      </c>
      <c r="AQ1492" s="4">
        <v>21</v>
      </c>
      <c r="AR1492" s="3" t="s">
        <v>64</v>
      </c>
      <c r="AS1492" s="3" t="s">
        <v>64</v>
      </c>
      <c r="AT1492" s="3" t="s">
        <v>64</v>
      </c>
      <c r="AV1492" s="6" t="str">
        <f>HYPERLINK("http://mcgill.on.worldcat.org/oclc/85766284","Catalog Record")</f>
        <v>Catalog Record</v>
      </c>
      <c r="AW1492" s="6" t="str">
        <f>HYPERLINK("http://www.worldcat.org/oclc/85766284","WorldCat Record")</f>
        <v>WorldCat Record</v>
      </c>
      <c r="AX1492" s="3" t="s">
        <v>15472</v>
      </c>
      <c r="AY1492" s="3" t="s">
        <v>15473</v>
      </c>
      <c r="AZ1492" s="3" t="s">
        <v>15474</v>
      </c>
      <c r="BA1492" s="3" t="s">
        <v>15474</v>
      </c>
      <c r="BB1492" s="3" t="s">
        <v>15475</v>
      </c>
      <c r="BC1492" s="3" t="s">
        <v>78</v>
      </c>
      <c r="BD1492" s="3" t="s">
        <v>79</v>
      </c>
      <c r="BE1492" s="3" t="s">
        <v>15476</v>
      </c>
      <c r="BF1492" s="3" t="s">
        <v>15475</v>
      </c>
      <c r="BG1492" s="3" t="s">
        <v>15477</v>
      </c>
    </row>
    <row r="1493" spans="1:59" ht="116" x14ac:dyDescent="0.35">
      <c r="A1493" s="2" t="s">
        <v>59</v>
      </c>
      <c r="B1493" s="2" t="s">
        <v>3778</v>
      </c>
      <c r="C1493" s="2" t="s">
        <v>15478</v>
      </c>
      <c r="D1493" s="2" t="s">
        <v>15479</v>
      </c>
      <c r="E1493" s="2" t="s">
        <v>15480</v>
      </c>
      <c r="G1493" s="3" t="s">
        <v>64</v>
      </c>
      <c r="I1493" s="3" t="s">
        <v>64</v>
      </c>
      <c r="J1493" s="3" t="s">
        <v>64</v>
      </c>
      <c r="K1493" s="3" t="s">
        <v>65</v>
      </c>
      <c r="L1493" s="2" t="s">
        <v>15481</v>
      </c>
      <c r="M1493" s="2" t="s">
        <v>15482</v>
      </c>
      <c r="N1493" s="3" t="s">
        <v>287</v>
      </c>
      <c r="O1493" s="2" t="s">
        <v>3783</v>
      </c>
      <c r="P1493" s="3" t="s">
        <v>3784</v>
      </c>
      <c r="Q1493" s="2" t="s">
        <v>15483</v>
      </c>
      <c r="R1493" s="3" t="s">
        <v>9228</v>
      </c>
      <c r="S1493" s="4">
        <v>7</v>
      </c>
      <c r="T1493" s="4">
        <v>7</v>
      </c>
      <c r="U1493" s="5" t="s">
        <v>3961</v>
      </c>
      <c r="V1493" s="5" t="s">
        <v>3961</v>
      </c>
      <c r="W1493" s="5" t="s">
        <v>72</v>
      </c>
      <c r="X1493" s="5" t="s">
        <v>72</v>
      </c>
      <c r="Y1493" s="4">
        <v>66</v>
      </c>
      <c r="Z1493" s="4">
        <v>4</v>
      </c>
      <c r="AA1493" s="4">
        <v>4</v>
      </c>
      <c r="AB1493" s="4">
        <v>1</v>
      </c>
      <c r="AC1493" s="4">
        <v>1</v>
      </c>
      <c r="AD1493" s="4">
        <v>39</v>
      </c>
      <c r="AE1493" s="4">
        <v>40</v>
      </c>
      <c r="AF1493" s="4">
        <v>0</v>
      </c>
      <c r="AG1493" s="4">
        <v>0</v>
      </c>
      <c r="AH1493" s="4">
        <v>37</v>
      </c>
      <c r="AI1493" s="4">
        <v>38</v>
      </c>
      <c r="AJ1493" s="4">
        <v>2</v>
      </c>
      <c r="AK1493" s="4">
        <v>2</v>
      </c>
      <c r="AL1493" s="4">
        <v>31</v>
      </c>
      <c r="AM1493" s="4">
        <v>32</v>
      </c>
      <c r="AN1493" s="4">
        <v>0</v>
      </c>
      <c r="AO1493" s="4">
        <v>0</v>
      </c>
      <c r="AP1493" s="4">
        <v>2</v>
      </c>
      <c r="AQ1493" s="4">
        <v>2</v>
      </c>
      <c r="AR1493" s="3" t="s">
        <v>64</v>
      </c>
      <c r="AS1493" s="3" t="s">
        <v>64</v>
      </c>
      <c r="AT1493" s="3" t="s">
        <v>73</v>
      </c>
      <c r="AU1493" s="6" t="str">
        <f>HYPERLINK("http://catalog.hathitrust.org/Record/001716847","HathiTrust Record")</f>
        <v>HathiTrust Record</v>
      </c>
      <c r="AV1493" s="6" t="str">
        <f>HYPERLINK("http://mcgill.on.worldcat.org/oclc/17024055","Catalog Record")</f>
        <v>Catalog Record</v>
      </c>
      <c r="AW1493" s="6" t="str">
        <f>HYPERLINK("http://www.worldcat.org/oclc/17024055","WorldCat Record")</f>
        <v>WorldCat Record</v>
      </c>
      <c r="AX1493" s="3" t="s">
        <v>15484</v>
      </c>
      <c r="AY1493" s="3" t="s">
        <v>15485</v>
      </c>
      <c r="AZ1493" s="3" t="s">
        <v>15486</v>
      </c>
      <c r="BA1493" s="3" t="s">
        <v>15486</v>
      </c>
      <c r="BB1493" s="3" t="s">
        <v>15487</v>
      </c>
      <c r="BC1493" s="3" t="s">
        <v>78</v>
      </c>
      <c r="BD1493" s="3" t="s">
        <v>79</v>
      </c>
      <c r="BF1493" s="3" t="s">
        <v>15487</v>
      </c>
      <c r="BG1493" s="3" t="s">
        <v>15488</v>
      </c>
    </row>
    <row r="1494" spans="1:59" ht="116" x14ac:dyDescent="0.35">
      <c r="A1494" s="2" t="s">
        <v>59</v>
      </c>
      <c r="B1494" s="2" t="s">
        <v>3778</v>
      </c>
      <c r="C1494" s="2" t="s">
        <v>15489</v>
      </c>
      <c r="D1494" s="2" t="s">
        <v>15490</v>
      </c>
      <c r="E1494" s="2" t="s">
        <v>15491</v>
      </c>
      <c r="G1494" s="3" t="s">
        <v>64</v>
      </c>
      <c r="I1494" s="3" t="s">
        <v>64</v>
      </c>
      <c r="J1494" s="3" t="s">
        <v>64</v>
      </c>
      <c r="K1494" s="3" t="s">
        <v>65</v>
      </c>
      <c r="L1494" s="2" t="s">
        <v>15492</v>
      </c>
      <c r="M1494" s="2" t="s">
        <v>15493</v>
      </c>
      <c r="N1494" s="3" t="s">
        <v>68</v>
      </c>
      <c r="O1494" s="2" t="s">
        <v>15494</v>
      </c>
      <c r="P1494" s="3" t="s">
        <v>3784</v>
      </c>
      <c r="R1494" s="3" t="s">
        <v>9228</v>
      </c>
      <c r="S1494" s="4">
        <v>2</v>
      </c>
      <c r="T1494" s="4">
        <v>2</v>
      </c>
      <c r="U1494" s="5" t="s">
        <v>15495</v>
      </c>
      <c r="V1494" s="5" t="s">
        <v>15495</v>
      </c>
      <c r="W1494" s="5" t="s">
        <v>72</v>
      </c>
      <c r="X1494" s="5" t="s">
        <v>72</v>
      </c>
      <c r="Y1494" s="4">
        <v>4</v>
      </c>
      <c r="Z1494" s="4">
        <v>1</v>
      </c>
      <c r="AA1494" s="4">
        <v>1</v>
      </c>
      <c r="AB1494" s="4">
        <v>1</v>
      </c>
      <c r="AC1494" s="4">
        <v>1</v>
      </c>
      <c r="AD1494" s="4">
        <v>2</v>
      </c>
      <c r="AE1494" s="4">
        <v>2</v>
      </c>
      <c r="AF1494" s="4">
        <v>0</v>
      </c>
      <c r="AG1494" s="4">
        <v>0</v>
      </c>
      <c r="AH1494" s="4">
        <v>2</v>
      </c>
      <c r="AI1494" s="4">
        <v>2</v>
      </c>
      <c r="AJ1494" s="4">
        <v>0</v>
      </c>
      <c r="AK1494" s="4">
        <v>0</v>
      </c>
      <c r="AL1494" s="4">
        <v>2</v>
      </c>
      <c r="AM1494" s="4">
        <v>2</v>
      </c>
      <c r="AN1494" s="4">
        <v>0</v>
      </c>
      <c r="AO1494" s="4">
        <v>0</v>
      </c>
      <c r="AP1494" s="4">
        <v>0</v>
      </c>
      <c r="AQ1494" s="4">
        <v>0</v>
      </c>
      <c r="AR1494" s="3" t="s">
        <v>64</v>
      </c>
      <c r="AS1494" s="3" t="s">
        <v>64</v>
      </c>
      <c r="AT1494" s="3" t="s">
        <v>64</v>
      </c>
      <c r="AV1494" s="6" t="str">
        <f>HYPERLINK("http://mcgill.on.worldcat.org/oclc/70200571","Catalog Record")</f>
        <v>Catalog Record</v>
      </c>
      <c r="AW1494" s="6" t="str">
        <f>HYPERLINK("http://www.worldcat.org/oclc/70200571","WorldCat Record")</f>
        <v>WorldCat Record</v>
      </c>
      <c r="AX1494" s="3" t="s">
        <v>15496</v>
      </c>
      <c r="AY1494" s="3" t="s">
        <v>15497</v>
      </c>
      <c r="AZ1494" s="3" t="s">
        <v>15498</v>
      </c>
      <c r="BA1494" s="3" t="s">
        <v>15498</v>
      </c>
      <c r="BB1494" s="3" t="s">
        <v>15499</v>
      </c>
      <c r="BC1494" s="3" t="s">
        <v>78</v>
      </c>
      <c r="BD1494" s="3" t="s">
        <v>79</v>
      </c>
      <c r="BE1494" s="3" t="s">
        <v>15500</v>
      </c>
      <c r="BF1494" s="3" t="s">
        <v>15499</v>
      </c>
      <c r="BG1494" s="3" t="s">
        <v>15501</v>
      </c>
    </row>
    <row r="1495" spans="1:59" ht="116" x14ac:dyDescent="0.35">
      <c r="A1495" s="2" t="s">
        <v>59</v>
      </c>
      <c r="B1495" s="2" t="s">
        <v>3778</v>
      </c>
      <c r="C1495" s="2" t="s">
        <v>15502</v>
      </c>
      <c r="D1495" s="2" t="s">
        <v>15503</v>
      </c>
      <c r="E1495" s="2" t="s">
        <v>15504</v>
      </c>
      <c r="G1495" s="3" t="s">
        <v>64</v>
      </c>
      <c r="I1495" s="3" t="s">
        <v>64</v>
      </c>
      <c r="J1495" s="3" t="s">
        <v>64</v>
      </c>
      <c r="K1495" s="3" t="s">
        <v>65</v>
      </c>
      <c r="L1495" s="2" t="s">
        <v>15505</v>
      </c>
      <c r="M1495" s="2" t="s">
        <v>15506</v>
      </c>
      <c r="N1495" s="3" t="s">
        <v>328</v>
      </c>
      <c r="O1495" s="2" t="s">
        <v>3783</v>
      </c>
      <c r="P1495" s="3" t="s">
        <v>3784</v>
      </c>
      <c r="Q1495" s="2" t="s">
        <v>15507</v>
      </c>
      <c r="R1495" s="3" t="s">
        <v>9228</v>
      </c>
      <c r="S1495" s="4">
        <v>1</v>
      </c>
      <c r="T1495" s="4">
        <v>1</v>
      </c>
      <c r="U1495" s="5" t="s">
        <v>15508</v>
      </c>
      <c r="V1495" s="5" t="s">
        <v>15508</v>
      </c>
      <c r="W1495" s="5" t="s">
        <v>72</v>
      </c>
      <c r="X1495" s="5" t="s">
        <v>72</v>
      </c>
      <c r="Y1495" s="4">
        <v>25</v>
      </c>
      <c r="Z1495" s="4">
        <v>3</v>
      </c>
      <c r="AA1495" s="4">
        <v>3</v>
      </c>
      <c r="AB1495" s="4">
        <v>1</v>
      </c>
      <c r="AC1495" s="4">
        <v>1</v>
      </c>
      <c r="AD1495" s="4">
        <v>17</v>
      </c>
      <c r="AE1495" s="4">
        <v>17</v>
      </c>
      <c r="AF1495" s="4">
        <v>0</v>
      </c>
      <c r="AG1495" s="4">
        <v>0</v>
      </c>
      <c r="AH1495" s="4">
        <v>16</v>
      </c>
      <c r="AI1495" s="4">
        <v>16</v>
      </c>
      <c r="AJ1495" s="4">
        <v>1</v>
      </c>
      <c r="AK1495" s="4">
        <v>1</v>
      </c>
      <c r="AL1495" s="4">
        <v>15</v>
      </c>
      <c r="AM1495" s="4">
        <v>15</v>
      </c>
      <c r="AN1495" s="4">
        <v>0</v>
      </c>
      <c r="AO1495" s="4">
        <v>0</v>
      </c>
      <c r="AP1495" s="4">
        <v>1</v>
      </c>
      <c r="AQ1495" s="4">
        <v>1</v>
      </c>
      <c r="AR1495" s="3" t="s">
        <v>64</v>
      </c>
      <c r="AS1495" s="3" t="s">
        <v>64</v>
      </c>
      <c r="AT1495" s="3" t="s">
        <v>64</v>
      </c>
      <c r="AV1495" s="6" t="str">
        <f>HYPERLINK("http://mcgill.on.worldcat.org/oclc/790314150","Catalog Record")</f>
        <v>Catalog Record</v>
      </c>
      <c r="AW1495" s="6" t="str">
        <f>HYPERLINK("http://www.worldcat.org/oclc/790314150","WorldCat Record")</f>
        <v>WorldCat Record</v>
      </c>
      <c r="AX1495" s="3" t="s">
        <v>15509</v>
      </c>
      <c r="AY1495" s="3" t="s">
        <v>15510</v>
      </c>
      <c r="AZ1495" s="3" t="s">
        <v>15511</v>
      </c>
      <c r="BA1495" s="3" t="s">
        <v>15511</v>
      </c>
      <c r="BB1495" s="3" t="s">
        <v>15512</v>
      </c>
      <c r="BC1495" s="3" t="s">
        <v>78</v>
      </c>
      <c r="BD1495" s="3" t="s">
        <v>79</v>
      </c>
      <c r="BE1495" s="3" t="s">
        <v>15513</v>
      </c>
      <c r="BF1495" s="3" t="s">
        <v>15512</v>
      </c>
      <c r="BG1495" s="3" t="s">
        <v>15514</v>
      </c>
    </row>
    <row r="1496" spans="1:59" ht="116" x14ac:dyDescent="0.35">
      <c r="A1496" s="2" t="s">
        <v>59</v>
      </c>
      <c r="B1496" s="2" t="s">
        <v>3778</v>
      </c>
      <c r="C1496" s="2" t="s">
        <v>15515</v>
      </c>
      <c r="D1496" s="2" t="s">
        <v>15516</v>
      </c>
      <c r="E1496" s="2" t="s">
        <v>15517</v>
      </c>
      <c r="G1496" s="3" t="s">
        <v>64</v>
      </c>
      <c r="I1496" s="3" t="s">
        <v>64</v>
      </c>
      <c r="J1496" s="3" t="s">
        <v>64</v>
      </c>
      <c r="K1496" s="3" t="s">
        <v>65</v>
      </c>
      <c r="L1496" s="2" t="s">
        <v>15518</v>
      </c>
      <c r="M1496" s="2" t="s">
        <v>15519</v>
      </c>
      <c r="N1496" s="3" t="s">
        <v>499</v>
      </c>
      <c r="O1496" s="2" t="s">
        <v>3783</v>
      </c>
      <c r="P1496" s="3" t="s">
        <v>3784</v>
      </c>
      <c r="R1496" s="3" t="s">
        <v>9228</v>
      </c>
      <c r="S1496" s="4">
        <v>17</v>
      </c>
      <c r="T1496" s="4">
        <v>17</v>
      </c>
      <c r="U1496" s="5" t="s">
        <v>15495</v>
      </c>
      <c r="V1496" s="5" t="s">
        <v>15495</v>
      </c>
      <c r="W1496" s="5" t="s">
        <v>72</v>
      </c>
      <c r="X1496" s="5" t="s">
        <v>72</v>
      </c>
      <c r="Y1496" s="4">
        <v>32</v>
      </c>
      <c r="Z1496" s="4">
        <v>4</v>
      </c>
      <c r="AA1496" s="4">
        <v>4</v>
      </c>
      <c r="AB1496" s="4">
        <v>1</v>
      </c>
      <c r="AC1496" s="4">
        <v>1</v>
      </c>
      <c r="AD1496" s="4">
        <v>17</v>
      </c>
      <c r="AE1496" s="4">
        <v>17</v>
      </c>
      <c r="AF1496" s="4">
        <v>0</v>
      </c>
      <c r="AG1496" s="4">
        <v>0</v>
      </c>
      <c r="AH1496" s="4">
        <v>16</v>
      </c>
      <c r="AI1496" s="4">
        <v>16</v>
      </c>
      <c r="AJ1496" s="4">
        <v>1</v>
      </c>
      <c r="AK1496" s="4">
        <v>1</v>
      </c>
      <c r="AL1496" s="4">
        <v>14</v>
      </c>
      <c r="AM1496" s="4">
        <v>14</v>
      </c>
      <c r="AN1496" s="4">
        <v>0</v>
      </c>
      <c r="AO1496" s="4">
        <v>0</v>
      </c>
      <c r="AP1496" s="4">
        <v>1</v>
      </c>
      <c r="AQ1496" s="4">
        <v>1</v>
      </c>
      <c r="AR1496" s="3" t="s">
        <v>64</v>
      </c>
      <c r="AS1496" s="3" t="s">
        <v>64</v>
      </c>
      <c r="AT1496" s="3" t="s">
        <v>64</v>
      </c>
      <c r="AV1496" s="6" t="str">
        <f>HYPERLINK("http://mcgill.on.worldcat.org/oclc/60604690","Catalog Record")</f>
        <v>Catalog Record</v>
      </c>
      <c r="AW1496" s="6" t="str">
        <f>HYPERLINK("http://www.worldcat.org/oclc/60604690","WorldCat Record")</f>
        <v>WorldCat Record</v>
      </c>
      <c r="AX1496" s="3" t="s">
        <v>15520</v>
      </c>
      <c r="AY1496" s="3" t="s">
        <v>15521</v>
      </c>
      <c r="AZ1496" s="3" t="s">
        <v>15522</v>
      </c>
      <c r="BA1496" s="3" t="s">
        <v>15522</v>
      </c>
      <c r="BB1496" s="3" t="s">
        <v>15523</v>
      </c>
      <c r="BC1496" s="3" t="s">
        <v>78</v>
      </c>
      <c r="BD1496" s="3" t="s">
        <v>79</v>
      </c>
      <c r="BE1496" s="3" t="s">
        <v>15524</v>
      </c>
      <c r="BF1496" s="3" t="s">
        <v>15523</v>
      </c>
      <c r="BG1496" s="3" t="s">
        <v>15525</v>
      </c>
    </row>
    <row r="1497" spans="1:59" ht="116" x14ac:dyDescent="0.35">
      <c r="A1497" s="2" t="s">
        <v>59</v>
      </c>
      <c r="B1497" s="2" t="s">
        <v>3778</v>
      </c>
      <c r="C1497" s="2" t="s">
        <v>15526</v>
      </c>
      <c r="D1497" s="2" t="s">
        <v>15527</v>
      </c>
      <c r="E1497" s="2" t="s">
        <v>15528</v>
      </c>
      <c r="G1497" s="3" t="s">
        <v>64</v>
      </c>
      <c r="I1497" s="3" t="s">
        <v>64</v>
      </c>
      <c r="J1497" s="3" t="s">
        <v>64</v>
      </c>
      <c r="K1497" s="3" t="s">
        <v>65</v>
      </c>
      <c r="L1497" s="2" t="s">
        <v>15529</v>
      </c>
      <c r="M1497" s="2" t="s">
        <v>15530</v>
      </c>
      <c r="N1497" s="3" t="s">
        <v>87</v>
      </c>
      <c r="O1497" s="2" t="s">
        <v>3783</v>
      </c>
      <c r="P1497" s="3" t="s">
        <v>3784</v>
      </c>
      <c r="Q1497" s="2" t="s">
        <v>15531</v>
      </c>
      <c r="R1497" s="3" t="s">
        <v>9228</v>
      </c>
      <c r="S1497" s="4">
        <v>1</v>
      </c>
      <c r="T1497" s="4">
        <v>1</v>
      </c>
      <c r="U1497" s="5" t="s">
        <v>15495</v>
      </c>
      <c r="V1497" s="5" t="s">
        <v>15495</v>
      </c>
      <c r="W1497" s="5" t="s">
        <v>72</v>
      </c>
      <c r="X1497" s="5" t="s">
        <v>72</v>
      </c>
      <c r="Y1497" s="4">
        <v>6</v>
      </c>
      <c r="Z1497" s="4">
        <v>1</v>
      </c>
      <c r="AA1497" s="4">
        <v>1</v>
      </c>
      <c r="AB1497" s="4">
        <v>1</v>
      </c>
      <c r="AC1497" s="4">
        <v>1</v>
      </c>
      <c r="AD1497" s="4">
        <v>0</v>
      </c>
      <c r="AE1497" s="4">
        <v>4</v>
      </c>
      <c r="AF1497" s="4">
        <v>0</v>
      </c>
      <c r="AG1497" s="4">
        <v>0</v>
      </c>
      <c r="AH1497" s="4">
        <v>0</v>
      </c>
      <c r="AI1497" s="4">
        <v>4</v>
      </c>
      <c r="AJ1497" s="4">
        <v>0</v>
      </c>
      <c r="AK1497" s="4">
        <v>0</v>
      </c>
      <c r="AL1497" s="4">
        <v>0</v>
      </c>
      <c r="AM1497" s="4">
        <v>4</v>
      </c>
      <c r="AN1497" s="4">
        <v>0</v>
      </c>
      <c r="AO1497" s="4">
        <v>0</v>
      </c>
      <c r="AP1497" s="4">
        <v>0</v>
      </c>
      <c r="AQ1497" s="4">
        <v>0</v>
      </c>
      <c r="AR1497" s="3" t="s">
        <v>64</v>
      </c>
      <c r="AS1497" s="3" t="s">
        <v>64</v>
      </c>
      <c r="AT1497" s="3" t="s">
        <v>64</v>
      </c>
      <c r="AV1497" s="6" t="str">
        <f>HYPERLINK("http://mcgill.on.worldcat.org/oclc/921830193","Catalog Record")</f>
        <v>Catalog Record</v>
      </c>
      <c r="AW1497" s="6" t="str">
        <f>HYPERLINK("http://www.worldcat.org/oclc/921830193","WorldCat Record")</f>
        <v>WorldCat Record</v>
      </c>
      <c r="AX1497" s="3" t="s">
        <v>15532</v>
      </c>
      <c r="AY1497" s="3" t="s">
        <v>15533</v>
      </c>
      <c r="AZ1497" s="3" t="s">
        <v>15534</v>
      </c>
      <c r="BA1497" s="3" t="s">
        <v>15534</v>
      </c>
      <c r="BB1497" s="3" t="s">
        <v>15535</v>
      </c>
      <c r="BC1497" s="3" t="s">
        <v>78</v>
      </c>
      <c r="BD1497" s="3" t="s">
        <v>79</v>
      </c>
      <c r="BE1497" s="3" t="s">
        <v>15536</v>
      </c>
      <c r="BF1497" s="3" t="s">
        <v>15535</v>
      </c>
      <c r="BG1497" s="3" t="s">
        <v>15537</v>
      </c>
    </row>
    <row r="1498" spans="1:59" ht="58" x14ac:dyDescent="0.35">
      <c r="A1498" s="2" t="s">
        <v>59</v>
      </c>
      <c r="B1498" s="2" t="s">
        <v>94</v>
      </c>
      <c r="C1498" s="2" t="s">
        <v>15538</v>
      </c>
      <c r="D1498" s="2" t="s">
        <v>15539</v>
      </c>
      <c r="E1498" s="2" t="s">
        <v>15540</v>
      </c>
      <c r="G1498" s="3" t="s">
        <v>64</v>
      </c>
      <c r="I1498" s="3" t="s">
        <v>64</v>
      </c>
      <c r="J1498" s="3" t="s">
        <v>64</v>
      </c>
      <c r="K1498" s="3" t="s">
        <v>65</v>
      </c>
      <c r="L1498" s="2" t="s">
        <v>15541</v>
      </c>
      <c r="M1498" s="2" t="s">
        <v>15542</v>
      </c>
      <c r="N1498" s="3" t="s">
        <v>1167</v>
      </c>
      <c r="P1498" s="3" t="s">
        <v>69</v>
      </c>
      <c r="Q1498" s="2" t="s">
        <v>15543</v>
      </c>
      <c r="R1498" s="3" t="s">
        <v>9228</v>
      </c>
      <c r="S1498" s="4">
        <v>13</v>
      </c>
      <c r="T1498" s="4">
        <v>13</v>
      </c>
      <c r="U1498" s="5" t="s">
        <v>2747</v>
      </c>
      <c r="V1498" s="5" t="s">
        <v>2747</v>
      </c>
      <c r="W1498" s="5" t="s">
        <v>72</v>
      </c>
      <c r="X1498" s="5" t="s">
        <v>72</v>
      </c>
      <c r="Y1498" s="4">
        <v>436</v>
      </c>
      <c r="Z1498" s="4">
        <v>25</v>
      </c>
      <c r="AA1498" s="4">
        <v>25</v>
      </c>
      <c r="AB1498" s="4">
        <v>2</v>
      </c>
      <c r="AC1498" s="4">
        <v>2</v>
      </c>
      <c r="AD1498" s="4">
        <v>103</v>
      </c>
      <c r="AE1498" s="4">
        <v>103</v>
      </c>
      <c r="AF1498" s="4">
        <v>1</v>
      </c>
      <c r="AG1498" s="4">
        <v>1</v>
      </c>
      <c r="AH1498" s="4">
        <v>91</v>
      </c>
      <c r="AI1498" s="4">
        <v>91</v>
      </c>
      <c r="AJ1498" s="4">
        <v>15</v>
      </c>
      <c r="AK1498" s="4">
        <v>15</v>
      </c>
      <c r="AL1498" s="4">
        <v>53</v>
      </c>
      <c r="AM1498" s="4">
        <v>53</v>
      </c>
      <c r="AN1498" s="4">
        <v>0</v>
      </c>
      <c r="AO1498" s="4">
        <v>0</v>
      </c>
      <c r="AP1498" s="4">
        <v>18</v>
      </c>
      <c r="AQ1498" s="4">
        <v>18</v>
      </c>
      <c r="AR1498" s="3" t="s">
        <v>64</v>
      </c>
      <c r="AS1498" s="3" t="s">
        <v>64</v>
      </c>
      <c r="AT1498" s="3" t="s">
        <v>73</v>
      </c>
      <c r="AU1498" s="6" t="str">
        <f>HYPERLINK("http://catalog.hathitrust.org/Record/000135576","HathiTrust Record")</f>
        <v>HathiTrust Record</v>
      </c>
      <c r="AV1498" s="6" t="str">
        <f>HYPERLINK("http://mcgill.on.worldcat.org/oclc/3844831","Catalog Record")</f>
        <v>Catalog Record</v>
      </c>
      <c r="AW1498" s="6" t="str">
        <f>HYPERLINK("http://www.worldcat.org/oclc/3844831","WorldCat Record")</f>
        <v>WorldCat Record</v>
      </c>
      <c r="AX1498" s="3" t="s">
        <v>15544</v>
      </c>
      <c r="AY1498" s="3" t="s">
        <v>15545</v>
      </c>
      <c r="AZ1498" s="3" t="s">
        <v>15546</v>
      </c>
      <c r="BA1498" s="3" t="s">
        <v>15546</v>
      </c>
      <c r="BB1498" s="3" t="s">
        <v>15547</v>
      </c>
      <c r="BC1498" s="3" t="s">
        <v>78</v>
      </c>
      <c r="BD1498" s="3" t="s">
        <v>79</v>
      </c>
      <c r="BE1498" s="3" t="s">
        <v>15548</v>
      </c>
      <c r="BF1498" s="3" t="s">
        <v>15547</v>
      </c>
      <c r="BG1498" s="3" t="s">
        <v>15549</v>
      </c>
    </row>
    <row r="1499" spans="1:59" ht="58" x14ac:dyDescent="0.35">
      <c r="A1499" s="2" t="s">
        <v>59</v>
      </c>
      <c r="B1499" s="2" t="s">
        <v>94</v>
      </c>
      <c r="C1499" s="2" t="s">
        <v>15550</v>
      </c>
      <c r="D1499" s="2" t="s">
        <v>15551</v>
      </c>
      <c r="E1499" s="2" t="s">
        <v>15552</v>
      </c>
      <c r="G1499" s="3" t="s">
        <v>64</v>
      </c>
      <c r="I1499" s="3" t="s">
        <v>64</v>
      </c>
      <c r="J1499" s="3" t="s">
        <v>64</v>
      </c>
      <c r="K1499" s="3" t="s">
        <v>65</v>
      </c>
      <c r="L1499" s="2" t="s">
        <v>15553</v>
      </c>
      <c r="M1499" s="2" t="s">
        <v>15554</v>
      </c>
      <c r="N1499" s="3" t="s">
        <v>365</v>
      </c>
      <c r="P1499" s="3" t="s">
        <v>69</v>
      </c>
      <c r="Q1499" s="2" t="s">
        <v>15555</v>
      </c>
      <c r="R1499" s="3" t="s">
        <v>9228</v>
      </c>
      <c r="S1499" s="4">
        <v>4</v>
      </c>
      <c r="T1499" s="4">
        <v>4</v>
      </c>
      <c r="U1499" s="5" t="s">
        <v>1424</v>
      </c>
      <c r="V1499" s="5" t="s">
        <v>1424</v>
      </c>
      <c r="W1499" s="5" t="s">
        <v>72</v>
      </c>
      <c r="X1499" s="5" t="s">
        <v>72</v>
      </c>
      <c r="Y1499" s="4">
        <v>239</v>
      </c>
      <c r="Z1499" s="4">
        <v>15</v>
      </c>
      <c r="AA1499" s="4">
        <v>16</v>
      </c>
      <c r="AB1499" s="4">
        <v>2</v>
      </c>
      <c r="AC1499" s="4">
        <v>3</v>
      </c>
      <c r="AD1499" s="4">
        <v>99</v>
      </c>
      <c r="AE1499" s="4">
        <v>100</v>
      </c>
      <c r="AF1499" s="4">
        <v>1</v>
      </c>
      <c r="AG1499" s="4">
        <v>2</v>
      </c>
      <c r="AH1499" s="4">
        <v>89</v>
      </c>
      <c r="AI1499" s="4">
        <v>89</v>
      </c>
      <c r="AJ1499" s="4">
        <v>11</v>
      </c>
      <c r="AK1499" s="4">
        <v>12</v>
      </c>
      <c r="AL1499" s="4">
        <v>56</v>
      </c>
      <c r="AM1499" s="4">
        <v>56</v>
      </c>
      <c r="AN1499" s="4">
        <v>0</v>
      </c>
      <c r="AO1499" s="4">
        <v>0</v>
      </c>
      <c r="AP1499" s="4">
        <v>13</v>
      </c>
      <c r="AQ1499" s="4">
        <v>13</v>
      </c>
      <c r="AR1499" s="3" t="s">
        <v>64</v>
      </c>
      <c r="AS1499" s="3" t="s">
        <v>64</v>
      </c>
      <c r="AT1499" s="3" t="s">
        <v>73</v>
      </c>
      <c r="AU1499" s="6" t="str">
        <f>HYPERLINK("http://catalog.hathitrust.org/Record/000424143","HathiTrust Record")</f>
        <v>HathiTrust Record</v>
      </c>
      <c r="AV1499" s="6" t="str">
        <f>HYPERLINK("http://mcgill.on.worldcat.org/oclc/12706107","Catalog Record")</f>
        <v>Catalog Record</v>
      </c>
      <c r="AW1499" s="6" t="str">
        <f>HYPERLINK("http://www.worldcat.org/oclc/12706107","WorldCat Record")</f>
        <v>WorldCat Record</v>
      </c>
      <c r="AX1499" s="3" t="s">
        <v>15556</v>
      </c>
      <c r="AY1499" s="3" t="s">
        <v>15557</v>
      </c>
      <c r="AZ1499" s="3" t="s">
        <v>15558</v>
      </c>
      <c r="BA1499" s="3" t="s">
        <v>15558</v>
      </c>
      <c r="BB1499" s="3" t="s">
        <v>15559</v>
      </c>
      <c r="BC1499" s="3" t="s">
        <v>78</v>
      </c>
      <c r="BD1499" s="3" t="s">
        <v>79</v>
      </c>
      <c r="BE1499" s="3" t="s">
        <v>15560</v>
      </c>
      <c r="BF1499" s="3" t="s">
        <v>15559</v>
      </c>
      <c r="BG1499" s="3" t="s">
        <v>15561</v>
      </c>
    </row>
    <row r="1500" spans="1:59" ht="58" x14ac:dyDescent="0.35">
      <c r="A1500" s="2" t="s">
        <v>59</v>
      </c>
      <c r="B1500" s="2" t="s">
        <v>94</v>
      </c>
      <c r="C1500" s="2" t="s">
        <v>15562</v>
      </c>
      <c r="D1500" s="2" t="s">
        <v>15563</v>
      </c>
      <c r="E1500" s="2" t="s">
        <v>15564</v>
      </c>
      <c r="G1500" s="3" t="s">
        <v>64</v>
      </c>
      <c r="I1500" s="3" t="s">
        <v>64</v>
      </c>
      <c r="J1500" s="3" t="s">
        <v>64</v>
      </c>
      <c r="K1500" s="3" t="s">
        <v>65</v>
      </c>
      <c r="L1500" s="2" t="s">
        <v>15565</v>
      </c>
      <c r="M1500" s="2" t="s">
        <v>15566</v>
      </c>
      <c r="N1500" s="3" t="s">
        <v>486</v>
      </c>
      <c r="P1500" s="3" t="s">
        <v>69</v>
      </c>
      <c r="Q1500" s="2" t="s">
        <v>15341</v>
      </c>
      <c r="R1500" s="3" t="s">
        <v>9228</v>
      </c>
      <c r="S1500" s="4">
        <v>9</v>
      </c>
      <c r="T1500" s="4">
        <v>9</v>
      </c>
      <c r="U1500" s="5" t="s">
        <v>15404</v>
      </c>
      <c r="V1500" s="5" t="s">
        <v>15404</v>
      </c>
      <c r="W1500" s="5" t="s">
        <v>72</v>
      </c>
      <c r="X1500" s="5" t="s">
        <v>72</v>
      </c>
      <c r="Y1500" s="4">
        <v>388</v>
      </c>
      <c r="Z1500" s="4">
        <v>27</v>
      </c>
      <c r="AA1500" s="4">
        <v>27</v>
      </c>
      <c r="AB1500" s="4">
        <v>2</v>
      </c>
      <c r="AC1500" s="4">
        <v>2</v>
      </c>
      <c r="AD1500" s="4">
        <v>113</v>
      </c>
      <c r="AE1500" s="4">
        <v>113</v>
      </c>
      <c r="AF1500" s="4">
        <v>1</v>
      </c>
      <c r="AG1500" s="4">
        <v>1</v>
      </c>
      <c r="AH1500" s="4">
        <v>97</v>
      </c>
      <c r="AI1500" s="4">
        <v>97</v>
      </c>
      <c r="AJ1500" s="4">
        <v>18</v>
      </c>
      <c r="AK1500" s="4">
        <v>18</v>
      </c>
      <c r="AL1500" s="4">
        <v>53</v>
      </c>
      <c r="AM1500" s="4">
        <v>53</v>
      </c>
      <c r="AN1500" s="4">
        <v>0</v>
      </c>
      <c r="AO1500" s="4">
        <v>0</v>
      </c>
      <c r="AP1500" s="4">
        <v>24</v>
      </c>
      <c r="AQ1500" s="4">
        <v>24</v>
      </c>
      <c r="AR1500" s="3" t="s">
        <v>64</v>
      </c>
      <c r="AS1500" s="3" t="s">
        <v>64</v>
      </c>
      <c r="AT1500" s="3" t="s">
        <v>73</v>
      </c>
      <c r="AU1500" s="6" t="str">
        <f>HYPERLINK("http://catalog.hathitrust.org/Record/000714551","HathiTrust Record")</f>
        <v>HathiTrust Record</v>
      </c>
      <c r="AV1500" s="6" t="str">
        <f>HYPERLINK("http://mcgill.on.worldcat.org/oclc/6196252","Catalog Record")</f>
        <v>Catalog Record</v>
      </c>
      <c r="AW1500" s="6" t="str">
        <f>HYPERLINK("http://www.worldcat.org/oclc/6196252","WorldCat Record")</f>
        <v>WorldCat Record</v>
      </c>
      <c r="AX1500" s="3" t="s">
        <v>15567</v>
      </c>
      <c r="AY1500" s="3" t="s">
        <v>15568</v>
      </c>
      <c r="AZ1500" s="3" t="s">
        <v>15569</v>
      </c>
      <c r="BA1500" s="3" t="s">
        <v>15569</v>
      </c>
      <c r="BB1500" s="3" t="s">
        <v>15570</v>
      </c>
      <c r="BC1500" s="3" t="s">
        <v>78</v>
      </c>
      <c r="BD1500" s="3" t="s">
        <v>79</v>
      </c>
      <c r="BE1500" s="3" t="s">
        <v>15571</v>
      </c>
      <c r="BF1500" s="3" t="s">
        <v>15570</v>
      </c>
      <c r="BG1500" s="3" t="s">
        <v>15572</v>
      </c>
    </row>
    <row r="1501" spans="1:59" ht="116" x14ac:dyDescent="0.35">
      <c r="A1501" s="2" t="s">
        <v>59</v>
      </c>
      <c r="B1501" s="2" t="s">
        <v>3778</v>
      </c>
      <c r="C1501" s="2" t="s">
        <v>15573</v>
      </c>
      <c r="D1501" s="2" t="s">
        <v>15574</v>
      </c>
      <c r="E1501" s="2" t="s">
        <v>15575</v>
      </c>
      <c r="G1501" s="3" t="s">
        <v>64</v>
      </c>
      <c r="I1501" s="3" t="s">
        <v>64</v>
      </c>
      <c r="J1501" s="3" t="s">
        <v>64</v>
      </c>
      <c r="K1501" s="3" t="s">
        <v>65</v>
      </c>
      <c r="M1501" s="2" t="s">
        <v>15576</v>
      </c>
      <c r="N1501" s="3" t="s">
        <v>2362</v>
      </c>
      <c r="O1501" s="2" t="s">
        <v>3783</v>
      </c>
      <c r="P1501" s="3" t="s">
        <v>3784</v>
      </c>
      <c r="R1501" s="3" t="s">
        <v>9228</v>
      </c>
      <c r="S1501" s="4">
        <v>1</v>
      </c>
      <c r="T1501" s="4">
        <v>1</v>
      </c>
      <c r="U1501" s="5" t="s">
        <v>3961</v>
      </c>
      <c r="V1501" s="5" t="s">
        <v>3961</v>
      </c>
      <c r="W1501" s="5" t="s">
        <v>72</v>
      </c>
      <c r="X1501" s="5" t="s">
        <v>72</v>
      </c>
      <c r="Y1501" s="4">
        <v>3</v>
      </c>
      <c r="Z1501" s="4">
        <v>1</v>
      </c>
      <c r="AA1501" s="4">
        <v>2</v>
      </c>
      <c r="AB1501" s="4">
        <v>1</v>
      </c>
      <c r="AC1501" s="4">
        <v>1</v>
      </c>
      <c r="AD1501" s="4">
        <v>0</v>
      </c>
      <c r="AE1501" s="4">
        <v>14</v>
      </c>
      <c r="AF1501" s="4">
        <v>0</v>
      </c>
      <c r="AG1501" s="4">
        <v>0</v>
      </c>
      <c r="AH1501" s="4">
        <v>0</v>
      </c>
      <c r="AI1501" s="4">
        <v>14</v>
      </c>
      <c r="AJ1501" s="4">
        <v>0</v>
      </c>
      <c r="AK1501" s="4">
        <v>1</v>
      </c>
      <c r="AL1501" s="4">
        <v>0</v>
      </c>
      <c r="AM1501" s="4">
        <v>12</v>
      </c>
      <c r="AN1501" s="4">
        <v>0</v>
      </c>
      <c r="AO1501" s="4">
        <v>0</v>
      </c>
      <c r="AP1501" s="4">
        <v>0</v>
      </c>
      <c r="AQ1501" s="4">
        <v>1</v>
      </c>
      <c r="AR1501" s="3" t="s">
        <v>64</v>
      </c>
      <c r="AS1501" s="3" t="s">
        <v>64</v>
      </c>
      <c r="AT1501" s="3" t="s">
        <v>64</v>
      </c>
      <c r="AV1501" s="6" t="str">
        <f>HYPERLINK("http://mcgill.on.worldcat.org/oclc/427057310","Catalog Record")</f>
        <v>Catalog Record</v>
      </c>
      <c r="AW1501" s="6" t="str">
        <f>HYPERLINK("http://www.worldcat.org/oclc/427057310","WorldCat Record")</f>
        <v>WorldCat Record</v>
      </c>
      <c r="AX1501" s="3" t="s">
        <v>15577</v>
      </c>
      <c r="AY1501" s="3" t="s">
        <v>15578</v>
      </c>
      <c r="AZ1501" s="3" t="s">
        <v>15579</v>
      </c>
      <c r="BA1501" s="3" t="s">
        <v>15579</v>
      </c>
      <c r="BB1501" s="3" t="s">
        <v>15580</v>
      </c>
      <c r="BC1501" s="3" t="s">
        <v>78</v>
      </c>
      <c r="BD1501" s="3" t="s">
        <v>79</v>
      </c>
      <c r="BF1501" s="3" t="s">
        <v>15580</v>
      </c>
      <c r="BG1501" s="3" t="s">
        <v>15581</v>
      </c>
    </row>
    <row r="1502" spans="1:59" ht="58" x14ac:dyDescent="0.35">
      <c r="A1502" s="2" t="s">
        <v>59</v>
      </c>
      <c r="B1502" s="2" t="s">
        <v>94</v>
      </c>
      <c r="C1502" s="2" t="s">
        <v>15582</v>
      </c>
      <c r="D1502" s="2" t="s">
        <v>15583</v>
      </c>
      <c r="E1502" s="2" t="s">
        <v>15584</v>
      </c>
      <c r="G1502" s="3" t="s">
        <v>64</v>
      </c>
      <c r="I1502" s="3" t="s">
        <v>64</v>
      </c>
      <c r="J1502" s="3" t="s">
        <v>64</v>
      </c>
      <c r="K1502" s="3" t="s">
        <v>65</v>
      </c>
      <c r="L1502" s="2" t="s">
        <v>15585</v>
      </c>
      <c r="M1502" s="2" t="s">
        <v>15586</v>
      </c>
      <c r="N1502" s="3" t="s">
        <v>274</v>
      </c>
      <c r="O1502" s="2" t="s">
        <v>1294</v>
      </c>
      <c r="P1502" s="3" t="s">
        <v>69</v>
      </c>
      <c r="R1502" s="3" t="s">
        <v>9228</v>
      </c>
      <c r="S1502" s="4">
        <v>7</v>
      </c>
      <c r="T1502" s="4">
        <v>7</v>
      </c>
      <c r="U1502" s="5" t="s">
        <v>6117</v>
      </c>
      <c r="V1502" s="5" t="s">
        <v>6117</v>
      </c>
      <c r="W1502" s="5" t="s">
        <v>72</v>
      </c>
      <c r="X1502" s="5" t="s">
        <v>72</v>
      </c>
      <c r="Y1502" s="4">
        <v>37</v>
      </c>
      <c r="Z1502" s="4">
        <v>6</v>
      </c>
      <c r="AA1502" s="4">
        <v>6</v>
      </c>
      <c r="AB1502" s="4">
        <v>1</v>
      </c>
      <c r="AC1502" s="4">
        <v>1</v>
      </c>
      <c r="AD1502" s="4">
        <v>17</v>
      </c>
      <c r="AE1502" s="4">
        <v>17</v>
      </c>
      <c r="AF1502" s="4">
        <v>0</v>
      </c>
      <c r="AG1502" s="4">
        <v>0</v>
      </c>
      <c r="AH1502" s="4">
        <v>16</v>
      </c>
      <c r="AI1502" s="4">
        <v>16</v>
      </c>
      <c r="AJ1502" s="4">
        <v>3</v>
      </c>
      <c r="AK1502" s="4">
        <v>3</v>
      </c>
      <c r="AL1502" s="4">
        <v>10</v>
      </c>
      <c r="AM1502" s="4">
        <v>10</v>
      </c>
      <c r="AN1502" s="4">
        <v>0</v>
      </c>
      <c r="AO1502" s="4">
        <v>0</v>
      </c>
      <c r="AP1502" s="4">
        <v>4</v>
      </c>
      <c r="AQ1502" s="4">
        <v>4</v>
      </c>
      <c r="AR1502" s="3" t="s">
        <v>64</v>
      </c>
      <c r="AS1502" s="3" t="s">
        <v>64</v>
      </c>
      <c r="AT1502" s="3" t="s">
        <v>73</v>
      </c>
      <c r="AU1502" s="6" t="str">
        <f>HYPERLINK("http://catalog.hathitrust.org/Record/006056608","HathiTrust Record")</f>
        <v>HathiTrust Record</v>
      </c>
      <c r="AV1502" s="6" t="str">
        <f>HYPERLINK("http://mcgill.on.worldcat.org/oclc/19254904","Catalog Record")</f>
        <v>Catalog Record</v>
      </c>
      <c r="AW1502" s="6" t="str">
        <f>HYPERLINK("http://www.worldcat.org/oclc/19254904","WorldCat Record")</f>
        <v>WorldCat Record</v>
      </c>
      <c r="AX1502" s="3" t="s">
        <v>15587</v>
      </c>
      <c r="AY1502" s="3" t="s">
        <v>15588</v>
      </c>
      <c r="AZ1502" s="3" t="s">
        <v>15589</v>
      </c>
      <c r="BA1502" s="3" t="s">
        <v>15589</v>
      </c>
      <c r="BB1502" s="3" t="s">
        <v>15590</v>
      </c>
      <c r="BC1502" s="3" t="s">
        <v>78</v>
      </c>
      <c r="BD1502" s="3" t="s">
        <v>79</v>
      </c>
      <c r="BE1502" s="3" t="s">
        <v>15591</v>
      </c>
      <c r="BF1502" s="3" t="s">
        <v>15590</v>
      </c>
      <c r="BG1502" s="3" t="s">
        <v>15592</v>
      </c>
    </row>
    <row r="1503" spans="1:59" ht="58" x14ac:dyDescent="0.35">
      <c r="A1503" s="2" t="s">
        <v>59</v>
      </c>
      <c r="B1503" s="2" t="s">
        <v>94</v>
      </c>
      <c r="C1503" s="2" t="s">
        <v>15593</v>
      </c>
      <c r="D1503" s="2" t="s">
        <v>15594</v>
      </c>
      <c r="E1503" s="2" t="s">
        <v>15595</v>
      </c>
      <c r="G1503" s="3" t="s">
        <v>64</v>
      </c>
      <c r="I1503" s="3" t="s">
        <v>64</v>
      </c>
      <c r="J1503" s="3" t="s">
        <v>64</v>
      </c>
      <c r="K1503" s="3" t="s">
        <v>65</v>
      </c>
      <c r="L1503" s="2" t="s">
        <v>15596</v>
      </c>
      <c r="M1503" s="2" t="s">
        <v>8836</v>
      </c>
      <c r="N1503" s="3" t="s">
        <v>68</v>
      </c>
      <c r="P1503" s="3" t="s">
        <v>69</v>
      </c>
      <c r="Q1503" s="2" t="s">
        <v>15129</v>
      </c>
      <c r="R1503" s="3" t="s">
        <v>9228</v>
      </c>
      <c r="S1503" s="4">
        <v>14</v>
      </c>
      <c r="T1503" s="4">
        <v>14</v>
      </c>
      <c r="U1503" s="5" t="s">
        <v>2687</v>
      </c>
      <c r="V1503" s="5" t="s">
        <v>2687</v>
      </c>
      <c r="W1503" s="5" t="s">
        <v>72</v>
      </c>
      <c r="X1503" s="5" t="s">
        <v>72</v>
      </c>
      <c r="Y1503" s="4">
        <v>193</v>
      </c>
      <c r="Z1503" s="4">
        <v>12</v>
      </c>
      <c r="AA1503" s="4">
        <v>14</v>
      </c>
      <c r="AB1503" s="4">
        <v>2</v>
      </c>
      <c r="AC1503" s="4">
        <v>4</v>
      </c>
      <c r="AD1503" s="4">
        <v>77</v>
      </c>
      <c r="AE1503" s="4">
        <v>78</v>
      </c>
      <c r="AF1503" s="4">
        <v>1</v>
      </c>
      <c r="AG1503" s="4">
        <v>2</v>
      </c>
      <c r="AH1503" s="4">
        <v>71</v>
      </c>
      <c r="AI1503" s="4">
        <v>71</v>
      </c>
      <c r="AJ1503" s="4">
        <v>9</v>
      </c>
      <c r="AK1503" s="4">
        <v>10</v>
      </c>
      <c r="AL1503" s="4">
        <v>47</v>
      </c>
      <c r="AM1503" s="4">
        <v>47</v>
      </c>
      <c r="AN1503" s="4">
        <v>0</v>
      </c>
      <c r="AO1503" s="4">
        <v>0</v>
      </c>
      <c r="AP1503" s="4">
        <v>10</v>
      </c>
      <c r="AQ1503" s="4">
        <v>10</v>
      </c>
      <c r="AR1503" s="3" t="s">
        <v>64</v>
      </c>
      <c r="AS1503" s="3" t="s">
        <v>64</v>
      </c>
      <c r="AT1503" s="3" t="s">
        <v>73</v>
      </c>
      <c r="AU1503" s="6" t="str">
        <f>HYPERLINK("http://catalog.hathitrust.org/Record/005104876","HathiTrust Record")</f>
        <v>HathiTrust Record</v>
      </c>
      <c r="AV1503" s="6" t="str">
        <f>HYPERLINK("http://mcgill.on.worldcat.org/oclc/61228599","Catalog Record")</f>
        <v>Catalog Record</v>
      </c>
      <c r="AW1503" s="6" t="str">
        <f>HYPERLINK("http://www.worldcat.org/oclc/61228599","WorldCat Record")</f>
        <v>WorldCat Record</v>
      </c>
      <c r="AX1503" s="3" t="s">
        <v>15597</v>
      </c>
      <c r="AY1503" s="3" t="s">
        <v>15598</v>
      </c>
      <c r="AZ1503" s="3" t="s">
        <v>15599</v>
      </c>
      <c r="BA1503" s="3" t="s">
        <v>15599</v>
      </c>
      <c r="BB1503" s="3" t="s">
        <v>15600</v>
      </c>
      <c r="BC1503" s="3" t="s">
        <v>78</v>
      </c>
      <c r="BD1503" s="3" t="s">
        <v>79</v>
      </c>
      <c r="BE1503" s="3" t="s">
        <v>15601</v>
      </c>
      <c r="BF1503" s="3" t="s">
        <v>15600</v>
      </c>
      <c r="BG1503" s="3" t="s">
        <v>15602</v>
      </c>
    </row>
    <row r="1504" spans="1:59" ht="58" x14ac:dyDescent="0.35">
      <c r="A1504" s="2" t="s">
        <v>59</v>
      </c>
      <c r="B1504" s="2" t="s">
        <v>94</v>
      </c>
      <c r="C1504" s="2" t="s">
        <v>15603</v>
      </c>
      <c r="D1504" s="2" t="s">
        <v>15604</v>
      </c>
      <c r="E1504" s="2" t="s">
        <v>15605</v>
      </c>
      <c r="G1504" s="3" t="s">
        <v>64</v>
      </c>
      <c r="I1504" s="3" t="s">
        <v>64</v>
      </c>
      <c r="J1504" s="3" t="s">
        <v>64</v>
      </c>
      <c r="K1504" s="3" t="s">
        <v>65</v>
      </c>
      <c r="L1504" s="2" t="s">
        <v>15606</v>
      </c>
      <c r="M1504" s="2" t="s">
        <v>15607</v>
      </c>
      <c r="N1504" s="3" t="s">
        <v>390</v>
      </c>
      <c r="P1504" s="3" t="s">
        <v>69</v>
      </c>
      <c r="R1504" s="3" t="s">
        <v>9228</v>
      </c>
      <c r="S1504" s="4">
        <v>8</v>
      </c>
      <c r="T1504" s="4">
        <v>8</v>
      </c>
      <c r="U1504" s="5" t="s">
        <v>15608</v>
      </c>
      <c r="V1504" s="5" t="s">
        <v>15608</v>
      </c>
      <c r="W1504" s="5" t="s">
        <v>72</v>
      </c>
      <c r="X1504" s="5" t="s">
        <v>72</v>
      </c>
      <c r="Y1504" s="4">
        <v>112</v>
      </c>
      <c r="Z1504" s="4">
        <v>14</v>
      </c>
      <c r="AA1504" s="4">
        <v>14</v>
      </c>
      <c r="AB1504" s="4">
        <v>1</v>
      </c>
      <c r="AC1504" s="4">
        <v>1</v>
      </c>
      <c r="AD1504" s="4">
        <v>55</v>
      </c>
      <c r="AE1504" s="4">
        <v>55</v>
      </c>
      <c r="AF1504" s="4">
        <v>0</v>
      </c>
      <c r="AG1504" s="4">
        <v>0</v>
      </c>
      <c r="AH1504" s="4">
        <v>50</v>
      </c>
      <c r="AI1504" s="4">
        <v>50</v>
      </c>
      <c r="AJ1504" s="4">
        <v>10</v>
      </c>
      <c r="AK1504" s="4">
        <v>10</v>
      </c>
      <c r="AL1504" s="4">
        <v>32</v>
      </c>
      <c r="AM1504" s="4">
        <v>32</v>
      </c>
      <c r="AN1504" s="4">
        <v>2</v>
      </c>
      <c r="AO1504" s="4">
        <v>2</v>
      </c>
      <c r="AP1504" s="4">
        <v>11</v>
      </c>
      <c r="AQ1504" s="4">
        <v>11</v>
      </c>
      <c r="AR1504" s="3" t="s">
        <v>64</v>
      </c>
      <c r="AS1504" s="3" t="s">
        <v>64</v>
      </c>
      <c r="AT1504" s="3" t="s">
        <v>73</v>
      </c>
      <c r="AU1504" s="6" t="str">
        <f>HYPERLINK("http://catalog.hathitrust.org/Record/000743448","HathiTrust Record")</f>
        <v>HathiTrust Record</v>
      </c>
      <c r="AV1504" s="6" t="str">
        <f>HYPERLINK("http://mcgill.on.worldcat.org/oclc/7008619","Catalog Record")</f>
        <v>Catalog Record</v>
      </c>
      <c r="AW1504" s="6" t="str">
        <f>HYPERLINK("http://www.worldcat.org/oclc/7008619","WorldCat Record")</f>
        <v>WorldCat Record</v>
      </c>
      <c r="AX1504" s="3" t="s">
        <v>15609</v>
      </c>
      <c r="AY1504" s="3" t="s">
        <v>15610</v>
      </c>
      <c r="AZ1504" s="3" t="s">
        <v>15611</v>
      </c>
      <c r="BA1504" s="3" t="s">
        <v>15611</v>
      </c>
      <c r="BB1504" s="3" t="s">
        <v>15612</v>
      </c>
      <c r="BC1504" s="3" t="s">
        <v>78</v>
      </c>
      <c r="BD1504" s="3" t="s">
        <v>79</v>
      </c>
      <c r="BE1504" s="3" t="s">
        <v>15613</v>
      </c>
      <c r="BF1504" s="3" t="s">
        <v>15612</v>
      </c>
      <c r="BG1504" s="3" t="s">
        <v>15614</v>
      </c>
    </row>
    <row r="1505" spans="1:59" ht="58" x14ac:dyDescent="0.35">
      <c r="A1505" s="2" t="s">
        <v>59</v>
      </c>
      <c r="B1505" s="2" t="s">
        <v>94</v>
      </c>
      <c r="C1505" s="2" t="s">
        <v>15615</v>
      </c>
      <c r="D1505" s="2" t="s">
        <v>15616</v>
      </c>
      <c r="E1505" s="2" t="s">
        <v>15617</v>
      </c>
      <c r="G1505" s="3" t="s">
        <v>64</v>
      </c>
      <c r="I1505" s="3" t="s">
        <v>64</v>
      </c>
      <c r="J1505" s="3" t="s">
        <v>64</v>
      </c>
      <c r="K1505" s="3" t="s">
        <v>65</v>
      </c>
      <c r="L1505" s="2" t="s">
        <v>15618</v>
      </c>
      <c r="M1505" s="2" t="s">
        <v>15619</v>
      </c>
      <c r="N1505" s="3" t="s">
        <v>214</v>
      </c>
      <c r="P1505" s="3" t="s">
        <v>69</v>
      </c>
      <c r="R1505" s="3" t="s">
        <v>9228</v>
      </c>
      <c r="S1505" s="4">
        <v>2</v>
      </c>
      <c r="T1505" s="4">
        <v>2</v>
      </c>
      <c r="U1505" s="5" t="s">
        <v>15620</v>
      </c>
      <c r="V1505" s="5" t="s">
        <v>15620</v>
      </c>
      <c r="W1505" s="5" t="s">
        <v>72</v>
      </c>
      <c r="X1505" s="5" t="s">
        <v>72</v>
      </c>
      <c r="Y1505" s="4">
        <v>260</v>
      </c>
      <c r="Z1505" s="4">
        <v>19</v>
      </c>
      <c r="AA1505" s="4">
        <v>134</v>
      </c>
      <c r="AB1505" s="4">
        <v>2</v>
      </c>
      <c r="AC1505" s="4">
        <v>19</v>
      </c>
      <c r="AD1505" s="4">
        <v>75</v>
      </c>
      <c r="AE1505" s="4">
        <v>140</v>
      </c>
      <c r="AF1505" s="4">
        <v>1</v>
      </c>
      <c r="AG1505" s="4">
        <v>8</v>
      </c>
      <c r="AH1505" s="4">
        <v>68</v>
      </c>
      <c r="AI1505" s="4">
        <v>95</v>
      </c>
      <c r="AJ1505" s="4">
        <v>9</v>
      </c>
      <c r="AK1505" s="4">
        <v>24</v>
      </c>
      <c r="AL1505" s="4">
        <v>38</v>
      </c>
      <c r="AM1505" s="4">
        <v>52</v>
      </c>
      <c r="AN1505" s="4">
        <v>0</v>
      </c>
      <c r="AO1505" s="4">
        <v>0</v>
      </c>
      <c r="AP1505" s="4">
        <v>13</v>
      </c>
      <c r="AQ1505" s="4">
        <v>50</v>
      </c>
      <c r="AR1505" s="3" t="s">
        <v>64</v>
      </c>
      <c r="AS1505" s="3" t="s">
        <v>64</v>
      </c>
      <c r="AT1505" s="3" t="s">
        <v>64</v>
      </c>
      <c r="AV1505" s="6" t="str">
        <f>HYPERLINK("http://mcgill.on.worldcat.org/oclc/491905166","Catalog Record")</f>
        <v>Catalog Record</v>
      </c>
      <c r="AW1505" s="6" t="str">
        <f>HYPERLINK("http://www.worldcat.org/oclc/491905166","WorldCat Record")</f>
        <v>WorldCat Record</v>
      </c>
      <c r="AX1505" s="3" t="s">
        <v>15621</v>
      </c>
      <c r="AY1505" s="3" t="s">
        <v>15622</v>
      </c>
      <c r="AZ1505" s="3" t="s">
        <v>15623</v>
      </c>
      <c r="BA1505" s="3" t="s">
        <v>15623</v>
      </c>
      <c r="BB1505" s="3" t="s">
        <v>15624</v>
      </c>
      <c r="BC1505" s="3" t="s">
        <v>78</v>
      </c>
      <c r="BD1505" s="3" t="s">
        <v>79</v>
      </c>
      <c r="BE1505" s="3" t="s">
        <v>15625</v>
      </c>
      <c r="BF1505" s="3" t="s">
        <v>15624</v>
      </c>
      <c r="BG1505" s="3" t="s">
        <v>15626</v>
      </c>
    </row>
    <row r="1506" spans="1:59" ht="58" x14ac:dyDescent="0.35">
      <c r="A1506" s="2" t="s">
        <v>59</v>
      </c>
      <c r="B1506" s="2" t="s">
        <v>94</v>
      </c>
      <c r="C1506" s="2" t="s">
        <v>15627</v>
      </c>
      <c r="D1506" s="2" t="s">
        <v>15628</v>
      </c>
      <c r="E1506" s="2" t="s">
        <v>15629</v>
      </c>
      <c r="G1506" s="3" t="s">
        <v>64</v>
      </c>
      <c r="I1506" s="3" t="s">
        <v>64</v>
      </c>
      <c r="J1506" s="3" t="s">
        <v>64</v>
      </c>
      <c r="K1506" s="3" t="s">
        <v>65</v>
      </c>
      <c r="L1506" s="2" t="s">
        <v>15630</v>
      </c>
      <c r="M1506" s="2" t="s">
        <v>1142</v>
      </c>
      <c r="N1506" s="3" t="s">
        <v>68</v>
      </c>
      <c r="P1506" s="3" t="s">
        <v>69</v>
      </c>
      <c r="Q1506" s="2" t="s">
        <v>15631</v>
      </c>
      <c r="R1506" s="3" t="s">
        <v>9228</v>
      </c>
      <c r="S1506" s="4">
        <v>9</v>
      </c>
      <c r="T1506" s="4">
        <v>9</v>
      </c>
      <c r="U1506" s="5" t="s">
        <v>7407</v>
      </c>
      <c r="V1506" s="5" t="s">
        <v>7407</v>
      </c>
      <c r="W1506" s="5" t="s">
        <v>72</v>
      </c>
      <c r="X1506" s="5" t="s">
        <v>72</v>
      </c>
      <c r="Y1506" s="4">
        <v>127</v>
      </c>
      <c r="Z1506" s="4">
        <v>13</v>
      </c>
      <c r="AA1506" s="4">
        <v>16</v>
      </c>
      <c r="AB1506" s="4">
        <v>1</v>
      </c>
      <c r="AC1506" s="4">
        <v>4</v>
      </c>
      <c r="AD1506" s="4">
        <v>53</v>
      </c>
      <c r="AE1506" s="4">
        <v>57</v>
      </c>
      <c r="AF1506" s="4">
        <v>0</v>
      </c>
      <c r="AG1506" s="4">
        <v>0</v>
      </c>
      <c r="AH1506" s="4">
        <v>48</v>
      </c>
      <c r="AI1506" s="4">
        <v>52</v>
      </c>
      <c r="AJ1506" s="4">
        <v>9</v>
      </c>
      <c r="AK1506" s="4">
        <v>9</v>
      </c>
      <c r="AL1506" s="4">
        <v>31</v>
      </c>
      <c r="AM1506" s="4">
        <v>31</v>
      </c>
      <c r="AN1506" s="4">
        <v>5</v>
      </c>
      <c r="AO1506" s="4">
        <v>5</v>
      </c>
      <c r="AP1506" s="4">
        <v>10</v>
      </c>
      <c r="AQ1506" s="4">
        <v>10</v>
      </c>
      <c r="AR1506" s="3" t="s">
        <v>64</v>
      </c>
      <c r="AS1506" s="3" t="s">
        <v>64</v>
      </c>
      <c r="AT1506" s="3" t="s">
        <v>73</v>
      </c>
      <c r="AU1506" s="6" t="str">
        <f>HYPERLINK("http://catalog.hathitrust.org/Record/005400991","HathiTrust Record")</f>
        <v>HathiTrust Record</v>
      </c>
      <c r="AV1506" s="6" t="str">
        <f>HYPERLINK("http://mcgill.on.worldcat.org/oclc/64591950","Catalog Record")</f>
        <v>Catalog Record</v>
      </c>
      <c r="AW1506" s="6" t="str">
        <f>HYPERLINK("http://www.worldcat.org/oclc/64591950","WorldCat Record")</f>
        <v>WorldCat Record</v>
      </c>
      <c r="AX1506" s="3" t="s">
        <v>15632</v>
      </c>
      <c r="AY1506" s="3" t="s">
        <v>15633</v>
      </c>
      <c r="AZ1506" s="3" t="s">
        <v>15634</v>
      </c>
      <c r="BA1506" s="3" t="s">
        <v>15634</v>
      </c>
      <c r="BB1506" s="3" t="s">
        <v>15635</v>
      </c>
      <c r="BC1506" s="3" t="s">
        <v>78</v>
      </c>
      <c r="BD1506" s="3" t="s">
        <v>79</v>
      </c>
      <c r="BE1506" s="3" t="s">
        <v>15636</v>
      </c>
      <c r="BF1506" s="3" t="s">
        <v>15635</v>
      </c>
      <c r="BG1506" s="3" t="s">
        <v>15637</v>
      </c>
    </row>
    <row r="1507" spans="1:59" ht="58" x14ac:dyDescent="0.35">
      <c r="A1507" s="2" t="s">
        <v>59</v>
      </c>
      <c r="B1507" s="2" t="s">
        <v>94</v>
      </c>
      <c r="C1507" s="2" t="s">
        <v>15638</v>
      </c>
      <c r="D1507" s="2" t="s">
        <v>15639</v>
      </c>
      <c r="E1507" s="2" t="s">
        <v>15640</v>
      </c>
      <c r="G1507" s="3" t="s">
        <v>64</v>
      </c>
      <c r="I1507" s="3" t="s">
        <v>64</v>
      </c>
      <c r="J1507" s="3" t="s">
        <v>64</v>
      </c>
      <c r="K1507" s="3" t="s">
        <v>65</v>
      </c>
      <c r="L1507" s="2" t="s">
        <v>15641</v>
      </c>
      <c r="M1507" s="2" t="s">
        <v>15642</v>
      </c>
      <c r="N1507" s="3" t="s">
        <v>340</v>
      </c>
      <c r="P1507" s="3" t="s">
        <v>69</v>
      </c>
      <c r="Q1507" s="2" t="s">
        <v>15063</v>
      </c>
      <c r="R1507" s="3" t="s">
        <v>9228</v>
      </c>
      <c r="S1507" s="4">
        <v>32</v>
      </c>
      <c r="T1507" s="4">
        <v>32</v>
      </c>
      <c r="U1507" s="5" t="s">
        <v>7407</v>
      </c>
      <c r="V1507" s="5" t="s">
        <v>7407</v>
      </c>
      <c r="W1507" s="5" t="s">
        <v>72</v>
      </c>
      <c r="X1507" s="5" t="s">
        <v>72</v>
      </c>
      <c r="Y1507" s="4">
        <v>299</v>
      </c>
      <c r="Z1507" s="4">
        <v>19</v>
      </c>
      <c r="AA1507" s="4">
        <v>93</v>
      </c>
      <c r="AB1507" s="4">
        <v>1</v>
      </c>
      <c r="AC1507" s="4">
        <v>17</v>
      </c>
      <c r="AD1507" s="4">
        <v>102</v>
      </c>
      <c r="AE1507" s="4">
        <v>141</v>
      </c>
      <c r="AF1507" s="4">
        <v>0</v>
      </c>
      <c r="AG1507" s="4">
        <v>8</v>
      </c>
      <c r="AH1507" s="4">
        <v>93</v>
      </c>
      <c r="AI1507" s="4">
        <v>105</v>
      </c>
      <c r="AJ1507" s="4">
        <v>13</v>
      </c>
      <c r="AK1507" s="4">
        <v>24</v>
      </c>
      <c r="AL1507" s="4">
        <v>49</v>
      </c>
      <c r="AM1507" s="4">
        <v>52</v>
      </c>
      <c r="AN1507" s="4">
        <v>0</v>
      </c>
      <c r="AO1507" s="4">
        <v>0</v>
      </c>
      <c r="AP1507" s="4">
        <v>13</v>
      </c>
      <c r="AQ1507" s="4">
        <v>44</v>
      </c>
      <c r="AR1507" s="3" t="s">
        <v>64</v>
      </c>
      <c r="AS1507" s="3" t="s">
        <v>64</v>
      </c>
      <c r="AT1507" s="3" t="s">
        <v>64</v>
      </c>
      <c r="AV1507" s="6" t="str">
        <f>HYPERLINK("http://mcgill.on.worldcat.org/oclc/38752865","Catalog Record")</f>
        <v>Catalog Record</v>
      </c>
      <c r="AW1507" s="6" t="str">
        <f>HYPERLINK("http://www.worldcat.org/oclc/38752865","WorldCat Record")</f>
        <v>WorldCat Record</v>
      </c>
      <c r="AX1507" s="3" t="s">
        <v>15643</v>
      </c>
      <c r="AY1507" s="3" t="s">
        <v>15644</v>
      </c>
      <c r="AZ1507" s="3" t="s">
        <v>15645</v>
      </c>
      <c r="BA1507" s="3" t="s">
        <v>15645</v>
      </c>
      <c r="BB1507" s="3" t="s">
        <v>15646</v>
      </c>
      <c r="BC1507" s="3" t="s">
        <v>78</v>
      </c>
      <c r="BD1507" s="3" t="s">
        <v>79</v>
      </c>
      <c r="BE1507" s="3" t="s">
        <v>15647</v>
      </c>
      <c r="BF1507" s="3" t="s">
        <v>15646</v>
      </c>
      <c r="BG1507" s="3" t="s">
        <v>15648</v>
      </c>
    </row>
    <row r="1508" spans="1:59" ht="58" x14ac:dyDescent="0.35">
      <c r="A1508" s="2" t="s">
        <v>59</v>
      </c>
      <c r="B1508" s="2" t="s">
        <v>94</v>
      </c>
      <c r="C1508" s="2" t="s">
        <v>15649</v>
      </c>
      <c r="D1508" s="2" t="s">
        <v>15650</v>
      </c>
      <c r="E1508" s="2" t="s">
        <v>15651</v>
      </c>
      <c r="G1508" s="3" t="s">
        <v>64</v>
      </c>
      <c r="I1508" s="3" t="s">
        <v>64</v>
      </c>
      <c r="J1508" s="3" t="s">
        <v>64</v>
      </c>
      <c r="K1508" s="3" t="s">
        <v>65</v>
      </c>
      <c r="L1508" s="2" t="s">
        <v>15652</v>
      </c>
      <c r="M1508" s="2" t="s">
        <v>15653</v>
      </c>
      <c r="N1508" s="3" t="s">
        <v>214</v>
      </c>
      <c r="P1508" s="3" t="s">
        <v>69</v>
      </c>
      <c r="Q1508" s="2" t="s">
        <v>15654</v>
      </c>
      <c r="R1508" s="3" t="s">
        <v>9228</v>
      </c>
      <c r="S1508" s="4">
        <v>3</v>
      </c>
      <c r="T1508" s="4">
        <v>3</v>
      </c>
      <c r="U1508" s="5" t="s">
        <v>15620</v>
      </c>
      <c r="V1508" s="5" t="s">
        <v>15620</v>
      </c>
      <c r="W1508" s="5" t="s">
        <v>72</v>
      </c>
      <c r="X1508" s="5" t="s">
        <v>72</v>
      </c>
      <c r="Y1508" s="4">
        <v>161</v>
      </c>
      <c r="Z1508" s="4">
        <v>17</v>
      </c>
      <c r="AA1508" s="4">
        <v>53</v>
      </c>
      <c r="AB1508" s="4">
        <v>1</v>
      </c>
      <c r="AC1508" s="4">
        <v>8</v>
      </c>
      <c r="AD1508" s="4">
        <v>64</v>
      </c>
      <c r="AE1508" s="4">
        <v>87</v>
      </c>
      <c r="AF1508" s="4">
        <v>0</v>
      </c>
      <c r="AG1508" s="4">
        <v>2</v>
      </c>
      <c r="AH1508" s="4">
        <v>58</v>
      </c>
      <c r="AI1508" s="4">
        <v>75</v>
      </c>
      <c r="AJ1508" s="4">
        <v>11</v>
      </c>
      <c r="AK1508" s="4">
        <v>15</v>
      </c>
      <c r="AL1508" s="4">
        <v>40</v>
      </c>
      <c r="AM1508" s="4">
        <v>45</v>
      </c>
      <c r="AN1508" s="4">
        <v>5</v>
      </c>
      <c r="AO1508" s="4">
        <v>5</v>
      </c>
      <c r="AP1508" s="4">
        <v>12</v>
      </c>
      <c r="AQ1508" s="4">
        <v>20</v>
      </c>
      <c r="AR1508" s="3" t="s">
        <v>64</v>
      </c>
      <c r="AS1508" s="3" t="s">
        <v>64</v>
      </c>
      <c r="AT1508" s="3" t="s">
        <v>73</v>
      </c>
      <c r="AU1508" s="6" t="str">
        <f>HYPERLINK("http://catalog.hathitrust.org/Record/010639587","HathiTrust Record")</f>
        <v>HathiTrust Record</v>
      </c>
      <c r="AV1508" s="6" t="str">
        <f>HYPERLINK("http://mcgill.on.worldcat.org/oclc/624418732","Catalog Record")</f>
        <v>Catalog Record</v>
      </c>
      <c r="AW1508" s="6" t="str">
        <f>HYPERLINK("http://www.worldcat.org/oclc/624418732","WorldCat Record")</f>
        <v>WorldCat Record</v>
      </c>
      <c r="AX1508" s="3" t="s">
        <v>15655</v>
      </c>
      <c r="AY1508" s="3" t="s">
        <v>15656</v>
      </c>
      <c r="AZ1508" s="3" t="s">
        <v>15657</v>
      </c>
      <c r="BA1508" s="3" t="s">
        <v>15657</v>
      </c>
      <c r="BB1508" s="3" t="s">
        <v>15658</v>
      </c>
      <c r="BC1508" s="3" t="s">
        <v>78</v>
      </c>
      <c r="BD1508" s="3" t="s">
        <v>79</v>
      </c>
      <c r="BE1508" s="3" t="s">
        <v>15659</v>
      </c>
      <c r="BF1508" s="3" t="s">
        <v>15658</v>
      </c>
      <c r="BG1508" s="3" t="s">
        <v>15660</v>
      </c>
    </row>
    <row r="1509" spans="1:59" ht="58" x14ac:dyDescent="0.35">
      <c r="A1509" s="2" t="s">
        <v>59</v>
      </c>
      <c r="B1509" s="2" t="s">
        <v>94</v>
      </c>
      <c r="C1509" s="2" t="s">
        <v>15661</v>
      </c>
      <c r="D1509" s="2" t="s">
        <v>15662</v>
      </c>
      <c r="E1509" s="2" t="s">
        <v>15663</v>
      </c>
      <c r="G1509" s="3" t="s">
        <v>64</v>
      </c>
      <c r="I1509" s="3" t="s">
        <v>64</v>
      </c>
      <c r="J1509" s="3" t="s">
        <v>64</v>
      </c>
      <c r="K1509" s="3" t="s">
        <v>65</v>
      </c>
      <c r="L1509" s="2" t="s">
        <v>15664</v>
      </c>
      <c r="M1509" s="2" t="s">
        <v>15665</v>
      </c>
      <c r="N1509" s="3" t="s">
        <v>87</v>
      </c>
      <c r="O1509" s="2" t="s">
        <v>525</v>
      </c>
      <c r="P1509" s="3" t="s">
        <v>69</v>
      </c>
      <c r="R1509" s="3" t="s">
        <v>9228</v>
      </c>
      <c r="S1509" s="4">
        <v>0</v>
      </c>
      <c r="T1509" s="4">
        <v>0</v>
      </c>
      <c r="W1509" s="5" t="s">
        <v>72</v>
      </c>
      <c r="X1509" s="5" t="s">
        <v>72</v>
      </c>
      <c r="Y1509" s="4">
        <v>105</v>
      </c>
      <c r="Z1509" s="4">
        <v>5</v>
      </c>
      <c r="AA1509" s="4">
        <v>5</v>
      </c>
      <c r="AB1509" s="4">
        <v>1</v>
      </c>
      <c r="AC1509" s="4">
        <v>1</v>
      </c>
      <c r="AD1509" s="4">
        <v>41</v>
      </c>
      <c r="AE1509" s="4">
        <v>41</v>
      </c>
      <c r="AF1509" s="4">
        <v>0</v>
      </c>
      <c r="AG1509" s="4">
        <v>0</v>
      </c>
      <c r="AH1509" s="4">
        <v>39</v>
      </c>
      <c r="AI1509" s="4">
        <v>39</v>
      </c>
      <c r="AJ1509" s="4">
        <v>2</v>
      </c>
      <c r="AK1509" s="4">
        <v>2</v>
      </c>
      <c r="AL1509" s="4">
        <v>27</v>
      </c>
      <c r="AM1509" s="4">
        <v>27</v>
      </c>
      <c r="AN1509" s="4">
        <v>0</v>
      </c>
      <c r="AO1509" s="4">
        <v>0</v>
      </c>
      <c r="AP1509" s="4">
        <v>3</v>
      </c>
      <c r="AQ1509" s="4">
        <v>3</v>
      </c>
      <c r="AR1509" s="3" t="s">
        <v>64</v>
      </c>
      <c r="AS1509" s="3" t="s">
        <v>64</v>
      </c>
      <c r="AT1509" s="3" t="s">
        <v>64</v>
      </c>
      <c r="AV1509" s="6" t="str">
        <f>HYPERLINK("http://mcgill.on.worldcat.org/oclc/909326499","Catalog Record")</f>
        <v>Catalog Record</v>
      </c>
      <c r="AW1509" s="6" t="str">
        <f>HYPERLINK("http://www.worldcat.org/oclc/909326499","WorldCat Record")</f>
        <v>WorldCat Record</v>
      </c>
      <c r="AX1509" s="3" t="s">
        <v>15666</v>
      </c>
      <c r="AY1509" s="3" t="s">
        <v>15667</v>
      </c>
      <c r="AZ1509" s="3" t="s">
        <v>15668</v>
      </c>
      <c r="BA1509" s="3" t="s">
        <v>15668</v>
      </c>
      <c r="BB1509" s="3" t="s">
        <v>15669</v>
      </c>
      <c r="BC1509" s="3" t="s">
        <v>78</v>
      </c>
      <c r="BD1509" s="3" t="s">
        <v>79</v>
      </c>
      <c r="BE1509" s="3" t="s">
        <v>15670</v>
      </c>
      <c r="BF1509" s="3" t="s">
        <v>15669</v>
      </c>
      <c r="BG1509" s="3" t="s">
        <v>15671</v>
      </c>
    </row>
    <row r="1510" spans="1:59" ht="58" x14ac:dyDescent="0.35">
      <c r="A1510" s="2" t="s">
        <v>59</v>
      </c>
      <c r="B1510" s="2" t="s">
        <v>94</v>
      </c>
      <c r="C1510" s="2" t="s">
        <v>15672</v>
      </c>
      <c r="D1510" s="2" t="s">
        <v>15673</v>
      </c>
      <c r="E1510" s="2" t="s">
        <v>15674</v>
      </c>
      <c r="G1510" s="3" t="s">
        <v>64</v>
      </c>
      <c r="I1510" s="3" t="s">
        <v>64</v>
      </c>
      <c r="J1510" s="3" t="s">
        <v>64</v>
      </c>
      <c r="K1510" s="3" t="s">
        <v>65</v>
      </c>
      <c r="L1510" s="2" t="s">
        <v>15675</v>
      </c>
      <c r="M1510" s="2" t="s">
        <v>15676</v>
      </c>
      <c r="N1510" s="3" t="s">
        <v>1064</v>
      </c>
      <c r="P1510" s="3" t="s">
        <v>69</v>
      </c>
      <c r="R1510" s="3" t="s">
        <v>9228</v>
      </c>
      <c r="S1510" s="4">
        <v>16</v>
      </c>
      <c r="T1510" s="4">
        <v>16</v>
      </c>
      <c r="U1510" s="5" t="s">
        <v>2019</v>
      </c>
      <c r="V1510" s="5" t="s">
        <v>2019</v>
      </c>
      <c r="W1510" s="5" t="s">
        <v>72</v>
      </c>
      <c r="X1510" s="5" t="s">
        <v>72</v>
      </c>
      <c r="Y1510" s="4">
        <v>2</v>
      </c>
      <c r="Z1510" s="4">
        <v>2</v>
      </c>
      <c r="AA1510" s="4">
        <v>60</v>
      </c>
      <c r="AB1510" s="4">
        <v>2</v>
      </c>
      <c r="AC1510" s="4">
        <v>8</v>
      </c>
      <c r="AD1510" s="4">
        <v>0</v>
      </c>
      <c r="AE1510" s="4">
        <v>136</v>
      </c>
      <c r="AF1510" s="4">
        <v>0</v>
      </c>
      <c r="AG1510" s="4">
        <v>3</v>
      </c>
      <c r="AH1510" s="4">
        <v>0</v>
      </c>
      <c r="AI1510" s="4">
        <v>108</v>
      </c>
      <c r="AJ1510" s="4">
        <v>0</v>
      </c>
      <c r="AK1510" s="4">
        <v>21</v>
      </c>
      <c r="AL1510" s="4">
        <v>0</v>
      </c>
      <c r="AM1510" s="4">
        <v>56</v>
      </c>
      <c r="AN1510" s="4">
        <v>0</v>
      </c>
      <c r="AO1510" s="4">
        <v>0</v>
      </c>
      <c r="AP1510" s="4">
        <v>0</v>
      </c>
      <c r="AQ1510" s="4">
        <v>35</v>
      </c>
      <c r="AR1510" s="3" t="s">
        <v>64</v>
      </c>
      <c r="AS1510" s="3" t="s">
        <v>64</v>
      </c>
      <c r="AT1510" s="3" t="s">
        <v>64</v>
      </c>
      <c r="AV1510" s="6" t="str">
        <f>HYPERLINK("http://mcgill.on.worldcat.org/oclc/83476485","Catalog Record")</f>
        <v>Catalog Record</v>
      </c>
      <c r="AW1510" s="6" t="str">
        <f>HYPERLINK("http://www.worldcat.org/oclc/83476485","WorldCat Record")</f>
        <v>WorldCat Record</v>
      </c>
      <c r="AX1510" s="3" t="s">
        <v>15677</v>
      </c>
      <c r="AY1510" s="3" t="s">
        <v>15678</v>
      </c>
      <c r="AZ1510" s="3" t="s">
        <v>15679</v>
      </c>
      <c r="BA1510" s="3" t="s">
        <v>15679</v>
      </c>
      <c r="BB1510" s="3" t="s">
        <v>15680</v>
      </c>
      <c r="BC1510" s="3" t="s">
        <v>78</v>
      </c>
      <c r="BD1510" s="3" t="s">
        <v>79</v>
      </c>
      <c r="BE1510" s="3" t="s">
        <v>15681</v>
      </c>
      <c r="BF1510" s="3" t="s">
        <v>15680</v>
      </c>
      <c r="BG1510" s="3" t="s">
        <v>15682</v>
      </c>
    </row>
    <row r="1511" spans="1:59" ht="58" x14ac:dyDescent="0.35">
      <c r="A1511" s="2" t="s">
        <v>59</v>
      </c>
      <c r="B1511" s="2" t="s">
        <v>94</v>
      </c>
      <c r="C1511" s="2" t="s">
        <v>15683</v>
      </c>
      <c r="D1511" s="2" t="s">
        <v>15684</v>
      </c>
      <c r="E1511" s="2" t="s">
        <v>15685</v>
      </c>
      <c r="G1511" s="3" t="s">
        <v>64</v>
      </c>
      <c r="I1511" s="3" t="s">
        <v>64</v>
      </c>
      <c r="J1511" s="3" t="s">
        <v>64</v>
      </c>
      <c r="K1511" s="3" t="s">
        <v>65</v>
      </c>
      <c r="L1511" s="2" t="s">
        <v>15686</v>
      </c>
      <c r="M1511" s="2" t="s">
        <v>15687</v>
      </c>
      <c r="N1511" s="3" t="s">
        <v>1064</v>
      </c>
      <c r="P1511" s="3" t="s">
        <v>69</v>
      </c>
      <c r="R1511" s="3" t="s">
        <v>9228</v>
      </c>
      <c r="S1511" s="4">
        <v>8</v>
      </c>
      <c r="T1511" s="4">
        <v>8</v>
      </c>
      <c r="U1511" s="5" t="s">
        <v>552</v>
      </c>
      <c r="V1511" s="5" t="s">
        <v>552</v>
      </c>
      <c r="W1511" s="5" t="s">
        <v>72</v>
      </c>
      <c r="X1511" s="5" t="s">
        <v>72</v>
      </c>
      <c r="Y1511" s="4">
        <v>34</v>
      </c>
      <c r="Z1511" s="4">
        <v>6</v>
      </c>
      <c r="AA1511" s="4">
        <v>12</v>
      </c>
      <c r="AB1511" s="4">
        <v>2</v>
      </c>
      <c r="AC1511" s="4">
        <v>3</v>
      </c>
      <c r="AD1511" s="4">
        <v>15</v>
      </c>
      <c r="AE1511" s="4">
        <v>74</v>
      </c>
      <c r="AF1511" s="4">
        <v>0</v>
      </c>
      <c r="AG1511" s="4">
        <v>0</v>
      </c>
      <c r="AH1511" s="4">
        <v>12</v>
      </c>
      <c r="AI1511" s="4">
        <v>70</v>
      </c>
      <c r="AJ1511" s="4">
        <v>4</v>
      </c>
      <c r="AK1511" s="4">
        <v>7</v>
      </c>
      <c r="AL1511" s="4">
        <v>6</v>
      </c>
      <c r="AM1511" s="4">
        <v>43</v>
      </c>
      <c r="AN1511" s="4">
        <v>0</v>
      </c>
      <c r="AO1511" s="4">
        <v>0</v>
      </c>
      <c r="AP1511" s="4">
        <v>4</v>
      </c>
      <c r="AQ1511" s="4">
        <v>7</v>
      </c>
      <c r="AR1511" s="3" t="s">
        <v>64</v>
      </c>
      <c r="AS1511" s="3" t="s">
        <v>64</v>
      </c>
      <c r="AT1511" s="3" t="s">
        <v>64</v>
      </c>
      <c r="AV1511" s="6" t="str">
        <f>HYPERLINK("http://mcgill.on.worldcat.org/oclc/41245595","Catalog Record")</f>
        <v>Catalog Record</v>
      </c>
      <c r="AW1511" s="6" t="str">
        <f>HYPERLINK("http://www.worldcat.org/oclc/41245595","WorldCat Record")</f>
        <v>WorldCat Record</v>
      </c>
      <c r="AX1511" s="3" t="s">
        <v>15688</v>
      </c>
      <c r="AY1511" s="3" t="s">
        <v>15689</v>
      </c>
      <c r="AZ1511" s="3" t="s">
        <v>15690</v>
      </c>
      <c r="BA1511" s="3" t="s">
        <v>15690</v>
      </c>
      <c r="BB1511" s="3" t="s">
        <v>15691</v>
      </c>
      <c r="BC1511" s="3" t="s">
        <v>78</v>
      </c>
      <c r="BD1511" s="3" t="s">
        <v>79</v>
      </c>
      <c r="BE1511" s="3" t="s">
        <v>15692</v>
      </c>
      <c r="BF1511" s="3" t="s">
        <v>15691</v>
      </c>
      <c r="BG1511" s="3" t="s">
        <v>15693</v>
      </c>
    </row>
    <row r="1512" spans="1:59" ht="58" x14ac:dyDescent="0.35">
      <c r="A1512" s="2" t="s">
        <v>59</v>
      </c>
      <c r="B1512" s="2" t="s">
        <v>94</v>
      </c>
      <c r="C1512" s="2" t="s">
        <v>15694</v>
      </c>
      <c r="D1512" s="2" t="s">
        <v>15695</v>
      </c>
      <c r="E1512" s="2" t="s">
        <v>15696</v>
      </c>
      <c r="F1512" s="3" t="s">
        <v>2231</v>
      </c>
      <c r="G1512" s="3" t="s">
        <v>73</v>
      </c>
      <c r="I1512" s="3" t="s">
        <v>73</v>
      </c>
      <c r="J1512" s="3" t="s">
        <v>64</v>
      </c>
      <c r="K1512" s="3" t="s">
        <v>65</v>
      </c>
      <c r="L1512" s="2" t="s">
        <v>15697</v>
      </c>
      <c r="M1512" s="2" t="s">
        <v>15698</v>
      </c>
      <c r="N1512" s="3" t="s">
        <v>15699</v>
      </c>
      <c r="P1512" s="3" t="s">
        <v>69</v>
      </c>
      <c r="R1512" s="3" t="s">
        <v>9228</v>
      </c>
      <c r="S1512" s="4">
        <v>0</v>
      </c>
      <c r="T1512" s="4">
        <v>10</v>
      </c>
      <c r="V1512" s="5" t="s">
        <v>15700</v>
      </c>
      <c r="W1512" s="5" t="s">
        <v>72</v>
      </c>
      <c r="X1512" s="5" t="s">
        <v>72</v>
      </c>
      <c r="Y1512" s="4">
        <v>24</v>
      </c>
      <c r="Z1512" s="4">
        <v>3</v>
      </c>
      <c r="AA1512" s="4">
        <v>6</v>
      </c>
      <c r="AB1512" s="4">
        <v>1</v>
      </c>
      <c r="AC1512" s="4">
        <v>2</v>
      </c>
      <c r="AD1512" s="4">
        <v>13</v>
      </c>
      <c r="AE1512" s="4">
        <v>18</v>
      </c>
      <c r="AF1512" s="4">
        <v>0</v>
      </c>
      <c r="AG1512" s="4">
        <v>0</v>
      </c>
      <c r="AH1512" s="4">
        <v>12</v>
      </c>
      <c r="AI1512" s="4">
        <v>15</v>
      </c>
      <c r="AJ1512" s="4">
        <v>0</v>
      </c>
      <c r="AK1512" s="4">
        <v>1</v>
      </c>
      <c r="AL1512" s="4">
        <v>11</v>
      </c>
      <c r="AM1512" s="4">
        <v>13</v>
      </c>
      <c r="AN1512" s="4">
        <v>0</v>
      </c>
      <c r="AO1512" s="4">
        <v>0</v>
      </c>
      <c r="AP1512" s="4">
        <v>0</v>
      </c>
      <c r="AQ1512" s="4">
        <v>2</v>
      </c>
      <c r="AR1512" s="3" t="s">
        <v>64</v>
      </c>
      <c r="AS1512" s="3" t="s">
        <v>64</v>
      </c>
      <c r="AT1512" s="3" t="s">
        <v>64</v>
      </c>
      <c r="AU1512" s="6" t="str">
        <f t="shared" ref="AU1512:AU1517" si="15">HYPERLINK("http://catalog.hathitrust.org/Record/007699655","HathiTrust Record")</f>
        <v>HathiTrust Record</v>
      </c>
      <c r="AV1512" s="6" t="str">
        <f t="shared" ref="AV1512:AV1517" si="16">HYPERLINK("http://mcgill.on.worldcat.org/oclc/821799","Catalog Record")</f>
        <v>Catalog Record</v>
      </c>
      <c r="AW1512" s="6" t="str">
        <f t="shared" ref="AW1512:AW1517" si="17">HYPERLINK("http://www.worldcat.org/oclc/821799","WorldCat Record")</f>
        <v>WorldCat Record</v>
      </c>
      <c r="AX1512" s="3" t="s">
        <v>15701</v>
      </c>
      <c r="AY1512" s="3" t="s">
        <v>15702</v>
      </c>
      <c r="AZ1512" s="3" t="s">
        <v>15703</v>
      </c>
      <c r="BA1512" s="3" t="s">
        <v>15703</v>
      </c>
      <c r="BB1512" s="3" t="s">
        <v>15704</v>
      </c>
      <c r="BC1512" s="3" t="s">
        <v>78</v>
      </c>
      <c r="BD1512" s="3" t="s">
        <v>79</v>
      </c>
      <c r="BF1512" s="3" t="s">
        <v>15704</v>
      </c>
      <c r="BG1512" s="3" t="s">
        <v>15705</v>
      </c>
    </row>
    <row r="1513" spans="1:59" ht="58" x14ac:dyDescent="0.35">
      <c r="A1513" s="2" t="s">
        <v>59</v>
      </c>
      <c r="B1513" s="2" t="s">
        <v>94</v>
      </c>
      <c r="C1513" s="2" t="s">
        <v>15694</v>
      </c>
      <c r="D1513" s="2" t="s">
        <v>15695</v>
      </c>
      <c r="E1513" s="2" t="s">
        <v>15696</v>
      </c>
      <c r="F1513" s="3" t="s">
        <v>2212</v>
      </c>
      <c r="G1513" s="3" t="s">
        <v>73</v>
      </c>
      <c r="I1513" s="3" t="s">
        <v>73</v>
      </c>
      <c r="J1513" s="3" t="s">
        <v>64</v>
      </c>
      <c r="K1513" s="3" t="s">
        <v>65</v>
      </c>
      <c r="L1513" s="2" t="s">
        <v>15697</v>
      </c>
      <c r="M1513" s="2" t="s">
        <v>15698</v>
      </c>
      <c r="N1513" s="3" t="s">
        <v>15699</v>
      </c>
      <c r="P1513" s="3" t="s">
        <v>69</v>
      </c>
      <c r="R1513" s="3" t="s">
        <v>9228</v>
      </c>
      <c r="S1513" s="4">
        <v>1</v>
      </c>
      <c r="T1513" s="4">
        <v>10</v>
      </c>
      <c r="U1513" s="5" t="s">
        <v>15706</v>
      </c>
      <c r="V1513" s="5" t="s">
        <v>15700</v>
      </c>
      <c r="W1513" s="5" t="s">
        <v>72</v>
      </c>
      <c r="X1513" s="5" t="s">
        <v>72</v>
      </c>
      <c r="Y1513" s="4">
        <v>24</v>
      </c>
      <c r="Z1513" s="4">
        <v>3</v>
      </c>
      <c r="AA1513" s="4">
        <v>6</v>
      </c>
      <c r="AB1513" s="4">
        <v>1</v>
      </c>
      <c r="AC1513" s="4">
        <v>2</v>
      </c>
      <c r="AD1513" s="4">
        <v>13</v>
      </c>
      <c r="AE1513" s="4">
        <v>18</v>
      </c>
      <c r="AF1513" s="4">
        <v>0</v>
      </c>
      <c r="AG1513" s="4">
        <v>0</v>
      </c>
      <c r="AH1513" s="4">
        <v>12</v>
      </c>
      <c r="AI1513" s="4">
        <v>15</v>
      </c>
      <c r="AJ1513" s="4">
        <v>0</v>
      </c>
      <c r="AK1513" s="4">
        <v>1</v>
      </c>
      <c r="AL1513" s="4">
        <v>11</v>
      </c>
      <c r="AM1513" s="4">
        <v>13</v>
      </c>
      <c r="AN1513" s="4">
        <v>0</v>
      </c>
      <c r="AO1513" s="4">
        <v>0</v>
      </c>
      <c r="AP1513" s="4">
        <v>0</v>
      </c>
      <c r="AQ1513" s="4">
        <v>2</v>
      </c>
      <c r="AR1513" s="3" t="s">
        <v>64</v>
      </c>
      <c r="AS1513" s="3" t="s">
        <v>64</v>
      </c>
      <c r="AT1513" s="3" t="s">
        <v>64</v>
      </c>
      <c r="AU1513" s="6" t="str">
        <f t="shared" si="15"/>
        <v>HathiTrust Record</v>
      </c>
      <c r="AV1513" s="6" t="str">
        <f t="shared" si="16"/>
        <v>Catalog Record</v>
      </c>
      <c r="AW1513" s="6" t="str">
        <f t="shared" si="17"/>
        <v>WorldCat Record</v>
      </c>
      <c r="AX1513" s="3" t="s">
        <v>15701</v>
      </c>
      <c r="AY1513" s="3" t="s">
        <v>15702</v>
      </c>
      <c r="AZ1513" s="3" t="s">
        <v>15703</v>
      </c>
      <c r="BA1513" s="3" t="s">
        <v>15703</v>
      </c>
      <c r="BB1513" s="3" t="s">
        <v>15707</v>
      </c>
      <c r="BC1513" s="3" t="s">
        <v>78</v>
      </c>
      <c r="BD1513" s="3" t="s">
        <v>79</v>
      </c>
      <c r="BF1513" s="3" t="s">
        <v>15707</v>
      </c>
      <c r="BG1513" s="3" t="s">
        <v>15708</v>
      </c>
    </row>
    <row r="1514" spans="1:59" ht="58" x14ac:dyDescent="0.35">
      <c r="A1514" s="2" t="s">
        <v>59</v>
      </c>
      <c r="B1514" s="2" t="s">
        <v>94</v>
      </c>
      <c r="C1514" s="2" t="s">
        <v>15694</v>
      </c>
      <c r="D1514" s="2" t="s">
        <v>15695</v>
      </c>
      <c r="E1514" s="2" t="s">
        <v>15696</v>
      </c>
      <c r="F1514" s="3" t="s">
        <v>2228</v>
      </c>
      <c r="G1514" s="3" t="s">
        <v>73</v>
      </c>
      <c r="I1514" s="3" t="s">
        <v>73</v>
      </c>
      <c r="J1514" s="3" t="s">
        <v>64</v>
      </c>
      <c r="K1514" s="3" t="s">
        <v>65</v>
      </c>
      <c r="L1514" s="2" t="s">
        <v>15697</v>
      </c>
      <c r="M1514" s="2" t="s">
        <v>15698</v>
      </c>
      <c r="N1514" s="3" t="s">
        <v>15699</v>
      </c>
      <c r="P1514" s="3" t="s">
        <v>69</v>
      </c>
      <c r="R1514" s="3" t="s">
        <v>9228</v>
      </c>
      <c r="S1514" s="4">
        <v>1</v>
      </c>
      <c r="T1514" s="4">
        <v>10</v>
      </c>
      <c r="U1514" s="5" t="s">
        <v>15709</v>
      </c>
      <c r="V1514" s="5" t="s">
        <v>15700</v>
      </c>
      <c r="W1514" s="5" t="s">
        <v>72</v>
      </c>
      <c r="X1514" s="5" t="s">
        <v>72</v>
      </c>
      <c r="Y1514" s="4">
        <v>24</v>
      </c>
      <c r="Z1514" s="4">
        <v>3</v>
      </c>
      <c r="AA1514" s="4">
        <v>6</v>
      </c>
      <c r="AB1514" s="4">
        <v>1</v>
      </c>
      <c r="AC1514" s="4">
        <v>2</v>
      </c>
      <c r="AD1514" s="4">
        <v>13</v>
      </c>
      <c r="AE1514" s="4">
        <v>18</v>
      </c>
      <c r="AF1514" s="4">
        <v>0</v>
      </c>
      <c r="AG1514" s="4">
        <v>0</v>
      </c>
      <c r="AH1514" s="4">
        <v>12</v>
      </c>
      <c r="AI1514" s="4">
        <v>15</v>
      </c>
      <c r="AJ1514" s="4">
        <v>0</v>
      </c>
      <c r="AK1514" s="4">
        <v>1</v>
      </c>
      <c r="AL1514" s="4">
        <v>11</v>
      </c>
      <c r="AM1514" s="4">
        <v>13</v>
      </c>
      <c r="AN1514" s="4">
        <v>0</v>
      </c>
      <c r="AO1514" s="4">
        <v>0</v>
      </c>
      <c r="AP1514" s="4">
        <v>0</v>
      </c>
      <c r="AQ1514" s="4">
        <v>2</v>
      </c>
      <c r="AR1514" s="3" t="s">
        <v>64</v>
      </c>
      <c r="AS1514" s="3" t="s">
        <v>64</v>
      </c>
      <c r="AT1514" s="3" t="s">
        <v>64</v>
      </c>
      <c r="AU1514" s="6" t="str">
        <f t="shared" si="15"/>
        <v>HathiTrust Record</v>
      </c>
      <c r="AV1514" s="6" t="str">
        <f t="shared" si="16"/>
        <v>Catalog Record</v>
      </c>
      <c r="AW1514" s="6" t="str">
        <f t="shared" si="17"/>
        <v>WorldCat Record</v>
      </c>
      <c r="AX1514" s="3" t="s">
        <v>15701</v>
      </c>
      <c r="AY1514" s="3" t="s">
        <v>15702</v>
      </c>
      <c r="AZ1514" s="3" t="s">
        <v>15703</v>
      </c>
      <c r="BA1514" s="3" t="s">
        <v>15703</v>
      </c>
      <c r="BB1514" s="3" t="s">
        <v>15710</v>
      </c>
      <c r="BC1514" s="3" t="s">
        <v>78</v>
      </c>
      <c r="BD1514" s="3" t="s">
        <v>79</v>
      </c>
      <c r="BF1514" s="3" t="s">
        <v>15710</v>
      </c>
      <c r="BG1514" s="3" t="s">
        <v>15711</v>
      </c>
    </row>
    <row r="1515" spans="1:59" ht="58" x14ac:dyDescent="0.35">
      <c r="A1515" s="2" t="s">
        <v>59</v>
      </c>
      <c r="B1515" s="2" t="s">
        <v>94</v>
      </c>
      <c r="C1515" s="2" t="s">
        <v>15694</v>
      </c>
      <c r="D1515" s="2" t="s">
        <v>15695</v>
      </c>
      <c r="E1515" s="2" t="s">
        <v>15696</v>
      </c>
      <c r="F1515" s="3" t="s">
        <v>15712</v>
      </c>
      <c r="G1515" s="3" t="s">
        <v>73</v>
      </c>
      <c r="I1515" s="3" t="s">
        <v>73</v>
      </c>
      <c r="J1515" s="3" t="s">
        <v>64</v>
      </c>
      <c r="K1515" s="3" t="s">
        <v>65</v>
      </c>
      <c r="L1515" s="2" t="s">
        <v>15697</v>
      </c>
      <c r="M1515" s="2" t="s">
        <v>15698</v>
      </c>
      <c r="N1515" s="3" t="s">
        <v>15699</v>
      </c>
      <c r="P1515" s="3" t="s">
        <v>69</v>
      </c>
      <c r="R1515" s="3" t="s">
        <v>9228</v>
      </c>
      <c r="S1515" s="4">
        <v>0</v>
      </c>
      <c r="T1515" s="4">
        <v>10</v>
      </c>
      <c r="V1515" s="5" t="s">
        <v>15700</v>
      </c>
      <c r="W1515" s="5" t="s">
        <v>72</v>
      </c>
      <c r="X1515" s="5" t="s">
        <v>72</v>
      </c>
      <c r="Y1515" s="4">
        <v>24</v>
      </c>
      <c r="Z1515" s="4">
        <v>3</v>
      </c>
      <c r="AA1515" s="4">
        <v>6</v>
      </c>
      <c r="AB1515" s="4">
        <v>1</v>
      </c>
      <c r="AC1515" s="4">
        <v>2</v>
      </c>
      <c r="AD1515" s="4">
        <v>13</v>
      </c>
      <c r="AE1515" s="4">
        <v>18</v>
      </c>
      <c r="AF1515" s="4">
        <v>0</v>
      </c>
      <c r="AG1515" s="4">
        <v>0</v>
      </c>
      <c r="AH1515" s="4">
        <v>12</v>
      </c>
      <c r="AI1515" s="4">
        <v>15</v>
      </c>
      <c r="AJ1515" s="4">
        <v>0</v>
      </c>
      <c r="AK1515" s="4">
        <v>1</v>
      </c>
      <c r="AL1515" s="4">
        <v>11</v>
      </c>
      <c r="AM1515" s="4">
        <v>13</v>
      </c>
      <c r="AN1515" s="4">
        <v>0</v>
      </c>
      <c r="AO1515" s="4">
        <v>0</v>
      </c>
      <c r="AP1515" s="4">
        <v>0</v>
      </c>
      <c r="AQ1515" s="4">
        <v>2</v>
      </c>
      <c r="AR1515" s="3" t="s">
        <v>64</v>
      </c>
      <c r="AS1515" s="3" t="s">
        <v>64</v>
      </c>
      <c r="AT1515" s="3" t="s">
        <v>64</v>
      </c>
      <c r="AU1515" s="6" t="str">
        <f t="shared" si="15"/>
        <v>HathiTrust Record</v>
      </c>
      <c r="AV1515" s="6" t="str">
        <f t="shared" si="16"/>
        <v>Catalog Record</v>
      </c>
      <c r="AW1515" s="6" t="str">
        <f t="shared" si="17"/>
        <v>WorldCat Record</v>
      </c>
      <c r="AX1515" s="3" t="s">
        <v>15701</v>
      </c>
      <c r="AY1515" s="3" t="s">
        <v>15702</v>
      </c>
      <c r="AZ1515" s="3" t="s">
        <v>15703</v>
      </c>
      <c r="BA1515" s="3" t="s">
        <v>15703</v>
      </c>
      <c r="BB1515" s="3" t="s">
        <v>15713</v>
      </c>
      <c r="BC1515" s="3" t="s">
        <v>78</v>
      </c>
      <c r="BD1515" s="3" t="s">
        <v>79</v>
      </c>
      <c r="BF1515" s="3" t="s">
        <v>15713</v>
      </c>
      <c r="BG1515" s="3" t="s">
        <v>15714</v>
      </c>
    </row>
    <row r="1516" spans="1:59" ht="58" x14ac:dyDescent="0.35">
      <c r="A1516" s="2" t="s">
        <v>59</v>
      </c>
      <c r="B1516" s="2" t="s">
        <v>94</v>
      </c>
      <c r="C1516" s="2" t="s">
        <v>15694</v>
      </c>
      <c r="D1516" s="2" t="s">
        <v>15695</v>
      </c>
      <c r="E1516" s="2" t="s">
        <v>15696</v>
      </c>
      <c r="F1516" s="3" t="s">
        <v>2224</v>
      </c>
      <c r="G1516" s="3" t="s">
        <v>73</v>
      </c>
      <c r="I1516" s="3" t="s">
        <v>73</v>
      </c>
      <c r="J1516" s="3" t="s">
        <v>64</v>
      </c>
      <c r="K1516" s="3" t="s">
        <v>65</v>
      </c>
      <c r="L1516" s="2" t="s">
        <v>15697</v>
      </c>
      <c r="M1516" s="2" t="s">
        <v>15698</v>
      </c>
      <c r="N1516" s="3" t="s">
        <v>15699</v>
      </c>
      <c r="P1516" s="3" t="s">
        <v>69</v>
      </c>
      <c r="R1516" s="3" t="s">
        <v>9228</v>
      </c>
      <c r="S1516" s="4">
        <v>0</v>
      </c>
      <c r="T1516" s="4">
        <v>10</v>
      </c>
      <c r="V1516" s="5" t="s">
        <v>15700</v>
      </c>
      <c r="W1516" s="5" t="s">
        <v>72</v>
      </c>
      <c r="X1516" s="5" t="s">
        <v>72</v>
      </c>
      <c r="Y1516" s="4">
        <v>24</v>
      </c>
      <c r="Z1516" s="4">
        <v>3</v>
      </c>
      <c r="AA1516" s="4">
        <v>6</v>
      </c>
      <c r="AB1516" s="4">
        <v>1</v>
      </c>
      <c r="AC1516" s="4">
        <v>2</v>
      </c>
      <c r="AD1516" s="4">
        <v>13</v>
      </c>
      <c r="AE1516" s="4">
        <v>18</v>
      </c>
      <c r="AF1516" s="4">
        <v>0</v>
      </c>
      <c r="AG1516" s="4">
        <v>0</v>
      </c>
      <c r="AH1516" s="4">
        <v>12</v>
      </c>
      <c r="AI1516" s="4">
        <v>15</v>
      </c>
      <c r="AJ1516" s="4">
        <v>0</v>
      </c>
      <c r="AK1516" s="4">
        <v>1</v>
      </c>
      <c r="AL1516" s="4">
        <v>11</v>
      </c>
      <c r="AM1516" s="4">
        <v>13</v>
      </c>
      <c r="AN1516" s="4">
        <v>0</v>
      </c>
      <c r="AO1516" s="4">
        <v>0</v>
      </c>
      <c r="AP1516" s="4">
        <v>0</v>
      </c>
      <c r="AQ1516" s="4">
        <v>2</v>
      </c>
      <c r="AR1516" s="3" t="s">
        <v>64</v>
      </c>
      <c r="AS1516" s="3" t="s">
        <v>64</v>
      </c>
      <c r="AT1516" s="3" t="s">
        <v>64</v>
      </c>
      <c r="AU1516" s="6" t="str">
        <f t="shared" si="15"/>
        <v>HathiTrust Record</v>
      </c>
      <c r="AV1516" s="6" t="str">
        <f t="shared" si="16"/>
        <v>Catalog Record</v>
      </c>
      <c r="AW1516" s="6" t="str">
        <f t="shared" si="17"/>
        <v>WorldCat Record</v>
      </c>
      <c r="AX1516" s="3" t="s">
        <v>15701</v>
      </c>
      <c r="AY1516" s="3" t="s">
        <v>15702</v>
      </c>
      <c r="AZ1516" s="3" t="s">
        <v>15703</v>
      </c>
      <c r="BA1516" s="3" t="s">
        <v>15703</v>
      </c>
      <c r="BB1516" s="3" t="s">
        <v>15715</v>
      </c>
      <c r="BC1516" s="3" t="s">
        <v>78</v>
      </c>
      <c r="BD1516" s="3" t="s">
        <v>79</v>
      </c>
      <c r="BF1516" s="3" t="s">
        <v>15715</v>
      </c>
      <c r="BG1516" s="3" t="s">
        <v>15716</v>
      </c>
    </row>
    <row r="1517" spans="1:59" ht="58" x14ac:dyDescent="0.35">
      <c r="A1517" s="2" t="s">
        <v>59</v>
      </c>
      <c r="B1517" s="2" t="s">
        <v>94</v>
      </c>
      <c r="C1517" s="2" t="s">
        <v>15694</v>
      </c>
      <c r="D1517" s="2" t="s">
        <v>15695</v>
      </c>
      <c r="E1517" s="2" t="s">
        <v>15696</v>
      </c>
      <c r="F1517" s="3" t="s">
        <v>15717</v>
      </c>
      <c r="G1517" s="3" t="s">
        <v>73</v>
      </c>
      <c r="I1517" s="3" t="s">
        <v>73</v>
      </c>
      <c r="J1517" s="3" t="s">
        <v>64</v>
      </c>
      <c r="K1517" s="3" t="s">
        <v>65</v>
      </c>
      <c r="L1517" s="2" t="s">
        <v>15697</v>
      </c>
      <c r="M1517" s="2" t="s">
        <v>15698</v>
      </c>
      <c r="N1517" s="3" t="s">
        <v>15699</v>
      </c>
      <c r="P1517" s="3" t="s">
        <v>69</v>
      </c>
      <c r="R1517" s="3" t="s">
        <v>9228</v>
      </c>
      <c r="S1517" s="4">
        <v>2</v>
      </c>
      <c r="T1517" s="4">
        <v>10</v>
      </c>
      <c r="U1517" s="5" t="s">
        <v>15718</v>
      </c>
      <c r="V1517" s="5" t="s">
        <v>15700</v>
      </c>
      <c r="W1517" s="5" t="s">
        <v>72</v>
      </c>
      <c r="X1517" s="5" t="s">
        <v>72</v>
      </c>
      <c r="Y1517" s="4">
        <v>24</v>
      </c>
      <c r="Z1517" s="4">
        <v>3</v>
      </c>
      <c r="AA1517" s="4">
        <v>6</v>
      </c>
      <c r="AB1517" s="4">
        <v>1</v>
      </c>
      <c r="AC1517" s="4">
        <v>2</v>
      </c>
      <c r="AD1517" s="4">
        <v>13</v>
      </c>
      <c r="AE1517" s="4">
        <v>18</v>
      </c>
      <c r="AF1517" s="4">
        <v>0</v>
      </c>
      <c r="AG1517" s="4">
        <v>0</v>
      </c>
      <c r="AH1517" s="4">
        <v>12</v>
      </c>
      <c r="AI1517" s="4">
        <v>15</v>
      </c>
      <c r="AJ1517" s="4">
        <v>0</v>
      </c>
      <c r="AK1517" s="4">
        <v>1</v>
      </c>
      <c r="AL1517" s="4">
        <v>11</v>
      </c>
      <c r="AM1517" s="4">
        <v>13</v>
      </c>
      <c r="AN1517" s="4">
        <v>0</v>
      </c>
      <c r="AO1517" s="4">
        <v>0</v>
      </c>
      <c r="AP1517" s="4">
        <v>0</v>
      </c>
      <c r="AQ1517" s="4">
        <v>2</v>
      </c>
      <c r="AR1517" s="3" t="s">
        <v>64</v>
      </c>
      <c r="AS1517" s="3" t="s">
        <v>64</v>
      </c>
      <c r="AT1517" s="3" t="s">
        <v>64</v>
      </c>
      <c r="AU1517" s="6" t="str">
        <f t="shared" si="15"/>
        <v>HathiTrust Record</v>
      </c>
      <c r="AV1517" s="6" t="str">
        <f t="shared" si="16"/>
        <v>Catalog Record</v>
      </c>
      <c r="AW1517" s="6" t="str">
        <f t="shared" si="17"/>
        <v>WorldCat Record</v>
      </c>
      <c r="AX1517" s="3" t="s">
        <v>15701</v>
      </c>
      <c r="AY1517" s="3" t="s">
        <v>15702</v>
      </c>
      <c r="AZ1517" s="3" t="s">
        <v>15703</v>
      </c>
      <c r="BA1517" s="3" t="s">
        <v>15703</v>
      </c>
      <c r="BB1517" s="3" t="s">
        <v>15719</v>
      </c>
      <c r="BC1517" s="3" t="s">
        <v>78</v>
      </c>
      <c r="BD1517" s="3" t="s">
        <v>79</v>
      </c>
      <c r="BF1517" s="3" t="s">
        <v>15719</v>
      </c>
      <c r="BG1517" s="3" t="s">
        <v>15720</v>
      </c>
    </row>
    <row r="1518" spans="1:59" ht="72.5" x14ac:dyDescent="0.35">
      <c r="A1518" s="2" t="s">
        <v>59</v>
      </c>
      <c r="B1518" s="2" t="s">
        <v>94</v>
      </c>
      <c r="C1518" s="2" t="s">
        <v>15721</v>
      </c>
      <c r="D1518" s="2" t="s">
        <v>15722</v>
      </c>
      <c r="E1518" s="2" t="s">
        <v>15723</v>
      </c>
      <c r="F1518" s="3" t="s">
        <v>15724</v>
      </c>
      <c r="G1518" s="3" t="s">
        <v>64</v>
      </c>
      <c r="I1518" s="3" t="s">
        <v>73</v>
      </c>
      <c r="J1518" s="3" t="s">
        <v>64</v>
      </c>
      <c r="K1518" s="3" t="s">
        <v>65</v>
      </c>
      <c r="L1518" s="2" t="s">
        <v>15697</v>
      </c>
      <c r="M1518" s="2" t="s">
        <v>15725</v>
      </c>
      <c r="N1518" s="3" t="s">
        <v>9123</v>
      </c>
      <c r="P1518" s="3" t="s">
        <v>69</v>
      </c>
      <c r="R1518" s="3" t="s">
        <v>9228</v>
      </c>
      <c r="S1518" s="4">
        <v>1</v>
      </c>
      <c r="T1518" s="4">
        <v>2</v>
      </c>
      <c r="U1518" s="5" t="s">
        <v>15706</v>
      </c>
      <c r="V1518" s="5" t="s">
        <v>15700</v>
      </c>
      <c r="W1518" s="5" t="s">
        <v>72</v>
      </c>
      <c r="X1518" s="5" t="s">
        <v>72</v>
      </c>
      <c r="Y1518" s="4">
        <v>1</v>
      </c>
      <c r="Z1518" s="4">
        <v>1</v>
      </c>
      <c r="AA1518" s="4">
        <v>1</v>
      </c>
      <c r="AB1518" s="4">
        <v>1</v>
      </c>
      <c r="AC1518" s="4">
        <v>1</v>
      </c>
      <c r="AD1518" s="4">
        <v>0</v>
      </c>
      <c r="AE1518" s="4">
        <v>0</v>
      </c>
      <c r="AF1518" s="4">
        <v>0</v>
      </c>
      <c r="AG1518" s="4">
        <v>0</v>
      </c>
      <c r="AH1518" s="4">
        <v>0</v>
      </c>
      <c r="AI1518" s="4">
        <v>0</v>
      </c>
      <c r="AJ1518" s="4">
        <v>0</v>
      </c>
      <c r="AK1518" s="4">
        <v>0</v>
      </c>
      <c r="AL1518" s="4">
        <v>0</v>
      </c>
      <c r="AM1518" s="4">
        <v>0</v>
      </c>
      <c r="AN1518" s="4">
        <v>0</v>
      </c>
      <c r="AO1518" s="4">
        <v>0</v>
      </c>
      <c r="AP1518" s="4">
        <v>0</v>
      </c>
      <c r="AQ1518" s="4">
        <v>0</v>
      </c>
      <c r="AR1518" s="3" t="s">
        <v>64</v>
      </c>
      <c r="AS1518" s="3" t="s">
        <v>64</v>
      </c>
      <c r="AT1518" s="3" t="s">
        <v>64</v>
      </c>
      <c r="AV1518" s="6" t="str">
        <f>HYPERLINK("http://mcgill.on.worldcat.org/oclc/61588478","Catalog Record")</f>
        <v>Catalog Record</v>
      </c>
      <c r="AW1518" s="6" t="str">
        <f>HYPERLINK("http://www.worldcat.org/oclc/61588478","WorldCat Record")</f>
        <v>WorldCat Record</v>
      </c>
      <c r="AX1518" s="3" t="s">
        <v>15726</v>
      </c>
      <c r="AY1518" s="3" t="s">
        <v>15727</v>
      </c>
      <c r="AZ1518" s="3" t="s">
        <v>15728</v>
      </c>
      <c r="BA1518" s="3" t="s">
        <v>15728</v>
      </c>
      <c r="BB1518" s="3" t="s">
        <v>15729</v>
      </c>
      <c r="BC1518" s="3" t="s">
        <v>78</v>
      </c>
      <c r="BD1518" s="3" t="s">
        <v>79</v>
      </c>
      <c r="BF1518" s="3" t="s">
        <v>15729</v>
      </c>
      <c r="BG1518" s="3" t="s">
        <v>15730</v>
      </c>
    </row>
    <row r="1519" spans="1:59" ht="58" x14ac:dyDescent="0.35">
      <c r="A1519" s="2" t="s">
        <v>59</v>
      </c>
      <c r="B1519" s="2" t="s">
        <v>94</v>
      </c>
      <c r="C1519" s="2" t="s">
        <v>15731</v>
      </c>
      <c r="D1519" s="2" t="s">
        <v>15732</v>
      </c>
      <c r="E1519" s="2" t="s">
        <v>15733</v>
      </c>
      <c r="G1519" s="3" t="s">
        <v>64</v>
      </c>
      <c r="I1519" s="3" t="s">
        <v>64</v>
      </c>
      <c r="J1519" s="3" t="s">
        <v>64</v>
      </c>
      <c r="K1519" s="3" t="s">
        <v>65</v>
      </c>
      <c r="L1519" s="2" t="s">
        <v>15734</v>
      </c>
      <c r="M1519" s="2" t="s">
        <v>15735</v>
      </c>
      <c r="N1519" s="3" t="s">
        <v>1247</v>
      </c>
      <c r="P1519" s="3" t="s">
        <v>69</v>
      </c>
      <c r="R1519" s="3" t="s">
        <v>9228</v>
      </c>
      <c r="S1519" s="4">
        <v>11</v>
      </c>
      <c r="T1519" s="4">
        <v>11</v>
      </c>
      <c r="U1519" s="5" t="s">
        <v>15736</v>
      </c>
      <c r="V1519" s="5" t="s">
        <v>15736</v>
      </c>
      <c r="W1519" s="5" t="s">
        <v>72</v>
      </c>
      <c r="X1519" s="5" t="s">
        <v>72</v>
      </c>
      <c r="Y1519" s="4">
        <v>230</v>
      </c>
      <c r="Z1519" s="4">
        <v>18</v>
      </c>
      <c r="AA1519" s="4">
        <v>24</v>
      </c>
      <c r="AB1519" s="4">
        <v>2</v>
      </c>
      <c r="AC1519" s="4">
        <v>2</v>
      </c>
      <c r="AD1519" s="4">
        <v>60</v>
      </c>
      <c r="AE1519" s="4">
        <v>65</v>
      </c>
      <c r="AF1519" s="4">
        <v>0</v>
      </c>
      <c r="AG1519" s="4">
        <v>0</v>
      </c>
      <c r="AH1519" s="4">
        <v>52</v>
      </c>
      <c r="AI1519" s="4">
        <v>55</v>
      </c>
      <c r="AJ1519" s="4">
        <v>11</v>
      </c>
      <c r="AK1519" s="4">
        <v>12</v>
      </c>
      <c r="AL1519" s="4">
        <v>27</v>
      </c>
      <c r="AM1519" s="4">
        <v>29</v>
      </c>
      <c r="AN1519" s="4">
        <v>0</v>
      </c>
      <c r="AO1519" s="4">
        <v>0</v>
      </c>
      <c r="AP1519" s="4">
        <v>12</v>
      </c>
      <c r="AQ1519" s="4">
        <v>14</v>
      </c>
      <c r="AR1519" s="3" t="s">
        <v>64</v>
      </c>
      <c r="AS1519" s="3" t="s">
        <v>64</v>
      </c>
      <c r="AT1519" s="3" t="s">
        <v>64</v>
      </c>
      <c r="AV1519" s="6" t="str">
        <f>HYPERLINK("http://mcgill.on.worldcat.org/oclc/991039","Catalog Record")</f>
        <v>Catalog Record</v>
      </c>
      <c r="AW1519" s="6" t="str">
        <f>HYPERLINK("http://www.worldcat.org/oclc/991039","WorldCat Record")</f>
        <v>WorldCat Record</v>
      </c>
      <c r="AX1519" s="3" t="s">
        <v>15737</v>
      </c>
      <c r="AY1519" s="3" t="s">
        <v>15738</v>
      </c>
      <c r="AZ1519" s="3" t="s">
        <v>15739</v>
      </c>
      <c r="BA1519" s="3" t="s">
        <v>15739</v>
      </c>
      <c r="BB1519" s="3" t="s">
        <v>15740</v>
      </c>
      <c r="BC1519" s="3" t="s">
        <v>78</v>
      </c>
      <c r="BD1519" s="3" t="s">
        <v>79</v>
      </c>
      <c r="BE1519" s="3" t="s">
        <v>15741</v>
      </c>
      <c r="BF1519" s="3" t="s">
        <v>15740</v>
      </c>
      <c r="BG1519" s="3" t="s">
        <v>15742</v>
      </c>
    </row>
    <row r="1520" spans="1:59" ht="58" x14ac:dyDescent="0.35">
      <c r="A1520" s="2" t="s">
        <v>59</v>
      </c>
      <c r="B1520" s="2" t="s">
        <v>94</v>
      </c>
      <c r="C1520" s="2" t="s">
        <v>15743</v>
      </c>
      <c r="D1520" s="2" t="s">
        <v>15744</v>
      </c>
      <c r="E1520" s="2" t="s">
        <v>15745</v>
      </c>
      <c r="G1520" s="3" t="s">
        <v>64</v>
      </c>
      <c r="I1520" s="3" t="s">
        <v>64</v>
      </c>
      <c r="J1520" s="3" t="s">
        <v>64</v>
      </c>
      <c r="K1520" s="3" t="s">
        <v>65</v>
      </c>
      <c r="L1520" s="2" t="s">
        <v>4156</v>
      </c>
      <c r="M1520" s="2" t="s">
        <v>2596</v>
      </c>
      <c r="N1520" s="3" t="s">
        <v>214</v>
      </c>
      <c r="P1520" s="3" t="s">
        <v>69</v>
      </c>
      <c r="R1520" s="3" t="s">
        <v>9228</v>
      </c>
      <c r="S1520" s="4">
        <v>1</v>
      </c>
      <c r="T1520" s="4">
        <v>1</v>
      </c>
      <c r="U1520" s="5" t="s">
        <v>15746</v>
      </c>
      <c r="V1520" s="5" t="s">
        <v>15746</v>
      </c>
      <c r="W1520" s="5" t="s">
        <v>72</v>
      </c>
      <c r="X1520" s="5" t="s">
        <v>72</v>
      </c>
      <c r="Y1520" s="4">
        <v>31</v>
      </c>
      <c r="Z1520" s="4">
        <v>4</v>
      </c>
      <c r="AA1520" s="4">
        <v>4</v>
      </c>
      <c r="AB1520" s="4">
        <v>1</v>
      </c>
      <c r="AC1520" s="4">
        <v>1</v>
      </c>
      <c r="AD1520" s="4">
        <v>21</v>
      </c>
      <c r="AE1520" s="4">
        <v>21</v>
      </c>
      <c r="AF1520" s="4">
        <v>0</v>
      </c>
      <c r="AG1520" s="4">
        <v>0</v>
      </c>
      <c r="AH1520" s="4">
        <v>21</v>
      </c>
      <c r="AI1520" s="4">
        <v>21</v>
      </c>
      <c r="AJ1520" s="4">
        <v>2</v>
      </c>
      <c r="AK1520" s="4">
        <v>2</v>
      </c>
      <c r="AL1520" s="4">
        <v>18</v>
      </c>
      <c r="AM1520" s="4">
        <v>18</v>
      </c>
      <c r="AN1520" s="4">
        <v>0</v>
      </c>
      <c r="AO1520" s="4">
        <v>0</v>
      </c>
      <c r="AP1520" s="4">
        <v>2</v>
      </c>
      <c r="AQ1520" s="4">
        <v>2</v>
      </c>
      <c r="AR1520" s="3" t="s">
        <v>64</v>
      </c>
      <c r="AS1520" s="3" t="s">
        <v>64</v>
      </c>
      <c r="AT1520" s="3" t="s">
        <v>64</v>
      </c>
      <c r="AV1520" s="6" t="str">
        <f>HYPERLINK("http://mcgill.on.worldcat.org/oclc/470259835","Catalog Record")</f>
        <v>Catalog Record</v>
      </c>
      <c r="AW1520" s="6" t="str">
        <f>HYPERLINK("http://www.worldcat.org/oclc/470259835","WorldCat Record")</f>
        <v>WorldCat Record</v>
      </c>
      <c r="AX1520" s="3" t="s">
        <v>15747</v>
      </c>
      <c r="AY1520" s="3" t="s">
        <v>15748</v>
      </c>
      <c r="AZ1520" s="3" t="s">
        <v>15749</v>
      </c>
      <c r="BA1520" s="3" t="s">
        <v>15749</v>
      </c>
      <c r="BB1520" s="3" t="s">
        <v>15750</v>
      </c>
      <c r="BC1520" s="3" t="s">
        <v>78</v>
      </c>
      <c r="BD1520" s="3" t="s">
        <v>79</v>
      </c>
      <c r="BE1520" s="3" t="s">
        <v>15751</v>
      </c>
      <c r="BF1520" s="3" t="s">
        <v>15750</v>
      </c>
      <c r="BG1520" s="3" t="s">
        <v>15752</v>
      </c>
    </row>
    <row r="1521" spans="1:59" ht="58" x14ac:dyDescent="0.35">
      <c r="A1521" s="2" t="s">
        <v>59</v>
      </c>
      <c r="B1521" s="2" t="s">
        <v>94</v>
      </c>
      <c r="C1521" s="2" t="s">
        <v>15753</v>
      </c>
      <c r="D1521" s="2" t="s">
        <v>15754</v>
      </c>
      <c r="E1521" s="2" t="s">
        <v>15755</v>
      </c>
      <c r="G1521" s="3" t="s">
        <v>64</v>
      </c>
      <c r="I1521" s="3" t="s">
        <v>64</v>
      </c>
      <c r="J1521" s="3" t="s">
        <v>64</v>
      </c>
      <c r="K1521" s="3" t="s">
        <v>65</v>
      </c>
      <c r="L1521" s="2" t="s">
        <v>15756</v>
      </c>
      <c r="M1521" s="2" t="s">
        <v>15757</v>
      </c>
      <c r="N1521" s="3" t="s">
        <v>214</v>
      </c>
      <c r="P1521" s="3" t="s">
        <v>69</v>
      </c>
      <c r="R1521" s="3" t="s">
        <v>9228</v>
      </c>
      <c r="S1521" s="4">
        <v>3</v>
      </c>
      <c r="T1521" s="4">
        <v>3</v>
      </c>
      <c r="U1521" s="5" t="s">
        <v>15758</v>
      </c>
      <c r="V1521" s="5" t="s">
        <v>15758</v>
      </c>
      <c r="W1521" s="5" t="s">
        <v>72</v>
      </c>
      <c r="X1521" s="5" t="s">
        <v>72</v>
      </c>
      <c r="Y1521" s="4">
        <v>263</v>
      </c>
      <c r="Z1521" s="4">
        <v>18</v>
      </c>
      <c r="AA1521" s="4">
        <v>107</v>
      </c>
      <c r="AB1521" s="4">
        <v>2</v>
      </c>
      <c r="AC1521" s="4">
        <v>18</v>
      </c>
      <c r="AD1521" s="4">
        <v>79</v>
      </c>
      <c r="AE1521" s="4">
        <v>136</v>
      </c>
      <c r="AF1521" s="4">
        <v>1</v>
      </c>
      <c r="AG1521" s="4">
        <v>8</v>
      </c>
      <c r="AH1521" s="4">
        <v>72</v>
      </c>
      <c r="AI1521" s="4">
        <v>95</v>
      </c>
      <c r="AJ1521" s="4">
        <v>10</v>
      </c>
      <c r="AK1521" s="4">
        <v>24</v>
      </c>
      <c r="AL1521" s="4">
        <v>36</v>
      </c>
      <c r="AM1521" s="4">
        <v>48</v>
      </c>
      <c r="AN1521" s="4">
        <v>0</v>
      </c>
      <c r="AO1521" s="4">
        <v>0</v>
      </c>
      <c r="AP1521" s="4">
        <v>14</v>
      </c>
      <c r="AQ1521" s="4">
        <v>49</v>
      </c>
      <c r="AR1521" s="3" t="s">
        <v>64</v>
      </c>
      <c r="AS1521" s="3" t="s">
        <v>64</v>
      </c>
      <c r="AT1521" s="3" t="s">
        <v>64</v>
      </c>
      <c r="AV1521" s="6" t="str">
        <f>HYPERLINK("http://mcgill.on.worldcat.org/oclc/635492447","Catalog Record")</f>
        <v>Catalog Record</v>
      </c>
      <c r="AW1521" s="6" t="str">
        <f>HYPERLINK("http://www.worldcat.org/oclc/635492447","WorldCat Record")</f>
        <v>WorldCat Record</v>
      </c>
      <c r="AX1521" s="3" t="s">
        <v>15759</v>
      </c>
      <c r="AY1521" s="3" t="s">
        <v>15760</v>
      </c>
      <c r="AZ1521" s="3" t="s">
        <v>15761</v>
      </c>
      <c r="BA1521" s="3" t="s">
        <v>15761</v>
      </c>
      <c r="BB1521" s="3" t="s">
        <v>15762</v>
      </c>
      <c r="BC1521" s="3" t="s">
        <v>78</v>
      </c>
      <c r="BD1521" s="3" t="s">
        <v>79</v>
      </c>
      <c r="BE1521" s="3" t="s">
        <v>15763</v>
      </c>
      <c r="BF1521" s="3" t="s">
        <v>15762</v>
      </c>
      <c r="BG1521" s="3" t="s">
        <v>15764</v>
      </c>
    </row>
    <row r="1522" spans="1:59" ht="116" x14ac:dyDescent="0.35">
      <c r="A1522" s="2" t="s">
        <v>59</v>
      </c>
      <c r="B1522" s="2" t="s">
        <v>94</v>
      </c>
      <c r="C1522" s="2" t="s">
        <v>15765</v>
      </c>
      <c r="D1522" s="2" t="s">
        <v>15766</v>
      </c>
      <c r="E1522" s="2" t="s">
        <v>15767</v>
      </c>
      <c r="G1522" s="3" t="s">
        <v>64</v>
      </c>
      <c r="I1522" s="3" t="s">
        <v>64</v>
      </c>
      <c r="J1522" s="3" t="s">
        <v>64</v>
      </c>
      <c r="K1522" s="3" t="s">
        <v>65</v>
      </c>
      <c r="M1522" s="2" t="s">
        <v>15768</v>
      </c>
      <c r="N1522" s="3" t="s">
        <v>287</v>
      </c>
      <c r="P1522" s="3" t="s">
        <v>69</v>
      </c>
      <c r="R1522" s="3" t="s">
        <v>9228</v>
      </c>
      <c r="S1522" s="4">
        <v>7</v>
      </c>
      <c r="T1522" s="4">
        <v>7</v>
      </c>
      <c r="U1522" s="5" t="s">
        <v>15769</v>
      </c>
      <c r="V1522" s="5" t="s">
        <v>15769</v>
      </c>
      <c r="W1522" s="5" t="s">
        <v>72</v>
      </c>
      <c r="X1522" s="5" t="s">
        <v>72</v>
      </c>
      <c r="Y1522" s="4">
        <v>260</v>
      </c>
      <c r="Z1522" s="4">
        <v>22</v>
      </c>
      <c r="AA1522" s="4">
        <v>23</v>
      </c>
      <c r="AB1522" s="4">
        <v>1</v>
      </c>
      <c r="AC1522" s="4">
        <v>1</v>
      </c>
      <c r="AD1522" s="4">
        <v>97</v>
      </c>
      <c r="AE1522" s="4">
        <v>105</v>
      </c>
      <c r="AF1522" s="4">
        <v>0</v>
      </c>
      <c r="AG1522" s="4">
        <v>0</v>
      </c>
      <c r="AH1522" s="4">
        <v>86</v>
      </c>
      <c r="AI1522" s="4">
        <v>93</v>
      </c>
      <c r="AJ1522" s="4">
        <v>15</v>
      </c>
      <c r="AK1522" s="4">
        <v>15</v>
      </c>
      <c r="AL1522" s="4">
        <v>46</v>
      </c>
      <c r="AM1522" s="4">
        <v>51</v>
      </c>
      <c r="AN1522" s="4">
        <v>0</v>
      </c>
      <c r="AO1522" s="4">
        <v>0</v>
      </c>
      <c r="AP1522" s="4">
        <v>17</v>
      </c>
      <c r="AQ1522" s="4">
        <v>18</v>
      </c>
      <c r="AR1522" s="3" t="s">
        <v>64</v>
      </c>
      <c r="AS1522" s="3" t="s">
        <v>64</v>
      </c>
      <c r="AT1522" s="3" t="s">
        <v>73</v>
      </c>
      <c r="AU1522" s="6" t="str">
        <f>HYPERLINK("http://catalog.hathitrust.org/Record/000098830","HathiTrust Record")</f>
        <v>HathiTrust Record</v>
      </c>
      <c r="AV1522" s="6" t="str">
        <f>HYPERLINK("http://mcgill.on.worldcat.org/oclc/7272495","Catalog Record")</f>
        <v>Catalog Record</v>
      </c>
      <c r="AW1522" s="6" t="str">
        <f>HYPERLINK("http://www.worldcat.org/oclc/7272495","WorldCat Record")</f>
        <v>WorldCat Record</v>
      </c>
      <c r="AX1522" s="3" t="s">
        <v>15770</v>
      </c>
      <c r="AY1522" s="3" t="s">
        <v>15771</v>
      </c>
      <c r="AZ1522" s="3" t="s">
        <v>15772</v>
      </c>
      <c r="BA1522" s="3" t="s">
        <v>15772</v>
      </c>
      <c r="BB1522" s="3" t="s">
        <v>15773</v>
      </c>
      <c r="BC1522" s="3" t="s">
        <v>78</v>
      </c>
      <c r="BD1522" s="3" t="s">
        <v>79</v>
      </c>
      <c r="BE1522" s="3" t="s">
        <v>15774</v>
      </c>
      <c r="BF1522" s="3" t="s">
        <v>15773</v>
      </c>
      <c r="BG1522" s="3" t="s">
        <v>15775</v>
      </c>
    </row>
    <row r="1523" spans="1:59" ht="58" x14ac:dyDescent="0.35">
      <c r="A1523" s="2" t="s">
        <v>59</v>
      </c>
      <c r="B1523" s="2" t="s">
        <v>94</v>
      </c>
      <c r="C1523" s="2" t="s">
        <v>15776</v>
      </c>
      <c r="D1523" s="2" t="s">
        <v>15777</v>
      </c>
      <c r="E1523" s="2" t="s">
        <v>15778</v>
      </c>
      <c r="G1523" s="3" t="s">
        <v>64</v>
      </c>
      <c r="I1523" s="3" t="s">
        <v>64</v>
      </c>
      <c r="J1523" s="3" t="s">
        <v>64</v>
      </c>
      <c r="K1523" s="3" t="s">
        <v>65</v>
      </c>
      <c r="L1523" s="2" t="s">
        <v>15779</v>
      </c>
      <c r="M1523" s="2" t="s">
        <v>15780</v>
      </c>
      <c r="N1523" s="3" t="s">
        <v>226</v>
      </c>
      <c r="O1523" s="2" t="s">
        <v>1294</v>
      </c>
      <c r="P1523" s="3" t="s">
        <v>69</v>
      </c>
      <c r="R1523" s="3" t="s">
        <v>9228</v>
      </c>
      <c r="S1523" s="4">
        <v>15</v>
      </c>
      <c r="T1523" s="4">
        <v>15</v>
      </c>
      <c r="U1523" s="5" t="s">
        <v>3588</v>
      </c>
      <c r="V1523" s="5" t="s">
        <v>3588</v>
      </c>
      <c r="W1523" s="5" t="s">
        <v>72</v>
      </c>
      <c r="X1523" s="5" t="s">
        <v>72</v>
      </c>
      <c r="Y1523" s="4">
        <v>780</v>
      </c>
      <c r="Z1523" s="4">
        <v>26</v>
      </c>
      <c r="AA1523" s="4">
        <v>30</v>
      </c>
      <c r="AB1523" s="4">
        <v>1</v>
      </c>
      <c r="AC1523" s="4">
        <v>1</v>
      </c>
      <c r="AD1523" s="4">
        <v>104</v>
      </c>
      <c r="AE1523" s="4">
        <v>107</v>
      </c>
      <c r="AF1523" s="4">
        <v>0</v>
      </c>
      <c r="AG1523" s="4">
        <v>0</v>
      </c>
      <c r="AH1523" s="4">
        <v>93</v>
      </c>
      <c r="AI1523" s="4">
        <v>94</v>
      </c>
      <c r="AJ1523" s="4">
        <v>10</v>
      </c>
      <c r="AK1523" s="4">
        <v>12</v>
      </c>
      <c r="AL1523" s="4">
        <v>50</v>
      </c>
      <c r="AM1523" s="4">
        <v>50</v>
      </c>
      <c r="AN1523" s="4">
        <v>0</v>
      </c>
      <c r="AO1523" s="4">
        <v>0</v>
      </c>
      <c r="AP1523" s="4">
        <v>14</v>
      </c>
      <c r="AQ1523" s="4">
        <v>17</v>
      </c>
      <c r="AR1523" s="3" t="s">
        <v>64</v>
      </c>
      <c r="AS1523" s="3" t="s">
        <v>64</v>
      </c>
      <c r="AT1523" s="3" t="s">
        <v>64</v>
      </c>
      <c r="AV1523" s="6" t="str">
        <f>HYPERLINK("http://mcgill.on.worldcat.org/oclc/35770988","Catalog Record")</f>
        <v>Catalog Record</v>
      </c>
      <c r="AW1523" s="6" t="str">
        <f>HYPERLINK("http://www.worldcat.org/oclc/35770988","WorldCat Record")</f>
        <v>WorldCat Record</v>
      </c>
      <c r="AX1523" s="3" t="s">
        <v>15781</v>
      </c>
      <c r="AY1523" s="3" t="s">
        <v>15782</v>
      </c>
      <c r="AZ1523" s="3" t="s">
        <v>15783</v>
      </c>
      <c r="BA1523" s="3" t="s">
        <v>15783</v>
      </c>
      <c r="BB1523" s="3" t="s">
        <v>15784</v>
      </c>
      <c r="BC1523" s="3" t="s">
        <v>78</v>
      </c>
      <c r="BD1523" s="3" t="s">
        <v>79</v>
      </c>
      <c r="BE1523" s="3" t="s">
        <v>15785</v>
      </c>
      <c r="BF1523" s="3" t="s">
        <v>15784</v>
      </c>
      <c r="BG1523" s="3" t="s">
        <v>15786</v>
      </c>
    </row>
    <row r="1524" spans="1:59" ht="58" x14ac:dyDescent="0.35">
      <c r="A1524" s="2" t="s">
        <v>59</v>
      </c>
      <c r="B1524" s="2" t="s">
        <v>94</v>
      </c>
      <c r="C1524" s="2" t="s">
        <v>15787</v>
      </c>
      <c r="D1524" s="2" t="s">
        <v>15788</v>
      </c>
      <c r="E1524" s="2" t="s">
        <v>15789</v>
      </c>
      <c r="G1524" s="3" t="s">
        <v>64</v>
      </c>
      <c r="I1524" s="3" t="s">
        <v>64</v>
      </c>
      <c r="J1524" s="3" t="s">
        <v>64</v>
      </c>
      <c r="K1524" s="3" t="s">
        <v>65</v>
      </c>
      <c r="L1524" s="2" t="s">
        <v>15790</v>
      </c>
      <c r="M1524" s="2" t="s">
        <v>15791</v>
      </c>
      <c r="N1524" s="3" t="s">
        <v>705</v>
      </c>
      <c r="P1524" s="3" t="s">
        <v>69</v>
      </c>
      <c r="Q1524" s="2" t="s">
        <v>15792</v>
      </c>
      <c r="R1524" s="3" t="s">
        <v>9228</v>
      </c>
      <c r="S1524" s="4">
        <v>42</v>
      </c>
      <c r="T1524" s="4">
        <v>42</v>
      </c>
      <c r="U1524" s="5" t="s">
        <v>15793</v>
      </c>
      <c r="V1524" s="5" t="s">
        <v>15793</v>
      </c>
      <c r="W1524" s="5" t="s">
        <v>72</v>
      </c>
      <c r="X1524" s="5" t="s">
        <v>72</v>
      </c>
      <c r="Y1524" s="4">
        <v>567</v>
      </c>
      <c r="Z1524" s="4">
        <v>26</v>
      </c>
      <c r="AA1524" s="4">
        <v>31</v>
      </c>
      <c r="AB1524" s="4">
        <v>2</v>
      </c>
      <c r="AC1524" s="4">
        <v>5</v>
      </c>
      <c r="AD1524" s="4">
        <v>115</v>
      </c>
      <c r="AE1524" s="4">
        <v>119</v>
      </c>
      <c r="AF1524" s="4">
        <v>1</v>
      </c>
      <c r="AG1524" s="4">
        <v>3</v>
      </c>
      <c r="AH1524" s="4">
        <v>101</v>
      </c>
      <c r="AI1524" s="4">
        <v>103</v>
      </c>
      <c r="AJ1524" s="4">
        <v>16</v>
      </c>
      <c r="AK1524" s="4">
        <v>18</v>
      </c>
      <c r="AL1524" s="4">
        <v>55</v>
      </c>
      <c r="AM1524" s="4">
        <v>56</v>
      </c>
      <c r="AN1524" s="4">
        <v>0</v>
      </c>
      <c r="AO1524" s="4">
        <v>0</v>
      </c>
      <c r="AP1524" s="4">
        <v>21</v>
      </c>
      <c r="AQ1524" s="4">
        <v>22</v>
      </c>
      <c r="AR1524" s="3" t="s">
        <v>64</v>
      </c>
      <c r="AS1524" s="3" t="s">
        <v>64</v>
      </c>
      <c r="AT1524" s="3" t="s">
        <v>73</v>
      </c>
      <c r="AU1524" s="6" t="str">
        <f>HYPERLINK("http://catalog.hathitrust.org/Record/003094480","HathiTrust Record")</f>
        <v>HathiTrust Record</v>
      </c>
      <c r="AV1524" s="6" t="str">
        <f>HYPERLINK("http://mcgill.on.worldcat.org/oclc/34245110","Catalog Record")</f>
        <v>Catalog Record</v>
      </c>
      <c r="AW1524" s="6" t="str">
        <f>HYPERLINK("http://www.worldcat.org/oclc/34245110","WorldCat Record")</f>
        <v>WorldCat Record</v>
      </c>
      <c r="AX1524" s="3" t="s">
        <v>15794</v>
      </c>
      <c r="AY1524" s="3" t="s">
        <v>15795</v>
      </c>
      <c r="AZ1524" s="3" t="s">
        <v>15796</v>
      </c>
      <c r="BA1524" s="3" t="s">
        <v>15796</v>
      </c>
      <c r="BB1524" s="3" t="s">
        <v>15797</v>
      </c>
      <c r="BC1524" s="3" t="s">
        <v>78</v>
      </c>
      <c r="BD1524" s="3" t="s">
        <v>79</v>
      </c>
      <c r="BE1524" s="3" t="s">
        <v>15798</v>
      </c>
      <c r="BF1524" s="3" t="s">
        <v>15797</v>
      </c>
      <c r="BG1524" s="3" t="s">
        <v>15799</v>
      </c>
    </row>
    <row r="1525" spans="1:59" ht="72.5" x14ac:dyDescent="0.35">
      <c r="A1525" s="2" t="s">
        <v>59</v>
      </c>
      <c r="B1525" s="2" t="s">
        <v>94</v>
      </c>
      <c r="C1525" s="2" t="s">
        <v>15800</v>
      </c>
      <c r="D1525" s="2" t="s">
        <v>15801</v>
      </c>
      <c r="E1525" s="2" t="s">
        <v>15802</v>
      </c>
      <c r="G1525" s="3" t="s">
        <v>64</v>
      </c>
      <c r="I1525" s="3" t="s">
        <v>64</v>
      </c>
      <c r="J1525" s="3" t="s">
        <v>64</v>
      </c>
      <c r="K1525" s="3" t="s">
        <v>65</v>
      </c>
      <c r="L1525" s="2" t="s">
        <v>15803</v>
      </c>
      <c r="M1525" s="2" t="s">
        <v>15804</v>
      </c>
      <c r="N1525" s="3" t="s">
        <v>1320</v>
      </c>
      <c r="P1525" s="3" t="s">
        <v>69</v>
      </c>
      <c r="R1525" s="3" t="s">
        <v>9228</v>
      </c>
      <c r="S1525" s="4">
        <v>6</v>
      </c>
      <c r="T1525" s="4">
        <v>6</v>
      </c>
      <c r="U1525" s="5" t="s">
        <v>15805</v>
      </c>
      <c r="V1525" s="5" t="s">
        <v>15805</v>
      </c>
      <c r="W1525" s="5" t="s">
        <v>72</v>
      </c>
      <c r="X1525" s="5" t="s">
        <v>72</v>
      </c>
      <c r="Y1525" s="4">
        <v>241</v>
      </c>
      <c r="Z1525" s="4">
        <v>15</v>
      </c>
      <c r="AA1525" s="4">
        <v>15</v>
      </c>
      <c r="AB1525" s="4">
        <v>1</v>
      </c>
      <c r="AC1525" s="4">
        <v>1</v>
      </c>
      <c r="AD1525" s="4">
        <v>58</v>
      </c>
      <c r="AE1525" s="4">
        <v>58</v>
      </c>
      <c r="AF1525" s="4">
        <v>0</v>
      </c>
      <c r="AG1525" s="4">
        <v>0</v>
      </c>
      <c r="AH1525" s="4">
        <v>53</v>
      </c>
      <c r="AI1525" s="4">
        <v>53</v>
      </c>
      <c r="AJ1525" s="4">
        <v>6</v>
      </c>
      <c r="AK1525" s="4">
        <v>6</v>
      </c>
      <c r="AL1525" s="4">
        <v>26</v>
      </c>
      <c r="AM1525" s="4">
        <v>26</v>
      </c>
      <c r="AN1525" s="4">
        <v>5</v>
      </c>
      <c r="AO1525" s="4">
        <v>5</v>
      </c>
      <c r="AP1525" s="4">
        <v>7</v>
      </c>
      <c r="AQ1525" s="4">
        <v>7</v>
      </c>
      <c r="AR1525" s="3" t="s">
        <v>64</v>
      </c>
      <c r="AS1525" s="3" t="s">
        <v>64</v>
      </c>
      <c r="AT1525" s="3" t="s">
        <v>73</v>
      </c>
      <c r="AU1525" s="6" t="str">
        <f>HYPERLINK("http://catalog.hathitrust.org/Record/002987429","HathiTrust Record")</f>
        <v>HathiTrust Record</v>
      </c>
      <c r="AV1525" s="6" t="str">
        <f>HYPERLINK("http://mcgill.on.worldcat.org/oclc/31517814","Catalog Record")</f>
        <v>Catalog Record</v>
      </c>
      <c r="AW1525" s="6" t="str">
        <f>HYPERLINK("http://www.worldcat.org/oclc/31517814","WorldCat Record")</f>
        <v>WorldCat Record</v>
      </c>
      <c r="AX1525" s="3" t="s">
        <v>15806</v>
      </c>
      <c r="AY1525" s="3" t="s">
        <v>15807</v>
      </c>
      <c r="AZ1525" s="3" t="s">
        <v>15808</v>
      </c>
      <c r="BA1525" s="3" t="s">
        <v>15808</v>
      </c>
      <c r="BB1525" s="3" t="s">
        <v>15809</v>
      </c>
      <c r="BC1525" s="3" t="s">
        <v>78</v>
      </c>
      <c r="BD1525" s="3" t="s">
        <v>79</v>
      </c>
      <c r="BE1525" s="3" t="s">
        <v>15810</v>
      </c>
      <c r="BF1525" s="3" t="s">
        <v>15809</v>
      </c>
      <c r="BG1525" s="3" t="s">
        <v>15811</v>
      </c>
    </row>
    <row r="1526" spans="1:59" ht="58" x14ac:dyDescent="0.35">
      <c r="A1526" s="2" t="s">
        <v>59</v>
      </c>
      <c r="B1526" s="2" t="s">
        <v>94</v>
      </c>
      <c r="C1526" s="2" t="s">
        <v>15812</v>
      </c>
      <c r="D1526" s="2" t="s">
        <v>15813</v>
      </c>
      <c r="E1526" s="2" t="s">
        <v>15814</v>
      </c>
      <c r="G1526" s="3" t="s">
        <v>64</v>
      </c>
      <c r="I1526" s="3" t="s">
        <v>64</v>
      </c>
      <c r="J1526" s="3" t="s">
        <v>64</v>
      </c>
      <c r="K1526" s="3" t="s">
        <v>65</v>
      </c>
      <c r="L1526" s="2" t="s">
        <v>15815</v>
      </c>
      <c r="M1526" s="2" t="s">
        <v>15816</v>
      </c>
      <c r="N1526" s="3" t="s">
        <v>328</v>
      </c>
      <c r="P1526" s="3" t="s">
        <v>69</v>
      </c>
      <c r="Q1526" s="2" t="s">
        <v>15129</v>
      </c>
      <c r="R1526" s="3" t="s">
        <v>9228</v>
      </c>
      <c r="S1526" s="4">
        <v>3</v>
      </c>
      <c r="T1526" s="4">
        <v>3</v>
      </c>
      <c r="U1526" s="5" t="s">
        <v>7107</v>
      </c>
      <c r="V1526" s="5" t="s">
        <v>7107</v>
      </c>
      <c r="W1526" s="5" t="s">
        <v>72</v>
      </c>
      <c r="X1526" s="5" t="s">
        <v>72</v>
      </c>
      <c r="Y1526" s="4">
        <v>189</v>
      </c>
      <c r="Z1526" s="4">
        <v>10</v>
      </c>
      <c r="AA1526" s="4">
        <v>100</v>
      </c>
      <c r="AB1526" s="4">
        <v>1</v>
      </c>
      <c r="AC1526" s="4">
        <v>18</v>
      </c>
      <c r="AD1526" s="4">
        <v>62</v>
      </c>
      <c r="AE1526" s="4">
        <v>117</v>
      </c>
      <c r="AF1526" s="4">
        <v>0</v>
      </c>
      <c r="AG1526" s="4">
        <v>8</v>
      </c>
      <c r="AH1526" s="4">
        <v>59</v>
      </c>
      <c r="AI1526" s="4">
        <v>84</v>
      </c>
      <c r="AJ1526" s="4">
        <v>6</v>
      </c>
      <c r="AK1526" s="4">
        <v>19</v>
      </c>
      <c r="AL1526" s="4">
        <v>35</v>
      </c>
      <c r="AM1526" s="4">
        <v>44</v>
      </c>
      <c r="AN1526" s="4">
        <v>0</v>
      </c>
      <c r="AO1526" s="4">
        <v>0</v>
      </c>
      <c r="AP1526" s="4">
        <v>7</v>
      </c>
      <c r="AQ1526" s="4">
        <v>41</v>
      </c>
      <c r="AR1526" s="3" t="s">
        <v>64</v>
      </c>
      <c r="AS1526" s="3" t="s">
        <v>64</v>
      </c>
      <c r="AT1526" s="3" t="s">
        <v>64</v>
      </c>
      <c r="AV1526" s="6" t="str">
        <f>HYPERLINK("http://mcgill.on.worldcat.org/oclc/647977696","Catalog Record")</f>
        <v>Catalog Record</v>
      </c>
      <c r="AW1526" s="6" t="str">
        <f>HYPERLINK("http://www.worldcat.org/oclc/647977696","WorldCat Record")</f>
        <v>WorldCat Record</v>
      </c>
      <c r="AX1526" s="3" t="s">
        <v>15817</v>
      </c>
      <c r="AY1526" s="3" t="s">
        <v>15818</v>
      </c>
      <c r="AZ1526" s="3" t="s">
        <v>15819</v>
      </c>
      <c r="BA1526" s="3" t="s">
        <v>15819</v>
      </c>
      <c r="BB1526" s="3" t="s">
        <v>15820</v>
      </c>
      <c r="BC1526" s="3" t="s">
        <v>78</v>
      </c>
      <c r="BD1526" s="3" t="s">
        <v>79</v>
      </c>
      <c r="BE1526" s="3" t="s">
        <v>15821</v>
      </c>
      <c r="BF1526" s="3" t="s">
        <v>15820</v>
      </c>
      <c r="BG1526" s="3" t="s">
        <v>15822</v>
      </c>
    </row>
    <row r="1527" spans="1:59" ht="58" x14ac:dyDescent="0.35">
      <c r="A1527" s="2" t="s">
        <v>59</v>
      </c>
      <c r="B1527" s="2" t="s">
        <v>94</v>
      </c>
      <c r="C1527" s="2" t="s">
        <v>15823</v>
      </c>
      <c r="D1527" s="2" t="s">
        <v>15824</v>
      </c>
      <c r="E1527" s="2" t="s">
        <v>15825</v>
      </c>
      <c r="G1527" s="3" t="s">
        <v>64</v>
      </c>
      <c r="I1527" s="3" t="s">
        <v>64</v>
      </c>
      <c r="J1527" s="3" t="s">
        <v>64</v>
      </c>
      <c r="K1527" s="3" t="s">
        <v>65</v>
      </c>
      <c r="L1527" s="2" t="s">
        <v>15826</v>
      </c>
      <c r="M1527" s="2" t="s">
        <v>15827</v>
      </c>
      <c r="N1527" s="3" t="s">
        <v>1645</v>
      </c>
      <c r="O1527" s="2" t="s">
        <v>525</v>
      </c>
      <c r="P1527" s="3" t="s">
        <v>69</v>
      </c>
      <c r="Q1527" s="2" t="s">
        <v>15828</v>
      </c>
      <c r="R1527" s="3" t="s">
        <v>9228</v>
      </c>
      <c r="S1527" s="4">
        <v>1</v>
      </c>
      <c r="T1527" s="4">
        <v>1</v>
      </c>
      <c r="U1527" s="5" t="s">
        <v>15805</v>
      </c>
      <c r="V1527" s="5" t="s">
        <v>15805</v>
      </c>
      <c r="W1527" s="5" t="s">
        <v>72</v>
      </c>
      <c r="X1527" s="5" t="s">
        <v>72</v>
      </c>
      <c r="Y1527" s="4">
        <v>358</v>
      </c>
      <c r="Z1527" s="4">
        <v>22</v>
      </c>
      <c r="AA1527" s="4">
        <v>26</v>
      </c>
      <c r="AB1527" s="4">
        <v>2</v>
      </c>
      <c r="AC1527" s="4">
        <v>5</v>
      </c>
      <c r="AD1527" s="4">
        <v>93</v>
      </c>
      <c r="AE1527" s="4">
        <v>96</v>
      </c>
      <c r="AF1527" s="4">
        <v>1</v>
      </c>
      <c r="AG1527" s="4">
        <v>3</v>
      </c>
      <c r="AH1527" s="4">
        <v>82</v>
      </c>
      <c r="AI1527" s="4">
        <v>83</v>
      </c>
      <c r="AJ1527" s="4">
        <v>10</v>
      </c>
      <c r="AK1527" s="4">
        <v>12</v>
      </c>
      <c r="AL1527" s="4">
        <v>46</v>
      </c>
      <c r="AM1527" s="4">
        <v>46</v>
      </c>
      <c r="AN1527" s="4">
        <v>0</v>
      </c>
      <c r="AO1527" s="4">
        <v>0</v>
      </c>
      <c r="AP1527" s="4">
        <v>18</v>
      </c>
      <c r="AQ1527" s="4">
        <v>20</v>
      </c>
      <c r="AR1527" s="3" t="s">
        <v>64</v>
      </c>
      <c r="AS1527" s="3" t="s">
        <v>64</v>
      </c>
      <c r="AT1527" s="3" t="s">
        <v>64</v>
      </c>
      <c r="AV1527" s="6" t="str">
        <f>HYPERLINK("http://mcgill.on.worldcat.org/oclc/981922146","Catalog Record")</f>
        <v>Catalog Record</v>
      </c>
      <c r="AW1527" s="6" t="str">
        <f>HYPERLINK("http://www.worldcat.org/oclc/981922146","WorldCat Record")</f>
        <v>WorldCat Record</v>
      </c>
      <c r="AX1527" s="3" t="s">
        <v>15829</v>
      </c>
      <c r="AY1527" s="3" t="s">
        <v>15830</v>
      </c>
      <c r="AZ1527" s="3" t="s">
        <v>15831</v>
      </c>
      <c r="BA1527" s="3" t="s">
        <v>15831</v>
      </c>
      <c r="BB1527" s="3" t="s">
        <v>15832</v>
      </c>
      <c r="BC1527" s="3" t="s">
        <v>78</v>
      </c>
      <c r="BD1527" s="3" t="s">
        <v>79</v>
      </c>
      <c r="BE1527" s="3" t="s">
        <v>15833</v>
      </c>
      <c r="BF1527" s="3" t="s">
        <v>15832</v>
      </c>
      <c r="BG1527" s="3" t="s">
        <v>15834</v>
      </c>
    </row>
    <row r="1528" spans="1:59" ht="58" x14ac:dyDescent="0.35">
      <c r="A1528" s="2" t="s">
        <v>59</v>
      </c>
      <c r="B1528" s="2" t="s">
        <v>94</v>
      </c>
      <c r="C1528" s="2" t="s">
        <v>15835</v>
      </c>
      <c r="D1528" s="2" t="s">
        <v>15836</v>
      </c>
      <c r="E1528" s="2" t="s">
        <v>15837</v>
      </c>
      <c r="G1528" s="3" t="s">
        <v>64</v>
      </c>
      <c r="I1528" s="3" t="s">
        <v>64</v>
      </c>
      <c r="J1528" s="3" t="s">
        <v>64</v>
      </c>
      <c r="K1528" s="3" t="s">
        <v>65</v>
      </c>
      <c r="L1528" s="2" t="s">
        <v>15838</v>
      </c>
      <c r="M1528" s="2" t="s">
        <v>15839</v>
      </c>
      <c r="N1528" s="3" t="s">
        <v>303</v>
      </c>
      <c r="P1528" s="3" t="s">
        <v>69</v>
      </c>
      <c r="R1528" s="3" t="s">
        <v>9228</v>
      </c>
      <c r="S1528" s="4">
        <v>2</v>
      </c>
      <c r="T1528" s="4">
        <v>2</v>
      </c>
      <c r="U1528" s="5" t="s">
        <v>5740</v>
      </c>
      <c r="V1528" s="5" t="s">
        <v>5740</v>
      </c>
      <c r="W1528" s="5" t="s">
        <v>72</v>
      </c>
      <c r="X1528" s="5" t="s">
        <v>72</v>
      </c>
      <c r="Y1528" s="4">
        <v>69</v>
      </c>
      <c r="Z1528" s="4">
        <v>10</v>
      </c>
      <c r="AA1528" s="4">
        <v>11</v>
      </c>
      <c r="AB1528" s="4">
        <v>1</v>
      </c>
      <c r="AC1528" s="4">
        <v>1</v>
      </c>
      <c r="AD1528" s="4">
        <v>34</v>
      </c>
      <c r="AE1528" s="4">
        <v>46</v>
      </c>
      <c r="AF1528" s="4">
        <v>0</v>
      </c>
      <c r="AG1528" s="4">
        <v>0</v>
      </c>
      <c r="AH1528" s="4">
        <v>31</v>
      </c>
      <c r="AI1528" s="4">
        <v>41</v>
      </c>
      <c r="AJ1528" s="4">
        <v>5</v>
      </c>
      <c r="AK1528" s="4">
        <v>5</v>
      </c>
      <c r="AL1528" s="4">
        <v>22</v>
      </c>
      <c r="AM1528" s="4">
        <v>30</v>
      </c>
      <c r="AN1528" s="4">
        <v>0</v>
      </c>
      <c r="AO1528" s="4">
        <v>0</v>
      </c>
      <c r="AP1528" s="4">
        <v>6</v>
      </c>
      <c r="AQ1528" s="4">
        <v>7</v>
      </c>
      <c r="AR1528" s="3" t="s">
        <v>64</v>
      </c>
      <c r="AS1528" s="3" t="s">
        <v>64</v>
      </c>
      <c r="AT1528" s="3" t="s">
        <v>73</v>
      </c>
      <c r="AU1528" s="6" t="str">
        <f>HYPERLINK("http://catalog.hathitrust.org/Record/002782685","HathiTrust Record")</f>
        <v>HathiTrust Record</v>
      </c>
      <c r="AV1528" s="6" t="str">
        <f>HYPERLINK("http://mcgill.on.worldcat.org/oclc/28964266","Catalog Record")</f>
        <v>Catalog Record</v>
      </c>
      <c r="AW1528" s="6" t="str">
        <f>HYPERLINK("http://www.worldcat.org/oclc/28964266","WorldCat Record")</f>
        <v>WorldCat Record</v>
      </c>
      <c r="AX1528" s="3" t="s">
        <v>15840</v>
      </c>
      <c r="AY1528" s="3" t="s">
        <v>15841</v>
      </c>
      <c r="AZ1528" s="3" t="s">
        <v>15842</v>
      </c>
      <c r="BA1528" s="3" t="s">
        <v>15842</v>
      </c>
      <c r="BB1528" s="3" t="s">
        <v>15843</v>
      </c>
      <c r="BC1528" s="3" t="s">
        <v>78</v>
      </c>
      <c r="BD1528" s="3" t="s">
        <v>79</v>
      </c>
      <c r="BE1528" s="3" t="s">
        <v>15844</v>
      </c>
      <c r="BF1528" s="3" t="s">
        <v>15843</v>
      </c>
      <c r="BG1528" s="3" t="s">
        <v>15845</v>
      </c>
    </row>
    <row r="1529" spans="1:59" ht="58" x14ac:dyDescent="0.35">
      <c r="A1529" s="2" t="s">
        <v>59</v>
      </c>
      <c r="B1529" s="2" t="s">
        <v>94</v>
      </c>
      <c r="C1529" s="2" t="s">
        <v>15846</v>
      </c>
      <c r="D1529" s="2" t="s">
        <v>15847</v>
      </c>
      <c r="E1529" s="2" t="s">
        <v>15848</v>
      </c>
      <c r="G1529" s="3" t="s">
        <v>64</v>
      </c>
      <c r="I1529" s="3" t="s">
        <v>64</v>
      </c>
      <c r="J1529" s="3" t="s">
        <v>64</v>
      </c>
      <c r="K1529" s="3" t="s">
        <v>65</v>
      </c>
      <c r="M1529" s="2" t="s">
        <v>15849</v>
      </c>
      <c r="N1529" s="3" t="s">
        <v>1029</v>
      </c>
      <c r="P1529" s="3" t="s">
        <v>69</v>
      </c>
      <c r="R1529" s="3" t="s">
        <v>9228</v>
      </c>
      <c r="S1529" s="4">
        <v>8</v>
      </c>
      <c r="T1529" s="4">
        <v>8</v>
      </c>
      <c r="U1529" s="5" t="s">
        <v>15850</v>
      </c>
      <c r="V1529" s="5" t="s">
        <v>15850</v>
      </c>
      <c r="W1529" s="5" t="s">
        <v>72</v>
      </c>
      <c r="X1529" s="5" t="s">
        <v>72</v>
      </c>
      <c r="Y1529" s="4">
        <v>101</v>
      </c>
      <c r="Z1529" s="4">
        <v>8</v>
      </c>
      <c r="AA1529" s="4">
        <v>95</v>
      </c>
      <c r="AB1529" s="4">
        <v>1</v>
      </c>
      <c r="AC1529" s="4">
        <v>17</v>
      </c>
      <c r="AD1529" s="4">
        <v>47</v>
      </c>
      <c r="AE1529" s="4">
        <v>108</v>
      </c>
      <c r="AF1529" s="4">
        <v>0</v>
      </c>
      <c r="AG1529" s="4">
        <v>8</v>
      </c>
      <c r="AH1529" s="4">
        <v>44</v>
      </c>
      <c r="AI1529" s="4">
        <v>74</v>
      </c>
      <c r="AJ1529" s="4">
        <v>6</v>
      </c>
      <c r="AK1529" s="4">
        <v>20</v>
      </c>
      <c r="AL1529" s="4">
        <v>27</v>
      </c>
      <c r="AM1529" s="4">
        <v>40</v>
      </c>
      <c r="AN1529" s="4">
        <v>0</v>
      </c>
      <c r="AO1529" s="4">
        <v>0</v>
      </c>
      <c r="AP1529" s="4">
        <v>6</v>
      </c>
      <c r="AQ1529" s="4">
        <v>41</v>
      </c>
      <c r="AR1529" s="3" t="s">
        <v>64</v>
      </c>
      <c r="AS1529" s="3" t="s">
        <v>64</v>
      </c>
      <c r="AT1529" s="3" t="s">
        <v>64</v>
      </c>
      <c r="AV1529" s="6" t="str">
        <f>HYPERLINK("http://mcgill.on.worldcat.org/oclc/430971137","Catalog Record")</f>
        <v>Catalog Record</v>
      </c>
      <c r="AW1529" s="6" t="str">
        <f>HYPERLINK("http://www.worldcat.org/oclc/430971137","WorldCat Record")</f>
        <v>WorldCat Record</v>
      </c>
      <c r="AX1529" s="3" t="s">
        <v>15851</v>
      </c>
      <c r="AY1529" s="3" t="s">
        <v>15852</v>
      </c>
      <c r="AZ1529" s="3" t="s">
        <v>15853</v>
      </c>
      <c r="BA1529" s="3" t="s">
        <v>15853</v>
      </c>
      <c r="BB1529" s="3" t="s">
        <v>15854</v>
      </c>
      <c r="BC1529" s="3" t="s">
        <v>78</v>
      </c>
      <c r="BD1529" s="3" t="s">
        <v>79</v>
      </c>
      <c r="BE1529" s="3" t="s">
        <v>15855</v>
      </c>
      <c r="BF1529" s="3" t="s">
        <v>15854</v>
      </c>
      <c r="BG1529" s="3" t="s">
        <v>15856</v>
      </c>
    </row>
    <row r="1530" spans="1:59" ht="58" x14ac:dyDescent="0.35">
      <c r="A1530" s="2" t="s">
        <v>59</v>
      </c>
      <c r="B1530" s="2" t="s">
        <v>94</v>
      </c>
      <c r="C1530" s="2" t="s">
        <v>15857</v>
      </c>
      <c r="D1530" s="2" t="s">
        <v>15858</v>
      </c>
      <c r="E1530" s="2" t="s">
        <v>15859</v>
      </c>
      <c r="G1530" s="3" t="s">
        <v>64</v>
      </c>
      <c r="I1530" s="3" t="s">
        <v>64</v>
      </c>
      <c r="J1530" s="3" t="s">
        <v>64</v>
      </c>
      <c r="K1530" s="3" t="s">
        <v>65</v>
      </c>
      <c r="M1530" s="2" t="s">
        <v>15860</v>
      </c>
      <c r="N1530" s="3" t="s">
        <v>214</v>
      </c>
      <c r="P1530" s="3" t="s">
        <v>69</v>
      </c>
      <c r="R1530" s="3" t="s">
        <v>9228</v>
      </c>
      <c r="S1530" s="4">
        <v>0</v>
      </c>
      <c r="T1530" s="4">
        <v>0</v>
      </c>
      <c r="W1530" s="5" t="s">
        <v>72</v>
      </c>
      <c r="X1530" s="5" t="s">
        <v>72</v>
      </c>
      <c r="Y1530" s="4">
        <v>24</v>
      </c>
      <c r="Z1530" s="4">
        <v>5</v>
      </c>
      <c r="AA1530" s="4">
        <v>5</v>
      </c>
      <c r="AB1530" s="4">
        <v>1</v>
      </c>
      <c r="AC1530" s="4">
        <v>1</v>
      </c>
      <c r="AD1530" s="4">
        <v>17</v>
      </c>
      <c r="AE1530" s="4">
        <v>17</v>
      </c>
      <c r="AF1530" s="4">
        <v>0</v>
      </c>
      <c r="AG1530" s="4">
        <v>0</v>
      </c>
      <c r="AH1530" s="4">
        <v>16</v>
      </c>
      <c r="AI1530" s="4">
        <v>16</v>
      </c>
      <c r="AJ1530" s="4">
        <v>3</v>
      </c>
      <c r="AK1530" s="4">
        <v>3</v>
      </c>
      <c r="AL1530" s="4">
        <v>14</v>
      </c>
      <c r="AM1530" s="4">
        <v>14</v>
      </c>
      <c r="AN1530" s="4">
        <v>0</v>
      </c>
      <c r="AO1530" s="4">
        <v>0</v>
      </c>
      <c r="AP1530" s="4">
        <v>3</v>
      </c>
      <c r="AQ1530" s="4">
        <v>3</v>
      </c>
      <c r="AR1530" s="3" t="s">
        <v>64</v>
      </c>
      <c r="AS1530" s="3" t="s">
        <v>64</v>
      </c>
      <c r="AT1530" s="3" t="s">
        <v>64</v>
      </c>
      <c r="AV1530" s="6" t="str">
        <f>HYPERLINK("http://mcgill.on.worldcat.org/oclc/557413765","Catalog Record")</f>
        <v>Catalog Record</v>
      </c>
      <c r="AW1530" s="6" t="str">
        <f>HYPERLINK("http://www.worldcat.org/oclc/557413765","WorldCat Record")</f>
        <v>WorldCat Record</v>
      </c>
      <c r="AX1530" s="3" t="s">
        <v>15861</v>
      </c>
      <c r="AY1530" s="3" t="s">
        <v>15862</v>
      </c>
      <c r="AZ1530" s="3" t="s">
        <v>15863</v>
      </c>
      <c r="BA1530" s="3" t="s">
        <v>15863</v>
      </c>
      <c r="BB1530" s="3" t="s">
        <v>15864</v>
      </c>
      <c r="BC1530" s="3" t="s">
        <v>78</v>
      </c>
      <c r="BD1530" s="3" t="s">
        <v>79</v>
      </c>
      <c r="BE1530" s="3" t="s">
        <v>15865</v>
      </c>
      <c r="BF1530" s="3" t="s">
        <v>15864</v>
      </c>
      <c r="BG1530" s="3" t="s">
        <v>15866</v>
      </c>
    </row>
    <row r="1531" spans="1:59" ht="58" x14ac:dyDescent="0.35">
      <c r="A1531" s="2" t="s">
        <v>59</v>
      </c>
      <c r="B1531" s="2" t="s">
        <v>94</v>
      </c>
      <c r="C1531" s="2" t="s">
        <v>15867</v>
      </c>
      <c r="D1531" s="2" t="s">
        <v>15868</v>
      </c>
      <c r="E1531" s="2" t="s">
        <v>15869</v>
      </c>
      <c r="G1531" s="3" t="s">
        <v>64</v>
      </c>
      <c r="I1531" s="3" t="s">
        <v>64</v>
      </c>
      <c r="J1531" s="3" t="s">
        <v>64</v>
      </c>
      <c r="K1531" s="3" t="s">
        <v>65</v>
      </c>
      <c r="L1531" s="2" t="s">
        <v>15870</v>
      </c>
      <c r="M1531" s="2" t="s">
        <v>15871</v>
      </c>
      <c r="N1531" s="3" t="s">
        <v>214</v>
      </c>
      <c r="P1531" s="3" t="s">
        <v>69</v>
      </c>
      <c r="Q1531" s="2" t="s">
        <v>5134</v>
      </c>
      <c r="R1531" s="3" t="s">
        <v>9228</v>
      </c>
      <c r="S1531" s="4">
        <v>4</v>
      </c>
      <c r="T1531" s="4">
        <v>4</v>
      </c>
      <c r="U1531" s="5" t="s">
        <v>15872</v>
      </c>
      <c r="V1531" s="5" t="s">
        <v>15872</v>
      </c>
      <c r="W1531" s="5" t="s">
        <v>72</v>
      </c>
      <c r="X1531" s="5" t="s">
        <v>72</v>
      </c>
      <c r="Y1531" s="4">
        <v>120</v>
      </c>
      <c r="Z1531" s="4">
        <v>9</v>
      </c>
      <c r="AA1531" s="4">
        <v>110</v>
      </c>
      <c r="AB1531" s="4">
        <v>1</v>
      </c>
      <c r="AC1531" s="4">
        <v>20</v>
      </c>
      <c r="AD1531" s="4">
        <v>60</v>
      </c>
      <c r="AE1531" s="4">
        <v>142</v>
      </c>
      <c r="AF1531" s="4">
        <v>0</v>
      </c>
      <c r="AG1531" s="4">
        <v>8</v>
      </c>
      <c r="AH1531" s="4">
        <v>57</v>
      </c>
      <c r="AI1531" s="4">
        <v>100</v>
      </c>
      <c r="AJ1531" s="4">
        <v>5</v>
      </c>
      <c r="AK1531" s="4">
        <v>23</v>
      </c>
      <c r="AL1531" s="4">
        <v>30</v>
      </c>
      <c r="AM1531" s="4">
        <v>55</v>
      </c>
      <c r="AN1531" s="4">
        <v>0</v>
      </c>
      <c r="AO1531" s="4">
        <v>0</v>
      </c>
      <c r="AP1531" s="4">
        <v>7</v>
      </c>
      <c r="AQ1531" s="4">
        <v>47</v>
      </c>
      <c r="AR1531" s="3" t="s">
        <v>64</v>
      </c>
      <c r="AS1531" s="3" t="s">
        <v>64</v>
      </c>
      <c r="AT1531" s="3" t="s">
        <v>64</v>
      </c>
      <c r="AV1531" s="6" t="str">
        <f>HYPERLINK("http://mcgill.on.worldcat.org/oclc/650215750","Catalog Record")</f>
        <v>Catalog Record</v>
      </c>
      <c r="AW1531" s="6" t="str">
        <f>HYPERLINK("http://www.worldcat.org/oclc/650215750","WorldCat Record")</f>
        <v>WorldCat Record</v>
      </c>
      <c r="AX1531" s="3" t="s">
        <v>15873</v>
      </c>
      <c r="AY1531" s="3" t="s">
        <v>15874</v>
      </c>
      <c r="AZ1531" s="3" t="s">
        <v>15875</v>
      </c>
      <c r="BA1531" s="3" t="s">
        <v>15875</v>
      </c>
      <c r="BB1531" s="3" t="s">
        <v>15876</v>
      </c>
      <c r="BC1531" s="3" t="s">
        <v>78</v>
      </c>
      <c r="BD1531" s="3" t="s">
        <v>79</v>
      </c>
      <c r="BE1531" s="3" t="s">
        <v>15877</v>
      </c>
      <c r="BF1531" s="3" t="s">
        <v>15876</v>
      </c>
      <c r="BG1531" s="3" t="s">
        <v>15878</v>
      </c>
    </row>
    <row r="1532" spans="1:59" ht="58" x14ac:dyDescent="0.35">
      <c r="A1532" s="2" t="s">
        <v>59</v>
      </c>
      <c r="B1532" s="2" t="s">
        <v>94</v>
      </c>
      <c r="C1532" s="2" t="s">
        <v>15879</v>
      </c>
      <c r="D1532" s="2" t="s">
        <v>15880</v>
      </c>
      <c r="E1532" s="2" t="s">
        <v>15881</v>
      </c>
      <c r="G1532" s="3" t="s">
        <v>64</v>
      </c>
      <c r="I1532" s="3" t="s">
        <v>64</v>
      </c>
      <c r="J1532" s="3" t="s">
        <v>64</v>
      </c>
      <c r="K1532" s="3" t="s">
        <v>65</v>
      </c>
      <c r="L1532" s="2" t="s">
        <v>15870</v>
      </c>
      <c r="M1532" s="2" t="s">
        <v>5100</v>
      </c>
      <c r="N1532" s="3" t="s">
        <v>328</v>
      </c>
      <c r="P1532" s="3" t="s">
        <v>69</v>
      </c>
      <c r="Q1532" s="2" t="s">
        <v>15882</v>
      </c>
      <c r="R1532" s="3" t="s">
        <v>9228</v>
      </c>
      <c r="S1532" s="4">
        <v>2</v>
      </c>
      <c r="T1532" s="4">
        <v>2</v>
      </c>
      <c r="U1532" s="5" t="s">
        <v>15872</v>
      </c>
      <c r="V1532" s="5" t="s">
        <v>15872</v>
      </c>
      <c r="W1532" s="5" t="s">
        <v>72</v>
      </c>
      <c r="X1532" s="5" t="s">
        <v>72</v>
      </c>
      <c r="Y1532" s="4">
        <v>88</v>
      </c>
      <c r="Z1532" s="4">
        <v>5</v>
      </c>
      <c r="AA1532" s="4">
        <v>42</v>
      </c>
      <c r="AB1532" s="4">
        <v>1</v>
      </c>
      <c r="AC1532" s="4">
        <v>8</v>
      </c>
      <c r="AD1532" s="4">
        <v>48</v>
      </c>
      <c r="AE1532" s="4">
        <v>104</v>
      </c>
      <c r="AF1532" s="4">
        <v>0</v>
      </c>
      <c r="AG1532" s="4">
        <v>2</v>
      </c>
      <c r="AH1532" s="4">
        <v>47</v>
      </c>
      <c r="AI1532" s="4">
        <v>85</v>
      </c>
      <c r="AJ1532" s="4">
        <v>3</v>
      </c>
      <c r="AK1532" s="4">
        <v>13</v>
      </c>
      <c r="AL1532" s="4">
        <v>27</v>
      </c>
      <c r="AM1532" s="4">
        <v>46</v>
      </c>
      <c r="AN1532" s="4">
        <v>0</v>
      </c>
      <c r="AO1532" s="4">
        <v>0</v>
      </c>
      <c r="AP1532" s="4">
        <v>3</v>
      </c>
      <c r="AQ1532" s="4">
        <v>25</v>
      </c>
      <c r="AR1532" s="3" t="s">
        <v>64</v>
      </c>
      <c r="AS1532" s="3" t="s">
        <v>64</v>
      </c>
      <c r="AT1532" s="3" t="s">
        <v>64</v>
      </c>
      <c r="AV1532" s="6" t="str">
        <f>HYPERLINK("http://mcgill.on.worldcat.org/oclc/733937598","Catalog Record")</f>
        <v>Catalog Record</v>
      </c>
      <c r="AW1532" s="6" t="str">
        <f>HYPERLINK("http://www.worldcat.org/oclc/733937598","WorldCat Record")</f>
        <v>WorldCat Record</v>
      </c>
      <c r="AX1532" s="3" t="s">
        <v>15883</v>
      </c>
      <c r="AY1532" s="3" t="s">
        <v>15884</v>
      </c>
      <c r="AZ1532" s="3" t="s">
        <v>15885</v>
      </c>
      <c r="BA1532" s="3" t="s">
        <v>15885</v>
      </c>
      <c r="BB1532" s="3" t="s">
        <v>15886</v>
      </c>
      <c r="BC1532" s="3" t="s">
        <v>78</v>
      </c>
      <c r="BD1532" s="3" t="s">
        <v>79</v>
      </c>
      <c r="BE1532" s="3" t="s">
        <v>15887</v>
      </c>
      <c r="BF1532" s="3" t="s">
        <v>15886</v>
      </c>
      <c r="BG1532" s="3" t="s">
        <v>15888</v>
      </c>
    </row>
    <row r="1533" spans="1:59" ht="58" x14ac:dyDescent="0.35">
      <c r="A1533" s="2" t="s">
        <v>59</v>
      </c>
      <c r="B1533" s="2" t="s">
        <v>94</v>
      </c>
      <c r="C1533" s="2" t="s">
        <v>15889</v>
      </c>
      <c r="D1533" s="2" t="s">
        <v>15890</v>
      </c>
      <c r="E1533" s="2" t="s">
        <v>15891</v>
      </c>
      <c r="G1533" s="3" t="s">
        <v>64</v>
      </c>
      <c r="I1533" s="3" t="s">
        <v>64</v>
      </c>
      <c r="J1533" s="3" t="s">
        <v>64</v>
      </c>
      <c r="K1533" s="3" t="s">
        <v>65</v>
      </c>
      <c r="L1533" s="2" t="s">
        <v>11373</v>
      </c>
      <c r="M1533" s="2" t="s">
        <v>5100</v>
      </c>
      <c r="N1533" s="3" t="s">
        <v>328</v>
      </c>
      <c r="P1533" s="3" t="s">
        <v>69</v>
      </c>
      <c r="Q1533" s="2" t="s">
        <v>5134</v>
      </c>
      <c r="R1533" s="3" t="s">
        <v>9228</v>
      </c>
      <c r="S1533" s="4">
        <v>0</v>
      </c>
      <c r="T1533" s="4">
        <v>0</v>
      </c>
      <c r="W1533" s="5" t="s">
        <v>72</v>
      </c>
      <c r="X1533" s="5" t="s">
        <v>72</v>
      </c>
      <c r="Y1533" s="4">
        <v>111</v>
      </c>
      <c r="Z1533" s="4">
        <v>5</v>
      </c>
      <c r="AA1533" s="4">
        <v>100</v>
      </c>
      <c r="AB1533" s="4">
        <v>1</v>
      </c>
      <c r="AC1533" s="4">
        <v>20</v>
      </c>
      <c r="AD1533" s="4">
        <v>53</v>
      </c>
      <c r="AE1533" s="4">
        <v>134</v>
      </c>
      <c r="AF1533" s="4">
        <v>0</v>
      </c>
      <c r="AG1533" s="4">
        <v>8</v>
      </c>
      <c r="AH1533" s="4">
        <v>52</v>
      </c>
      <c r="AI1533" s="4">
        <v>95</v>
      </c>
      <c r="AJ1533" s="4">
        <v>3</v>
      </c>
      <c r="AK1533" s="4">
        <v>21</v>
      </c>
      <c r="AL1533" s="4">
        <v>30</v>
      </c>
      <c r="AM1533" s="4">
        <v>52</v>
      </c>
      <c r="AN1533" s="4">
        <v>0</v>
      </c>
      <c r="AO1533" s="4">
        <v>0</v>
      </c>
      <c r="AP1533" s="4">
        <v>3</v>
      </c>
      <c r="AQ1533" s="4">
        <v>44</v>
      </c>
      <c r="AR1533" s="3" t="s">
        <v>64</v>
      </c>
      <c r="AS1533" s="3" t="s">
        <v>64</v>
      </c>
      <c r="AT1533" s="3" t="s">
        <v>64</v>
      </c>
      <c r="AV1533" s="6" t="str">
        <f>HYPERLINK("http://mcgill.on.worldcat.org/oclc/722843848","Catalog Record")</f>
        <v>Catalog Record</v>
      </c>
      <c r="AW1533" s="6" t="str">
        <f>HYPERLINK("http://www.worldcat.org/oclc/722843848","WorldCat Record")</f>
        <v>WorldCat Record</v>
      </c>
      <c r="AX1533" s="3" t="s">
        <v>15892</v>
      </c>
      <c r="AY1533" s="3" t="s">
        <v>15893</v>
      </c>
      <c r="AZ1533" s="3" t="s">
        <v>15894</v>
      </c>
      <c r="BA1533" s="3" t="s">
        <v>15894</v>
      </c>
      <c r="BB1533" s="3" t="s">
        <v>15895</v>
      </c>
      <c r="BC1533" s="3" t="s">
        <v>78</v>
      </c>
      <c r="BD1533" s="3" t="s">
        <v>79</v>
      </c>
      <c r="BE1533" s="3" t="s">
        <v>15896</v>
      </c>
      <c r="BF1533" s="3" t="s">
        <v>15895</v>
      </c>
      <c r="BG1533" s="3" t="s">
        <v>15897</v>
      </c>
    </row>
    <row r="1534" spans="1:59" ht="58" x14ac:dyDescent="0.35">
      <c r="A1534" s="2" t="s">
        <v>59</v>
      </c>
      <c r="B1534" s="2" t="s">
        <v>94</v>
      </c>
      <c r="C1534" s="2" t="s">
        <v>15898</v>
      </c>
      <c r="D1534" s="2" t="s">
        <v>15899</v>
      </c>
      <c r="E1534" s="2" t="s">
        <v>15900</v>
      </c>
      <c r="G1534" s="3" t="s">
        <v>64</v>
      </c>
      <c r="I1534" s="3" t="s">
        <v>73</v>
      </c>
      <c r="J1534" s="3" t="s">
        <v>64</v>
      </c>
      <c r="K1534" s="3" t="s">
        <v>65</v>
      </c>
      <c r="L1534" s="2" t="s">
        <v>15901</v>
      </c>
      <c r="M1534" s="2" t="s">
        <v>2030</v>
      </c>
      <c r="N1534" s="3" t="s">
        <v>524</v>
      </c>
      <c r="P1534" s="3" t="s">
        <v>69</v>
      </c>
      <c r="Q1534" s="2" t="s">
        <v>7262</v>
      </c>
      <c r="R1534" s="3" t="s">
        <v>9228</v>
      </c>
      <c r="S1534" s="4">
        <v>0</v>
      </c>
      <c r="T1534" s="4">
        <v>0</v>
      </c>
      <c r="W1534" s="5" t="s">
        <v>72</v>
      </c>
      <c r="X1534" s="5" t="s">
        <v>72</v>
      </c>
      <c r="Y1534" s="4">
        <v>67</v>
      </c>
      <c r="Z1534" s="4">
        <v>4</v>
      </c>
      <c r="AA1534" s="4">
        <v>32</v>
      </c>
      <c r="AB1534" s="4">
        <v>1</v>
      </c>
      <c r="AC1534" s="4">
        <v>6</v>
      </c>
      <c r="AD1534" s="4">
        <v>43</v>
      </c>
      <c r="AE1534" s="4">
        <v>93</v>
      </c>
      <c r="AF1534" s="4">
        <v>0</v>
      </c>
      <c r="AG1534" s="4">
        <v>2</v>
      </c>
      <c r="AH1534" s="4">
        <v>42</v>
      </c>
      <c r="AI1534" s="4">
        <v>76</v>
      </c>
      <c r="AJ1534" s="4">
        <v>3</v>
      </c>
      <c r="AK1534" s="4">
        <v>13</v>
      </c>
      <c r="AL1534" s="4">
        <v>22</v>
      </c>
      <c r="AM1534" s="4">
        <v>40</v>
      </c>
      <c r="AN1534" s="4">
        <v>0</v>
      </c>
      <c r="AO1534" s="4">
        <v>0</v>
      </c>
      <c r="AP1534" s="4">
        <v>3</v>
      </c>
      <c r="AQ1534" s="4">
        <v>23</v>
      </c>
      <c r="AR1534" s="3" t="s">
        <v>64</v>
      </c>
      <c r="AS1534" s="3" t="s">
        <v>64</v>
      </c>
      <c r="AT1534" s="3" t="s">
        <v>64</v>
      </c>
      <c r="AV1534" s="6" t="str">
        <f>HYPERLINK("http://mcgill.on.worldcat.org/oclc/858975690","Catalog Record")</f>
        <v>Catalog Record</v>
      </c>
      <c r="AW1534" s="6" t="str">
        <f>HYPERLINK("http://www.worldcat.org/oclc/858975690","WorldCat Record")</f>
        <v>WorldCat Record</v>
      </c>
      <c r="AX1534" s="3" t="s">
        <v>15902</v>
      </c>
      <c r="AY1534" s="3" t="s">
        <v>15903</v>
      </c>
      <c r="AZ1534" s="3" t="s">
        <v>15904</v>
      </c>
      <c r="BA1534" s="3" t="s">
        <v>15904</v>
      </c>
      <c r="BB1534" s="3" t="s">
        <v>15905</v>
      </c>
      <c r="BC1534" s="3" t="s">
        <v>78</v>
      </c>
      <c r="BD1534" s="3" t="s">
        <v>79</v>
      </c>
      <c r="BE1534" s="3" t="s">
        <v>15906</v>
      </c>
      <c r="BF1534" s="3" t="s">
        <v>15905</v>
      </c>
      <c r="BG1534" s="3" t="s">
        <v>15907</v>
      </c>
    </row>
    <row r="1535" spans="1:59" ht="58" x14ac:dyDescent="0.35">
      <c r="A1535" s="2" t="s">
        <v>59</v>
      </c>
      <c r="B1535" s="2" t="s">
        <v>94</v>
      </c>
      <c r="C1535" s="2" t="s">
        <v>15898</v>
      </c>
      <c r="D1535" s="2" t="s">
        <v>15899</v>
      </c>
      <c r="E1535" s="2" t="s">
        <v>15900</v>
      </c>
      <c r="G1535" s="3" t="s">
        <v>64</v>
      </c>
      <c r="I1535" s="3" t="s">
        <v>73</v>
      </c>
      <c r="J1535" s="3" t="s">
        <v>64</v>
      </c>
      <c r="K1535" s="3" t="s">
        <v>65</v>
      </c>
      <c r="L1535" s="2" t="s">
        <v>15901</v>
      </c>
      <c r="M1535" s="2" t="s">
        <v>2030</v>
      </c>
      <c r="N1535" s="3" t="s">
        <v>524</v>
      </c>
      <c r="P1535" s="3" t="s">
        <v>69</v>
      </c>
      <c r="Q1535" s="2" t="s">
        <v>7262</v>
      </c>
      <c r="R1535" s="3" t="s">
        <v>9228</v>
      </c>
      <c r="S1535" s="4">
        <v>0</v>
      </c>
      <c r="T1535" s="4">
        <v>0</v>
      </c>
      <c r="W1535" s="5" t="s">
        <v>72</v>
      </c>
      <c r="X1535" s="5" t="s">
        <v>72</v>
      </c>
      <c r="Y1535" s="4">
        <v>67</v>
      </c>
      <c r="Z1535" s="4">
        <v>4</v>
      </c>
      <c r="AA1535" s="4">
        <v>32</v>
      </c>
      <c r="AB1535" s="4">
        <v>1</v>
      </c>
      <c r="AC1535" s="4">
        <v>6</v>
      </c>
      <c r="AD1535" s="4">
        <v>43</v>
      </c>
      <c r="AE1535" s="4">
        <v>93</v>
      </c>
      <c r="AF1535" s="4">
        <v>0</v>
      </c>
      <c r="AG1535" s="4">
        <v>2</v>
      </c>
      <c r="AH1535" s="4">
        <v>42</v>
      </c>
      <c r="AI1535" s="4">
        <v>76</v>
      </c>
      <c r="AJ1535" s="4">
        <v>3</v>
      </c>
      <c r="AK1535" s="4">
        <v>13</v>
      </c>
      <c r="AL1535" s="4">
        <v>22</v>
      </c>
      <c r="AM1535" s="4">
        <v>40</v>
      </c>
      <c r="AN1535" s="4">
        <v>0</v>
      </c>
      <c r="AO1535" s="4">
        <v>0</v>
      </c>
      <c r="AP1535" s="4">
        <v>3</v>
      </c>
      <c r="AQ1535" s="4">
        <v>23</v>
      </c>
      <c r="AR1535" s="3" t="s">
        <v>64</v>
      </c>
      <c r="AS1535" s="3" t="s">
        <v>64</v>
      </c>
      <c r="AT1535" s="3" t="s">
        <v>64</v>
      </c>
      <c r="AV1535" s="6" t="str">
        <f>HYPERLINK("http://mcgill.on.worldcat.org/oclc/858975690","Catalog Record")</f>
        <v>Catalog Record</v>
      </c>
      <c r="AW1535" s="6" t="str">
        <f>HYPERLINK("http://www.worldcat.org/oclc/858975690","WorldCat Record")</f>
        <v>WorldCat Record</v>
      </c>
      <c r="AX1535" s="3" t="s">
        <v>15902</v>
      </c>
      <c r="AY1535" s="3" t="s">
        <v>15903</v>
      </c>
      <c r="AZ1535" s="3" t="s">
        <v>15904</v>
      </c>
      <c r="BA1535" s="3" t="s">
        <v>15904</v>
      </c>
      <c r="BB1535" s="3" t="s">
        <v>15908</v>
      </c>
      <c r="BC1535" s="3" t="s">
        <v>78</v>
      </c>
      <c r="BD1535" s="3" t="s">
        <v>79</v>
      </c>
      <c r="BE1535" s="3" t="s">
        <v>15906</v>
      </c>
      <c r="BF1535" s="3" t="s">
        <v>15908</v>
      </c>
      <c r="BG1535" s="3" t="s">
        <v>15909</v>
      </c>
    </row>
    <row r="1536" spans="1:59" ht="58" x14ac:dyDescent="0.35">
      <c r="A1536" s="2" t="s">
        <v>59</v>
      </c>
      <c r="B1536" s="2" t="s">
        <v>94</v>
      </c>
      <c r="C1536" s="2" t="s">
        <v>15910</v>
      </c>
      <c r="D1536" s="2" t="s">
        <v>15911</v>
      </c>
      <c r="E1536" s="2" t="s">
        <v>15912</v>
      </c>
      <c r="G1536" s="3" t="s">
        <v>64</v>
      </c>
      <c r="I1536" s="3" t="s">
        <v>64</v>
      </c>
      <c r="J1536" s="3" t="s">
        <v>64</v>
      </c>
      <c r="K1536" s="3" t="s">
        <v>65</v>
      </c>
      <c r="L1536" s="2" t="s">
        <v>15913</v>
      </c>
      <c r="M1536" s="2" t="s">
        <v>15914</v>
      </c>
      <c r="N1536" s="3" t="s">
        <v>214</v>
      </c>
      <c r="P1536" s="3" t="s">
        <v>69</v>
      </c>
      <c r="R1536" s="3" t="s">
        <v>9228</v>
      </c>
      <c r="S1536" s="4">
        <v>8</v>
      </c>
      <c r="T1536" s="4">
        <v>8</v>
      </c>
      <c r="U1536" s="5" t="s">
        <v>5667</v>
      </c>
      <c r="V1536" s="5" t="s">
        <v>5667</v>
      </c>
      <c r="W1536" s="5" t="s">
        <v>72</v>
      </c>
      <c r="X1536" s="5" t="s">
        <v>72</v>
      </c>
      <c r="Y1536" s="4">
        <v>226</v>
      </c>
      <c r="Z1536" s="4">
        <v>15</v>
      </c>
      <c r="AA1536" s="4">
        <v>22</v>
      </c>
      <c r="AB1536" s="4">
        <v>2</v>
      </c>
      <c r="AC1536" s="4">
        <v>6</v>
      </c>
      <c r="AD1536" s="4">
        <v>56</v>
      </c>
      <c r="AE1536" s="4">
        <v>73</v>
      </c>
      <c r="AF1536" s="4">
        <v>1</v>
      </c>
      <c r="AG1536" s="4">
        <v>3</v>
      </c>
      <c r="AH1536" s="4">
        <v>53</v>
      </c>
      <c r="AI1536" s="4">
        <v>68</v>
      </c>
      <c r="AJ1536" s="4">
        <v>8</v>
      </c>
      <c r="AK1536" s="4">
        <v>12</v>
      </c>
      <c r="AL1536" s="4">
        <v>33</v>
      </c>
      <c r="AM1536" s="4">
        <v>40</v>
      </c>
      <c r="AN1536" s="4">
        <v>0</v>
      </c>
      <c r="AO1536" s="4">
        <v>0</v>
      </c>
      <c r="AP1536" s="4">
        <v>8</v>
      </c>
      <c r="AQ1536" s="4">
        <v>12</v>
      </c>
      <c r="AR1536" s="3" t="s">
        <v>64</v>
      </c>
      <c r="AS1536" s="3" t="s">
        <v>64</v>
      </c>
      <c r="AT1536" s="3" t="s">
        <v>64</v>
      </c>
      <c r="AV1536" s="6" t="str">
        <f>HYPERLINK("http://mcgill.on.worldcat.org/oclc/587229778","Catalog Record")</f>
        <v>Catalog Record</v>
      </c>
      <c r="AW1536" s="6" t="str">
        <f>HYPERLINK("http://www.worldcat.org/oclc/587229778","WorldCat Record")</f>
        <v>WorldCat Record</v>
      </c>
      <c r="AX1536" s="3" t="s">
        <v>15915</v>
      </c>
      <c r="AY1536" s="3" t="s">
        <v>15916</v>
      </c>
      <c r="AZ1536" s="3" t="s">
        <v>15917</v>
      </c>
      <c r="BA1536" s="3" t="s">
        <v>15917</v>
      </c>
      <c r="BB1536" s="3" t="s">
        <v>15918</v>
      </c>
      <c r="BC1536" s="3" t="s">
        <v>78</v>
      </c>
      <c r="BD1536" s="3" t="s">
        <v>79</v>
      </c>
      <c r="BE1536" s="3" t="s">
        <v>15919</v>
      </c>
      <c r="BF1536" s="3" t="s">
        <v>15918</v>
      </c>
      <c r="BG1536" s="3" t="s">
        <v>15920</v>
      </c>
    </row>
    <row r="1537" spans="1:59" ht="58" x14ac:dyDescent="0.35">
      <c r="A1537" s="2" t="s">
        <v>59</v>
      </c>
      <c r="B1537" s="2" t="s">
        <v>94</v>
      </c>
      <c r="C1537" s="2" t="s">
        <v>15921</v>
      </c>
      <c r="D1537" s="2" t="s">
        <v>15922</v>
      </c>
      <c r="E1537" s="2" t="s">
        <v>15923</v>
      </c>
      <c r="G1537" s="3" t="s">
        <v>64</v>
      </c>
      <c r="I1537" s="3" t="s">
        <v>64</v>
      </c>
      <c r="J1537" s="3" t="s">
        <v>64</v>
      </c>
      <c r="K1537" s="3" t="s">
        <v>65</v>
      </c>
      <c r="L1537" s="2" t="s">
        <v>3643</v>
      </c>
      <c r="M1537" s="2" t="s">
        <v>2499</v>
      </c>
      <c r="N1537" s="3" t="s">
        <v>226</v>
      </c>
      <c r="P1537" s="3" t="s">
        <v>69</v>
      </c>
      <c r="Q1537" s="2" t="s">
        <v>15924</v>
      </c>
      <c r="R1537" s="3" t="s">
        <v>9228</v>
      </c>
      <c r="S1537" s="4">
        <v>29</v>
      </c>
      <c r="T1537" s="4">
        <v>29</v>
      </c>
      <c r="U1537" s="5" t="s">
        <v>15925</v>
      </c>
      <c r="V1537" s="5" t="s">
        <v>15925</v>
      </c>
      <c r="W1537" s="5" t="s">
        <v>72</v>
      </c>
      <c r="X1537" s="5" t="s">
        <v>72</v>
      </c>
      <c r="Y1537" s="4">
        <v>352</v>
      </c>
      <c r="Z1537" s="4">
        <v>13</v>
      </c>
      <c r="AA1537" s="4">
        <v>14</v>
      </c>
      <c r="AB1537" s="4">
        <v>1</v>
      </c>
      <c r="AC1537" s="4">
        <v>1</v>
      </c>
      <c r="AD1537" s="4">
        <v>89</v>
      </c>
      <c r="AE1537" s="4">
        <v>90</v>
      </c>
      <c r="AF1537" s="4">
        <v>0</v>
      </c>
      <c r="AG1537" s="4">
        <v>0</v>
      </c>
      <c r="AH1537" s="4">
        <v>87</v>
      </c>
      <c r="AI1537" s="4">
        <v>87</v>
      </c>
      <c r="AJ1537" s="4">
        <v>9</v>
      </c>
      <c r="AK1537" s="4">
        <v>10</v>
      </c>
      <c r="AL1537" s="4">
        <v>47</v>
      </c>
      <c r="AM1537" s="4">
        <v>47</v>
      </c>
      <c r="AN1537" s="4">
        <v>0</v>
      </c>
      <c r="AO1537" s="4">
        <v>0</v>
      </c>
      <c r="AP1537" s="4">
        <v>9</v>
      </c>
      <c r="AQ1537" s="4">
        <v>10</v>
      </c>
      <c r="AR1537" s="3" t="s">
        <v>64</v>
      </c>
      <c r="AS1537" s="3" t="s">
        <v>64</v>
      </c>
      <c r="AT1537" s="3" t="s">
        <v>73</v>
      </c>
      <c r="AU1537" s="6" t="str">
        <f>HYPERLINK("http://catalog.hathitrust.org/Record/003138097","HathiTrust Record")</f>
        <v>HathiTrust Record</v>
      </c>
      <c r="AV1537" s="6" t="str">
        <f>HYPERLINK("http://mcgill.on.worldcat.org/oclc/35978729","Catalog Record")</f>
        <v>Catalog Record</v>
      </c>
      <c r="AW1537" s="6" t="str">
        <f>HYPERLINK("http://www.worldcat.org/oclc/35978729","WorldCat Record")</f>
        <v>WorldCat Record</v>
      </c>
      <c r="AX1537" s="3" t="s">
        <v>15926</v>
      </c>
      <c r="AY1537" s="3" t="s">
        <v>15927</v>
      </c>
      <c r="AZ1537" s="3" t="s">
        <v>15928</v>
      </c>
      <c r="BA1537" s="3" t="s">
        <v>15928</v>
      </c>
      <c r="BB1537" s="3" t="s">
        <v>15929</v>
      </c>
      <c r="BC1537" s="3" t="s">
        <v>78</v>
      </c>
      <c r="BD1537" s="3" t="s">
        <v>79</v>
      </c>
      <c r="BE1537" s="3" t="s">
        <v>15930</v>
      </c>
      <c r="BF1537" s="3" t="s">
        <v>15929</v>
      </c>
      <c r="BG1537" s="3" t="s">
        <v>15931</v>
      </c>
    </row>
    <row r="1538" spans="1:59" ht="58" x14ac:dyDescent="0.35">
      <c r="A1538" s="2" t="s">
        <v>59</v>
      </c>
      <c r="B1538" s="2" t="s">
        <v>94</v>
      </c>
      <c r="C1538" s="2" t="s">
        <v>15932</v>
      </c>
      <c r="D1538" s="2" t="s">
        <v>15933</v>
      </c>
      <c r="E1538" s="2" t="s">
        <v>15934</v>
      </c>
      <c r="G1538" s="3" t="s">
        <v>64</v>
      </c>
      <c r="I1538" s="3" t="s">
        <v>64</v>
      </c>
      <c r="J1538" s="3" t="s">
        <v>64</v>
      </c>
      <c r="K1538" s="3" t="s">
        <v>65</v>
      </c>
      <c r="L1538" s="2" t="s">
        <v>15935</v>
      </c>
      <c r="M1538" s="2" t="s">
        <v>15936</v>
      </c>
      <c r="N1538" s="3" t="s">
        <v>524</v>
      </c>
      <c r="P1538" s="3" t="s">
        <v>69</v>
      </c>
      <c r="R1538" s="3" t="s">
        <v>9228</v>
      </c>
      <c r="S1538" s="4">
        <v>1</v>
      </c>
      <c r="T1538" s="4">
        <v>1</v>
      </c>
      <c r="U1538" s="5" t="s">
        <v>12916</v>
      </c>
      <c r="V1538" s="5" t="s">
        <v>12916</v>
      </c>
      <c r="W1538" s="5" t="s">
        <v>72</v>
      </c>
      <c r="X1538" s="5" t="s">
        <v>72</v>
      </c>
      <c r="Y1538" s="4">
        <v>151</v>
      </c>
      <c r="Z1538" s="4">
        <v>9</v>
      </c>
      <c r="AA1538" s="4">
        <v>84</v>
      </c>
      <c r="AB1538" s="4">
        <v>2</v>
      </c>
      <c r="AC1538" s="4">
        <v>15</v>
      </c>
      <c r="AD1538" s="4">
        <v>54</v>
      </c>
      <c r="AE1538" s="4">
        <v>126</v>
      </c>
      <c r="AF1538" s="4">
        <v>1</v>
      </c>
      <c r="AG1538" s="4">
        <v>8</v>
      </c>
      <c r="AH1538" s="4">
        <v>52</v>
      </c>
      <c r="AI1538" s="4">
        <v>92</v>
      </c>
      <c r="AJ1538" s="4">
        <v>5</v>
      </c>
      <c r="AK1538" s="4">
        <v>22</v>
      </c>
      <c r="AL1538" s="4">
        <v>36</v>
      </c>
      <c r="AM1538" s="4">
        <v>49</v>
      </c>
      <c r="AN1538" s="4">
        <v>0</v>
      </c>
      <c r="AO1538" s="4">
        <v>0</v>
      </c>
      <c r="AP1538" s="4">
        <v>5</v>
      </c>
      <c r="AQ1538" s="4">
        <v>42</v>
      </c>
      <c r="AR1538" s="3" t="s">
        <v>64</v>
      </c>
      <c r="AS1538" s="3" t="s">
        <v>64</v>
      </c>
      <c r="AT1538" s="3" t="s">
        <v>64</v>
      </c>
      <c r="AV1538" s="6" t="str">
        <f>HYPERLINK("http://mcgill.on.worldcat.org/oclc/841516930","Catalog Record")</f>
        <v>Catalog Record</v>
      </c>
      <c r="AW1538" s="6" t="str">
        <f>HYPERLINK("http://www.worldcat.org/oclc/841516930","WorldCat Record")</f>
        <v>WorldCat Record</v>
      </c>
      <c r="AX1538" s="3" t="s">
        <v>15937</v>
      </c>
      <c r="AY1538" s="3" t="s">
        <v>15938</v>
      </c>
      <c r="AZ1538" s="3" t="s">
        <v>15939</v>
      </c>
      <c r="BA1538" s="3" t="s">
        <v>15939</v>
      </c>
      <c r="BB1538" s="3" t="s">
        <v>15940</v>
      </c>
      <c r="BC1538" s="3" t="s">
        <v>78</v>
      </c>
      <c r="BD1538" s="3" t="s">
        <v>79</v>
      </c>
      <c r="BE1538" s="3" t="s">
        <v>15941</v>
      </c>
      <c r="BF1538" s="3" t="s">
        <v>15940</v>
      </c>
      <c r="BG1538" s="3" t="s">
        <v>15942</v>
      </c>
    </row>
    <row r="1539" spans="1:59" ht="58" x14ac:dyDescent="0.35">
      <c r="A1539" s="2" t="s">
        <v>59</v>
      </c>
      <c r="B1539" s="2" t="s">
        <v>94</v>
      </c>
      <c r="C1539" s="2" t="s">
        <v>15943</v>
      </c>
      <c r="D1539" s="2" t="s">
        <v>15944</v>
      </c>
      <c r="E1539" s="2" t="s">
        <v>15945</v>
      </c>
      <c r="G1539" s="3" t="s">
        <v>64</v>
      </c>
      <c r="I1539" s="3" t="s">
        <v>64</v>
      </c>
      <c r="J1539" s="3" t="s">
        <v>64</v>
      </c>
      <c r="K1539" s="3" t="s">
        <v>65</v>
      </c>
      <c r="M1539" s="2" t="s">
        <v>5100</v>
      </c>
      <c r="N1539" s="3" t="s">
        <v>328</v>
      </c>
      <c r="P1539" s="3" t="s">
        <v>69</v>
      </c>
      <c r="Q1539" s="2" t="s">
        <v>15946</v>
      </c>
      <c r="R1539" s="3" t="s">
        <v>9228</v>
      </c>
      <c r="S1539" s="4">
        <v>1</v>
      </c>
      <c r="T1539" s="4">
        <v>1</v>
      </c>
      <c r="U1539" s="5" t="s">
        <v>15947</v>
      </c>
      <c r="V1539" s="5" t="s">
        <v>15947</v>
      </c>
      <c r="W1539" s="5" t="s">
        <v>72</v>
      </c>
      <c r="X1539" s="5" t="s">
        <v>72</v>
      </c>
      <c r="Y1539" s="4">
        <v>106</v>
      </c>
      <c r="Z1539" s="4">
        <v>7</v>
      </c>
      <c r="AA1539" s="4">
        <v>101</v>
      </c>
      <c r="AB1539" s="4">
        <v>1</v>
      </c>
      <c r="AC1539" s="4">
        <v>20</v>
      </c>
      <c r="AD1539" s="4">
        <v>51</v>
      </c>
      <c r="AE1539" s="4">
        <v>133</v>
      </c>
      <c r="AF1539" s="4">
        <v>0</v>
      </c>
      <c r="AG1539" s="4">
        <v>8</v>
      </c>
      <c r="AH1539" s="4">
        <v>49</v>
      </c>
      <c r="AI1539" s="4">
        <v>94</v>
      </c>
      <c r="AJ1539" s="4">
        <v>3</v>
      </c>
      <c r="AK1539" s="4">
        <v>21</v>
      </c>
      <c r="AL1539" s="4">
        <v>27</v>
      </c>
      <c r="AM1539" s="4">
        <v>51</v>
      </c>
      <c r="AN1539" s="4">
        <v>0</v>
      </c>
      <c r="AO1539" s="4">
        <v>0</v>
      </c>
      <c r="AP1539" s="4">
        <v>5</v>
      </c>
      <c r="AQ1539" s="4">
        <v>44</v>
      </c>
      <c r="AR1539" s="3" t="s">
        <v>64</v>
      </c>
      <c r="AS1539" s="3" t="s">
        <v>64</v>
      </c>
      <c r="AT1539" s="3" t="s">
        <v>64</v>
      </c>
      <c r="AV1539" s="6" t="str">
        <f>HYPERLINK("http://mcgill.on.worldcat.org/oclc/723142726","Catalog Record")</f>
        <v>Catalog Record</v>
      </c>
      <c r="AW1539" s="6" t="str">
        <f>HYPERLINK("http://www.worldcat.org/oclc/723142726","WorldCat Record")</f>
        <v>WorldCat Record</v>
      </c>
      <c r="AX1539" s="3" t="s">
        <v>15948</v>
      </c>
      <c r="AY1539" s="3" t="s">
        <v>15949</v>
      </c>
      <c r="AZ1539" s="3" t="s">
        <v>15950</v>
      </c>
      <c r="BA1539" s="3" t="s">
        <v>15950</v>
      </c>
      <c r="BB1539" s="3" t="s">
        <v>15951</v>
      </c>
      <c r="BC1539" s="3" t="s">
        <v>78</v>
      </c>
      <c r="BD1539" s="3" t="s">
        <v>79</v>
      </c>
      <c r="BE1539" s="3" t="s">
        <v>15952</v>
      </c>
      <c r="BF1539" s="3" t="s">
        <v>15951</v>
      </c>
      <c r="BG1539" s="3" t="s">
        <v>15953</v>
      </c>
    </row>
    <row r="1540" spans="1:59" ht="58" x14ac:dyDescent="0.35">
      <c r="A1540" s="2" t="s">
        <v>59</v>
      </c>
      <c r="B1540" s="2" t="s">
        <v>94</v>
      </c>
      <c r="C1540" s="2" t="s">
        <v>15954</v>
      </c>
      <c r="D1540" s="2" t="s">
        <v>15955</v>
      </c>
      <c r="E1540" s="2" t="s">
        <v>15956</v>
      </c>
      <c r="G1540" s="3" t="s">
        <v>64</v>
      </c>
      <c r="I1540" s="3" t="s">
        <v>64</v>
      </c>
      <c r="J1540" s="3" t="s">
        <v>64</v>
      </c>
      <c r="K1540" s="3" t="s">
        <v>65</v>
      </c>
      <c r="L1540" s="2" t="s">
        <v>15957</v>
      </c>
      <c r="M1540" s="2" t="s">
        <v>15958</v>
      </c>
      <c r="N1540" s="3" t="s">
        <v>214</v>
      </c>
      <c r="O1540" s="2" t="s">
        <v>15959</v>
      </c>
      <c r="P1540" s="3" t="s">
        <v>69</v>
      </c>
      <c r="R1540" s="3" t="s">
        <v>9228</v>
      </c>
      <c r="S1540" s="4">
        <v>3</v>
      </c>
      <c r="T1540" s="4">
        <v>3</v>
      </c>
      <c r="U1540" s="5" t="s">
        <v>15960</v>
      </c>
      <c r="V1540" s="5" t="s">
        <v>15960</v>
      </c>
      <c r="W1540" s="5" t="s">
        <v>72</v>
      </c>
      <c r="X1540" s="5" t="s">
        <v>72</v>
      </c>
      <c r="Y1540" s="4">
        <v>99</v>
      </c>
      <c r="Z1540" s="4">
        <v>8</v>
      </c>
      <c r="AA1540" s="4">
        <v>10</v>
      </c>
      <c r="AB1540" s="4">
        <v>1</v>
      </c>
      <c r="AC1540" s="4">
        <v>3</v>
      </c>
      <c r="AD1540" s="4">
        <v>37</v>
      </c>
      <c r="AE1540" s="4">
        <v>39</v>
      </c>
      <c r="AF1540" s="4">
        <v>0</v>
      </c>
      <c r="AG1540" s="4">
        <v>0</v>
      </c>
      <c r="AH1540" s="4">
        <v>33</v>
      </c>
      <c r="AI1540" s="4">
        <v>35</v>
      </c>
      <c r="AJ1540" s="4">
        <v>5</v>
      </c>
      <c r="AK1540" s="4">
        <v>5</v>
      </c>
      <c r="AL1540" s="4">
        <v>19</v>
      </c>
      <c r="AM1540" s="4">
        <v>19</v>
      </c>
      <c r="AN1540" s="4">
        <v>0</v>
      </c>
      <c r="AO1540" s="4">
        <v>0</v>
      </c>
      <c r="AP1540" s="4">
        <v>6</v>
      </c>
      <c r="AQ1540" s="4">
        <v>6</v>
      </c>
      <c r="AR1540" s="3" t="s">
        <v>64</v>
      </c>
      <c r="AS1540" s="3" t="s">
        <v>64</v>
      </c>
      <c r="AT1540" s="3" t="s">
        <v>64</v>
      </c>
      <c r="AV1540" s="6" t="str">
        <f>HYPERLINK("http://mcgill.on.worldcat.org/oclc/620143474","Catalog Record")</f>
        <v>Catalog Record</v>
      </c>
      <c r="AW1540" s="6" t="str">
        <f>HYPERLINK("http://www.worldcat.org/oclc/620143474","WorldCat Record")</f>
        <v>WorldCat Record</v>
      </c>
      <c r="AX1540" s="3" t="s">
        <v>15961</v>
      </c>
      <c r="AY1540" s="3" t="s">
        <v>15962</v>
      </c>
      <c r="AZ1540" s="3" t="s">
        <v>15963</v>
      </c>
      <c r="BA1540" s="3" t="s">
        <v>15963</v>
      </c>
      <c r="BB1540" s="3" t="s">
        <v>15964</v>
      </c>
      <c r="BC1540" s="3" t="s">
        <v>78</v>
      </c>
      <c r="BD1540" s="3" t="s">
        <v>79</v>
      </c>
      <c r="BE1540" s="3" t="s">
        <v>15965</v>
      </c>
      <c r="BF1540" s="3" t="s">
        <v>15964</v>
      </c>
      <c r="BG1540" s="3" t="s">
        <v>15966</v>
      </c>
    </row>
    <row r="1541" spans="1:59" ht="58" x14ac:dyDescent="0.35">
      <c r="A1541" s="2" t="s">
        <v>59</v>
      </c>
      <c r="B1541" s="2" t="s">
        <v>94</v>
      </c>
      <c r="C1541" s="2" t="s">
        <v>15967</v>
      </c>
      <c r="D1541" s="2" t="s">
        <v>15968</v>
      </c>
      <c r="E1541" s="2" t="s">
        <v>15969</v>
      </c>
      <c r="G1541" s="3" t="s">
        <v>64</v>
      </c>
      <c r="I1541" s="3" t="s">
        <v>64</v>
      </c>
      <c r="J1541" s="3" t="s">
        <v>64</v>
      </c>
      <c r="K1541" s="3" t="s">
        <v>65</v>
      </c>
      <c r="L1541" s="2" t="s">
        <v>15970</v>
      </c>
      <c r="M1541" s="2" t="s">
        <v>6841</v>
      </c>
      <c r="N1541" s="3" t="s">
        <v>377</v>
      </c>
      <c r="P1541" s="3" t="s">
        <v>69</v>
      </c>
      <c r="Q1541" s="2" t="s">
        <v>5134</v>
      </c>
      <c r="R1541" s="3" t="s">
        <v>9228</v>
      </c>
      <c r="S1541" s="4">
        <v>3</v>
      </c>
      <c r="T1541" s="4">
        <v>3</v>
      </c>
      <c r="U1541" s="5" t="s">
        <v>12916</v>
      </c>
      <c r="V1541" s="5" t="s">
        <v>12916</v>
      </c>
      <c r="W1541" s="5" t="s">
        <v>72</v>
      </c>
      <c r="X1541" s="5" t="s">
        <v>72</v>
      </c>
      <c r="Y1541" s="4">
        <v>97</v>
      </c>
      <c r="Z1541" s="4">
        <v>6</v>
      </c>
      <c r="AA1541" s="4">
        <v>107</v>
      </c>
      <c r="AB1541" s="4">
        <v>1</v>
      </c>
      <c r="AC1541" s="4">
        <v>17</v>
      </c>
      <c r="AD1541" s="4">
        <v>51</v>
      </c>
      <c r="AE1541" s="4">
        <v>136</v>
      </c>
      <c r="AF1541" s="4">
        <v>0</v>
      </c>
      <c r="AG1541" s="4">
        <v>8</v>
      </c>
      <c r="AH1541" s="4">
        <v>50</v>
      </c>
      <c r="AI1541" s="4">
        <v>94</v>
      </c>
      <c r="AJ1541" s="4">
        <v>4</v>
      </c>
      <c r="AK1541" s="4">
        <v>21</v>
      </c>
      <c r="AL1541" s="4">
        <v>28</v>
      </c>
      <c r="AM1541" s="4">
        <v>52</v>
      </c>
      <c r="AN1541" s="4">
        <v>0</v>
      </c>
      <c r="AO1541" s="4">
        <v>0</v>
      </c>
      <c r="AP1541" s="4">
        <v>4</v>
      </c>
      <c r="AQ1541" s="4">
        <v>45</v>
      </c>
      <c r="AR1541" s="3" t="s">
        <v>64</v>
      </c>
      <c r="AS1541" s="3" t="s">
        <v>64</v>
      </c>
      <c r="AT1541" s="3" t="s">
        <v>64</v>
      </c>
      <c r="AV1541" s="6" t="str">
        <f>HYPERLINK("http://mcgill.on.worldcat.org/oclc/816315998","Catalog Record")</f>
        <v>Catalog Record</v>
      </c>
      <c r="AW1541" s="6" t="str">
        <f>HYPERLINK("http://www.worldcat.org/oclc/816315998","WorldCat Record")</f>
        <v>WorldCat Record</v>
      </c>
      <c r="AX1541" s="3" t="s">
        <v>15971</v>
      </c>
      <c r="AY1541" s="3" t="s">
        <v>15972</v>
      </c>
      <c r="AZ1541" s="3" t="s">
        <v>15973</v>
      </c>
      <c r="BA1541" s="3" t="s">
        <v>15973</v>
      </c>
      <c r="BB1541" s="3" t="s">
        <v>15974</v>
      </c>
      <c r="BC1541" s="3" t="s">
        <v>78</v>
      </c>
      <c r="BD1541" s="3" t="s">
        <v>79</v>
      </c>
      <c r="BE1541" s="3" t="s">
        <v>15975</v>
      </c>
      <c r="BF1541" s="3" t="s">
        <v>15974</v>
      </c>
      <c r="BG1541" s="3" t="s">
        <v>15976</v>
      </c>
    </row>
    <row r="1542" spans="1:59" ht="58" x14ac:dyDescent="0.35">
      <c r="A1542" s="2" t="s">
        <v>59</v>
      </c>
      <c r="B1542" s="2" t="s">
        <v>94</v>
      </c>
      <c r="C1542" s="2" t="s">
        <v>15977</v>
      </c>
      <c r="D1542" s="2" t="s">
        <v>15978</v>
      </c>
      <c r="E1542" s="2" t="s">
        <v>15979</v>
      </c>
      <c r="G1542" s="3" t="s">
        <v>64</v>
      </c>
      <c r="I1542" s="3" t="s">
        <v>64</v>
      </c>
      <c r="J1542" s="3" t="s">
        <v>64</v>
      </c>
      <c r="K1542" s="3" t="s">
        <v>65</v>
      </c>
      <c r="M1542" s="2" t="s">
        <v>15980</v>
      </c>
      <c r="N1542" s="3" t="s">
        <v>1029</v>
      </c>
      <c r="P1542" s="3" t="s">
        <v>69</v>
      </c>
      <c r="Q1542" s="2" t="s">
        <v>5134</v>
      </c>
      <c r="R1542" s="3" t="s">
        <v>9228</v>
      </c>
      <c r="S1542" s="4">
        <v>7</v>
      </c>
      <c r="T1542" s="4">
        <v>7</v>
      </c>
      <c r="U1542" s="5" t="s">
        <v>12399</v>
      </c>
      <c r="V1542" s="5" t="s">
        <v>12399</v>
      </c>
      <c r="W1542" s="5" t="s">
        <v>72</v>
      </c>
      <c r="X1542" s="5" t="s">
        <v>72</v>
      </c>
      <c r="Y1542" s="4">
        <v>155</v>
      </c>
      <c r="Z1542" s="4">
        <v>10</v>
      </c>
      <c r="AA1542" s="4">
        <v>104</v>
      </c>
      <c r="AB1542" s="4">
        <v>1</v>
      </c>
      <c r="AC1542" s="4">
        <v>20</v>
      </c>
      <c r="AD1542" s="4">
        <v>73</v>
      </c>
      <c r="AE1542" s="4">
        <v>142</v>
      </c>
      <c r="AF1542" s="4">
        <v>0</v>
      </c>
      <c r="AG1542" s="4">
        <v>8</v>
      </c>
      <c r="AH1542" s="4">
        <v>69</v>
      </c>
      <c r="AI1542" s="4">
        <v>99</v>
      </c>
      <c r="AJ1542" s="4">
        <v>7</v>
      </c>
      <c r="AK1542" s="4">
        <v>24</v>
      </c>
      <c r="AL1542" s="4">
        <v>40</v>
      </c>
      <c r="AM1542" s="4">
        <v>55</v>
      </c>
      <c r="AN1542" s="4">
        <v>0</v>
      </c>
      <c r="AO1542" s="4">
        <v>0</v>
      </c>
      <c r="AP1542" s="4">
        <v>8</v>
      </c>
      <c r="AQ1542" s="4">
        <v>47</v>
      </c>
      <c r="AR1542" s="3" t="s">
        <v>64</v>
      </c>
      <c r="AS1542" s="3" t="s">
        <v>64</v>
      </c>
      <c r="AT1542" s="3" t="s">
        <v>64</v>
      </c>
      <c r="AV1542" s="6" t="str">
        <f>HYPERLINK("http://mcgill.on.worldcat.org/oclc/294063135","Catalog Record")</f>
        <v>Catalog Record</v>
      </c>
      <c r="AW1542" s="6" t="str">
        <f>HYPERLINK("http://www.worldcat.org/oclc/294063135","WorldCat Record")</f>
        <v>WorldCat Record</v>
      </c>
      <c r="AX1542" s="3" t="s">
        <v>15981</v>
      </c>
      <c r="AY1542" s="3" t="s">
        <v>15982</v>
      </c>
      <c r="AZ1542" s="3" t="s">
        <v>15983</v>
      </c>
      <c r="BA1542" s="3" t="s">
        <v>15983</v>
      </c>
      <c r="BB1542" s="3" t="s">
        <v>15984</v>
      </c>
      <c r="BC1542" s="3" t="s">
        <v>78</v>
      </c>
      <c r="BD1542" s="3" t="s">
        <v>79</v>
      </c>
      <c r="BE1542" s="3" t="s">
        <v>15985</v>
      </c>
      <c r="BF1542" s="3" t="s">
        <v>15984</v>
      </c>
      <c r="BG1542" s="3" t="s">
        <v>15986</v>
      </c>
    </row>
    <row r="1543" spans="1:59" ht="58" x14ac:dyDescent="0.35">
      <c r="A1543" s="2" t="s">
        <v>59</v>
      </c>
      <c r="B1543" s="2" t="s">
        <v>94</v>
      </c>
      <c r="C1543" s="2" t="s">
        <v>15987</v>
      </c>
      <c r="D1543" s="2" t="s">
        <v>15988</v>
      </c>
      <c r="E1543" s="2" t="s">
        <v>15989</v>
      </c>
      <c r="G1543" s="3" t="s">
        <v>64</v>
      </c>
      <c r="I1543" s="3" t="s">
        <v>64</v>
      </c>
      <c r="J1543" s="3" t="s">
        <v>64</v>
      </c>
      <c r="K1543" s="3" t="s">
        <v>65</v>
      </c>
      <c r="L1543" s="2" t="s">
        <v>15990</v>
      </c>
      <c r="M1543" s="2" t="s">
        <v>15991</v>
      </c>
      <c r="N1543" s="3" t="s">
        <v>473</v>
      </c>
      <c r="P1543" s="3" t="s">
        <v>69</v>
      </c>
      <c r="R1543" s="3" t="s">
        <v>9228</v>
      </c>
      <c r="S1543" s="4">
        <v>24</v>
      </c>
      <c r="T1543" s="4">
        <v>24</v>
      </c>
      <c r="U1543" s="5" t="s">
        <v>1409</v>
      </c>
      <c r="V1543" s="5" t="s">
        <v>1409</v>
      </c>
      <c r="W1543" s="5" t="s">
        <v>72</v>
      </c>
      <c r="X1543" s="5" t="s">
        <v>72</v>
      </c>
      <c r="Y1543" s="4">
        <v>348</v>
      </c>
      <c r="Z1543" s="4">
        <v>7</v>
      </c>
      <c r="AA1543" s="4">
        <v>10</v>
      </c>
      <c r="AB1543" s="4">
        <v>1</v>
      </c>
      <c r="AC1543" s="4">
        <v>2</v>
      </c>
      <c r="AD1543" s="4">
        <v>74</v>
      </c>
      <c r="AE1543" s="4">
        <v>79</v>
      </c>
      <c r="AF1543" s="4">
        <v>0</v>
      </c>
      <c r="AG1543" s="4">
        <v>1</v>
      </c>
      <c r="AH1543" s="4">
        <v>70</v>
      </c>
      <c r="AI1543" s="4">
        <v>73</v>
      </c>
      <c r="AJ1543" s="4">
        <v>6</v>
      </c>
      <c r="AK1543" s="4">
        <v>8</v>
      </c>
      <c r="AL1543" s="4">
        <v>41</v>
      </c>
      <c r="AM1543" s="4">
        <v>42</v>
      </c>
      <c r="AN1543" s="4">
        <v>0</v>
      </c>
      <c r="AO1543" s="4">
        <v>0</v>
      </c>
      <c r="AP1543" s="4">
        <v>5</v>
      </c>
      <c r="AQ1543" s="4">
        <v>8</v>
      </c>
      <c r="AR1543" s="3" t="s">
        <v>64</v>
      </c>
      <c r="AS1543" s="3" t="s">
        <v>73</v>
      </c>
      <c r="AT1543" s="3" t="s">
        <v>64</v>
      </c>
      <c r="AU1543" s="6" t="str">
        <f>HYPERLINK("http://catalog.hathitrust.org/Record/011395549","HathiTrust Record")</f>
        <v>HathiTrust Record</v>
      </c>
      <c r="AV1543" s="6" t="str">
        <f>HYPERLINK("http://mcgill.on.worldcat.org/oclc/21891976","Catalog Record")</f>
        <v>Catalog Record</v>
      </c>
      <c r="AW1543" s="6" t="str">
        <f>HYPERLINK("http://www.worldcat.org/oclc/21891976","WorldCat Record")</f>
        <v>WorldCat Record</v>
      </c>
      <c r="AX1543" s="3" t="s">
        <v>15992</v>
      </c>
      <c r="AY1543" s="3" t="s">
        <v>15993</v>
      </c>
      <c r="AZ1543" s="3" t="s">
        <v>15994</v>
      </c>
      <c r="BA1543" s="3" t="s">
        <v>15994</v>
      </c>
      <c r="BB1543" s="3" t="s">
        <v>15995</v>
      </c>
      <c r="BC1543" s="3" t="s">
        <v>78</v>
      </c>
      <c r="BD1543" s="3" t="s">
        <v>79</v>
      </c>
      <c r="BF1543" s="3" t="s">
        <v>15995</v>
      </c>
      <c r="BG1543" s="3" t="s">
        <v>15996</v>
      </c>
    </row>
    <row r="1544" spans="1:59" ht="58" x14ac:dyDescent="0.35">
      <c r="A1544" s="2" t="s">
        <v>59</v>
      </c>
      <c r="B1544" s="2" t="s">
        <v>94</v>
      </c>
      <c r="C1544" s="2" t="s">
        <v>15997</v>
      </c>
      <c r="D1544" s="2" t="s">
        <v>15998</v>
      </c>
      <c r="E1544" s="2" t="s">
        <v>15999</v>
      </c>
      <c r="G1544" s="3" t="s">
        <v>64</v>
      </c>
      <c r="I1544" s="3" t="s">
        <v>64</v>
      </c>
      <c r="J1544" s="3" t="s">
        <v>64</v>
      </c>
      <c r="K1544" s="3" t="s">
        <v>65</v>
      </c>
      <c r="L1544" s="2" t="s">
        <v>16000</v>
      </c>
      <c r="M1544" s="2" t="s">
        <v>13222</v>
      </c>
      <c r="N1544" s="3" t="s">
        <v>449</v>
      </c>
      <c r="P1544" s="3" t="s">
        <v>69</v>
      </c>
      <c r="Q1544" s="2" t="s">
        <v>16001</v>
      </c>
      <c r="R1544" s="3" t="s">
        <v>9228</v>
      </c>
      <c r="S1544" s="4">
        <v>3</v>
      </c>
      <c r="T1544" s="4">
        <v>3</v>
      </c>
      <c r="U1544" s="5" t="s">
        <v>1409</v>
      </c>
      <c r="V1544" s="5" t="s">
        <v>1409</v>
      </c>
      <c r="W1544" s="5" t="s">
        <v>72</v>
      </c>
      <c r="X1544" s="5" t="s">
        <v>72</v>
      </c>
      <c r="Y1544" s="4">
        <v>272</v>
      </c>
      <c r="Z1544" s="4">
        <v>8</v>
      </c>
      <c r="AA1544" s="4">
        <v>73</v>
      </c>
      <c r="AB1544" s="4">
        <v>1</v>
      </c>
      <c r="AC1544" s="4">
        <v>15</v>
      </c>
      <c r="AD1544" s="4">
        <v>52</v>
      </c>
      <c r="AE1544" s="4">
        <v>111</v>
      </c>
      <c r="AF1544" s="4">
        <v>0</v>
      </c>
      <c r="AG1544" s="4">
        <v>8</v>
      </c>
      <c r="AH1544" s="4">
        <v>49</v>
      </c>
      <c r="AI1544" s="4">
        <v>80</v>
      </c>
      <c r="AJ1544" s="4">
        <v>4</v>
      </c>
      <c r="AK1544" s="4">
        <v>18</v>
      </c>
      <c r="AL1544" s="4">
        <v>32</v>
      </c>
      <c r="AM1544" s="4">
        <v>44</v>
      </c>
      <c r="AN1544" s="4">
        <v>0</v>
      </c>
      <c r="AO1544" s="4">
        <v>0</v>
      </c>
      <c r="AP1544" s="4">
        <v>6</v>
      </c>
      <c r="AQ1544" s="4">
        <v>38</v>
      </c>
      <c r="AR1544" s="3" t="s">
        <v>64</v>
      </c>
      <c r="AS1544" s="3" t="s">
        <v>64</v>
      </c>
      <c r="AT1544" s="3" t="s">
        <v>64</v>
      </c>
      <c r="AV1544" s="6" t="str">
        <f>HYPERLINK("http://mcgill.on.worldcat.org/oclc/173659692","Catalog Record")</f>
        <v>Catalog Record</v>
      </c>
      <c r="AW1544" s="6" t="str">
        <f>HYPERLINK("http://www.worldcat.org/oclc/173659692","WorldCat Record")</f>
        <v>WorldCat Record</v>
      </c>
      <c r="AX1544" s="3" t="s">
        <v>16002</v>
      </c>
      <c r="AY1544" s="3" t="s">
        <v>16003</v>
      </c>
      <c r="AZ1544" s="3" t="s">
        <v>16004</v>
      </c>
      <c r="BA1544" s="3" t="s">
        <v>16004</v>
      </c>
      <c r="BB1544" s="3" t="s">
        <v>16005</v>
      </c>
      <c r="BC1544" s="3" t="s">
        <v>78</v>
      </c>
      <c r="BD1544" s="3" t="s">
        <v>79</v>
      </c>
      <c r="BE1544" s="3" t="s">
        <v>16006</v>
      </c>
      <c r="BF1544" s="3" t="s">
        <v>16005</v>
      </c>
      <c r="BG1544" s="3" t="s">
        <v>16007</v>
      </c>
    </row>
    <row r="1545" spans="1:59" ht="58" x14ac:dyDescent="0.35">
      <c r="A1545" s="2" t="s">
        <v>59</v>
      </c>
      <c r="B1545" s="2" t="s">
        <v>94</v>
      </c>
      <c r="C1545" s="2" t="s">
        <v>16008</v>
      </c>
      <c r="D1545" s="2" t="s">
        <v>16009</v>
      </c>
      <c r="E1545" s="2" t="s">
        <v>16010</v>
      </c>
      <c r="G1545" s="3" t="s">
        <v>64</v>
      </c>
      <c r="I1545" s="3" t="s">
        <v>64</v>
      </c>
      <c r="J1545" s="3" t="s">
        <v>64</v>
      </c>
      <c r="K1545" s="3" t="s">
        <v>65</v>
      </c>
      <c r="L1545" s="2" t="s">
        <v>3643</v>
      </c>
      <c r="M1545" s="2" t="s">
        <v>16011</v>
      </c>
      <c r="N1545" s="3" t="s">
        <v>1530</v>
      </c>
      <c r="P1545" s="3" t="s">
        <v>69</v>
      </c>
      <c r="Q1545" s="2" t="s">
        <v>16012</v>
      </c>
      <c r="R1545" s="3" t="s">
        <v>9228</v>
      </c>
      <c r="S1545" s="4">
        <v>4</v>
      </c>
      <c r="T1545" s="4">
        <v>4</v>
      </c>
      <c r="U1545" s="5" t="s">
        <v>1409</v>
      </c>
      <c r="V1545" s="5" t="s">
        <v>1409</v>
      </c>
      <c r="W1545" s="5" t="s">
        <v>72</v>
      </c>
      <c r="X1545" s="5" t="s">
        <v>72</v>
      </c>
      <c r="Y1545" s="4">
        <v>182</v>
      </c>
      <c r="Z1545" s="4">
        <v>9</v>
      </c>
      <c r="AA1545" s="4">
        <v>10</v>
      </c>
      <c r="AB1545" s="4">
        <v>1</v>
      </c>
      <c r="AC1545" s="4">
        <v>1</v>
      </c>
      <c r="AD1545" s="4">
        <v>65</v>
      </c>
      <c r="AE1545" s="4">
        <v>66</v>
      </c>
      <c r="AF1545" s="4">
        <v>0</v>
      </c>
      <c r="AG1545" s="4">
        <v>0</v>
      </c>
      <c r="AH1545" s="4">
        <v>60</v>
      </c>
      <c r="AI1545" s="4">
        <v>60</v>
      </c>
      <c r="AJ1545" s="4">
        <v>6</v>
      </c>
      <c r="AK1545" s="4">
        <v>7</v>
      </c>
      <c r="AL1545" s="4">
        <v>40</v>
      </c>
      <c r="AM1545" s="4">
        <v>40</v>
      </c>
      <c r="AN1545" s="4">
        <v>5</v>
      </c>
      <c r="AO1545" s="4">
        <v>5</v>
      </c>
      <c r="AP1545" s="4">
        <v>6</v>
      </c>
      <c r="AQ1545" s="4">
        <v>7</v>
      </c>
      <c r="AR1545" s="3" t="s">
        <v>64</v>
      </c>
      <c r="AS1545" s="3" t="s">
        <v>64</v>
      </c>
      <c r="AT1545" s="3" t="s">
        <v>73</v>
      </c>
      <c r="AU1545" s="6" t="str">
        <f>HYPERLINK("http://catalog.hathitrust.org/Record/102025020","HathiTrust Record")</f>
        <v>HathiTrust Record</v>
      </c>
      <c r="AV1545" s="6" t="str">
        <f>HYPERLINK("http://mcgill.on.worldcat.org/oclc/50404116","Catalog Record")</f>
        <v>Catalog Record</v>
      </c>
      <c r="AW1545" s="6" t="str">
        <f>HYPERLINK("http://www.worldcat.org/oclc/50404116","WorldCat Record")</f>
        <v>WorldCat Record</v>
      </c>
      <c r="AX1545" s="3" t="s">
        <v>16013</v>
      </c>
      <c r="AY1545" s="3" t="s">
        <v>16014</v>
      </c>
      <c r="AZ1545" s="3" t="s">
        <v>16015</v>
      </c>
      <c r="BA1545" s="3" t="s">
        <v>16015</v>
      </c>
      <c r="BB1545" s="3" t="s">
        <v>16016</v>
      </c>
      <c r="BC1545" s="3" t="s">
        <v>78</v>
      </c>
      <c r="BD1545" s="3" t="s">
        <v>79</v>
      </c>
      <c r="BE1545" s="3" t="s">
        <v>16017</v>
      </c>
      <c r="BF1545" s="3" t="s">
        <v>16016</v>
      </c>
      <c r="BG1545" s="3" t="s">
        <v>16018</v>
      </c>
    </row>
    <row r="1546" spans="1:59" ht="58" x14ac:dyDescent="0.35">
      <c r="A1546" s="2" t="s">
        <v>59</v>
      </c>
      <c r="B1546" s="2" t="s">
        <v>94</v>
      </c>
      <c r="C1546" s="2" t="s">
        <v>16019</v>
      </c>
      <c r="D1546" s="2" t="s">
        <v>16020</v>
      </c>
      <c r="E1546" s="2" t="s">
        <v>16021</v>
      </c>
      <c r="G1546" s="3" t="s">
        <v>64</v>
      </c>
      <c r="I1546" s="3" t="s">
        <v>64</v>
      </c>
      <c r="J1546" s="3" t="s">
        <v>64</v>
      </c>
      <c r="K1546" s="3" t="s">
        <v>65</v>
      </c>
      <c r="L1546" s="2" t="s">
        <v>3643</v>
      </c>
      <c r="M1546" s="2" t="s">
        <v>16022</v>
      </c>
      <c r="N1546" s="3" t="s">
        <v>1154</v>
      </c>
      <c r="P1546" s="3" t="s">
        <v>69</v>
      </c>
      <c r="R1546" s="3" t="s">
        <v>9228</v>
      </c>
      <c r="S1546" s="4">
        <v>23</v>
      </c>
      <c r="T1546" s="4">
        <v>23</v>
      </c>
      <c r="U1546" s="5" t="s">
        <v>1409</v>
      </c>
      <c r="V1546" s="5" t="s">
        <v>1409</v>
      </c>
      <c r="W1546" s="5" t="s">
        <v>72</v>
      </c>
      <c r="X1546" s="5" t="s">
        <v>72</v>
      </c>
      <c r="Y1546" s="4">
        <v>282</v>
      </c>
      <c r="Z1546" s="4">
        <v>17</v>
      </c>
      <c r="AA1546" s="4">
        <v>17</v>
      </c>
      <c r="AB1546" s="4">
        <v>1</v>
      </c>
      <c r="AC1546" s="4">
        <v>1</v>
      </c>
      <c r="AD1546" s="4">
        <v>103</v>
      </c>
      <c r="AE1546" s="4">
        <v>103</v>
      </c>
      <c r="AF1546" s="4">
        <v>0</v>
      </c>
      <c r="AG1546" s="4">
        <v>0</v>
      </c>
      <c r="AH1546" s="4">
        <v>96</v>
      </c>
      <c r="AI1546" s="4">
        <v>96</v>
      </c>
      <c r="AJ1546" s="4">
        <v>8</v>
      </c>
      <c r="AK1546" s="4">
        <v>8</v>
      </c>
      <c r="AL1546" s="4">
        <v>54</v>
      </c>
      <c r="AM1546" s="4">
        <v>54</v>
      </c>
      <c r="AN1546" s="4">
        <v>0</v>
      </c>
      <c r="AO1546" s="4">
        <v>0</v>
      </c>
      <c r="AP1546" s="4">
        <v>11</v>
      </c>
      <c r="AQ1546" s="4">
        <v>11</v>
      </c>
      <c r="AR1546" s="3" t="s">
        <v>64</v>
      </c>
      <c r="AS1546" s="3" t="s">
        <v>64</v>
      </c>
      <c r="AT1546" s="3" t="s">
        <v>73</v>
      </c>
      <c r="AU1546" s="6" t="str">
        <f>HYPERLINK("http://catalog.hathitrust.org/Record/002898721","HathiTrust Record")</f>
        <v>HathiTrust Record</v>
      </c>
      <c r="AV1546" s="6" t="str">
        <f>HYPERLINK("http://mcgill.on.worldcat.org/oclc/30318467","Catalog Record")</f>
        <v>Catalog Record</v>
      </c>
      <c r="AW1546" s="6" t="str">
        <f>HYPERLINK("http://www.worldcat.org/oclc/30318467","WorldCat Record")</f>
        <v>WorldCat Record</v>
      </c>
      <c r="AX1546" s="3" t="s">
        <v>16023</v>
      </c>
      <c r="AY1546" s="3" t="s">
        <v>16024</v>
      </c>
      <c r="AZ1546" s="3" t="s">
        <v>16025</v>
      </c>
      <c r="BA1546" s="3" t="s">
        <v>16025</v>
      </c>
      <c r="BB1546" s="3" t="s">
        <v>16026</v>
      </c>
      <c r="BC1546" s="3" t="s">
        <v>78</v>
      </c>
      <c r="BD1546" s="3" t="s">
        <v>79</v>
      </c>
      <c r="BE1546" s="3" t="s">
        <v>16027</v>
      </c>
      <c r="BF1546" s="3" t="s">
        <v>16026</v>
      </c>
      <c r="BG1546" s="3" t="s">
        <v>16028</v>
      </c>
    </row>
    <row r="1547" spans="1:59" ht="58" x14ac:dyDescent="0.35">
      <c r="A1547" s="2" t="s">
        <v>59</v>
      </c>
      <c r="B1547" s="2" t="s">
        <v>94</v>
      </c>
      <c r="C1547" s="2" t="s">
        <v>16029</v>
      </c>
      <c r="D1547" s="2" t="s">
        <v>16030</v>
      </c>
      <c r="E1547" s="2" t="s">
        <v>16031</v>
      </c>
      <c r="G1547" s="3" t="s">
        <v>64</v>
      </c>
      <c r="I1547" s="3" t="s">
        <v>64</v>
      </c>
      <c r="J1547" s="3" t="s">
        <v>64</v>
      </c>
      <c r="K1547" s="3" t="s">
        <v>65</v>
      </c>
      <c r="L1547" s="2" t="s">
        <v>6928</v>
      </c>
      <c r="M1547" s="2" t="s">
        <v>5089</v>
      </c>
      <c r="N1547" s="3" t="s">
        <v>214</v>
      </c>
      <c r="P1547" s="3" t="s">
        <v>69</v>
      </c>
      <c r="Q1547" s="2" t="s">
        <v>5134</v>
      </c>
      <c r="R1547" s="3" t="s">
        <v>9228</v>
      </c>
      <c r="S1547" s="4">
        <v>1</v>
      </c>
      <c r="T1547" s="4">
        <v>1</v>
      </c>
      <c r="U1547" s="5" t="s">
        <v>16032</v>
      </c>
      <c r="V1547" s="5" t="s">
        <v>16032</v>
      </c>
      <c r="W1547" s="5" t="s">
        <v>72</v>
      </c>
      <c r="X1547" s="5" t="s">
        <v>72</v>
      </c>
      <c r="Y1547" s="4">
        <v>106</v>
      </c>
      <c r="Z1547" s="4">
        <v>8</v>
      </c>
      <c r="AA1547" s="4">
        <v>105</v>
      </c>
      <c r="AB1547" s="4">
        <v>1</v>
      </c>
      <c r="AC1547" s="4">
        <v>20</v>
      </c>
      <c r="AD1547" s="4">
        <v>54</v>
      </c>
      <c r="AE1547" s="4">
        <v>140</v>
      </c>
      <c r="AF1547" s="4">
        <v>0</v>
      </c>
      <c r="AG1547" s="4">
        <v>8</v>
      </c>
      <c r="AH1547" s="4">
        <v>51</v>
      </c>
      <c r="AI1547" s="4">
        <v>98</v>
      </c>
      <c r="AJ1547" s="4">
        <v>5</v>
      </c>
      <c r="AK1547" s="4">
        <v>23</v>
      </c>
      <c r="AL1547" s="4">
        <v>28</v>
      </c>
      <c r="AM1547" s="4">
        <v>53</v>
      </c>
      <c r="AN1547" s="4">
        <v>0</v>
      </c>
      <c r="AO1547" s="4">
        <v>0</v>
      </c>
      <c r="AP1547" s="4">
        <v>6</v>
      </c>
      <c r="AQ1547" s="4">
        <v>47</v>
      </c>
      <c r="AR1547" s="3" t="s">
        <v>64</v>
      </c>
      <c r="AS1547" s="3" t="s">
        <v>64</v>
      </c>
      <c r="AT1547" s="3" t="s">
        <v>64</v>
      </c>
      <c r="AV1547" s="6" t="str">
        <f>HYPERLINK("http://mcgill.on.worldcat.org/oclc/477274548","Catalog Record")</f>
        <v>Catalog Record</v>
      </c>
      <c r="AW1547" s="6" t="str">
        <f>HYPERLINK("http://www.worldcat.org/oclc/477274548","WorldCat Record")</f>
        <v>WorldCat Record</v>
      </c>
      <c r="AX1547" s="3" t="s">
        <v>16033</v>
      </c>
      <c r="AY1547" s="3" t="s">
        <v>16034</v>
      </c>
      <c r="AZ1547" s="3" t="s">
        <v>16035</v>
      </c>
      <c r="BA1547" s="3" t="s">
        <v>16035</v>
      </c>
      <c r="BB1547" s="3" t="s">
        <v>16036</v>
      </c>
      <c r="BC1547" s="3" t="s">
        <v>78</v>
      </c>
      <c r="BD1547" s="3" t="s">
        <v>79</v>
      </c>
      <c r="BE1547" s="3" t="s">
        <v>16037</v>
      </c>
      <c r="BF1547" s="3" t="s">
        <v>16036</v>
      </c>
      <c r="BG1547" s="3" t="s">
        <v>16038</v>
      </c>
    </row>
    <row r="1548" spans="1:59" ht="58" x14ac:dyDescent="0.35">
      <c r="A1548" s="2" t="s">
        <v>59</v>
      </c>
      <c r="B1548" s="2" t="s">
        <v>94</v>
      </c>
      <c r="C1548" s="2" t="s">
        <v>16039</v>
      </c>
      <c r="D1548" s="2" t="s">
        <v>16040</v>
      </c>
      <c r="E1548" s="2" t="s">
        <v>16041</v>
      </c>
      <c r="G1548" s="3" t="s">
        <v>64</v>
      </c>
      <c r="I1548" s="3" t="s">
        <v>64</v>
      </c>
      <c r="J1548" s="3" t="s">
        <v>73</v>
      </c>
      <c r="K1548" s="3" t="s">
        <v>65</v>
      </c>
      <c r="L1548" s="2" t="s">
        <v>16042</v>
      </c>
      <c r="M1548" s="2" t="s">
        <v>16043</v>
      </c>
      <c r="N1548" s="3" t="s">
        <v>201</v>
      </c>
      <c r="P1548" s="3" t="s">
        <v>69</v>
      </c>
      <c r="R1548" s="3" t="s">
        <v>9228</v>
      </c>
      <c r="S1548" s="4">
        <v>4</v>
      </c>
      <c r="T1548" s="4">
        <v>4</v>
      </c>
      <c r="U1548" s="5" t="s">
        <v>2994</v>
      </c>
      <c r="V1548" s="5" t="s">
        <v>2994</v>
      </c>
      <c r="W1548" s="5" t="s">
        <v>72</v>
      </c>
      <c r="X1548" s="5" t="s">
        <v>72</v>
      </c>
      <c r="Y1548" s="4">
        <v>111</v>
      </c>
      <c r="Z1548" s="4">
        <v>8</v>
      </c>
      <c r="AA1548" s="4">
        <v>21</v>
      </c>
      <c r="AB1548" s="4">
        <v>3</v>
      </c>
      <c r="AC1548" s="4">
        <v>4</v>
      </c>
      <c r="AD1548" s="4">
        <v>19</v>
      </c>
      <c r="AE1548" s="4">
        <v>88</v>
      </c>
      <c r="AF1548" s="4">
        <v>1</v>
      </c>
      <c r="AG1548" s="4">
        <v>2</v>
      </c>
      <c r="AH1548" s="4">
        <v>16</v>
      </c>
      <c r="AI1548" s="4">
        <v>76</v>
      </c>
      <c r="AJ1548" s="4">
        <v>4</v>
      </c>
      <c r="AK1548" s="4">
        <v>11</v>
      </c>
      <c r="AL1548" s="4">
        <v>10</v>
      </c>
      <c r="AM1548" s="4">
        <v>45</v>
      </c>
      <c r="AN1548" s="4">
        <v>0</v>
      </c>
      <c r="AO1548" s="4">
        <v>0</v>
      </c>
      <c r="AP1548" s="4">
        <v>5</v>
      </c>
      <c r="AQ1548" s="4">
        <v>13</v>
      </c>
      <c r="AR1548" s="3" t="s">
        <v>64</v>
      </c>
      <c r="AS1548" s="3" t="s">
        <v>64</v>
      </c>
      <c r="AT1548" s="3" t="s">
        <v>73</v>
      </c>
      <c r="AU1548" s="6" t="str">
        <f>HYPERLINK("http://catalog.hathitrust.org/Record/001620915","HathiTrust Record")</f>
        <v>HathiTrust Record</v>
      </c>
      <c r="AV1548" s="6" t="str">
        <f>HYPERLINK("http://mcgill.on.worldcat.org/oclc/140820","Catalog Record")</f>
        <v>Catalog Record</v>
      </c>
      <c r="AW1548" s="6" t="str">
        <f>HYPERLINK("http://www.worldcat.org/oclc/140820","WorldCat Record")</f>
        <v>WorldCat Record</v>
      </c>
      <c r="AX1548" s="3" t="s">
        <v>16044</v>
      </c>
      <c r="AY1548" s="3" t="s">
        <v>16045</v>
      </c>
      <c r="AZ1548" s="3" t="s">
        <v>16046</v>
      </c>
      <c r="BA1548" s="3" t="s">
        <v>16046</v>
      </c>
      <c r="BB1548" s="3" t="s">
        <v>16047</v>
      </c>
      <c r="BC1548" s="3" t="s">
        <v>78</v>
      </c>
      <c r="BD1548" s="3" t="s">
        <v>79</v>
      </c>
      <c r="BE1548" s="3" t="s">
        <v>16048</v>
      </c>
      <c r="BF1548" s="3" t="s">
        <v>16047</v>
      </c>
      <c r="BG1548" s="3" t="s">
        <v>16049</v>
      </c>
    </row>
    <row r="1549" spans="1:59" ht="58" x14ac:dyDescent="0.35">
      <c r="A1549" s="2" t="s">
        <v>59</v>
      </c>
      <c r="B1549" s="2" t="s">
        <v>94</v>
      </c>
      <c r="C1549" s="2" t="s">
        <v>16050</v>
      </c>
      <c r="D1549" s="2" t="s">
        <v>16051</v>
      </c>
      <c r="E1549" s="2" t="s">
        <v>16052</v>
      </c>
      <c r="G1549" s="3" t="s">
        <v>64</v>
      </c>
      <c r="I1549" s="3" t="s">
        <v>64</v>
      </c>
      <c r="J1549" s="3" t="s">
        <v>64</v>
      </c>
      <c r="K1549" s="3" t="s">
        <v>65</v>
      </c>
      <c r="L1549" s="2" t="s">
        <v>16053</v>
      </c>
      <c r="M1549" s="2" t="s">
        <v>16054</v>
      </c>
      <c r="N1549" s="3" t="s">
        <v>274</v>
      </c>
      <c r="P1549" s="3" t="s">
        <v>69</v>
      </c>
      <c r="Q1549" s="2" t="s">
        <v>16055</v>
      </c>
      <c r="R1549" s="3" t="s">
        <v>9228</v>
      </c>
      <c r="S1549" s="4">
        <v>28</v>
      </c>
      <c r="T1549" s="4">
        <v>28</v>
      </c>
      <c r="U1549" s="5" t="s">
        <v>15130</v>
      </c>
      <c r="V1549" s="5" t="s">
        <v>15130</v>
      </c>
      <c r="W1549" s="5" t="s">
        <v>72</v>
      </c>
      <c r="X1549" s="5" t="s">
        <v>72</v>
      </c>
      <c r="Y1549" s="4">
        <v>175</v>
      </c>
      <c r="Z1549" s="4">
        <v>12</v>
      </c>
      <c r="AA1549" s="4">
        <v>18</v>
      </c>
      <c r="AB1549" s="4">
        <v>1</v>
      </c>
      <c r="AC1549" s="4">
        <v>4</v>
      </c>
      <c r="AD1549" s="4">
        <v>79</v>
      </c>
      <c r="AE1549" s="4">
        <v>81</v>
      </c>
      <c r="AF1549" s="4">
        <v>0</v>
      </c>
      <c r="AG1549" s="4">
        <v>0</v>
      </c>
      <c r="AH1549" s="4">
        <v>74</v>
      </c>
      <c r="AI1549" s="4">
        <v>76</v>
      </c>
      <c r="AJ1549" s="4">
        <v>10</v>
      </c>
      <c r="AK1549" s="4">
        <v>12</v>
      </c>
      <c r="AL1549" s="4">
        <v>45</v>
      </c>
      <c r="AM1549" s="4">
        <v>45</v>
      </c>
      <c r="AN1549" s="4">
        <v>0</v>
      </c>
      <c r="AO1549" s="4">
        <v>0</v>
      </c>
      <c r="AP1549" s="4">
        <v>10</v>
      </c>
      <c r="AQ1549" s="4">
        <v>12</v>
      </c>
      <c r="AR1549" s="3" t="s">
        <v>64</v>
      </c>
      <c r="AS1549" s="3" t="s">
        <v>64</v>
      </c>
      <c r="AT1549" s="3" t="s">
        <v>73</v>
      </c>
      <c r="AU1549" s="6" t="str">
        <f>HYPERLINK("http://catalog.hathitrust.org/Record/000946128","HathiTrust Record")</f>
        <v>HathiTrust Record</v>
      </c>
      <c r="AV1549" s="6" t="str">
        <f>HYPERLINK("http://mcgill.on.worldcat.org/oclc/18134644","Catalog Record")</f>
        <v>Catalog Record</v>
      </c>
      <c r="AW1549" s="6" t="str">
        <f>HYPERLINK("http://www.worldcat.org/oclc/18134644","WorldCat Record")</f>
        <v>WorldCat Record</v>
      </c>
      <c r="AX1549" s="3" t="s">
        <v>16056</v>
      </c>
      <c r="AY1549" s="3" t="s">
        <v>16057</v>
      </c>
      <c r="AZ1549" s="3" t="s">
        <v>16058</v>
      </c>
      <c r="BA1549" s="3" t="s">
        <v>16058</v>
      </c>
      <c r="BB1549" s="3" t="s">
        <v>16059</v>
      </c>
      <c r="BC1549" s="3" t="s">
        <v>78</v>
      </c>
      <c r="BD1549" s="3" t="s">
        <v>79</v>
      </c>
      <c r="BE1549" s="3" t="s">
        <v>16060</v>
      </c>
      <c r="BF1549" s="3" t="s">
        <v>16059</v>
      </c>
      <c r="BG1549" s="3" t="s">
        <v>16061</v>
      </c>
    </row>
    <row r="1550" spans="1:59" ht="72.5" x14ac:dyDescent="0.35">
      <c r="A1550" s="2" t="s">
        <v>59</v>
      </c>
      <c r="B1550" s="2" t="s">
        <v>94</v>
      </c>
      <c r="C1550" s="2" t="s">
        <v>16062</v>
      </c>
      <c r="D1550" s="2" t="s">
        <v>16063</v>
      </c>
      <c r="E1550" s="2" t="s">
        <v>16064</v>
      </c>
      <c r="G1550" s="3" t="s">
        <v>64</v>
      </c>
      <c r="I1550" s="3" t="s">
        <v>64</v>
      </c>
      <c r="J1550" s="3" t="s">
        <v>64</v>
      </c>
      <c r="K1550" s="3" t="s">
        <v>65</v>
      </c>
      <c r="L1550" s="2" t="s">
        <v>16065</v>
      </c>
      <c r="M1550" s="2" t="s">
        <v>16066</v>
      </c>
      <c r="N1550" s="3" t="s">
        <v>1154</v>
      </c>
      <c r="P1550" s="3" t="s">
        <v>69</v>
      </c>
      <c r="R1550" s="3" t="s">
        <v>9228</v>
      </c>
      <c r="S1550" s="4">
        <v>13</v>
      </c>
      <c r="T1550" s="4">
        <v>13</v>
      </c>
      <c r="U1550" s="5" t="s">
        <v>3972</v>
      </c>
      <c r="V1550" s="5" t="s">
        <v>3972</v>
      </c>
      <c r="W1550" s="5" t="s">
        <v>72</v>
      </c>
      <c r="X1550" s="5" t="s">
        <v>72</v>
      </c>
      <c r="Y1550" s="4">
        <v>373</v>
      </c>
      <c r="Z1550" s="4">
        <v>16</v>
      </c>
      <c r="AA1550" s="4">
        <v>23</v>
      </c>
      <c r="AB1550" s="4">
        <v>1</v>
      </c>
      <c r="AC1550" s="4">
        <v>2</v>
      </c>
      <c r="AD1550" s="4">
        <v>84</v>
      </c>
      <c r="AE1550" s="4">
        <v>92</v>
      </c>
      <c r="AF1550" s="4">
        <v>0</v>
      </c>
      <c r="AG1550" s="4">
        <v>1</v>
      </c>
      <c r="AH1550" s="4">
        <v>78</v>
      </c>
      <c r="AI1550" s="4">
        <v>84</v>
      </c>
      <c r="AJ1550" s="4">
        <v>9</v>
      </c>
      <c r="AK1550" s="4">
        <v>12</v>
      </c>
      <c r="AL1550" s="4">
        <v>47</v>
      </c>
      <c r="AM1550" s="4">
        <v>49</v>
      </c>
      <c r="AN1550" s="4">
        <v>0</v>
      </c>
      <c r="AO1550" s="4">
        <v>0</v>
      </c>
      <c r="AP1550" s="4">
        <v>9</v>
      </c>
      <c r="AQ1550" s="4">
        <v>13</v>
      </c>
      <c r="AR1550" s="3" t="s">
        <v>64</v>
      </c>
      <c r="AS1550" s="3" t="s">
        <v>64</v>
      </c>
      <c r="AT1550" s="3" t="s">
        <v>64</v>
      </c>
      <c r="AV1550" s="6" t="str">
        <f>HYPERLINK("http://mcgill.on.worldcat.org/oclc/29359765","Catalog Record")</f>
        <v>Catalog Record</v>
      </c>
      <c r="AW1550" s="6" t="str">
        <f>HYPERLINK("http://www.worldcat.org/oclc/29359765","WorldCat Record")</f>
        <v>WorldCat Record</v>
      </c>
      <c r="AX1550" s="3" t="s">
        <v>16067</v>
      </c>
      <c r="AY1550" s="3" t="s">
        <v>16068</v>
      </c>
      <c r="AZ1550" s="3" t="s">
        <v>16069</v>
      </c>
      <c r="BA1550" s="3" t="s">
        <v>16069</v>
      </c>
      <c r="BB1550" s="3" t="s">
        <v>16070</v>
      </c>
      <c r="BC1550" s="3" t="s">
        <v>78</v>
      </c>
      <c r="BD1550" s="3" t="s">
        <v>79</v>
      </c>
      <c r="BE1550" s="3" t="s">
        <v>16071</v>
      </c>
      <c r="BF1550" s="3" t="s">
        <v>16070</v>
      </c>
      <c r="BG1550" s="3" t="s">
        <v>16072</v>
      </c>
    </row>
    <row r="1551" spans="1:59" ht="58" x14ac:dyDescent="0.35">
      <c r="A1551" s="2" t="s">
        <v>59</v>
      </c>
      <c r="B1551" s="2" t="s">
        <v>94</v>
      </c>
      <c r="C1551" s="2" t="s">
        <v>16073</v>
      </c>
      <c r="D1551" s="2" t="s">
        <v>16074</v>
      </c>
      <c r="E1551" s="2" t="s">
        <v>16075</v>
      </c>
      <c r="G1551" s="3" t="s">
        <v>64</v>
      </c>
      <c r="I1551" s="3" t="s">
        <v>64</v>
      </c>
      <c r="J1551" s="3" t="s">
        <v>64</v>
      </c>
      <c r="K1551" s="3" t="s">
        <v>65</v>
      </c>
      <c r="L1551" s="2" t="s">
        <v>16076</v>
      </c>
      <c r="M1551" s="2" t="s">
        <v>16077</v>
      </c>
      <c r="N1551" s="3" t="s">
        <v>315</v>
      </c>
      <c r="O1551" s="2" t="s">
        <v>677</v>
      </c>
      <c r="P1551" s="3" t="s">
        <v>69</v>
      </c>
      <c r="R1551" s="3" t="s">
        <v>9228</v>
      </c>
      <c r="S1551" s="4">
        <v>15</v>
      </c>
      <c r="T1551" s="4">
        <v>15</v>
      </c>
      <c r="U1551" s="5" t="s">
        <v>12305</v>
      </c>
      <c r="V1551" s="5" t="s">
        <v>12305</v>
      </c>
      <c r="W1551" s="5" t="s">
        <v>72</v>
      </c>
      <c r="X1551" s="5" t="s">
        <v>72</v>
      </c>
      <c r="Y1551" s="4">
        <v>513</v>
      </c>
      <c r="Z1551" s="4">
        <v>21</v>
      </c>
      <c r="AA1551" s="4">
        <v>23</v>
      </c>
      <c r="AB1551" s="4">
        <v>1</v>
      </c>
      <c r="AC1551" s="4">
        <v>3</v>
      </c>
      <c r="AD1551" s="4">
        <v>98</v>
      </c>
      <c r="AE1551" s="4">
        <v>100</v>
      </c>
      <c r="AF1551" s="4">
        <v>0</v>
      </c>
      <c r="AG1551" s="4">
        <v>1</v>
      </c>
      <c r="AH1551" s="4">
        <v>89</v>
      </c>
      <c r="AI1551" s="4">
        <v>90</v>
      </c>
      <c r="AJ1551" s="4">
        <v>12</v>
      </c>
      <c r="AK1551" s="4">
        <v>13</v>
      </c>
      <c r="AL1551" s="4">
        <v>50</v>
      </c>
      <c r="AM1551" s="4">
        <v>50</v>
      </c>
      <c r="AN1551" s="4">
        <v>0</v>
      </c>
      <c r="AO1551" s="4">
        <v>0</v>
      </c>
      <c r="AP1551" s="4">
        <v>15</v>
      </c>
      <c r="AQ1551" s="4">
        <v>15</v>
      </c>
      <c r="AR1551" s="3" t="s">
        <v>64</v>
      </c>
      <c r="AS1551" s="3" t="s">
        <v>64</v>
      </c>
      <c r="AT1551" s="3" t="s">
        <v>73</v>
      </c>
      <c r="AU1551" s="6" t="str">
        <f>HYPERLINK("http://catalog.hathitrust.org/Record/000834678","HathiTrust Record")</f>
        <v>HathiTrust Record</v>
      </c>
      <c r="AV1551" s="6" t="str">
        <f>HYPERLINK("http://mcgill.on.worldcat.org/oclc/15429552","Catalog Record")</f>
        <v>Catalog Record</v>
      </c>
      <c r="AW1551" s="6" t="str">
        <f>HYPERLINK("http://www.worldcat.org/oclc/15429552","WorldCat Record")</f>
        <v>WorldCat Record</v>
      </c>
      <c r="AX1551" s="3" t="s">
        <v>16078</v>
      </c>
      <c r="AY1551" s="3" t="s">
        <v>16079</v>
      </c>
      <c r="AZ1551" s="3" t="s">
        <v>16080</v>
      </c>
      <c r="BA1551" s="3" t="s">
        <v>16080</v>
      </c>
      <c r="BB1551" s="3" t="s">
        <v>16081</v>
      </c>
      <c r="BC1551" s="3" t="s">
        <v>78</v>
      </c>
      <c r="BD1551" s="3" t="s">
        <v>79</v>
      </c>
      <c r="BE1551" s="3" t="s">
        <v>16082</v>
      </c>
      <c r="BF1551" s="3" t="s">
        <v>16081</v>
      </c>
      <c r="BG1551" s="3" t="s">
        <v>16083</v>
      </c>
    </row>
    <row r="1552" spans="1:59" ht="58" x14ac:dyDescent="0.35">
      <c r="A1552" s="2" t="s">
        <v>59</v>
      </c>
      <c r="B1552" s="2" t="s">
        <v>94</v>
      </c>
      <c r="C1552" s="2" t="s">
        <v>16084</v>
      </c>
      <c r="D1552" s="2" t="s">
        <v>16085</v>
      </c>
      <c r="E1552" s="2" t="s">
        <v>16086</v>
      </c>
      <c r="G1552" s="3" t="s">
        <v>64</v>
      </c>
      <c r="I1552" s="3" t="s">
        <v>64</v>
      </c>
      <c r="J1552" s="3" t="s">
        <v>64</v>
      </c>
      <c r="K1552" s="3" t="s">
        <v>65</v>
      </c>
      <c r="L1552" s="2" t="s">
        <v>7997</v>
      </c>
      <c r="M1552" s="2" t="s">
        <v>16087</v>
      </c>
      <c r="N1552" s="3" t="s">
        <v>340</v>
      </c>
      <c r="P1552" s="3" t="s">
        <v>69</v>
      </c>
      <c r="R1552" s="3" t="s">
        <v>9228</v>
      </c>
      <c r="S1552" s="4">
        <v>55</v>
      </c>
      <c r="T1552" s="4">
        <v>55</v>
      </c>
      <c r="U1552" s="5" t="s">
        <v>4625</v>
      </c>
      <c r="V1552" s="5" t="s">
        <v>4625</v>
      </c>
      <c r="W1552" s="5" t="s">
        <v>72</v>
      </c>
      <c r="X1552" s="5" t="s">
        <v>72</v>
      </c>
      <c r="Y1552" s="4">
        <v>738</v>
      </c>
      <c r="Z1552" s="4">
        <v>31</v>
      </c>
      <c r="AA1552" s="4">
        <v>104</v>
      </c>
      <c r="AB1552" s="4">
        <v>1</v>
      </c>
      <c r="AC1552" s="4">
        <v>20</v>
      </c>
      <c r="AD1552" s="4">
        <v>116</v>
      </c>
      <c r="AE1552" s="4">
        <v>147</v>
      </c>
      <c r="AF1552" s="4">
        <v>0</v>
      </c>
      <c r="AG1552" s="4">
        <v>8</v>
      </c>
      <c r="AH1552" s="4">
        <v>103</v>
      </c>
      <c r="AI1552" s="4">
        <v>110</v>
      </c>
      <c r="AJ1552" s="4">
        <v>14</v>
      </c>
      <c r="AK1552" s="4">
        <v>23</v>
      </c>
      <c r="AL1552" s="4">
        <v>56</v>
      </c>
      <c r="AM1552" s="4">
        <v>57</v>
      </c>
      <c r="AN1552" s="4">
        <v>0</v>
      </c>
      <c r="AO1552" s="4">
        <v>0</v>
      </c>
      <c r="AP1552" s="4">
        <v>21</v>
      </c>
      <c r="AQ1552" s="4">
        <v>47</v>
      </c>
      <c r="AR1552" s="3" t="s">
        <v>64</v>
      </c>
      <c r="AS1552" s="3" t="s">
        <v>64</v>
      </c>
      <c r="AT1552" s="3" t="s">
        <v>64</v>
      </c>
      <c r="AV1552" s="6" t="str">
        <f>HYPERLINK("http://mcgill.on.worldcat.org/oclc/38557223","Catalog Record")</f>
        <v>Catalog Record</v>
      </c>
      <c r="AW1552" s="6" t="str">
        <f>HYPERLINK("http://www.worldcat.org/oclc/38557223","WorldCat Record")</f>
        <v>WorldCat Record</v>
      </c>
      <c r="AX1552" s="3" t="s">
        <v>16088</v>
      </c>
      <c r="AY1552" s="3" t="s">
        <v>16089</v>
      </c>
      <c r="AZ1552" s="3" t="s">
        <v>16090</v>
      </c>
      <c r="BA1552" s="3" t="s">
        <v>16090</v>
      </c>
      <c r="BB1552" s="3" t="s">
        <v>16091</v>
      </c>
      <c r="BC1552" s="3" t="s">
        <v>78</v>
      </c>
      <c r="BD1552" s="3" t="s">
        <v>79</v>
      </c>
      <c r="BE1552" s="3" t="s">
        <v>16092</v>
      </c>
      <c r="BF1552" s="3" t="s">
        <v>16091</v>
      </c>
      <c r="BG1552" s="3" t="s">
        <v>16093</v>
      </c>
    </row>
    <row r="1553" spans="1:59" ht="58" x14ac:dyDescent="0.35">
      <c r="A1553" s="2" t="s">
        <v>59</v>
      </c>
      <c r="B1553" s="2" t="s">
        <v>94</v>
      </c>
      <c r="C1553" s="2" t="s">
        <v>16094</v>
      </c>
      <c r="D1553" s="2" t="s">
        <v>16095</v>
      </c>
      <c r="E1553" s="2" t="s">
        <v>16096</v>
      </c>
      <c r="G1553" s="3" t="s">
        <v>64</v>
      </c>
      <c r="I1553" s="3" t="s">
        <v>64</v>
      </c>
      <c r="J1553" s="3" t="s">
        <v>64</v>
      </c>
      <c r="K1553" s="3" t="s">
        <v>65</v>
      </c>
      <c r="L1553" s="2" t="s">
        <v>16097</v>
      </c>
      <c r="M1553" s="2" t="s">
        <v>13222</v>
      </c>
      <c r="N1553" s="3" t="s">
        <v>449</v>
      </c>
      <c r="P1553" s="3" t="s">
        <v>69</v>
      </c>
      <c r="Q1553" s="2" t="s">
        <v>16001</v>
      </c>
      <c r="R1553" s="3" t="s">
        <v>9228</v>
      </c>
      <c r="S1553" s="4">
        <v>9</v>
      </c>
      <c r="T1553" s="4">
        <v>9</v>
      </c>
      <c r="U1553" s="5" t="s">
        <v>10540</v>
      </c>
      <c r="V1553" s="5" t="s">
        <v>10540</v>
      </c>
      <c r="W1553" s="5" t="s">
        <v>72</v>
      </c>
      <c r="X1553" s="5" t="s">
        <v>72</v>
      </c>
      <c r="Y1553" s="4">
        <v>157</v>
      </c>
      <c r="Z1553" s="4">
        <v>9</v>
      </c>
      <c r="AA1553" s="4">
        <v>75</v>
      </c>
      <c r="AB1553" s="4">
        <v>1</v>
      </c>
      <c r="AC1553" s="4">
        <v>15</v>
      </c>
      <c r="AD1553" s="4">
        <v>40</v>
      </c>
      <c r="AE1553" s="4">
        <v>101</v>
      </c>
      <c r="AF1553" s="4">
        <v>0</v>
      </c>
      <c r="AG1553" s="4">
        <v>8</v>
      </c>
      <c r="AH1553" s="4">
        <v>36</v>
      </c>
      <c r="AI1553" s="4">
        <v>68</v>
      </c>
      <c r="AJ1553" s="4">
        <v>6</v>
      </c>
      <c r="AK1553" s="4">
        <v>20</v>
      </c>
      <c r="AL1553" s="4">
        <v>24</v>
      </c>
      <c r="AM1553" s="4">
        <v>36</v>
      </c>
      <c r="AN1553" s="4">
        <v>0</v>
      </c>
      <c r="AO1553" s="4">
        <v>0</v>
      </c>
      <c r="AP1553" s="4">
        <v>7</v>
      </c>
      <c r="AQ1553" s="4">
        <v>40</v>
      </c>
      <c r="AR1553" s="3" t="s">
        <v>64</v>
      </c>
      <c r="AS1553" s="3" t="s">
        <v>64</v>
      </c>
      <c r="AT1553" s="3" t="s">
        <v>64</v>
      </c>
      <c r="AV1553" s="6" t="str">
        <f>HYPERLINK("http://mcgill.on.worldcat.org/oclc/166317560","Catalog Record")</f>
        <v>Catalog Record</v>
      </c>
      <c r="AW1553" s="6" t="str">
        <f>HYPERLINK("http://www.worldcat.org/oclc/166317560","WorldCat Record")</f>
        <v>WorldCat Record</v>
      </c>
      <c r="AX1553" s="3" t="s">
        <v>16098</v>
      </c>
      <c r="AY1553" s="3" t="s">
        <v>16099</v>
      </c>
      <c r="AZ1553" s="3" t="s">
        <v>16100</v>
      </c>
      <c r="BA1553" s="3" t="s">
        <v>16100</v>
      </c>
      <c r="BB1553" s="3" t="s">
        <v>16101</v>
      </c>
      <c r="BC1553" s="3" t="s">
        <v>78</v>
      </c>
      <c r="BD1553" s="3" t="s">
        <v>79</v>
      </c>
      <c r="BE1553" s="3" t="s">
        <v>16102</v>
      </c>
      <c r="BF1553" s="3" t="s">
        <v>16101</v>
      </c>
      <c r="BG1553" s="3" t="s">
        <v>16103</v>
      </c>
    </row>
    <row r="1554" spans="1:59" ht="58" x14ac:dyDescent="0.35">
      <c r="A1554" s="2" t="s">
        <v>59</v>
      </c>
      <c r="B1554" s="2" t="s">
        <v>94</v>
      </c>
      <c r="C1554" s="2" t="s">
        <v>16104</v>
      </c>
      <c r="D1554" s="2" t="s">
        <v>16105</v>
      </c>
      <c r="E1554" s="2" t="s">
        <v>16106</v>
      </c>
      <c r="G1554" s="3" t="s">
        <v>64</v>
      </c>
      <c r="I1554" s="3" t="s">
        <v>64</v>
      </c>
      <c r="J1554" s="3" t="s">
        <v>64</v>
      </c>
      <c r="K1554" s="3" t="s">
        <v>65</v>
      </c>
      <c r="L1554" s="2" t="s">
        <v>16107</v>
      </c>
      <c r="M1554" s="2" t="s">
        <v>12365</v>
      </c>
      <c r="N1554" s="3" t="s">
        <v>328</v>
      </c>
      <c r="P1554" s="3" t="s">
        <v>69</v>
      </c>
      <c r="Q1554" s="2" t="s">
        <v>16108</v>
      </c>
      <c r="R1554" s="3" t="s">
        <v>9228</v>
      </c>
      <c r="S1554" s="4">
        <v>0</v>
      </c>
      <c r="T1554" s="4">
        <v>0</v>
      </c>
      <c r="W1554" s="5" t="s">
        <v>72</v>
      </c>
      <c r="X1554" s="5" t="s">
        <v>72</v>
      </c>
      <c r="Y1554" s="4">
        <v>96</v>
      </c>
      <c r="Z1554" s="4">
        <v>8</v>
      </c>
      <c r="AA1554" s="4">
        <v>82</v>
      </c>
      <c r="AB1554" s="4">
        <v>1</v>
      </c>
      <c r="AC1554" s="4">
        <v>15</v>
      </c>
      <c r="AD1554" s="4">
        <v>40</v>
      </c>
      <c r="AE1554" s="4">
        <v>111</v>
      </c>
      <c r="AF1554" s="4">
        <v>0</v>
      </c>
      <c r="AG1554" s="4">
        <v>8</v>
      </c>
      <c r="AH1554" s="4">
        <v>36</v>
      </c>
      <c r="AI1554" s="4">
        <v>77</v>
      </c>
      <c r="AJ1554" s="4">
        <v>6</v>
      </c>
      <c r="AK1554" s="4">
        <v>22</v>
      </c>
      <c r="AL1554" s="4">
        <v>27</v>
      </c>
      <c r="AM1554" s="4">
        <v>41</v>
      </c>
      <c r="AN1554" s="4">
        <v>0</v>
      </c>
      <c r="AO1554" s="4">
        <v>0</v>
      </c>
      <c r="AP1554" s="4">
        <v>6</v>
      </c>
      <c r="AQ1554" s="4">
        <v>41</v>
      </c>
      <c r="AR1554" s="3" t="s">
        <v>64</v>
      </c>
      <c r="AS1554" s="3" t="s">
        <v>64</v>
      </c>
      <c r="AT1554" s="3" t="s">
        <v>64</v>
      </c>
      <c r="AV1554" s="6" t="str">
        <f>HYPERLINK("http://mcgill.on.worldcat.org/oclc/663952386","Catalog Record")</f>
        <v>Catalog Record</v>
      </c>
      <c r="AW1554" s="6" t="str">
        <f>HYPERLINK("http://www.worldcat.org/oclc/663952386","WorldCat Record")</f>
        <v>WorldCat Record</v>
      </c>
      <c r="AX1554" s="3" t="s">
        <v>16109</v>
      </c>
      <c r="AY1554" s="3" t="s">
        <v>16110</v>
      </c>
      <c r="AZ1554" s="3" t="s">
        <v>16111</v>
      </c>
      <c r="BA1554" s="3" t="s">
        <v>16111</v>
      </c>
      <c r="BB1554" s="3" t="s">
        <v>16112</v>
      </c>
      <c r="BC1554" s="3" t="s">
        <v>78</v>
      </c>
      <c r="BD1554" s="3" t="s">
        <v>79</v>
      </c>
      <c r="BE1554" s="3" t="s">
        <v>16113</v>
      </c>
      <c r="BF1554" s="3" t="s">
        <v>16112</v>
      </c>
      <c r="BG1554" s="3" t="s">
        <v>16114</v>
      </c>
    </row>
    <row r="1555" spans="1:59" ht="58" x14ac:dyDescent="0.35">
      <c r="A1555" s="2" t="s">
        <v>59</v>
      </c>
      <c r="B1555" s="2" t="s">
        <v>94</v>
      </c>
      <c r="C1555" s="2" t="s">
        <v>16115</v>
      </c>
      <c r="D1555" s="2" t="s">
        <v>16116</v>
      </c>
      <c r="E1555" s="2" t="s">
        <v>16117</v>
      </c>
      <c r="G1555" s="3" t="s">
        <v>64</v>
      </c>
      <c r="I1555" s="3" t="s">
        <v>73</v>
      </c>
      <c r="J1555" s="3" t="s">
        <v>64</v>
      </c>
      <c r="K1555" s="3" t="s">
        <v>65</v>
      </c>
      <c r="L1555" s="2" t="s">
        <v>16118</v>
      </c>
      <c r="M1555" s="2" t="s">
        <v>16119</v>
      </c>
      <c r="N1555" s="3" t="s">
        <v>175</v>
      </c>
      <c r="P1555" s="3" t="s">
        <v>16120</v>
      </c>
      <c r="Q1555" s="2" t="s">
        <v>16121</v>
      </c>
      <c r="R1555" s="3" t="s">
        <v>9228</v>
      </c>
      <c r="S1555" s="4">
        <v>0</v>
      </c>
      <c r="T1555" s="4">
        <v>1</v>
      </c>
      <c r="V1555" s="5" t="s">
        <v>2154</v>
      </c>
      <c r="W1555" s="5" t="s">
        <v>72</v>
      </c>
      <c r="X1555" s="5" t="s">
        <v>72</v>
      </c>
      <c r="Y1555" s="4">
        <v>31</v>
      </c>
      <c r="Z1555" s="4">
        <v>5</v>
      </c>
      <c r="AA1555" s="4">
        <v>5</v>
      </c>
      <c r="AB1555" s="4">
        <v>1</v>
      </c>
      <c r="AC1555" s="4">
        <v>1</v>
      </c>
      <c r="AD1555" s="4">
        <v>22</v>
      </c>
      <c r="AE1555" s="4">
        <v>22</v>
      </c>
      <c r="AF1555" s="4">
        <v>0</v>
      </c>
      <c r="AG1555" s="4">
        <v>0</v>
      </c>
      <c r="AH1555" s="4">
        <v>21</v>
      </c>
      <c r="AI1555" s="4">
        <v>21</v>
      </c>
      <c r="AJ1555" s="4">
        <v>1</v>
      </c>
      <c r="AK1555" s="4">
        <v>1</v>
      </c>
      <c r="AL1555" s="4">
        <v>20</v>
      </c>
      <c r="AM1555" s="4">
        <v>20</v>
      </c>
      <c r="AN1555" s="4">
        <v>0</v>
      </c>
      <c r="AO1555" s="4">
        <v>0</v>
      </c>
      <c r="AP1555" s="4">
        <v>1</v>
      </c>
      <c r="AQ1555" s="4">
        <v>1</v>
      </c>
      <c r="AR1555" s="3" t="s">
        <v>64</v>
      </c>
      <c r="AS1555" s="3" t="s">
        <v>64</v>
      </c>
      <c r="AT1555" s="3" t="s">
        <v>64</v>
      </c>
      <c r="AV1555" s="6" t="str">
        <f>HYPERLINK("http://mcgill.on.worldcat.org/oclc/892820559","Catalog Record")</f>
        <v>Catalog Record</v>
      </c>
      <c r="AW1555" s="6" t="str">
        <f>HYPERLINK("http://www.worldcat.org/oclc/892820559","WorldCat Record")</f>
        <v>WorldCat Record</v>
      </c>
      <c r="AX1555" s="3" t="s">
        <v>16122</v>
      </c>
      <c r="AY1555" s="3" t="s">
        <v>16123</v>
      </c>
      <c r="AZ1555" s="3" t="s">
        <v>16124</v>
      </c>
      <c r="BA1555" s="3" t="s">
        <v>16124</v>
      </c>
      <c r="BB1555" s="3" t="s">
        <v>16125</v>
      </c>
      <c r="BC1555" s="3" t="s">
        <v>78</v>
      </c>
      <c r="BD1555" s="3" t="s">
        <v>79</v>
      </c>
      <c r="BE1555" s="3" t="s">
        <v>16126</v>
      </c>
      <c r="BF1555" s="3" t="s">
        <v>16125</v>
      </c>
      <c r="BG1555" s="3" t="s">
        <v>16127</v>
      </c>
    </row>
    <row r="1556" spans="1:59" ht="58" x14ac:dyDescent="0.35">
      <c r="A1556" s="2" t="s">
        <v>59</v>
      </c>
      <c r="B1556" s="2" t="s">
        <v>94</v>
      </c>
      <c r="C1556" s="2" t="s">
        <v>16128</v>
      </c>
      <c r="D1556" s="2" t="s">
        <v>16129</v>
      </c>
      <c r="E1556" s="2" t="s">
        <v>16130</v>
      </c>
      <c r="G1556" s="3" t="s">
        <v>64</v>
      </c>
      <c r="I1556" s="3" t="s">
        <v>64</v>
      </c>
      <c r="J1556" s="3" t="s">
        <v>64</v>
      </c>
      <c r="K1556" s="3" t="s">
        <v>65</v>
      </c>
      <c r="L1556" s="2" t="s">
        <v>16131</v>
      </c>
      <c r="M1556" s="2" t="s">
        <v>16132</v>
      </c>
      <c r="N1556" s="3" t="s">
        <v>872</v>
      </c>
      <c r="O1556" s="2" t="s">
        <v>1294</v>
      </c>
      <c r="P1556" s="3" t="s">
        <v>69</v>
      </c>
      <c r="R1556" s="3" t="s">
        <v>9228</v>
      </c>
      <c r="S1556" s="4">
        <v>6</v>
      </c>
      <c r="T1556" s="4">
        <v>6</v>
      </c>
      <c r="U1556" s="5" t="s">
        <v>2994</v>
      </c>
      <c r="V1556" s="5" t="s">
        <v>2994</v>
      </c>
      <c r="W1556" s="5" t="s">
        <v>72</v>
      </c>
      <c r="X1556" s="5" t="s">
        <v>72</v>
      </c>
      <c r="Y1556" s="4">
        <v>178</v>
      </c>
      <c r="Z1556" s="4">
        <v>10</v>
      </c>
      <c r="AA1556" s="4">
        <v>10</v>
      </c>
      <c r="AB1556" s="4">
        <v>1</v>
      </c>
      <c r="AC1556" s="4">
        <v>1</v>
      </c>
      <c r="AD1556" s="4">
        <v>44</v>
      </c>
      <c r="AE1556" s="4">
        <v>44</v>
      </c>
      <c r="AF1556" s="4">
        <v>0</v>
      </c>
      <c r="AG1556" s="4">
        <v>0</v>
      </c>
      <c r="AH1556" s="4">
        <v>42</v>
      </c>
      <c r="AI1556" s="4">
        <v>42</v>
      </c>
      <c r="AJ1556" s="4">
        <v>5</v>
      </c>
      <c r="AK1556" s="4">
        <v>5</v>
      </c>
      <c r="AL1556" s="4">
        <v>25</v>
      </c>
      <c r="AM1556" s="4">
        <v>25</v>
      </c>
      <c r="AN1556" s="4">
        <v>0</v>
      </c>
      <c r="AO1556" s="4">
        <v>0</v>
      </c>
      <c r="AP1556" s="4">
        <v>6</v>
      </c>
      <c r="AQ1556" s="4">
        <v>6</v>
      </c>
      <c r="AR1556" s="3" t="s">
        <v>64</v>
      </c>
      <c r="AS1556" s="3" t="s">
        <v>64</v>
      </c>
      <c r="AT1556" s="3" t="s">
        <v>64</v>
      </c>
      <c r="AV1556" s="6" t="str">
        <f>HYPERLINK("http://mcgill.on.worldcat.org/oclc/18683487","Catalog Record")</f>
        <v>Catalog Record</v>
      </c>
      <c r="AW1556" s="6" t="str">
        <f>HYPERLINK("http://www.worldcat.org/oclc/18683487","WorldCat Record")</f>
        <v>WorldCat Record</v>
      </c>
      <c r="AX1556" s="3" t="s">
        <v>16133</v>
      </c>
      <c r="AY1556" s="3" t="s">
        <v>16134</v>
      </c>
      <c r="AZ1556" s="3" t="s">
        <v>16135</v>
      </c>
      <c r="BA1556" s="3" t="s">
        <v>16135</v>
      </c>
      <c r="BB1556" s="3" t="s">
        <v>16136</v>
      </c>
      <c r="BC1556" s="3" t="s">
        <v>78</v>
      </c>
      <c r="BD1556" s="3" t="s">
        <v>79</v>
      </c>
      <c r="BE1556" s="3" t="s">
        <v>16137</v>
      </c>
      <c r="BF1556" s="3" t="s">
        <v>16136</v>
      </c>
      <c r="BG1556" s="3" t="s">
        <v>16138</v>
      </c>
    </row>
    <row r="1557" spans="1:59" ht="58" x14ac:dyDescent="0.35">
      <c r="A1557" s="2" t="s">
        <v>59</v>
      </c>
      <c r="B1557" s="2" t="s">
        <v>94</v>
      </c>
      <c r="C1557" s="2" t="s">
        <v>16139</v>
      </c>
      <c r="D1557" s="2" t="s">
        <v>16140</v>
      </c>
      <c r="E1557" s="2" t="s">
        <v>16141</v>
      </c>
      <c r="G1557" s="3" t="s">
        <v>64</v>
      </c>
      <c r="I1557" s="3" t="s">
        <v>64</v>
      </c>
      <c r="J1557" s="3" t="s">
        <v>64</v>
      </c>
      <c r="K1557" s="3" t="s">
        <v>65</v>
      </c>
      <c r="L1557" s="2" t="s">
        <v>16142</v>
      </c>
      <c r="M1557" s="2" t="s">
        <v>537</v>
      </c>
      <c r="N1557" s="3" t="s">
        <v>538</v>
      </c>
      <c r="P1557" s="3" t="s">
        <v>69</v>
      </c>
      <c r="Q1557" s="2" t="s">
        <v>16143</v>
      </c>
      <c r="R1557" s="3" t="s">
        <v>9228</v>
      </c>
      <c r="S1557" s="4">
        <v>19</v>
      </c>
      <c r="T1557" s="4">
        <v>19</v>
      </c>
      <c r="U1557" s="5" t="s">
        <v>12331</v>
      </c>
      <c r="V1557" s="5" t="s">
        <v>12331</v>
      </c>
      <c r="W1557" s="5" t="s">
        <v>72</v>
      </c>
      <c r="X1557" s="5" t="s">
        <v>72</v>
      </c>
      <c r="Y1557" s="4">
        <v>114</v>
      </c>
      <c r="Z1557" s="4">
        <v>5</v>
      </c>
      <c r="AA1557" s="4">
        <v>11</v>
      </c>
      <c r="AB1557" s="4">
        <v>1</v>
      </c>
      <c r="AC1557" s="4">
        <v>4</v>
      </c>
      <c r="AD1557" s="4">
        <v>50</v>
      </c>
      <c r="AE1557" s="4">
        <v>56</v>
      </c>
      <c r="AF1557" s="4">
        <v>0</v>
      </c>
      <c r="AG1557" s="4">
        <v>0</v>
      </c>
      <c r="AH1557" s="4">
        <v>44</v>
      </c>
      <c r="AI1557" s="4">
        <v>50</v>
      </c>
      <c r="AJ1557" s="4">
        <v>4</v>
      </c>
      <c r="AK1557" s="4">
        <v>6</v>
      </c>
      <c r="AL1557" s="4">
        <v>30</v>
      </c>
      <c r="AM1557" s="4">
        <v>31</v>
      </c>
      <c r="AN1557" s="4">
        <v>0</v>
      </c>
      <c r="AO1557" s="4">
        <v>0</v>
      </c>
      <c r="AP1557" s="4">
        <v>4</v>
      </c>
      <c r="AQ1557" s="4">
        <v>6</v>
      </c>
      <c r="AR1557" s="3" t="s">
        <v>64</v>
      </c>
      <c r="AS1557" s="3" t="s">
        <v>64</v>
      </c>
      <c r="AT1557" s="3" t="s">
        <v>64</v>
      </c>
      <c r="AV1557" s="6" t="str">
        <f>HYPERLINK("http://mcgill.on.worldcat.org/oclc/70219964","Catalog Record")</f>
        <v>Catalog Record</v>
      </c>
      <c r="AW1557" s="6" t="str">
        <f>HYPERLINK("http://www.worldcat.org/oclc/70219964","WorldCat Record")</f>
        <v>WorldCat Record</v>
      </c>
      <c r="AX1557" s="3" t="s">
        <v>16144</v>
      </c>
      <c r="AY1557" s="3" t="s">
        <v>16145</v>
      </c>
      <c r="AZ1557" s="3" t="s">
        <v>16146</v>
      </c>
      <c r="BA1557" s="3" t="s">
        <v>16146</v>
      </c>
      <c r="BB1557" s="3" t="s">
        <v>16147</v>
      </c>
      <c r="BC1557" s="3" t="s">
        <v>78</v>
      </c>
      <c r="BD1557" s="3" t="s">
        <v>79</v>
      </c>
      <c r="BE1557" s="3" t="s">
        <v>16148</v>
      </c>
      <c r="BF1557" s="3" t="s">
        <v>16147</v>
      </c>
      <c r="BG1557" s="3" t="s">
        <v>16149</v>
      </c>
    </row>
    <row r="1558" spans="1:59" ht="58" x14ac:dyDescent="0.35">
      <c r="A1558" s="2" t="s">
        <v>59</v>
      </c>
      <c r="B1558" s="2" t="s">
        <v>94</v>
      </c>
      <c r="C1558" s="2" t="s">
        <v>16150</v>
      </c>
      <c r="D1558" s="2" t="s">
        <v>16151</v>
      </c>
      <c r="E1558" s="2" t="s">
        <v>16152</v>
      </c>
      <c r="G1558" s="3" t="s">
        <v>64</v>
      </c>
      <c r="I1558" s="3" t="s">
        <v>73</v>
      </c>
      <c r="J1558" s="3" t="s">
        <v>64</v>
      </c>
      <c r="K1558" s="3" t="s">
        <v>65</v>
      </c>
      <c r="L1558" s="2" t="s">
        <v>16153</v>
      </c>
      <c r="M1558" s="2" t="s">
        <v>16154</v>
      </c>
      <c r="N1558" s="3" t="s">
        <v>252</v>
      </c>
      <c r="P1558" s="3" t="s">
        <v>69</v>
      </c>
      <c r="Q1558" s="2" t="s">
        <v>16155</v>
      </c>
      <c r="R1558" s="3" t="s">
        <v>9228</v>
      </c>
      <c r="S1558" s="4">
        <v>13</v>
      </c>
      <c r="T1558" s="4">
        <v>43</v>
      </c>
      <c r="U1558" s="5" t="s">
        <v>16156</v>
      </c>
      <c r="V1558" s="5" t="s">
        <v>1180</v>
      </c>
      <c r="W1558" s="5" t="s">
        <v>72</v>
      </c>
      <c r="X1558" s="5" t="s">
        <v>72</v>
      </c>
      <c r="Y1558" s="4">
        <v>282</v>
      </c>
      <c r="Z1558" s="4">
        <v>25</v>
      </c>
      <c r="AA1558" s="4">
        <v>27</v>
      </c>
      <c r="AB1558" s="4">
        <v>1</v>
      </c>
      <c r="AC1558" s="4">
        <v>3</v>
      </c>
      <c r="AD1558" s="4">
        <v>96</v>
      </c>
      <c r="AE1558" s="4">
        <v>98</v>
      </c>
      <c r="AF1558" s="4">
        <v>0</v>
      </c>
      <c r="AG1558" s="4">
        <v>2</v>
      </c>
      <c r="AH1558" s="4">
        <v>84</v>
      </c>
      <c r="AI1558" s="4">
        <v>85</v>
      </c>
      <c r="AJ1558" s="4">
        <v>15</v>
      </c>
      <c r="AK1558" s="4">
        <v>17</v>
      </c>
      <c r="AL1558" s="4">
        <v>48</v>
      </c>
      <c r="AM1558" s="4">
        <v>48</v>
      </c>
      <c r="AN1558" s="4">
        <v>0</v>
      </c>
      <c r="AO1558" s="4">
        <v>0</v>
      </c>
      <c r="AP1558" s="4">
        <v>19</v>
      </c>
      <c r="AQ1558" s="4">
        <v>20</v>
      </c>
      <c r="AR1558" s="3" t="s">
        <v>64</v>
      </c>
      <c r="AS1558" s="3" t="s">
        <v>64</v>
      </c>
      <c r="AT1558" s="3" t="s">
        <v>73</v>
      </c>
      <c r="AU1558" s="6" t="str">
        <f>HYPERLINK("http://catalog.hathitrust.org/Record/007112071","HathiTrust Record")</f>
        <v>HathiTrust Record</v>
      </c>
      <c r="AV1558" s="6" t="str">
        <f>HYPERLINK("http://mcgill.on.worldcat.org/oclc/723110","Catalog Record")</f>
        <v>Catalog Record</v>
      </c>
      <c r="AW1558" s="6" t="str">
        <f>HYPERLINK("http://www.worldcat.org/oclc/723110","WorldCat Record")</f>
        <v>WorldCat Record</v>
      </c>
      <c r="AX1558" s="3" t="s">
        <v>16157</v>
      </c>
      <c r="AY1558" s="3" t="s">
        <v>16158</v>
      </c>
      <c r="AZ1558" s="3" t="s">
        <v>16159</v>
      </c>
      <c r="BA1558" s="3" t="s">
        <v>16159</v>
      </c>
      <c r="BB1558" s="3" t="s">
        <v>16160</v>
      </c>
      <c r="BC1558" s="3" t="s">
        <v>78</v>
      </c>
      <c r="BD1558" s="3" t="s">
        <v>79</v>
      </c>
      <c r="BE1558" s="3" t="s">
        <v>16161</v>
      </c>
      <c r="BF1558" s="3" t="s">
        <v>16160</v>
      </c>
      <c r="BG1558" s="3" t="s">
        <v>16162</v>
      </c>
    </row>
    <row r="1559" spans="1:59" ht="58" x14ac:dyDescent="0.35">
      <c r="A1559" s="2" t="s">
        <v>59</v>
      </c>
      <c r="B1559" s="2" t="s">
        <v>94</v>
      </c>
      <c r="C1559" s="2" t="s">
        <v>16150</v>
      </c>
      <c r="D1559" s="2" t="s">
        <v>16151</v>
      </c>
      <c r="E1559" s="2" t="s">
        <v>16152</v>
      </c>
      <c r="G1559" s="3" t="s">
        <v>64</v>
      </c>
      <c r="I1559" s="3" t="s">
        <v>73</v>
      </c>
      <c r="J1559" s="3" t="s">
        <v>64</v>
      </c>
      <c r="K1559" s="3" t="s">
        <v>65</v>
      </c>
      <c r="L1559" s="2" t="s">
        <v>16153</v>
      </c>
      <c r="M1559" s="2" t="s">
        <v>16154</v>
      </c>
      <c r="N1559" s="3" t="s">
        <v>252</v>
      </c>
      <c r="P1559" s="3" t="s">
        <v>69</v>
      </c>
      <c r="Q1559" s="2" t="s">
        <v>16155</v>
      </c>
      <c r="R1559" s="3" t="s">
        <v>9228</v>
      </c>
      <c r="S1559" s="4">
        <v>30</v>
      </c>
      <c r="T1559" s="4">
        <v>43</v>
      </c>
      <c r="U1559" s="5" t="s">
        <v>1180</v>
      </c>
      <c r="V1559" s="5" t="s">
        <v>1180</v>
      </c>
      <c r="W1559" s="5" t="s">
        <v>72</v>
      </c>
      <c r="X1559" s="5" t="s">
        <v>72</v>
      </c>
      <c r="Y1559" s="4">
        <v>282</v>
      </c>
      <c r="Z1559" s="4">
        <v>25</v>
      </c>
      <c r="AA1559" s="4">
        <v>27</v>
      </c>
      <c r="AB1559" s="4">
        <v>1</v>
      </c>
      <c r="AC1559" s="4">
        <v>3</v>
      </c>
      <c r="AD1559" s="4">
        <v>96</v>
      </c>
      <c r="AE1559" s="4">
        <v>98</v>
      </c>
      <c r="AF1559" s="4">
        <v>0</v>
      </c>
      <c r="AG1559" s="4">
        <v>2</v>
      </c>
      <c r="AH1559" s="4">
        <v>84</v>
      </c>
      <c r="AI1559" s="4">
        <v>85</v>
      </c>
      <c r="AJ1559" s="4">
        <v>15</v>
      </c>
      <c r="AK1559" s="4">
        <v>17</v>
      </c>
      <c r="AL1559" s="4">
        <v>48</v>
      </c>
      <c r="AM1559" s="4">
        <v>48</v>
      </c>
      <c r="AN1559" s="4">
        <v>0</v>
      </c>
      <c r="AO1559" s="4">
        <v>0</v>
      </c>
      <c r="AP1559" s="4">
        <v>19</v>
      </c>
      <c r="AQ1559" s="4">
        <v>20</v>
      </c>
      <c r="AR1559" s="3" t="s">
        <v>64</v>
      </c>
      <c r="AS1559" s="3" t="s">
        <v>64</v>
      </c>
      <c r="AT1559" s="3" t="s">
        <v>73</v>
      </c>
      <c r="AU1559" s="6" t="str">
        <f>HYPERLINK("http://catalog.hathitrust.org/Record/007112071","HathiTrust Record")</f>
        <v>HathiTrust Record</v>
      </c>
      <c r="AV1559" s="6" t="str">
        <f>HYPERLINK("http://mcgill.on.worldcat.org/oclc/723110","Catalog Record")</f>
        <v>Catalog Record</v>
      </c>
      <c r="AW1559" s="6" t="str">
        <f>HYPERLINK("http://www.worldcat.org/oclc/723110","WorldCat Record")</f>
        <v>WorldCat Record</v>
      </c>
      <c r="AX1559" s="3" t="s">
        <v>16157</v>
      </c>
      <c r="AY1559" s="3" t="s">
        <v>16158</v>
      </c>
      <c r="AZ1559" s="3" t="s">
        <v>16159</v>
      </c>
      <c r="BA1559" s="3" t="s">
        <v>16159</v>
      </c>
      <c r="BB1559" s="3" t="s">
        <v>16163</v>
      </c>
      <c r="BC1559" s="3" t="s">
        <v>78</v>
      </c>
      <c r="BD1559" s="3" t="s">
        <v>79</v>
      </c>
      <c r="BE1559" s="3" t="s">
        <v>16161</v>
      </c>
      <c r="BF1559" s="3" t="s">
        <v>16163</v>
      </c>
      <c r="BG1559" s="3" t="s">
        <v>16164</v>
      </c>
    </row>
    <row r="1560" spans="1:59" ht="58" x14ac:dyDescent="0.35">
      <c r="A1560" s="2" t="s">
        <v>59</v>
      </c>
      <c r="B1560" s="2" t="s">
        <v>94</v>
      </c>
      <c r="C1560" s="2" t="s">
        <v>16165</v>
      </c>
      <c r="D1560" s="2" t="s">
        <v>16166</v>
      </c>
      <c r="E1560" s="2" t="s">
        <v>16167</v>
      </c>
      <c r="G1560" s="3" t="s">
        <v>64</v>
      </c>
      <c r="I1560" s="3" t="s">
        <v>64</v>
      </c>
      <c r="J1560" s="3" t="s">
        <v>64</v>
      </c>
      <c r="K1560" s="3" t="s">
        <v>65</v>
      </c>
      <c r="L1560" s="2" t="s">
        <v>16168</v>
      </c>
      <c r="M1560" s="2" t="s">
        <v>16169</v>
      </c>
      <c r="N1560" s="3" t="s">
        <v>87</v>
      </c>
      <c r="P1560" s="3" t="s">
        <v>69</v>
      </c>
      <c r="R1560" s="3" t="s">
        <v>9228</v>
      </c>
      <c r="S1560" s="4">
        <v>1</v>
      </c>
      <c r="T1560" s="4">
        <v>1</v>
      </c>
      <c r="U1560" s="5" t="s">
        <v>5667</v>
      </c>
      <c r="V1560" s="5" t="s">
        <v>5667</v>
      </c>
      <c r="W1560" s="5" t="s">
        <v>72</v>
      </c>
      <c r="X1560" s="5" t="s">
        <v>72</v>
      </c>
      <c r="Y1560" s="4">
        <v>99</v>
      </c>
      <c r="Z1560" s="4">
        <v>16</v>
      </c>
      <c r="AA1560" s="4">
        <v>54</v>
      </c>
      <c r="AB1560" s="4">
        <v>2</v>
      </c>
      <c r="AC1560" s="4">
        <v>8</v>
      </c>
      <c r="AD1560" s="4">
        <v>35</v>
      </c>
      <c r="AE1560" s="4">
        <v>67</v>
      </c>
      <c r="AF1560" s="4">
        <v>1</v>
      </c>
      <c r="AG1560" s="4">
        <v>4</v>
      </c>
      <c r="AH1560" s="4">
        <v>29</v>
      </c>
      <c r="AI1560" s="4">
        <v>48</v>
      </c>
      <c r="AJ1560" s="4">
        <v>5</v>
      </c>
      <c r="AK1560" s="4">
        <v>12</v>
      </c>
      <c r="AL1560" s="4">
        <v>18</v>
      </c>
      <c r="AM1560" s="4">
        <v>26</v>
      </c>
      <c r="AN1560" s="4">
        <v>0</v>
      </c>
      <c r="AO1560" s="4">
        <v>0</v>
      </c>
      <c r="AP1560" s="4">
        <v>8</v>
      </c>
      <c r="AQ1560" s="4">
        <v>20</v>
      </c>
      <c r="AR1560" s="3" t="s">
        <v>64</v>
      </c>
      <c r="AS1560" s="3" t="s">
        <v>64</v>
      </c>
      <c r="AT1560" s="3" t="s">
        <v>64</v>
      </c>
      <c r="AV1560" s="6" t="str">
        <f>HYPERLINK("http://mcgill.on.worldcat.org/oclc/932322268","Catalog Record")</f>
        <v>Catalog Record</v>
      </c>
      <c r="AW1560" s="6" t="str">
        <f>HYPERLINK("http://www.worldcat.org/oclc/932322268","WorldCat Record")</f>
        <v>WorldCat Record</v>
      </c>
      <c r="AX1560" s="3" t="s">
        <v>16170</v>
      </c>
      <c r="AY1560" s="3" t="s">
        <v>16171</v>
      </c>
      <c r="AZ1560" s="3" t="s">
        <v>16172</v>
      </c>
      <c r="BA1560" s="3" t="s">
        <v>16172</v>
      </c>
      <c r="BB1560" s="3" t="s">
        <v>16173</v>
      </c>
      <c r="BC1560" s="3" t="s">
        <v>78</v>
      </c>
      <c r="BD1560" s="3" t="s">
        <v>79</v>
      </c>
      <c r="BE1560" s="3" t="s">
        <v>16174</v>
      </c>
      <c r="BF1560" s="3" t="s">
        <v>16173</v>
      </c>
      <c r="BG1560" s="3" t="s">
        <v>16175</v>
      </c>
    </row>
    <row r="1561" spans="1:59" ht="58" x14ac:dyDescent="0.35">
      <c r="A1561" s="2" t="s">
        <v>59</v>
      </c>
      <c r="B1561" s="2" t="s">
        <v>94</v>
      </c>
      <c r="C1561" s="2" t="s">
        <v>16176</v>
      </c>
      <c r="D1561" s="2" t="s">
        <v>16177</v>
      </c>
      <c r="E1561" s="2" t="s">
        <v>16178</v>
      </c>
      <c r="G1561" s="3" t="s">
        <v>64</v>
      </c>
      <c r="I1561" s="3" t="s">
        <v>64</v>
      </c>
      <c r="J1561" s="3" t="s">
        <v>64</v>
      </c>
      <c r="K1561" s="3" t="s">
        <v>65</v>
      </c>
      <c r="M1561" s="2" t="s">
        <v>16179</v>
      </c>
      <c r="N1561" s="3" t="s">
        <v>274</v>
      </c>
      <c r="P1561" s="3" t="s">
        <v>69</v>
      </c>
      <c r="Q1561" s="2" t="s">
        <v>16180</v>
      </c>
      <c r="R1561" s="3" t="s">
        <v>9228</v>
      </c>
      <c r="S1561" s="4">
        <v>32</v>
      </c>
      <c r="T1561" s="4">
        <v>32</v>
      </c>
      <c r="U1561" s="5" t="s">
        <v>5957</v>
      </c>
      <c r="V1561" s="5" t="s">
        <v>5957</v>
      </c>
      <c r="W1561" s="5" t="s">
        <v>72</v>
      </c>
      <c r="X1561" s="5" t="s">
        <v>72</v>
      </c>
      <c r="Y1561" s="4">
        <v>236</v>
      </c>
      <c r="Z1561" s="4">
        <v>11</v>
      </c>
      <c r="AA1561" s="4">
        <v>37</v>
      </c>
      <c r="AB1561" s="4">
        <v>1</v>
      </c>
      <c r="AC1561" s="4">
        <v>7</v>
      </c>
      <c r="AD1561" s="4">
        <v>92</v>
      </c>
      <c r="AE1561" s="4">
        <v>98</v>
      </c>
      <c r="AF1561" s="4">
        <v>0</v>
      </c>
      <c r="AG1561" s="4">
        <v>2</v>
      </c>
      <c r="AH1561" s="4">
        <v>86</v>
      </c>
      <c r="AI1561" s="4">
        <v>89</v>
      </c>
      <c r="AJ1561" s="4">
        <v>9</v>
      </c>
      <c r="AK1561" s="4">
        <v>12</v>
      </c>
      <c r="AL1561" s="4">
        <v>52</v>
      </c>
      <c r="AM1561" s="4">
        <v>52</v>
      </c>
      <c r="AN1561" s="4">
        <v>5</v>
      </c>
      <c r="AO1561" s="4">
        <v>5</v>
      </c>
      <c r="AP1561" s="4">
        <v>9</v>
      </c>
      <c r="AQ1561" s="4">
        <v>13</v>
      </c>
      <c r="AR1561" s="3" t="s">
        <v>64</v>
      </c>
      <c r="AS1561" s="3" t="s">
        <v>64</v>
      </c>
      <c r="AT1561" s="3" t="s">
        <v>73</v>
      </c>
      <c r="AU1561" s="6" t="str">
        <f>HYPERLINK("http://catalog.hathitrust.org/Record/002167435","HathiTrust Record")</f>
        <v>HathiTrust Record</v>
      </c>
      <c r="AV1561" s="6" t="str">
        <f>HYPERLINK("http://mcgill.on.worldcat.org/oclc/17384203","Catalog Record")</f>
        <v>Catalog Record</v>
      </c>
      <c r="AW1561" s="6" t="str">
        <f>HYPERLINK("http://www.worldcat.org/oclc/17384203","WorldCat Record")</f>
        <v>WorldCat Record</v>
      </c>
      <c r="AX1561" s="3" t="s">
        <v>16181</v>
      </c>
      <c r="AY1561" s="3" t="s">
        <v>16182</v>
      </c>
      <c r="AZ1561" s="3" t="s">
        <v>16183</v>
      </c>
      <c r="BA1561" s="3" t="s">
        <v>16183</v>
      </c>
      <c r="BB1561" s="3" t="s">
        <v>16184</v>
      </c>
      <c r="BC1561" s="3" t="s">
        <v>78</v>
      </c>
      <c r="BD1561" s="3" t="s">
        <v>79</v>
      </c>
      <c r="BE1561" s="3" t="s">
        <v>16185</v>
      </c>
      <c r="BF1561" s="3" t="s">
        <v>16184</v>
      </c>
      <c r="BG1561" s="3" t="s">
        <v>16186</v>
      </c>
    </row>
    <row r="1562" spans="1:59" ht="58" x14ac:dyDescent="0.35">
      <c r="A1562" s="2" t="s">
        <v>59</v>
      </c>
      <c r="B1562" s="2" t="s">
        <v>94</v>
      </c>
      <c r="C1562" s="2" t="s">
        <v>16187</v>
      </c>
      <c r="D1562" s="2" t="s">
        <v>16188</v>
      </c>
      <c r="E1562" s="2" t="s">
        <v>16189</v>
      </c>
      <c r="G1562" s="3" t="s">
        <v>64</v>
      </c>
      <c r="I1562" s="3" t="s">
        <v>64</v>
      </c>
      <c r="J1562" s="3" t="s">
        <v>64</v>
      </c>
      <c r="K1562" s="3" t="s">
        <v>65</v>
      </c>
      <c r="L1562" s="2" t="s">
        <v>11349</v>
      </c>
      <c r="M1562" s="2" t="s">
        <v>16190</v>
      </c>
      <c r="N1562" s="3" t="s">
        <v>377</v>
      </c>
      <c r="P1562" s="3" t="s">
        <v>69</v>
      </c>
      <c r="R1562" s="3" t="s">
        <v>9228</v>
      </c>
      <c r="S1562" s="4">
        <v>2</v>
      </c>
      <c r="T1562" s="4">
        <v>2</v>
      </c>
      <c r="U1562" s="5" t="s">
        <v>7580</v>
      </c>
      <c r="V1562" s="5" t="s">
        <v>7580</v>
      </c>
      <c r="W1562" s="5" t="s">
        <v>72</v>
      </c>
      <c r="X1562" s="5" t="s">
        <v>72</v>
      </c>
      <c r="Y1562" s="4">
        <v>95</v>
      </c>
      <c r="Z1562" s="4">
        <v>5</v>
      </c>
      <c r="AA1562" s="4">
        <v>42</v>
      </c>
      <c r="AB1562" s="4">
        <v>1</v>
      </c>
      <c r="AC1562" s="4">
        <v>8</v>
      </c>
      <c r="AD1562" s="4">
        <v>47</v>
      </c>
      <c r="AE1562" s="4">
        <v>106</v>
      </c>
      <c r="AF1562" s="4">
        <v>0</v>
      </c>
      <c r="AG1562" s="4">
        <v>2</v>
      </c>
      <c r="AH1562" s="4">
        <v>46</v>
      </c>
      <c r="AI1562" s="4">
        <v>87</v>
      </c>
      <c r="AJ1562" s="4">
        <v>2</v>
      </c>
      <c r="AK1562" s="4">
        <v>13</v>
      </c>
      <c r="AL1562" s="4">
        <v>26</v>
      </c>
      <c r="AM1562" s="4">
        <v>48</v>
      </c>
      <c r="AN1562" s="4">
        <v>0</v>
      </c>
      <c r="AO1562" s="4">
        <v>0</v>
      </c>
      <c r="AP1562" s="4">
        <v>3</v>
      </c>
      <c r="AQ1562" s="4">
        <v>25</v>
      </c>
      <c r="AR1562" s="3" t="s">
        <v>64</v>
      </c>
      <c r="AS1562" s="3" t="s">
        <v>64</v>
      </c>
      <c r="AT1562" s="3" t="s">
        <v>64</v>
      </c>
      <c r="AV1562" s="6" t="str">
        <f>HYPERLINK("http://mcgill.on.worldcat.org/oclc/767256599","Catalog Record")</f>
        <v>Catalog Record</v>
      </c>
      <c r="AW1562" s="6" t="str">
        <f>HYPERLINK("http://www.worldcat.org/oclc/767256599","WorldCat Record")</f>
        <v>WorldCat Record</v>
      </c>
      <c r="AX1562" s="3" t="s">
        <v>16191</v>
      </c>
      <c r="AY1562" s="3" t="s">
        <v>16192</v>
      </c>
      <c r="AZ1562" s="3" t="s">
        <v>16193</v>
      </c>
      <c r="BA1562" s="3" t="s">
        <v>16193</v>
      </c>
      <c r="BB1562" s="3" t="s">
        <v>16194</v>
      </c>
      <c r="BC1562" s="3" t="s">
        <v>78</v>
      </c>
      <c r="BD1562" s="3" t="s">
        <v>79</v>
      </c>
      <c r="BE1562" s="3" t="s">
        <v>16195</v>
      </c>
      <c r="BF1562" s="3" t="s">
        <v>16194</v>
      </c>
      <c r="BG1562" s="3" t="s">
        <v>16196</v>
      </c>
    </row>
    <row r="1563" spans="1:59" ht="58" x14ac:dyDescent="0.35">
      <c r="A1563" s="2" t="s">
        <v>59</v>
      </c>
      <c r="B1563" s="2" t="s">
        <v>94</v>
      </c>
      <c r="C1563" s="2" t="s">
        <v>16197</v>
      </c>
      <c r="D1563" s="2" t="s">
        <v>16198</v>
      </c>
      <c r="E1563" s="2" t="s">
        <v>16199</v>
      </c>
      <c r="G1563" s="3" t="s">
        <v>64</v>
      </c>
      <c r="I1563" s="3" t="s">
        <v>64</v>
      </c>
      <c r="J1563" s="3" t="s">
        <v>64</v>
      </c>
      <c r="K1563" s="3" t="s">
        <v>65</v>
      </c>
      <c r="L1563" s="2" t="s">
        <v>11349</v>
      </c>
      <c r="M1563" s="2" t="s">
        <v>5089</v>
      </c>
      <c r="N1563" s="3" t="s">
        <v>214</v>
      </c>
      <c r="P1563" s="3" t="s">
        <v>69</v>
      </c>
      <c r="Q1563" s="2" t="s">
        <v>16200</v>
      </c>
      <c r="R1563" s="3" t="s">
        <v>9228</v>
      </c>
      <c r="S1563" s="4">
        <v>1</v>
      </c>
      <c r="T1563" s="4">
        <v>1</v>
      </c>
      <c r="U1563" s="5" t="s">
        <v>16201</v>
      </c>
      <c r="V1563" s="5" t="s">
        <v>16201</v>
      </c>
      <c r="W1563" s="5" t="s">
        <v>72</v>
      </c>
      <c r="X1563" s="5" t="s">
        <v>72</v>
      </c>
      <c r="Y1563" s="4">
        <v>96</v>
      </c>
      <c r="Z1563" s="4">
        <v>8</v>
      </c>
      <c r="AA1563" s="4">
        <v>11</v>
      </c>
      <c r="AB1563" s="4">
        <v>1</v>
      </c>
      <c r="AC1563" s="4">
        <v>2</v>
      </c>
      <c r="AD1563" s="4">
        <v>54</v>
      </c>
      <c r="AE1563" s="4">
        <v>59</v>
      </c>
      <c r="AF1563" s="4">
        <v>0</v>
      </c>
      <c r="AG1563" s="4">
        <v>0</v>
      </c>
      <c r="AH1563" s="4">
        <v>51</v>
      </c>
      <c r="AI1563" s="4">
        <v>56</v>
      </c>
      <c r="AJ1563" s="4">
        <v>5</v>
      </c>
      <c r="AK1563" s="4">
        <v>7</v>
      </c>
      <c r="AL1563" s="4">
        <v>27</v>
      </c>
      <c r="AM1563" s="4">
        <v>28</v>
      </c>
      <c r="AN1563" s="4">
        <v>5</v>
      </c>
      <c r="AO1563" s="4">
        <v>5</v>
      </c>
      <c r="AP1563" s="4">
        <v>6</v>
      </c>
      <c r="AQ1563" s="4">
        <v>8</v>
      </c>
      <c r="AR1563" s="3" t="s">
        <v>64</v>
      </c>
      <c r="AS1563" s="3" t="s">
        <v>64</v>
      </c>
      <c r="AT1563" s="3" t="s">
        <v>73</v>
      </c>
      <c r="AU1563" s="6" t="str">
        <f>HYPERLINK("http://catalog.hathitrust.org/Record/008164039","HathiTrust Record")</f>
        <v>HathiTrust Record</v>
      </c>
      <c r="AV1563" s="6" t="str">
        <f>HYPERLINK("http://mcgill.on.worldcat.org/oclc/611920102","Catalog Record")</f>
        <v>Catalog Record</v>
      </c>
      <c r="AW1563" s="6" t="str">
        <f>HYPERLINK("http://www.worldcat.org/oclc/611920102","WorldCat Record")</f>
        <v>WorldCat Record</v>
      </c>
      <c r="AX1563" s="3" t="s">
        <v>16202</v>
      </c>
      <c r="AY1563" s="3" t="s">
        <v>16203</v>
      </c>
      <c r="AZ1563" s="3" t="s">
        <v>16204</v>
      </c>
      <c r="BA1563" s="3" t="s">
        <v>16204</v>
      </c>
      <c r="BB1563" s="3" t="s">
        <v>16205</v>
      </c>
      <c r="BC1563" s="3" t="s">
        <v>78</v>
      </c>
      <c r="BD1563" s="3" t="s">
        <v>79</v>
      </c>
      <c r="BE1563" s="3" t="s">
        <v>16206</v>
      </c>
      <c r="BF1563" s="3" t="s">
        <v>16205</v>
      </c>
      <c r="BG1563" s="3" t="s">
        <v>16207</v>
      </c>
    </row>
    <row r="1564" spans="1:59" ht="58" x14ac:dyDescent="0.35">
      <c r="A1564" s="2" t="s">
        <v>59</v>
      </c>
      <c r="B1564" s="2" t="s">
        <v>94</v>
      </c>
      <c r="C1564" s="2" t="s">
        <v>16208</v>
      </c>
      <c r="D1564" s="2" t="s">
        <v>16209</v>
      </c>
      <c r="E1564" s="2" t="s">
        <v>16210</v>
      </c>
      <c r="G1564" s="3" t="s">
        <v>64</v>
      </c>
      <c r="I1564" s="3" t="s">
        <v>64</v>
      </c>
      <c r="J1564" s="3" t="s">
        <v>64</v>
      </c>
      <c r="K1564" s="3" t="s">
        <v>65</v>
      </c>
      <c r="L1564" s="2" t="s">
        <v>16211</v>
      </c>
      <c r="M1564" s="2" t="s">
        <v>16212</v>
      </c>
      <c r="N1564" s="3" t="s">
        <v>68</v>
      </c>
      <c r="P1564" s="3" t="s">
        <v>69</v>
      </c>
      <c r="R1564" s="3" t="s">
        <v>9228</v>
      </c>
      <c r="S1564" s="4">
        <v>1</v>
      </c>
      <c r="T1564" s="4">
        <v>1</v>
      </c>
      <c r="U1564" s="5" t="s">
        <v>276</v>
      </c>
      <c r="V1564" s="5" t="s">
        <v>276</v>
      </c>
      <c r="W1564" s="5" t="s">
        <v>72</v>
      </c>
      <c r="X1564" s="5" t="s">
        <v>72</v>
      </c>
      <c r="Y1564" s="4">
        <v>617</v>
      </c>
      <c r="Z1564" s="4">
        <v>28</v>
      </c>
      <c r="AA1564" s="4">
        <v>32</v>
      </c>
      <c r="AB1564" s="4">
        <v>4</v>
      </c>
      <c r="AC1564" s="4">
        <v>7</v>
      </c>
      <c r="AD1564" s="4">
        <v>85</v>
      </c>
      <c r="AE1564" s="4">
        <v>87</v>
      </c>
      <c r="AF1564" s="4">
        <v>0</v>
      </c>
      <c r="AG1564" s="4">
        <v>1</v>
      </c>
      <c r="AH1564" s="4">
        <v>80</v>
      </c>
      <c r="AI1564" s="4">
        <v>81</v>
      </c>
      <c r="AJ1564" s="4">
        <v>9</v>
      </c>
      <c r="AK1564" s="4">
        <v>10</v>
      </c>
      <c r="AL1564" s="4">
        <v>42</v>
      </c>
      <c r="AM1564" s="4">
        <v>42</v>
      </c>
      <c r="AN1564" s="4">
        <v>0</v>
      </c>
      <c r="AO1564" s="4">
        <v>0</v>
      </c>
      <c r="AP1564" s="4">
        <v>9</v>
      </c>
      <c r="AQ1564" s="4">
        <v>11</v>
      </c>
      <c r="AR1564" s="3" t="s">
        <v>64</v>
      </c>
      <c r="AS1564" s="3" t="s">
        <v>64</v>
      </c>
      <c r="AT1564" s="3" t="s">
        <v>64</v>
      </c>
      <c r="AV1564" s="6" t="str">
        <f>HYPERLINK("http://mcgill.on.worldcat.org/oclc/61261354","Catalog Record")</f>
        <v>Catalog Record</v>
      </c>
      <c r="AW1564" s="6" t="str">
        <f>HYPERLINK("http://www.worldcat.org/oclc/61261354","WorldCat Record")</f>
        <v>WorldCat Record</v>
      </c>
      <c r="AX1564" s="3" t="s">
        <v>16213</v>
      </c>
      <c r="AY1564" s="3" t="s">
        <v>16214</v>
      </c>
      <c r="AZ1564" s="3" t="s">
        <v>16215</v>
      </c>
      <c r="BA1564" s="3" t="s">
        <v>16215</v>
      </c>
      <c r="BB1564" s="3" t="s">
        <v>16216</v>
      </c>
      <c r="BC1564" s="3" t="s">
        <v>78</v>
      </c>
      <c r="BD1564" s="3" t="s">
        <v>79</v>
      </c>
      <c r="BE1564" s="3" t="s">
        <v>16217</v>
      </c>
      <c r="BF1564" s="3" t="s">
        <v>16216</v>
      </c>
      <c r="BG1564" s="3" t="s">
        <v>16218</v>
      </c>
    </row>
    <row r="1565" spans="1:59" ht="58" x14ac:dyDescent="0.35">
      <c r="A1565" s="2" t="s">
        <v>59</v>
      </c>
      <c r="B1565" s="2" t="s">
        <v>94</v>
      </c>
      <c r="C1565" s="2" t="s">
        <v>16219</v>
      </c>
      <c r="D1565" s="2" t="s">
        <v>16220</v>
      </c>
      <c r="E1565" s="2" t="s">
        <v>16221</v>
      </c>
      <c r="G1565" s="3" t="s">
        <v>64</v>
      </c>
      <c r="I1565" s="3" t="s">
        <v>64</v>
      </c>
      <c r="J1565" s="3" t="s">
        <v>64</v>
      </c>
      <c r="K1565" s="3" t="s">
        <v>65</v>
      </c>
      <c r="L1565" s="2" t="s">
        <v>16222</v>
      </c>
      <c r="M1565" s="2" t="s">
        <v>16223</v>
      </c>
      <c r="N1565" s="3" t="s">
        <v>473</v>
      </c>
      <c r="P1565" s="3" t="s">
        <v>69</v>
      </c>
      <c r="Q1565" s="2" t="s">
        <v>16224</v>
      </c>
      <c r="R1565" s="3" t="s">
        <v>9228</v>
      </c>
      <c r="S1565" s="4">
        <v>27</v>
      </c>
      <c r="T1565" s="4">
        <v>27</v>
      </c>
      <c r="U1565" s="5" t="s">
        <v>15130</v>
      </c>
      <c r="V1565" s="5" t="s">
        <v>15130</v>
      </c>
      <c r="W1565" s="5" t="s">
        <v>72</v>
      </c>
      <c r="X1565" s="5" t="s">
        <v>72</v>
      </c>
      <c r="Y1565" s="4">
        <v>135</v>
      </c>
      <c r="Z1565" s="4">
        <v>1</v>
      </c>
      <c r="AA1565" s="4">
        <v>2</v>
      </c>
      <c r="AB1565" s="4">
        <v>1</v>
      </c>
      <c r="AC1565" s="4">
        <v>2</v>
      </c>
      <c r="AD1565" s="4">
        <v>23</v>
      </c>
      <c r="AE1565" s="4">
        <v>24</v>
      </c>
      <c r="AF1565" s="4">
        <v>0</v>
      </c>
      <c r="AG1565" s="4">
        <v>1</v>
      </c>
      <c r="AH1565" s="4">
        <v>22</v>
      </c>
      <c r="AI1565" s="4">
        <v>22</v>
      </c>
      <c r="AJ1565" s="4">
        <v>0</v>
      </c>
      <c r="AK1565" s="4">
        <v>1</v>
      </c>
      <c r="AL1565" s="4">
        <v>14</v>
      </c>
      <c r="AM1565" s="4">
        <v>14</v>
      </c>
      <c r="AN1565" s="4">
        <v>0</v>
      </c>
      <c r="AO1565" s="4">
        <v>0</v>
      </c>
      <c r="AP1565" s="4">
        <v>0</v>
      </c>
      <c r="AQ1565" s="4">
        <v>1</v>
      </c>
      <c r="AR1565" s="3" t="s">
        <v>64</v>
      </c>
      <c r="AS1565" s="3" t="s">
        <v>64</v>
      </c>
      <c r="AT1565" s="3" t="s">
        <v>64</v>
      </c>
      <c r="AV1565" s="6" t="str">
        <f>HYPERLINK("http://mcgill.on.worldcat.org/oclc/19514851","Catalog Record")</f>
        <v>Catalog Record</v>
      </c>
      <c r="AW1565" s="6" t="str">
        <f>HYPERLINK("http://www.worldcat.org/oclc/19514851","WorldCat Record")</f>
        <v>WorldCat Record</v>
      </c>
      <c r="AX1565" s="3" t="s">
        <v>16225</v>
      </c>
      <c r="AY1565" s="3" t="s">
        <v>16226</v>
      </c>
      <c r="AZ1565" s="3" t="s">
        <v>16227</v>
      </c>
      <c r="BA1565" s="3" t="s">
        <v>16227</v>
      </c>
      <c r="BB1565" s="3" t="s">
        <v>16228</v>
      </c>
      <c r="BC1565" s="3" t="s">
        <v>78</v>
      </c>
      <c r="BD1565" s="3" t="s">
        <v>79</v>
      </c>
      <c r="BE1565" s="3" t="s">
        <v>16229</v>
      </c>
      <c r="BF1565" s="3" t="s">
        <v>16228</v>
      </c>
      <c r="BG1565" s="3" t="s">
        <v>16230</v>
      </c>
    </row>
    <row r="1566" spans="1:59" ht="58" x14ac:dyDescent="0.35">
      <c r="A1566" s="2" t="s">
        <v>59</v>
      </c>
      <c r="B1566" s="2" t="s">
        <v>94</v>
      </c>
      <c r="C1566" s="2" t="s">
        <v>16231</v>
      </c>
      <c r="D1566" s="2" t="s">
        <v>16232</v>
      </c>
      <c r="E1566" s="2" t="s">
        <v>16233</v>
      </c>
      <c r="G1566" s="3" t="s">
        <v>64</v>
      </c>
      <c r="I1566" s="3" t="s">
        <v>64</v>
      </c>
      <c r="J1566" s="3" t="s">
        <v>64</v>
      </c>
      <c r="K1566" s="3" t="s">
        <v>65</v>
      </c>
      <c r="L1566" s="2" t="s">
        <v>16234</v>
      </c>
      <c r="M1566" s="2" t="s">
        <v>9144</v>
      </c>
      <c r="N1566" s="3" t="s">
        <v>1813</v>
      </c>
      <c r="P1566" s="3" t="s">
        <v>69</v>
      </c>
      <c r="Q1566" s="2" t="s">
        <v>16235</v>
      </c>
      <c r="R1566" s="3" t="s">
        <v>9228</v>
      </c>
      <c r="S1566" s="4">
        <v>1</v>
      </c>
      <c r="T1566" s="4">
        <v>1</v>
      </c>
      <c r="U1566" s="5" t="s">
        <v>615</v>
      </c>
      <c r="V1566" s="5" t="s">
        <v>615</v>
      </c>
      <c r="W1566" s="5" t="s">
        <v>72</v>
      </c>
      <c r="X1566" s="5" t="s">
        <v>72</v>
      </c>
      <c r="Y1566" s="4">
        <v>37</v>
      </c>
      <c r="Z1566" s="4">
        <v>3</v>
      </c>
      <c r="AA1566" s="4">
        <v>71</v>
      </c>
      <c r="AB1566" s="4">
        <v>1</v>
      </c>
      <c r="AC1566" s="4">
        <v>14</v>
      </c>
      <c r="AD1566" s="4">
        <v>15</v>
      </c>
      <c r="AE1566" s="4">
        <v>83</v>
      </c>
      <c r="AF1566" s="4">
        <v>0</v>
      </c>
      <c r="AG1566" s="4">
        <v>8</v>
      </c>
      <c r="AH1566" s="4">
        <v>14</v>
      </c>
      <c r="AI1566" s="4">
        <v>53</v>
      </c>
      <c r="AJ1566" s="4">
        <v>1</v>
      </c>
      <c r="AK1566" s="4">
        <v>16</v>
      </c>
      <c r="AL1566" s="4">
        <v>12</v>
      </c>
      <c r="AM1566" s="4">
        <v>28</v>
      </c>
      <c r="AN1566" s="4">
        <v>0</v>
      </c>
      <c r="AO1566" s="4">
        <v>0</v>
      </c>
      <c r="AP1566" s="4">
        <v>1</v>
      </c>
      <c r="AQ1566" s="4">
        <v>35</v>
      </c>
      <c r="AR1566" s="3" t="s">
        <v>64</v>
      </c>
      <c r="AS1566" s="3" t="s">
        <v>64</v>
      </c>
      <c r="AT1566" s="3" t="s">
        <v>64</v>
      </c>
      <c r="AV1566" s="6" t="str">
        <f>HYPERLINK("http://mcgill.on.worldcat.org/oclc/918591195","Catalog Record")</f>
        <v>Catalog Record</v>
      </c>
      <c r="AW1566" s="6" t="str">
        <f>HYPERLINK("http://www.worldcat.org/oclc/918591195","WorldCat Record")</f>
        <v>WorldCat Record</v>
      </c>
      <c r="AX1566" s="3" t="s">
        <v>16236</v>
      </c>
      <c r="AY1566" s="3" t="s">
        <v>16237</v>
      </c>
      <c r="AZ1566" s="3" t="s">
        <v>16238</v>
      </c>
      <c r="BA1566" s="3" t="s">
        <v>16238</v>
      </c>
      <c r="BB1566" s="3" t="s">
        <v>16239</v>
      </c>
      <c r="BC1566" s="3" t="s">
        <v>78</v>
      </c>
      <c r="BD1566" s="3" t="s">
        <v>79</v>
      </c>
      <c r="BE1566" s="3" t="s">
        <v>16240</v>
      </c>
      <c r="BF1566" s="3" t="s">
        <v>16239</v>
      </c>
      <c r="BG1566" s="3" t="s">
        <v>16241</v>
      </c>
    </row>
    <row r="1567" spans="1:59" ht="58" x14ac:dyDescent="0.35">
      <c r="A1567" s="2" t="s">
        <v>59</v>
      </c>
      <c r="B1567" s="2" t="s">
        <v>94</v>
      </c>
      <c r="C1567" s="2" t="s">
        <v>16242</v>
      </c>
      <c r="D1567" s="2" t="s">
        <v>16243</v>
      </c>
      <c r="E1567" s="2" t="s">
        <v>16244</v>
      </c>
      <c r="G1567" s="3" t="s">
        <v>64</v>
      </c>
      <c r="I1567" s="3" t="s">
        <v>64</v>
      </c>
      <c r="J1567" s="3" t="s">
        <v>64</v>
      </c>
      <c r="K1567" s="3" t="s">
        <v>65</v>
      </c>
      <c r="L1567" s="2" t="s">
        <v>16245</v>
      </c>
      <c r="M1567" s="2" t="s">
        <v>16246</v>
      </c>
      <c r="N1567" s="3" t="s">
        <v>226</v>
      </c>
      <c r="P1567" s="3" t="s">
        <v>69</v>
      </c>
      <c r="Q1567" s="2" t="s">
        <v>16247</v>
      </c>
      <c r="R1567" s="3" t="s">
        <v>9228</v>
      </c>
      <c r="S1567" s="4">
        <v>12</v>
      </c>
      <c r="T1567" s="4">
        <v>12</v>
      </c>
      <c r="U1567" s="5" t="s">
        <v>228</v>
      </c>
      <c r="V1567" s="5" t="s">
        <v>228</v>
      </c>
      <c r="W1567" s="5" t="s">
        <v>72</v>
      </c>
      <c r="X1567" s="5" t="s">
        <v>72</v>
      </c>
      <c r="Y1567" s="4">
        <v>262</v>
      </c>
      <c r="Z1567" s="4">
        <v>13</v>
      </c>
      <c r="AA1567" s="4">
        <v>92</v>
      </c>
      <c r="AB1567" s="4">
        <v>1</v>
      </c>
      <c r="AC1567" s="4">
        <v>18</v>
      </c>
      <c r="AD1567" s="4">
        <v>93</v>
      </c>
      <c r="AE1567" s="4">
        <v>140</v>
      </c>
      <c r="AF1567" s="4">
        <v>0</v>
      </c>
      <c r="AG1567" s="4">
        <v>8</v>
      </c>
      <c r="AH1567" s="4">
        <v>87</v>
      </c>
      <c r="AI1567" s="4">
        <v>103</v>
      </c>
      <c r="AJ1567" s="4">
        <v>9</v>
      </c>
      <c r="AK1567" s="4">
        <v>24</v>
      </c>
      <c r="AL1567" s="4">
        <v>52</v>
      </c>
      <c r="AM1567" s="4">
        <v>54</v>
      </c>
      <c r="AN1567" s="4">
        <v>0</v>
      </c>
      <c r="AO1567" s="4">
        <v>0</v>
      </c>
      <c r="AP1567" s="4">
        <v>10</v>
      </c>
      <c r="AQ1567" s="4">
        <v>45</v>
      </c>
      <c r="AR1567" s="3" t="s">
        <v>64</v>
      </c>
      <c r="AS1567" s="3" t="s">
        <v>64</v>
      </c>
      <c r="AT1567" s="3" t="s">
        <v>64</v>
      </c>
      <c r="AV1567" s="6" t="str">
        <f>HYPERLINK("http://mcgill.on.worldcat.org/oclc/35285483","Catalog Record")</f>
        <v>Catalog Record</v>
      </c>
      <c r="AW1567" s="6" t="str">
        <f>HYPERLINK("http://www.worldcat.org/oclc/35285483","WorldCat Record")</f>
        <v>WorldCat Record</v>
      </c>
      <c r="AX1567" s="3" t="s">
        <v>16248</v>
      </c>
      <c r="AY1567" s="3" t="s">
        <v>16249</v>
      </c>
      <c r="AZ1567" s="3" t="s">
        <v>16250</v>
      </c>
      <c r="BA1567" s="3" t="s">
        <v>16250</v>
      </c>
      <c r="BB1567" s="3" t="s">
        <v>16251</v>
      </c>
      <c r="BC1567" s="3" t="s">
        <v>78</v>
      </c>
      <c r="BD1567" s="3" t="s">
        <v>79</v>
      </c>
      <c r="BE1567" s="3" t="s">
        <v>16252</v>
      </c>
      <c r="BF1567" s="3" t="s">
        <v>16251</v>
      </c>
      <c r="BG1567" s="3" t="s">
        <v>16253</v>
      </c>
    </row>
    <row r="1568" spans="1:59" ht="72.5" x14ac:dyDescent="0.35">
      <c r="A1568" s="2" t="s">
        <v>59</v>
      </c>
      <c r="B1568" s="2" t="s">
        <v>94</v>
      </c>
      <c r="C1568" s="2" t="s">
        <v>16254</v>
      </c>
      <c r="D1568" s="2" t="s">
        <v>16255</v>
      </c>
      <c r="E1568" s="2" t="s">
        <v>16256</v>
      </c>
      <c r="G1568" s="3" t="s">
        <v>64</v>
      </c>
      <c r="I1568" s="3" t="s">
        <v>64</v>
      </c>
      <c r="J1568" s="3" t="s">
        <v>64</v>
      </c>
      <c r="K1568" s="3" t="s">
        <v>65</v>
      </c>
      <c r="L1568" s="2" t="s">
        <v>16257</v>
      </c>
      <c r="M1568" s="2" t="s">
        <v>16258</v>
      </c>
      <c r="N1568" s="3" t="s">
        <v>2214</v>
      </c>
      <c r="P1568" s="3" t="s">
        <v>69</v>
      </c>
      <c r="R1568" s="3" t="s">
        <v>9228</v>
      </c>
      <c r="S1568" s="4">
        <v>27</v>
      </c>
      <c r="T1568" s="4">
        <v>27</v>
      </c>
      <c r="U1568" s="5" t="s">
        <v>9768</v>
      </c>
      <c r="V1568" s="5" t="s">
        <v>9768</v>
      </c>
      <c r="W1568" s="5" t="s">
        <v>72</v>
      </c>
      <c r="X1568" s="5" t="s">
        <v>72</v>
      </c>
      <c r="Y1568" s="4">
        <v>143</v>
      </c>
      <c r="Z1568" s="4">
        <v>14</v>
      </c>
      <c r="AA1568" s="4">
        <v>36</v>
      </c>
      <c r="AB1568" s="4">
        <v>1</v>
      </c>
      <c r="AC1568" s="4">
        <v>4</v>
      </c>
      <c r="AD1568" s="4">
        <v>25</v>
      </c>
      <c r="AE1568" s="4">
        <v>121</v>
      </c>
      <c r="AF1568" s="4">
        <v>0</v>
      </c>
      <c r="AG1568" s="4">
        <v>2</v>
      </c>
      <c r="AH1568" s="4">
        <v>21</v>
      </c>
      <c r="AI1568" s="4">
        <v>107</v>
      </c>
      <c r="AJ1568" s="4">
        <v>11</v>
      </c>
      <c r="AK1568" s="4">
        <v>19</v>
      </c>
      <c r="AL1568" s="4">
        <v>10</v>
      </c>
      <c r="AM1568" s="4">
        <v>57</v>
      </c>
      <c r="AN1568" s="4">
        <v>0</v>
      </c>
      <c r="AO1568" s="4">
        <v>0</v>
      </c>
      <c r="AP1568" s="4">
        <v>12</v>
      </c>
      <c r="AQ1568" s="4">
        <v>23</v>
      </c>
      <c r="AR1568" s="3" t="s">
        <v>64</v>
      </c>
      <c r="AS1568" s="3" t="s">
        <v>64</v>
      </c>
      <c r="AT1568" s="3" t="s">
        <v>64</v>
      </c>
      <c r="AV1568" s="6" t="str">
        <f>HYPERLINK("http://mcgill.on.worldcat.org/oclc/2536938","Catalog Record")</f>
        <v>Catalog Record</v>
      </c>
      <c r="AW1568" s="6" t="str">
        <f>HYPERLINK("http://www.worldcat.org/oclc/2536938","WorldCat Record")</f>
        <v>WorldCat Record</v>
      </c>
      <c r="AX1568" s="3" t="s">
        <v>16259</v>
      </c>
      <c r="AY1568" s="3" t="s">
        <v>16260</v>
      </c>
      <c r="AZ1568" s="3" t="s">
        <v>16261</v>
      </c>
      <c r="BA1568" s="3" t="s">
        <v>16261</v>
      </c>
      <c r="BB1568" s="3" t="s">
        <v>16262</v>
      </c>
      <c r="BC1568" s="3" t="s">
        <v>78</v>
      </c>
      <c r="BD1568" s="3" t="s">
        <v>79</v>
      </c>
      <c r="BE1568" s="3" t="s">
        <v>16263</v>
      </c>
      <c r="BF1568" s="3" t="s">
        <v>16262</v>
      </c>
      <c r="BG1568" s="3" t="s">
        <v>16264</v>
      </c>
    </row>
    <row r="1569" spans="1:59" ht="58" x14ac:dyDescent="0.35">
      <c r="A1569" s="2" t="s">
        <v>59</v>
      </c>
      <c r="B1569" s="2" t="s">
        <v>94</v>
      </c>
      <c r="C1569" s="2" t="s">
        <v>16265</v>
      </c>
      <c r="D1569" s="2" t="s">
        <v>16266</v>
      </c>
      <c r="E1569" s="2" t="s">
        <v>16267</v>
      </c>
      <c r="G1569" s="3" t="s">
        <v>64</v>
      </c>
      <c r="I1569" s="3" t="s">
        <v>64</v>
      </c>
      <c r="J1569" s="3" t="s">
        <v>64</v>
      </c>
      <c r="K1569" s="3" t="s">
        <v>65</v>
      </c>
      <c r="M1569" s="2" t="s">
        <v>16268</v>
      </c>
      <c r="N1569" s="3" t="s">
        <v>303</v>
      </c>
      <c r="P1569" s="3" t="s">
        <v>69</v>
      </c>
      <c r="Q1569" s="2" t="s">
        <v>16269</v>
      </c>
      <c r="R1569" s="3" t="s">
        <v>9228</v>
      </c>
      <c r="S1569" s="4">
        <v>26</v>
      </c>
      <c r="T1569" s="4">
        <v>26</v>
      </c>
      <c r="U1569" s="5" t="s">
        <v>15130</v>
      </c>
      <c r="V1569" s="5" t="s">
        <v>15130</v>
      </c>
      <c r="W1569" s="5" t="s">
        <v>72</v>
      </c>
      <c r="X1569" s="5" t="s">
        <v>72</v>
      </c>
      <c r="Y1569" s="4">
        <v>250</v>
      </c>
      <c r="Z1569" s="4">
        <v>13</v>
      </c>
      <c r="AA1569" s="4">
        <v>14</v>
      </c>
      <c r="AB1569" s="4">
        <v>2</v>
      </c>
      <c r="AC1569" s="4">
        <v>2</v>
      </c>
      <c r="AD1569" s="4">
        <v>86</v>
      </c>
      <c r="AE1569" s="4">
        <v>87</v>
      </c>
      <c r="AF1569" s="4">
        <v>1</v>
      </c>
      <c r="AG1569" s="4">
        <v>1</v>
      </c>
      <c r="AH1569" s="4">
        <v>80</v>
      </c>
      <c r="AI1569" s="4">
        <v>81</v>
      </c>
      <c r="AJ1569" s="4">
        <v>10</v>
      </c>
      <c r="AK1569" s="4">
        <v>11</v>
      </c>
      <c r="AL1569" s="4">
        <v>46</v>
      </c>
      <c r="AM1569" s="4">
        <v>46</v>
      </c>
      <c r="AN1569" s="4">
        <v>0</v>
      </c>
      <c r="AO1569" s="4">
        <v>0</v>
      </c>
      <c r="AP1569" s="4">
        <v>10</v>
      </c>
      <c r="AQ1569" s="4">
        <v>11</v>
      </c>
      <c r="AR1569" s="3" t="s">
        <v>64</v>
      </c>
      <c r="AS1569" s="3" t="s">
        <v>64</v>
      </c>
      <c r="AT1569" s="3" t="s">
        <v>64</v>
      </c>
      <c r="AV1569" s="6" t="str">
        <f>HYPERLINK("http://mcgill.on.worldcat.org/oclc/26163010","Catalog Record")</f>
        <v>Catalog Record</v>
      </c>
      <c r="AW1569" s="6" t="str">
        <f>HYPERLINK("http://www.worldcat.org/oclc/26163010","WorldCat Record")</f>
        <v>WorldCat Record</v>
      </c>
      <c r="AX1569" s="3" t="s">
        <v>16270</v>
      </c>
      <c r="AY1569" s="3" t="s">
        <v>16271</v>
      </c>
      <c r="AZ1569" s="3" t="s">
        <v>16272</v>
      </c>
      <c r="BA1569" s="3" t="s">
        <v>16272</v>
      </c>
      <c r="BB1569" s="3" t="s">
        <v>16273</v>
      </c>
      <c r="BC1569" s="3" t="s">
        <v>78</v>
      </c>
      <c r="BD1569" s="3" t="s">
        <v>79</v>
      </c>
      <c r="BE1569" s="3" t="s">
        <v>16274</v>
      </c>
      <c r="BF1569" s="3" t="s">
        <v>16273</v>
      </c>
      <c r="BG1569" s="3" t="s">
        <v>16275</v>
      </c>
    </row>
    <row r="1570" spans="1:59" ht="58" x14ac:dyDescent="0.35">
      <c r="A1570" s="2" t="s">
        <v>59</v>
      </c>
      <c r="B1570" s="2" t="s">
        <v>94</v>
      </c>
      <c r="C1570" s="2" t="s">
        <v>16276</v>
      </c>
      <c r="D1570" s="2" t="s">
        <v>16277</v>
      </c>
      <c r="E1570" s="2" t="s">
        <v>16278</v>
      </c>
      <c r="G1570" s="3" t="s">
        <v>64</v>
      </c>
      <c r="I1570" s="3" t="s">
        <v>64</v>
      </c>
      <c r="J1570" s="3" t="s">
        <v>64</v>
      </c>
      <c r="K1570" s="3" t="s">
        <v>65</v>
      </c>
      <c r="M1570" s="2" t="s">
        <v>12342</v>
      </c>
      <c r="N1570" s="3" t="s">
        <v>214</v>
      </c>
      <c r="P1570" s="3" t="s">
        <v>69</v>
      </c>
      <c r="Q1570" s="2" t="s">
        <v>6624</v>
      </c>
      <c r="R1570" s="3" t="s">
        <v>9228</v>
      </c>
      <c r="S1570" s="4">
        <v>10</v>
      </c>
      <c r="T1570" s="4">
        <v>10</v>
      </c>
      <c r="U1570" s="5" t="s">
        <v>9791</v>
      </c>
      <c r="V1570" s="5" t="s">
        <v>9791</v>
      </c>
      <c r="W1570" s="5" t="s">
        <v>72</v>
      </c>
      <c r="X1570" s="5" t="s">
        <v>72</v>
      </c>
      <c r="Y1570" s="4">
        <v>82</v>
      </c>
      <c r="Z1570" s="4">
        <v>5</v>
      </c>
      <c r="AA1570" s="4">
        <v>76</v>
      </c>
      <c r="AB1570" s="4">
        <v>1</v>
      </c>
      <c r="AC1570" s="4">
        <v>15</v>
      </c>
      <c r="AD1570" s="4">
        <v>31</v>
      </c>
      <c r="AE1570" s="4">
        <v>107</v>
      </c>
      <c r="AF1570" s="4">
        <v>0</v>
      </c>
      <c r="AG1570" s="4">
        <v>8</v>
      </c>
      <c r="AH1570" s="4">
        <v>30</v>
      </c>
      <c r="AI1570" s="4">
        <v>75</v>
      </c>
      <c r="AJ1570" s="4">
        <v>3</v>
      </c>
      <c r="AK1570" s="4">
        <v>21</v>
      </c>
      <c r="AL1570" s="4">
        <v>18</v>
      </c>
      <c r="AM1570" s="4">
        <v>36</v>
      </c>
      <c r="AN1570" s="4">
        <v>0</v>
      </c>
      <c r="AO1570" s="4">
        <v>0</v>
      </c>
      <c r="AP1570" s="4">
        <v>3</v>
      </c>
      <c r="AQ1570" s="4">
        <v>40</v>
      </c>
      <c r="AR1570" s="3" t="s">
        <v>64</v>
      </c>
      <c r="AS1570" s="3" t="s">
        <v>64</v>
      </c>
      <c r="AT1570" s="3" t="s">
        <v>64</v>
      </c>
      <c r="AV1570" s="6" t="str">
        <f>HYPERLINK("http://mcgill.on.worldcat.org/oclc/429475204","Catalog Record")</f>
        <v>Catalog Record</v>
      </c>
      <c r="AW1570" s="6" t="str">
        <f>HYPERLINK("http://www.worldcat.org/oclc/429475204","WorldCat Record")</f>
        <v>WorldCat Record</v>
      </c>
      <c r="AX1570" s="3" t="s">
        <v>16279</v>
      </c>
      <c r="AY1570" s="3" t="s">
        <v>16280</v>
      </c>
      <c r="AZ1570" s="3" t="s">
        <v>16281</v>
      </c>
      <c r="BA1570" s="3" t="s">
        <v>16281</v>
      </c>
      <c r="BB1570" s="3" t="s">
        <v>16282</v>
      </c>
      <c r="BC1570" s="3" t="s">
        <v>78</v>
      </c>
      <c r="BD1570" s="3" t="s">
        <v>79</v>
      </c>
      <c r="BE1570" s="3" t="s">
        <v>16283</v>
      </c>
      <c r="BF1570" s="3" t="s">
        <v>16282</v>
      </c>
      <c r="BG1570" s="3" t="s">
        <v>16284</v>
      </c>
    </row>
    <row r="1571" spans="1:59" ht="58" x14ac:dyDescent="0.35">
      <c r="A1571" s="2" t="s">
        <v>59</v>
      </c>
      <c r="B1571" s="2" t="s">
        <v>94</v>
      </c>
      <c r="C1571" s="2" t="s">
        <v>16285</v>
      </c>
      <c r="D1571" s="2" t="s">
        <v>16286</v>
      </c>
      <c r="E1571" s="2" t="s">
        <v>16287</v>
      </c>
      <c r="G1571" s="3" t="s">
        <v>64</v>
      </c>
      <c r="I1571" s="3" t="s">
        <v>64</v>
      </c>
      <c r="J1571" s="3" t="s">
        <v>64</v>
      </c>
      <c r="K1571" s="3" t="s">
        <v>65</v>
      </c>
      <c r="L1571" s="2" t="s">
        <v>16288</v>
      </c>
      <c r="M1571" s="2" t="s">
        <v>16289</v>
      </c>
      <c r="N1571" s="3" t="s">
        <v>499</v>
      </c>
      <c r="P1571" s="3" t="s">
        <v>69</v>
      </c>
      <c r="R1571" s="3" t="s">
        <v>9228</v>
      </c>
      <c r="S1571" s="4">
        <v>10</v>
      </c>
      <c r="T1571" s="4">
        <v>10</v>
      </c>
      <c r="U1571" s="5" t="s">
        <v>7903</v>
      </c>
      <c r="V1571" s="5" t="s">
        <v>7903</v>
      </c>
      <c r="W1571" s="5" t="s">
        <v>72</v>
      </c>
      <c r="X1571" s="5" t="s">
        <v>72</v>
      </c>
      <c r="Y1571" s="4">
        <v>91</v>
      </c>
      <c r="Z1571" s="4">
        <v>7</v>
      </c>
      <c r="AA1571" s="4">
        <v>7</v>
      </c>
      <c r="AB1571" s="4">
        <v>1</v>
      </c>
      <c r="AC1571" s="4">
        <v>1</v>
      </c>
      <c r="AD1571" s="4">
        <v>49</v>
      </c>
      <c r="AE1571" s="4">
        <v>51</v>
      </c>
      <c r="AF1571" s="4">
        <v>0</v>
      </c>
      <c r="AG1571" s="4">
        <v>0</v>
      </c>
      <c r="AH1571" s="4">
        <v>44</v>
      </c>
      <c r="AI1571" s="4">
        <v>46</v>
      </c>
      <c r="AJ1571" s="4">
        <v>5</v>
      </c>
      <c r="AK1571" s="4">
        <v>5</v>
      </c>
      <c r="AL1571" s="4">
        <v>30</v>
      </c>
      <c r="AM1571" s="4">
        <v>31</v>
      </c>
      <c r="AN1571" s="4">
        <v>0</v>
      </c>
      <c r="AO1571" s="4">
        <v>0</v>
      </c>
      <c r="AP1571" s="4">
        <v>5</v>
      </c>
      <c r="AQ1571" s="4">
        <v>5</v>
      </c>
      <c r="AR1571" s="3" t="s">
        <v>64</v>
      </c>
      <c r="AS1571" s="3" t="s">
        <v>64</v>
      </c>
      <c r="AT1571" s="3" t="s">
        <v>73</v>
      </c>
      <c r="AU1571" s="6" t="str">
        <f>HYPERLINK("http://catalog.hathitrust.org/Record/004922260","HathiTrust Record")</f>
        <v>HathiTrust Record</v>
      </c>
      <c r="AV1571" s="6" t="str">
        <f>HYPERLINK("http://mcgill.on.worldcat.org/oclc/56921631","Catalog Record")</f>
        <v>Catalog Record</v>
      </c>
      <c r="AW1571" s="6" t="str">
        <f>HYPERLINK("http://www.worldcat.org/oclc/56921631","WorldCat Record")</f>
        <v>WorldCat Record</v>
      </c>
      <c r="AX1571" s="3" t="s">
        <v>16290</v>
      </c>
      <c r="AY1571" s="3" t="s">
        <v>16291</v>
      </c>
      <c r="AZ1571" s="3" t="s">
        <v>16292</v>
      </c>
      <c r="BA1571" s="3" t="s">
        <v>16292</v>
      </c>
      <c r="BB1571" s="3" t="s">
        <v>16293</v>
      </c>
      <c r="BC1571" s="3" t="s">
        <v>78</v>
      </c>
      <c r="BD1571" s="3" t="s">
        <v>79</v>
      </c>
      <c r="BE1571" s="3" t="s">
        <v>16294</v>
      </c>
      <c r="BF1571" s="3" t="s">
        <v>16293</v>
      </c>
      <c r="BG1571" s="3" t="s">
        <v>16295</v>
      </c>
    </row>
    <row r="1572" spans="1:59" ht="58" x14ac:dyDescent="0.35">
      <c r="A1572" s="2" t="s">
        <v>59</v>
      </c>
      <c r="B1572" s="2" t="s">
        <v>94</v>
      </c>
      <c r="C1572" s="2" t="s">
        <v>16296</v>
      </c>
      <c r="D1572" s="2" t="s">
        <v>16297</v>
      </c>
      <c r="E1572" s="2" t="s">
        <v>16298</v>
      </c>
      <c r="G1572" s="3" t="s">
        <v>64</v>
      </c>
      <c r="I1572" s="3" t="s">
        <v>64</v>
      </c>
      <c r="J1572" s="3" t="s">
        <v>64</v>
      </c>
      <c r="K1572" s="3" t="s">
        <v>65</v>
      </c>
      <c r="L1572" s="2" t="s">
        <v>16299</v>
      </c>
      <c r="M1572" s="2" t="s">
        <v>16300</v>
      </c>
      <c r="N1572" s="3" t="s">
        <v>3181</v>
      </c>
      <c r="P1572" s="3" t="s">
        <v>69</v>
      </c>
      <c r="R1572" s="3" t="s">
        <v>9228</v>
      </c>
      <c r="S1572" s="4">
        <v>19</v>
      </c>
      <c r="T1572" s="4">
        <v>19</v>
      </c>
      <c r="U1572" s="5" t="s">
        <v>9768</v>
      </c>
      <c r="V1572" s="5" t="s">
        <v>9768</v>
      </c>
      <c r="W1572" s="5" t="s">
        <v>72</v>
      </c>
      <c r="X1572" s="5" t="s">
        <v>72</v>
      </c>
      <c r="Y1572" s="4">
        <v>197</v>
      </c>
      <c r="Z1572" s="4">
        <v>10</v>
      </c>
      <c r="AA1572" s="4">
        <v>15</v>
      </c>
      <c r="AB1572" s="4">
        <v>1</v>
      </c>
      <c r="AC1572" s="4">
        <v>3</v>
      </c>
      <c r="AD1572" s="4">
        <v>65</v>
      </c>
      <c r="AE1572" s="4">
        <v>71</v>
      </c>
      <c r="AF1572" s="4">
        <v>0</v>
      </c>
      <c r="AG1572" s="4">
        <v>1</v>
      </c>
      <c r="AH1572" s="4">
        <v>58</v>
      </c>
      <c r="AI1572" s="4">
        <v>63</v>
      </c>
      <c r="AJ1572" s="4">
        <v>7</v>
      </c>
      <c r="AK1572" s="4">
        <v>11</v>
      </c>
      <c r="AL1572" s="4">
        <v>36</v>
      </c>
      <c r="AM1572" s="4">
        <v>36</v>
      </c>
      <c r="AN1572" s="4">
        <v>0</v>
      </c>
      <c r="AO1572" s="4">
        <v>0</v>
      </c>
      <c r="AP1572" s="4">
        <v>9</v>
      </c>
      <c r="AQ1572" s="4">
        <v>12</v>
      </c>
      <c r="AR1572" s="3" t="s">
        <v>64</v>
      </c>
      <c r="AS1572" s="3" t="s">
        <v>64</v>
      </c>
      <c r="AT1572" s="3" t="s">
        <v>73</v>
      </c>
      <c r="AU1572" s="6" t="str">
        <f>HYPERLINK("http://catalog.hathitrust.org/Record/001620913","HathiTrust Record")</f>
        <v>HathiTrust Record</v>
      </c>
      <c r="AV1572" s="6" t="str">
        <f>HYPERLINK("http://mcgill.on.worldcat.org/oclc/119826","Catalog Record")</f>
        <v>Catalog Record</v>
      </c>
      <c r="AW1572" s="6" t="str">
        <f>HYPERLINK("http://www.worldcat.org/oclc/119826","WorldCat Record")</f>
        <v>WorldCat Record</v>
      </c>
      <c r="AX1572" s="3" t="s">
        <v>16301</v>
      </c>
      <c r="AY1572" s="3" t="s">
        <v>16302</v>
      </c>
      <c r="AZ1572" s="3" t="s">
        <v>16303</v>
      </c>
      <c r="BA1572" s="3" t="s">
        <v>16303</v>
      </c>
      <c r="BB1572" s="3" t="s">
        <v>16304</v>
      </c>
      <c r="BC1572" s="3" t="s">
        <v>78</v>
      </c>
      <c r="BD1572" s="3" t="s">
        <v>79</v>
      </c>
      <c r="BE1572" s="3" t="s">
        <v>16305</v>
      </c>
      <c r="BF1572" s="3" t="s">
        <v>16304</v>
      </c>
      <c r="BG1572" s="3" t="s">
        <v>16306</v>
      </c>
    </row>
    <row r="1573" spans="1:59" ht="58" x14ac:dyDescent="0.35">
      <c r="A1573" s="2" t="s">
        <v>59</v>
      </c>
      <c r="B1573" s="2" t="s">
        <v>94</v>
      </c>
      <c r="C1573" s="2" t="s">
        <v>16307</v>
      </c>
      <c r="D1573" s="2" t="s">
        <v>16308</v>
      </c>
      <c r="E1573" s="2" t="s">
        <v>16309</v>
      </c>
      <c r="G1573" s="3" t="s">
        <v>64</v>
      </c>
      <c r="I1573" s="3" t="s">
        <v>64</v>
      </c>
      <c r="J1573" s="3" t="s">
        <v>64</v>
      </c>
      <c r="K1573" s="3" t="s">
        <v>65</v>
      </c>
      <c r="L1573" s="2" t="s">
        <v>16310</v>
      </c>
      <c r="M1573" s="2" t="s">
        <v>16311</v>
      </c>
      <c r="N1573" s="3" t="s">
        <v>68</v>
      </c>
      <c r="P1573" s="3" t="s">
        <v>69</v>
      </c>
      <c r="Q1573" s="2" t="s">
        <v>16312</v>
      </c>
      <c r="R1573" s="3" t="s">
        <v>9228</v>
      </c>
      <c r="S1573" s="4">
        <v>14</v>
      </c>
      <c r="T1573" s="4">
        <v>14</v>
      </c>
      <c r="U1573" s="5" t="s">
        <v>1229</v>
      </c>
      <c r="V1573" s="5" t="s">
        <v>1229</v>
      </c>
      <c r="W1573" s="5" t="s">
        <v>72</v>
      </c>
      <c r="X1573" s="5" t="s">
        <v>72</v>
      </c>
      <c r="Y1573" s="4">
        <v>209</v>
      </c>
      <c r="Z1573" s="4">
        <v>13</v>
      </c>
      <c r="AA1573" s="4">
        <v>46</v>
      </c>
      <c r="AB1573" s="4">
        <v>1</v>
      </c>
      <c r="AC1573" s="4">
        <v>6</v>
      </c>
      <c r="AD1573" s="4">
        <v>80</v>
      </c>
      <c r="AE1573" s="4">
        <v>98</v>
      </c>
      <c r="AF1573" s="4">
        <v>0</v>
      </c>
      <c r="AG1573" s="4">
        <v>0</v>
      </c>
      <c r="AH1573" s="4">
        <v>76</v>
      </c>
      <c r="AI1573" s="4">
        <v>90</v>
      </c>
      <c r="AJ1573" s="4">
        <v>11</v>
      </c>
      <c r="AK1573" s="4">
        <v>12</v>
      </c>
      <c r="AL1573" s="4">
        <v>45</v>
      </c>
      <c r="AM1573" s="4">
        <v>51</v>
      </c>
      <c r="AN1573" s="4">
        <v>0</v>
      </c>
      <c r="AO1573" s="4">
        <v>0</v>
      </c>
      <c r="AP1573" s="4">
        <v>11</v>
      </c>
      <c r="AQ1573" s="4">
        <v>16</v>
      </c>
      <c r="AR1573" s="3" t="s">
        <v>64</v>
      </c>
      <c r="AS1573" s="3" t="s">
        <v>64</v>
      </c>
      <c r="AT1573" s="3" t="s">
        <v>64</v>
      </c>
      <c r="AV1573" s="6" t="str">
        <f>HYPERLINK("http://mcgill.on.worldcat.org/oclc/60838348","Catalog Record")</f>
        <v>Catalog Record</v>
      </c>
      <c r="AW1573" s="6" t="str">
        <f>HYPERLINK("http://www.worldcat.org/oclc/60838348","WorldCat Record")</f>
        <v>WorldCat Record</v>
      </c>
      <c r="AX1573" s="3" t="s">
        <v>16313</v>
      </c>
      <c r="AY1573" s="3" t="s">
        <v>16314</v>
      </c>
      <c r="AZ1573" s="3" t="s">
        <v>16315</v>
      </c>
      <c r="BA1573" s="3" t="s">
        <v>16315</v>
      </c>
      <c r="BB1573" s="3" t="s">
        <v>16316</v>
      </c>
      <c r="BC1573" s="3" t="s">
        <v>78</v>
      </c>
      <c r="BD1573" s="3" t="s">
        <v>79</v>
      </c>
      <c r="BE1573" s="3" t="s">
        <v>16317</v>
      </c>
      <c r="BF1573" s="3" t="s">
        <v>16316</v>
      </c>
      <c r="BG1573" s="3" t="s">
        <v>16318</v>
      </c>
    </row>
    <row r="1574" spans="1:59" ht="72.5" x14ac:dyDescent="0.35">
      <c r="A1574" s="2" t="s">
        <v>59</v>
      </c>
      <c r="B1574" s="2" t="s">
        <v>94</v>
      </c>
      <c r="C1574" s="2" t="s">
        <v>16319</v>
      </c>
      <c r="D1574" s="2" t="s">
        <v>16320</v>
      </c>
      <c r="E1574" s="2" t="s">
        <v>16321</v>
      </c>
      <c r="G1574" s="3" t="s">
        <v>64</v>
      </c>
      <c r="I1574" s="3" t="s">
        <v>64</v>
      </c>
      <c r="J1574" s="3" t="s">
        <v>64</v>
      </c>
      <c r="K1574" s="3" t="s">
        <v>65</v>
      </c>
      <c r="L1574" s="2" t="s">
        <v>1292</v>
      </c>
      <c r="M1574" s="2" t="s">
        <v>16322</v>
      </c>
      <c r="N1574" s="3" t="s">
        <v>861</v>
      </c>
      <c r="O1574" s="2" t="s">
        <v>1294</v>
      </c>
      <c r="P1574" s="3" t="s">
        <v>69</v>
      </c>
      <c r="R1574" s="3" t="s">
        <v>9228</v>
      </c>
      <c r="S1574" s="4">
        <v>13</v>
      </c>
      <c r="T1574" s="4">
        <v>13</v>
      </c>
      <c r="U1574" s="5" t="s">
        <v>7903</v>
      </c>
      <c r="V1574" s="5" t="s">
        <v>7903</v>
      </c>
      <c r="W1574" s="5" t="s">
        <v>72</v>
      </c>
      <c r="X1574" s="5" t="s">
        <v>72</v>
      </c>
      <c r="Y1574" s="4">
        <v>385</v>
      </c>
      <c r="Z1574" s="4">
        <v>16</v>
      </c>
      <c r="AA1574" s="4">
        <v>17</v>
      </c>
      <c r="AB1574" s="4">
        <v>1</v>
      </c>
      <c r="AC1574" s="4">
        <v>2</v>
      </c>
      <c r="AD1574" s="4">
        <v>85</v>
      </c>
      <c r="AE1574" s="4">
        <v>85</v>
      </c>
      <c r="AF1574" s="4">
        <v>0</v>
      </c>
      <c r="AG1574" s="4">
        <v>0</v>
      </c>
      <c r="AH1574" s="4">
        <v>82</v>
      </c>
      <c r="AI1574" s="4">
        <v>82</v>
      </c>
      <c r="AJ1574" s="4">
        <v>7</v>
      </c>
      <c r="AK1574" s="4">
        <v>7</v>
      </c>
      <c r="AL1574" s="4">
        <v>46</v>
      </c>
      <c r="AM1574" s="4">
        <v>46</v>
      </c>
      <c r="AN1574" s="4">
        <v>0</v>
      </c>
      <c r="AO1574" s="4">
        <v>0</v>
      </c>
      <c r="AP1574" s="4">
        <v>8</v>
      </c>
      <c r="AQ1574" s="4">
        <v>8</v>
      </c>
      <c r="AR1574" s="3" t="s">
        <v>64</v>
      </c>
      <c r="AS1574" s="3" t="s">
        <v>64</v>
      </c>
      <c r="AT1574" s="3" t="s">
        <v>64</v>
      </c>
      <c r="AV1574" s="6" t="str">
        <f>HYPERLINK("http://mcgill.on.worldcat.org/oclc/56524365","Catalog Record")</f>
        <v>Catalog Record</v>
      </c>
      <c r="AW1574" s="6" t="str">
        <f>HYPERLINK("http://www.worldcat.org/oclc/56524365","WorldCat Record")</f>
        <v>WorldCat Record</v>
      </c>
      <c r="AX1574" s="3" t="s">
        <v>16323</v>
      </c>
      <c r="AY1574" s="3" t="s">
        <v>16324</v>
      </c>
      <c r="AZ1574" s="3" t="s">
        <v>16325</v>
      </c>
      <c r="BA1574" s="3" t="s">
        <v>16325</v>
      </c>
      <c r="BB1574" s="3" t="s">
        <v>16326</v>
      </c>
      <c r="BC1574" s="3" t="s">
        <v>78</v>
      </c>
      <c r="BD1574" s="3" t="s">
        <v>79</v>
      </c>
      <c r="BE1574" s="3" t="s">
        <v>16327</v>
      </c>
      <c r="BF1574" s="3" t="s">
        <v>16326</v>
      </c>
      <c r="BG1574" s="3" t="s">
        <v>16328</v>
      </c>
    </row>
    <row r="1575" spans="1:59" ht="58" x14ac:dyDescent="0.35">
      <c r="A1575" s="2" t="s">
        <v>59</v>
      </c>
      <c r="B1575" s="2" t="s">
        <v>94</v>
      </c>
      <c r="C1575" s="2" t="s">
        <v>16329</v>
      </c>
      <c r="D1575" s="2" t="s">
        <v>16330</v>
      </c>
      <c r="E1575" s="2" t="s">
        <v>16331</v>
      </c>
      <c r="G1575" s="3" t="s">
        <v>64</v>
      </c>
      <c r="I1575" s="3" t="s">
        <v>64</v>
      </c>
      <c r="J1575" s="3" t="s">
        <v>64</v>
      </c>
      <c r="K1575" s="3" t="s">
        <v>65</v>
      </c>
      <c r="L1575" s="2" t="s">
        <v>16332</v>
      </c>
      <c r="M1575" s="2" t="s">
        <v>7750</v>
      </c>
      <c r="N1575" s="3" t="s">
        <v>315</v>
      </c>
      <c r="P1575" s="3" t="s">
        <v>69</v>
      </c>
      <c r="R1575" s="3" t="s">
        <v>9228</v>
      </c>
      <c r="S1575" s="4">
        <v>33</v>
      </c>
      <c r="T1575" s="4">
        <v>33</v>
      </c>
      <c r="U1575" s="5" t="s">
        <v>16333</v>
      </c>
      <c r="V1575" s="5" t="s">
        <v>16333</v>
      </c>
      <c r="W1575" s="5" t="s">
        <v>72</v>
      </c>
      <c r="X1575" s="5" t="s">
        <v>72</v>
      </c>
      <c r="Y1575" s="4">
        <v>262</v>
      </c>
      <c r="Z1575" s="4">
        <v>15</v>
      </c>
      <c r="AA1575" s="4">
        <v>17</v>
      </c>
      <c r="AB1575" s="4">
        <v>1</v>
      </c>
      <c r="AC1575" s="4">
        <v>3</v>
      </c>
      <c r="AD1575" s="4">
        <v>92</v>
      </c>
      <c r="AE1575" s="4">
        <v>94</v>
      </c>
      <c r="AF1575" s="4">
        <v>0</v>
      </c>
      <c r="AG1575" s="4">
        <v>2</v>
      </c>
      <c r="AH1575" s="4">
        <v>87</v>
      </c>
      <c r="AI1575" s="4">
        <v>87</v>
      </c>
      <c r="AJ1575" s="4">
        <v>9</v>
      </c>
      <c r="AK1575" s="4">
        <v>11</v>
      </c>
      <c r="AL1575" s="4">
        <v>49</v>
      </c>
      <c r="AM1575" s="4">
        <v>49</v>
      </c>
      <c r="AN1575" s="4">
        <v>0</v>
      </c>
      <c r="AO1575" s="4">
        <v>0</v>
      </c>
      <c r="AP1575" s="4">
        <v>10</v>
      </c>
      <c r="AQ1575" s="4">
        <v>11</v>
      </c>
      <c r="AR1575" s="3" t="s">
        <v>64</v>
      </c>
      <c r="AS1575" s="3" t="s">
        <v>64</v>
      </c>
      <c r="AT1575" s="3" t="s">
        <v>73</v>
      </c>
      <c r="AU1575" s="6" t="str">
        <f>HYPERLINK("http://catalog.hathitrust.org/Record/000403799","HathiTrust Record")</f>
        <v>HathiTrust Record</v>
      </c>
      <c r="AV1575" s="6" t="str">
        <f>HYPERLINK("http://mcgill.on.worldcat.org/oclc/13498502","Catalog Record")</f>
        <v>Catalog Record</v>
      </c>
      <c r="AW1575" s="6" t="str">
        <f>HYPERLINK("http://www.worldcat.org/oclc/13498502","WorldCat Record")</f>
        <v>WorldCat Record</v>
      </c>
      <c r="AX1575" s="3" t="s">
        <v>16334</v>
      </c>
      <c r="AY1575" s="3" t="s">
        <v>16335</v>
      </c>
      <c r="AZ1575" s="3" t="s">
        <v>16336</v>
      </c>
      <c r="BA1575" s="3" t="s">
        <v>16336</v>
      </c>
      <c r="BB1575" s="3" t="s">
        <v>16337</v>
      </c>
      <c r="BC1575" s="3" t="s">
        <v>78</v>
      </c>
      <c r="BD1575" s="3" t="s">
        <v>79</v>
      </c>
      <c r="BE1575" s="3" t="s">
        <v>16338</v>
      </c>
      <c r="BF1575" s="3" t="s">
        <v>16337</v>
      </c>
      <c r="BG1575" s="3" t="s">
        <v>16339</v>
      </c>
    </row>
    <row r="1576" spans="1:59" ht="58" x14ac:dyDescent="0.35">
      <c r="A1576" s="2" t="s">
        <v>59</v>
      </c>
      <c r="B1576" s="2" t="s">
        <v>94</v>
      </c>
      <c r="C1576" s="2" t="s">
        <v>16340</v>
      </c>
      <c r="D1576" s="2" t="s">
        <v>16341</v>
      </c>
      <c r="E1576" s="2" t="s">
        <v>16342</v>
      </c>
      <c r="G1576" s="3" t="s">
        <v>64</v>
      </c>
      <c r="I1576" s="3" t="s">
        <v>64</v>
      </c>
      <c r="J1576" s="3" t="s">
        <v>64</v>
      </c>
      <c r="K1576" s="3" t="s">
        <v>65</v>
      </c>
      <c r="L1576" s="2" t="s">
        <v>16343</v>
      </c>
      <c r="M1576" s="2" t="s">
        <v>16344</v>
      </c>
      <c r="N1576" s="3" t="s">
        <v>68</v>
      </c>
      <c r="O1576" s="2" t="s">
        <v>1294</v>
      </c>
      <c r="P1576" s="3" t="s">
        <v>69</v>
      </c>
      <c r="R1576" s="3" t="s">
        <v>9228</v>
      </c>
      <c r="S1576" s="4">
        <v>14</v>
      </c>
      <c r="T1576" s="4">
        <v>14</v>
      </c>
      <c r="U1576" s="5" t="s">
        <v>5460</v>
      </c>
      <c r="V1576" s="5" t="s">
        <v>5460</v>
      </c>
      <c r="W1576" s="5" t="s">
        <v>72</v>
      </c>
      <c r="X1576" s="5" t="s">
        <v>72</v>
      </c>
      <c r="Y1576" s="4">
        <v>643</v>
      </c>
      <c r="Z1576" s="4">
        <v>28</v>
      </c>
      <c r="AA1576" s="4">
        <v>39</v>
      </c>
      <c r="AB1576" s="4">
        <v>2</v>
      </c>
      <c r="AC1576" s="4">
        <v>2</v>
      </c>
      <c r="AD1576" s="4">
        <v>87</v>
      </c>
      <c r="AE1576" s="4">
        <v>97</v>
      </c>
      <c r="AF1576" s="4">
        <v>1</v>
      </c>
      <c r="AG1576" s="4">
        <v>1</v>
      </c>
      <c r="AH1576" s="4">
        <v>82</v>
      </c>
      <c r="AI1576" s="4">
        <v>88</v>
      </c>
      <c r="AJ1576" s="4">
        <v>9</v>
      </c>
      <c r="AK1576" s="4">
        <v>13</v>
      </c>
      <c r="AL1576" s="4">
        <v>47</v>
      </c>
      <c r="AM1576" s="4">
        <v>50</v>
      </c>
      <c r="AN1576" s="4">
        <v>0</v>
      </c>
      <c r="AO1576" s="4">
        <v>5</v>
      </c>
      <c r="AP1576" s="4">
        <v>11</v>
      </c>
      <c r="AQ1576" s="4">
        <v>15</v>
      </c>
      <c r="AR1576" s="3" t="s">
        <v>64</v>
      </c>
      <c r="AS1576" s="3" t="s">
        <v>64</v>
      </c>
      <c r="AT1576" s="3" t="s">
        <v>73</v>
      </c>
      <c r="AU1576" s="6" t="str">
        <f>HYPERLINK("http://catalog.hathitrust.org/Record/007266005","HathiTrust Record")</f>
        <v>HathiTrust Record</v>
      </c>
      <c r="AV1576" s="6" t="str">
        <f>HYPERLINK("http://mcgill.on.worldcat.org/oclc/61361634","Catalog Record")</f>
        <v>Catalog Record</v>
      </c>
      <c r="AW1576" s="6" t="str">
        <f>HYPERLINK("http://www.worldcat.org/oclc/61361634","WorldCat Record")</f>
        <v>WorldCat Record</v>
      </c>
      <c r="AX1576" s="3" t="s">
        <v>16345</v>
      </c>
      <c r="AY1576" s="3" t="s">
        <v>16346</v>
      </c>
      <c r="AZ1576" s="3" t="s">
        <v>16347</v>
      </c>
      <c r="BA1576" s="3" t="s">
        <v>16347</v>
      </c>
      <c r="BB1576" s="3" t="s">
        <v>16348</v>
      </c>
      <c r="BC1576" s="3" t="s">
        <v>78</v>
      </c>
      <c r="BD1576" s="3" t="s">
        <v>79</v>
      </c>
      <c r="BE1576" s="3" t="s">
        <v>16349</v>
      </c>
      <c r="BF1576" s="3" t="s">
        <v>16348</v>
      </c>
      <c r="BG1576" s="3" t="s">
        <v>16350</v>
      </c>
    </row>
    <row r="1577" spans="1:59" ht="58" x14ac:dyDescent="0.35">
      <c r="A1577" s="2" t="s">
        <v>59</v>
      </c>
      <c r="B1577" s="2" t="s">
        <v>94</v>
      </c>
      <c r="C1577" s="2" t="s">
        <v>16351</v>
      </c>
      <c r="D1577" s="2" t="s">
        <v>16352</v>
      </c>
      <c r="E1577" s="2" t="s">
        <v>16353</v>
      </c>
      <c r="G1577" s="3" t="s">
        <v>64</v>
      </c>
      <c r="I1577" s="3" t="s">
        <v>64</v>
      </c>
      <c r="J1577" s="3" t="s">
        <v>64</v>
      </c>
      <c r="K1577" s="3" t="s">
        <v>65</v>
      </c>
      <c r="L1577" s="2" t="s">
        <v>16354</v>
      </c>
      <c r="M1577" s="2" t="s">
        <v>16355</v>
      </c>
      <c r="N1577" s="3" t="s">
        <v>499</v>
      </c>
      <c r="P1577" s="3" t="s">
        <v>69</v>
      </c>
      <c r="Q1577" s="2" t="s">
        <v>16356</v>
      </c>
      <c r="R1577" s="3" t="s">
        <v>9228</v>
      </c>
      <c r="S1577" s="4">
        <v>11</v>
      </c>
      <c r="T1577" s="4">
        <v>11</v>
      </c>
      <c r="U1577" s="5" t="s">
        <v>16357</v>
      </c>
      <c r="V1577" s="5" t="s">
        <v>16357</v>
      </c>
      <c r="W1577" s="5" t="s">
        <v>72</v>
      </c>
      <c r="X1577" s="5" t="s">
        <v>72</v>
      </c>
      <c r="Y1577" s="4">
        <v>301</v>
      </c>
      <c r="Z1577" s="4">
        <v>19</v>
      </c>
      <c r="AA1577" s="4">
        <v>55</v>
      </c>
      <c r="AB1577" s="4">
        <v>1</v>
      </c>
      <c r="AC1577" s="4">
        <v>7</v>
      </c>
      <c r="AD1577" s="4">
        <v>97</v>
      </c>
      <c r="AE1577" s="4">
        <v>120</v>
      </c>
      <c r="AF1577" s="4">
        <v>0</v>
      </c>
      <c r="AG1577" s="4">
        <v>2</v>
      </c>
      <c r="AH1577" s="4">
        <v>87</v>
      </c>
      <c r="AI1577" s="4">
        <v>102</v>
      </c>
      <c r="AJ1577" s="4">
        <v>11</v>
      </c>
      <c r="AK1577" s="4">
        <v>16</v>
      </c>
      <c r="AL1577" s="4">
        <v>52</v>
      </c>
      <c r="AM1577" s="4">
        <v>54</v>
      </c>
      <c r="AN1577" s="4">
        <v>0</v>
      </c>
      <c r="AO1577" s="4">
        <v>0</v>
      </c>
      <c r="AP1577" s="4">
        <v>15</v>
      </c>
      <c r="AQ1577" s="4">
        <v>25</v>
      </c>
      <c r="AR1577" s="3" t="s">
        <v>64</v>
      </c>
      <c r="AS1577" s="3" t="s">
        <v>64</v>
      </c>
      <c r="AT1577" s="3" t="s">
        <v>64</v>
      </c>
      <c r="AV1577" s="6" t="str">
        <f>HYPERLINK("http://mcgill.on.worldcat.org/oclc/56840352","Catalog Record")</f>
        <v>Catalog Record</v>
      </c>
      <c r="AW1577" s="6" t="str">
        <f>HYPERLINK("http://www.worldcat.org/oclc/56840352","WorldCat Record")</f>
        <v>WorldCat Record</v>
      </c>
      <c r="AX1577" s="3" t="s">
        <v>16358</v>
      </c>
      <c r="AY1577" s="3" t="s">
        <v>16359</v>
      </c>
      <c r="AZ1577" s="3" t="s">
        <v>16360</v>
      </c>
      <c r="BA1577" s="3" t="s">
        <v>16360</v>
      </c>
      <c r="BB1577" s="3" t="s">
        <v>16361</v>
      </c>
      <c r="BC1577" s="3" t="s">
        <v>78</v>
      </c>
      <c r="BD1577" s="3" t="s">
        <v>79</v>
      </c>
      <c r="BE1577" s="3" t="s">
        <v>16362</v>
      </c>
      <c r="BF1577" s="3" t="s">
        <v>16361</v>
      </c>
      <c r="BG1577" s="3" t="s">
        <v>16363</v>
      </c>
    </row>
    <row r="1578" spans="1:59" ht="58" x14ac:dyDescent="0.35">
      <c r="A1578" s="2" t="s">
        <v>59</v>
      </c>
      <c r="B1578" s="2" t="s">
        <v>94</v>
      </c>
      <c r="C1578" s="2" t="s">
        <v>16364</v>
      </c>
      <c r="D1578" s="2" t="s">
        <v>16365</v>
      </c>
      <c r="E1578" s="2" t="s">
        <v>16366</v>
      </c>
      <c r="G1578" s="3" t="s">
        <v>64</v>
      </c>
      <c r="I1578" s="3" t="s">
        <v>64</v>
      </c>
      <c r="J1578" s="3" t="s">
        <v>64</v>
      </c>
      <c r="K1578" s="3" t="s">
        <v>65</v>
      </c>
      <c r="L1578" s="2" t="s">
        <v>16367</v>
      </c>
      <c r="M1578" s="2" t="s">
        <v>16368</v>
      </c>
      <c r="N1578" s="3" t="s">
        <v>377</v>
      </c>
      <c r="P1578" s="3" t="s">
        <v>69</v>
      </c>
      <c r="Q1578" s="2" t="s">
        <v>16369</v>
      </c>
      <c r="R1578" s="3" t="s">
        <v>9228</v>
      </c>
      <c r="S1578" s="4">
        <v>0</v>
      </c>
      <c r="T1578" s="4">
        <v>0</v>
      </c>
      <c r="W1578" s="5" t="s">
        <v>72</v>
      </c>
      <c r="X1578" s="5" t="s">
        <v>72</v>
      </c>
      <c r="Y1578" s="4">
        <v>44</v>
      </c>
      <c r="Z1578" s="4">
        <v>3</v>
      </c>
      <c r="AA1578" s="4">
        <v>3</v>
      </c>
      <c r="AB1578" s="4">
        <v>1</v>
      </c>
      <c r="AC1578" s="4">
        <v>1</v>
      </c>
      <c r="AD1578" s="4">
        <v>32</v>
      </c>
      <c r="AE1578" s="4">
        <v>32</v>
      </c>
      <c r="AF1578" s="4">
        <v>0</v>
      </c>
      <c r="AG1578" s="4">
        <v>0</v>
      </c>
      <c r="AH1578" s="4">
        <v>31</v>
      </c>
      <c r="AI1578" s="4">
        <v>31</v>
      </c>
      <c r="AJ1578" s="4">
        <v>1</v>
      </c>
      <c r="AK1578" s="4">
        <v>1</v>
      </c>
      <c r="AL1578" s="4">
        <v>24</v>
      </c>
      <c r="AM1578" s="4">
        <v>24</v>
      </c>
      <c r="AN1578" s="4">
        <v>0</v>
      </c>
      <c r="AO1578" s="4">
        <v>0</v>
      </c>
      <c r="AP1578" s="4">
        <v>1</v>
      </c>
      <c r="AQ1578" s="4">
        <v>1</v>
      </c>
      <c r="AR1578" s="3" t="s">
        <v>64</v>
      </c>
      <c r="AS1578" s="3" t="s">
        <v>64</v>
      </c>
      <c r="AT1578" s="3" t="s">
        <v>64</v>
      </c>
      <c r="AV1578" s="6" t="str">
        <f>HYPERLINK("http://mcgill.on.worldcat.org/oclc/824597240","Catalog Record")</f>
        <v>Catalog Record</v>
      </c>
      <c r="AW1578" s="6" t="str">
        <f>HYPERLINK("http://www.worldcat.org/oclc/824597240","WorldCat Record")</f>
        <v>WorldCat Record</v>
      </c>
      <c r="AX1578" s="3" t="s">
        <v>16370</v>
      </c>
      <c r="AY1578" s="3" t="s">
        <v>16371</v>
      </c>
      <c r="AZ1578" s="3" t="s">
        <v>16372</v>
      </c>
      <c r="BA1578" s="3" t="s">
        <v>16372</v>
      </c>
      <c r="BB1578" s="3" t="s">
        <v>16373</v>
      </c>
      <c r="BC1578" s="3" t="s">
        <v>78</v>
      </c>
      <c r="BD1578" s="3" t="s">
        <v>79</v>
      </c>
      <c r="BE1578" s="3" t="s">
        <v>16374</v>
      </c>
      <c r="BF1578" s="3" t="s">
        <v>16373</v>
      </c>
      <c r="BG1578" s="3" t="s">
        <v>16375</v>
      </c>
    </row>
    <row r="1579" spans="1:59" ht="58" x14ac:dyDescent="0.35">
      <c r="A1579" s="2" t="s">
        <v>59</v>
      </c>
      <c r="B1579" s="2" t="s">
        <v>94</v>
      </c>
      <c r="C1579" s="2" t="s">
        <v>16376</v>
      </c>
      <c r="D1579" s="2" t="s">
        <v>16377</v>
      </c>
      <c r="E1579" s="2" t="s">
        <v>16378</v>
      </c>
      <c r="G1579" s="3" t="s">
        <v>64</v>
      </c>
      <c r="I1579" s="3" t="s">
        <v>64</v>
      </c>
      <c r="J1579" s="3" t="s">
        <v>64</v>
      </c>
      <c r="K1579" s="3" t="s">
        <v>65</v>
      </c>
      <c r="M1579" s="2" t="s">
        <v>16379</v>
      </c>
      <c r="N1579" s="3" t="s">
        <v>449</v>
      </c>
      <c r="P1579" s="3" t="s">
        <v>69</v>
      </c>
      <c r="Q1579" s="2" t="s">
        <v>16380</v>
      </c>
      <c r="R1579" s="3" t="s">
        <v>9228</v>
      </c>
      <c r="S1579" s="4">
        <v>1</v>
      </c>
      <c r="T1579" s="4">
        <v>1</v>
      </c>
      <c r="U1579" s="5" t="s">
        <v>7580</v>
      </c>
      <c r="V1579" s="5" t="s">
        <v>7580</v>
      </c>
      <c r="W1579" s="5" t="s">
        <v>72</v>
      </c>
      <c r="X1579" s="5" t="s">
        <v>72</v>
      </c>
      <c r="Y1579" s="4">
        <v>73</v>
      </c>
      <c r="Z1579" s="4">
        <v>3</v>
      </c>
      <c r="AA1579" s="4">
        <v>3</v>
      </c>
      <c r="AB1579" s="4">
        <v>2</v>
      </c>
      <c r="AC1579" s="4">
        <v>2</v>
      </c>
      <c r="AD1579" s="4">
        <v>32</v>
      </c>
      <c r="AE1579" s="4">
        <v>32</v>
      </c>
      <c r="AF1579" s="4">
        <v>0</v>
      </c>
      <c r="AG1579" s="4">
        <v>0</v>
      </c>
      <c r="AH1579" s="4">
        <v>30</v>
      </c>
      <c r="AI1579" s="4">
        <v>30</v>
      </c>
      <c r="AJ1579" s="4">
        <v>1</v>
      </c>
      <c r="AK1579" s="4">
        <v>1</v>
      </c>
      <c r="AL1579" s="4">
        <v>21</v>
      </c>
      <c r="AM1579" s="4">
        <v>21</v>
      </c>
      <c r="AN1579" s="4">
        <v>0</v>
      </c>
      <c r="AO1579" s="4">
        <v>0</v>
      </c>
      <c r="AP1579" s="4">
        <v>1</v>
      </c>
      <c r="AQ1579" s="4">
        <v>1</v>
      </c>
      <c r="AR1579" s="3" t="s">
        <v>64</v>
      </c>
      <c r="AS1579" s="3" t="s">
        <v>64</v>
      </c>
      <c r="AT1579" s="3" t="s">
        <v>64</v>
      </c>
      <c r="AV1579" s="6" t="str">
        <f>HYPERLINK("http://mcgill.on.worldcat.org/oclc/185081982","Catalog Record")</f>
        <v>Catalog Record</v>
      </c>
      <c r="AW1579" s="6" t="str">
        <f>HYPERLINK("http://www.worldcat.org/oclc/185081982","WorldCat Record")</f>
        <v>WorldCat Record</v>
      </c>
      <c r="AX1579" s="3" t="s">
        <v>16381</v>
      </c>
      <c r="AY1579" s="3" t="s">
        <v>16382</v>
      </c>
      <c r="AZ1579" s="3" t="s">
        <v>16383</v>
      </c>
      <c r="BA1579" s="3" t="s">
        <v>16383</v>
      </c>
      <c r="BB1579" s="3" t="s">
        <v>16384</v>
      </c>
      <c r="BC1579" s="3" t="s">
        <v>78</v>
      </c>
      <c r="BD1579" s="3" t="s">
        <v>79</v>
      </c>
      <c r="BE1579" s="3" t="s">
        <v>16385</v>
      </c>
      <c r="BF1579" s="3" t="s">
        <v>16384</v>
      </c>
      <c r="BG1579" s="3" t="s">
        <v>16386</v>
      </c>
    </row>
    <row r="1580" spans="1:59" ht="58" x14ac:dyDescent="0.35">
      <c r="A1580" s="2" t="s">
        <v>59</v>
      </c>
      <c r="B1580" s="2" t="s">
        <v>94</v>
      </c>
      <c r="C1580" s="2" t="s">
        <v>16387</v>
      </c>
      <c r="D1580" s="2" t="s">
        <v>16388</v>
      </c>
      <c r="E1580" s="2" t="s">
        <v>16389</v>
      </c>
      <c r="G1580" s="3" t="s">
        <v>64</v>
      </c>
      <c r="I1580" s="3" t="s">
        <v>73</v>
      </c>
      <c r="J1580" s="3" t="s">
        <v>73</v>
      </c>
      <c r="K1580" s="3" t="s">
        <v>65</v>
      </c>
      <c r="L1580" s="2" t="s">
        <v>16390</v>
      </c>
      <c r="M1580" s="2" t="s">
        <v>16391</v>
      </c>
      <c r="N1580" s="3" t="s">
        <v>1064</v>
      </c>
      <c r="P1580" s="3" t="s">
        <v>69</v>
      </c>
      <c r="R1580" s="3" t="s">
        <v>9228</v>
      </c>
      <c r="S1580" s="4">
        <v>13</v>
      </c>
      <c r="T1580" s="4">
        <v>13</v>
      </c>
      <c r="U1580" s="5" t="s">
        <v>16392</v>
      </c>
      <c r="V1580" s="5" t="s">
        <v>16392</v>
      </c>
      <c r="W1580" s="5" t="s">
        <v>72</v>
      </c>
      <c r="X1580" s="5" t="s">
        <v>72</v>
      </c>
      <c r="Y1580" s="4">
        <v>97</v>
      </c>
      <c r="Z1580" s="4">
        <v>5</v>
      </c>
      <c r="AA1580" s="4">
        <v>11</v>
      </c>
      <c r="AB1580" s="4">
        <v>1</v>
      </c>
      <c r="AC1580" s="4">
        <v>4</v>
      </c>
      <c r="AD1580" s="4">
        <v>53</v>
      </c>
      <c r="AE1580" s="4">
        <v>87</v>
      </c>
      <c r="AF1580" s="4">
        <v>0</v>
      </c>
      <c r="AG1580" s="4">
        <v>1</v>
      </c>
      <c r="AH1580" s="4">
        <v>50</v>
      </c>
      <c r="AI1580" s="4">
        <v>81</v>
      </c>
      <c r="AJ1580" s="4">
        <v>3</v>
      </c>
      <c r="AK1580" s="4">
        <v>7</v>
      </c>
      <c r="AL1580" s="4">
        <v>34</v>
      </c>
      <c r="AM1580" s="4">
        <v>50</v>
      </c>
      <c r="AN1580" s="4">
        <v>0</v>
      </c>
      <c r="AO1580" s="4">
        <v>0</v>
      </c>
      <c r="AP1580" s="4">
        <v>3</v>
      </c>
      <c r="AQ1580" s="4">
        <v>7</v>
      </c>
      <c r="AR1580" s="3" t="s">
        <v>64</v>
      </c>
      <c r="AS1580" s="3" t="s">
        <v>64</v>
      </c>
      <c r="AT1580" s="3" t="s">
        <v>73</v>
      </c>
      <c r="AU1580" s="6" t="str">
        <f>HYPERLINK("http://catalog.hathitrust.org/Record/003445744","HathiTrust Record")</f>
        <v>HathiTrust Record</v>
      </c>
      <c r="AV1580" s="6" t="str">
        <f>HYPERLINK("http://mcgill.on.worldcat.org/oclc/41175043","Catalog Record")</f>
        <v>Catalog Record</v>
      </c>
      <c r="AW1580" s="6" t="str">
        <f>HYPERLINK("http://www.worldcat.org/oclc/41175043","WorldCat Record")</f>
        <v>WorldCat Record</v>
      </c>
      <c r="AX1580" s="3" t="s">
        <v>16393</v>
      </c>
      <c r="AY1580" s="3" t="s">
        <v>16394</v>
      </c>
      <c r="AZ1580" s="3" t="s">
        <v>16395</v>
      </c>
      <c r="BA1580" s="3" t="s">
        <v>16395</v>
      </c>
      <c r="BB1580" s="3" t="s">
        <v>16396</v>
      </c>
      <c r="BC1580" s="3" t="s">
        <v>78</v>
      </c>
      <c r="BD1580" s="3" t="s">
        <v>79</v>
      </c>
      <c r="BE1580" s="3" t="s">
        <v>16397</v>
      </c>
      <c r="BF1580" s="3" t="s">
        <v>16396</v>
      </c>
      <c r="BG1580" s="3" t="s">
        <v>16398</v>
      </c>
    </row>
    <row r="1581" spans="1:59" ht="58" x14ac:dyDescent="0.35">
      <c r="A1581" s="2" t="s">
        <v>59</v>
      </c>
      <c r="B1581" s="2" t="s">
        <v>94</v>
      </c>
      <c r="C1581" s="2" t="s">
        <v>16399</v>
      </c>
      <c r="D1581" s="2" t="s">
        <v>16400</v>
      </c>
      <c r="E1581" s="2" t="s">
        <v>16401</v>
      </c>
      <c r="G1581" s="3" t="s">
        <v>64</v>
      </c>
      <c r="I1581" s="3" t="s">
        <v>64</v>
      </c>
      <c r="J1581" s="3" t="s">
        <v>64</v>
      </c>
      <c r="K1581" s="3" t="s">
        <v>65</v>
      </c>
      <c r="L1581" s="2" t="s">
        <v>16402</v>
      </c>
      <c r="M1581" s="2" t="s">
        <v>16403</v>
      </c>
      <c r="N1581" s="3" t="s">
        <v>651</v>
      </c>
      <c r="P1581" s="3" t="s">
        <v>69</v>
      </c>
      <c r="R1581" s="3" t="s">
        <v>9228</v>
      </c>
      <c r="S1581" s="4">
        <v>13</v>
      </c>
      <c r="T1581" s="4">
        <v>13</v>
      </c>
      <c r="U1581" s="5" t="s">
        <v>16404</v>
      </c>
      <c r="V1581" s="5" t="s">
        <v>16404</v>
      </c>
      <c r="W1581" s="5" t="s">
        <v>72</v>
      </c>
      <c r="X1581" s="5" t="s">
        <v>72</v>
      </c>
      <c r="Y1581" s="4">
        <v>135</v>
      </c>
      <c r="Z1581" s="4">
        <v>9</v>
      </c>
      <c r="AA1581" s="4">
        <v>13</v>
      </c>
      <c r="AB1581" s="4">
        <v>1</v>
      </c>
      <c r="AC1581" s="4">
        <v>4</v>
      </c>
      <c r="AD1581" s="4">
        <v>59</v>
      </c>
      <c r="AE1581" s="4">
        <v>61</v>
      </c>
      <c r="AF1581" s="4">
        <v>0</v>
      </c>
      <c r="AG1581" s="4">
        <v>0</v>
      </c>
      <c r="AH1581" s="4">
        <v>55</v>
      </c>
      <c r="AI1581" s="4">
        <v>57</v>
      </c>
      <c r="AJ1581" s="4">
        <v>7</v>
      </c>
      <c r="AK1581" s="4">
        <v>8</v>
      </c>
      <c r="AL1581" s="4">
        <v>37</v>
      </c>
      <c r="AM1581" s="4">
        <v>37</v>
      </c>
      <c r="AN1581" s="4">
        <v>0</v>
      </c>
      <c r="AO1581" s="4">
        <v>0</v>
      </c>
      <c r="AP1581" s="4">
        <v>7</v>
      </c>
      <c r="AQ1581" s="4">
        <v>8</v>
      </c>
      <c r="AR1581" s="3" t="s">
        <v>64</v>
      </c>
      <c r="AS1581" s="3" t="s">
        <v>64</v>
      </c>
      <c r="AT1581" s="3" t="s">
        <v>73</v>
      </c>
      <c r="AU1581" s="6" t="str">
        <f>HYPERLINK("http://catalog.hathitrust.org/Record/004304534","HathiTrust Record")</f>
        <v>HathiTrust Record</v>
      </c>
      <c r="AV1581" s="6" t="str">
        <f>HYPERLINK("http://mcgill.on.worldcat.org/oclc/48920485","Catalog Record")</f>
        <v>Catalog Record</v>
      </c>
      <c r="AW1581" s="6" t="str">
        <f>HYPERLINK("http://www.worldcat.org/oclc/48920485","WorldCat Record")</f>
        <v>WorldCat Record</v>
      </c>
      <c r="AX1581" s="3" t="s">
        <v>16405</v>
      </c>
      <c r="AY1581" s="3" t="s">
        <v>16406</v>
      </c>
      <c r="AZ1581" s="3" t="s">
        <v>16407</v>
      </c>
      <c r="BA1581" s="3" t="s">
        <v>16407</v>
      </c>
      <c r="BB1581" s="3" t="s">
        <v>16408</v>
      </c>
      <c r="BC1581" s="3" t="s">
        <v>78</v>
      </c>
      <c r="BD1581" s="3" t="s">
        <v>79</v>
      </c>
      <c r="BE1581" s="3" t="s">
        <v>16409</v>
      </c>
      <c r="BF1581" s="3" t="s">
        <v>16408</v>
      </c>
      <c r="BG1581" s="3" t="s">
        <v>16410</v>
      </c>
    </row>
    <row r="1582" spans="1:59" ht="58" x14ac:dyDescent="0.35">
      <c r="A1582" s="2" t="s">
        <v>59</v>
      </c>
      <c r="B1582" s="2" t="s">
        <v>94</v>
      </c>
      <c r="C1582" s="2" t="s">
        <v>16411</v>
      </c>
      <c r="D1582" s="2" t="s">
        <v>16412</v>
      </c>
      <c r="E1582" s="2" t="s">
        <v>16413</v>
      </c>
      <c r="G1582" s="3" t="s">
        <v>64</v>
      </c>
      <c r="I1582" s="3" t="s">
        <v>64</v>
      </c>
      <c r="J1582" s="3" t="s">
        <v>64</v>
      </c>
      <c r="K1582" s="3" t="s">
        <v>65</v>
      </c>
      <c r="L1582" s="2" t="s">
        <v>16414</v>
      </c>
      <c r="M1582" s="2" t="s">
        <v>16415</v>
      </c>
      <c r="N1582" s="3" t="s">
        <v>274</v>
      </c>
      <c r="O1582" s="2" t="s">
        <v>1294</v>
      </c>
      <c r="P1582" s="3" t="s">
        <v>69</v>
      </c>
      <c r="R1582" s="3" t="s">
        <v>9228</v>
      </c>
      <c r="S1582" s="4">
        <v>5</v>
      </c>
      <c r="T1582" s="4">
        <v>5</v>
      </c>
      <c r="U1582" s="5" t="s">
        <v>16404</v>
      </c>
      <c r="V1582" s="5" t="s">
        <v>16404</v>
      </c>
      <c r="W1582" s="5" t="s">
        <v>72</v>
      </c>
      <c r="X1582" s="5" t="s">
        <v>72</v>
      </c>
      <c r="Y1582" s="4">
        <v>38</v>
      </c>
      <c r="Z1582" s="4">
        <v>4</v>
      </c>
      <c r="AA1582" s="4">
        <v>4</v>
      </c>
      <c r="AB1582" s="4">
        <v>1</v>
      </c>
      <c r="AC1582" s="4">
        <v>1</v>
      </c>
      <c r="AD1582" s="4">
        <v>24</v>
      </c>
      <c r="AE1582" s="4">
        <v>24</v>
      </c>
      <c r="AF1582" s="4">
        <v>0</v>
      </c>
      <c r="AG1582" s="4">
        <v>0</v>
      </c>
      <c r="AH1582" s="4">
        <v>23</v>
      </c>
      <c r="AI1582" s="4">
        <v>23</v>
      </c>
      <c r="AJ1582" s="4">
        <v>2</v>
      </c>
      <c r="AK1582" s="4">
        <v>2</v>
      </c>
      <c r="AL1582" s="4">
        <v>18</v>
      </c>
      <c r="AM1582" s="4">
        <v>18</v>
      </c>
      <c r="AN1582" s="4">
        <v>0</v>
      </c>
      <c r="AO1582" s="4">
        <v>0</v>
      </c>
      <c r="AP1582" s="4">
        <v>2</v>
      </c>
      <c r="AQ1582" s="4">
        <v>2</v>
      </c>
      <c r="AR1582" s="3" t="s">
        <v>64</v>
      </c>
      <c r="AS1582" s="3" t="s">
        <v>64</v>
      </c>
      <c r="AT1582" s="3" t="s">
        <v>73</v>
      </c>
      <c r="AU1582" s="6" t="str">
        <f>HYPERLINK("http://catalog.hathitrust.org/Record/002218115","HathiTrust Record")</f>
        <v>HathiTrust Record</v>
      </c>
      <c r="AV1582" s="6" t="str">
        <f>HYPERLINK("http://mcgill.on.worldcat.org/oclc/19369836","Catalog Record")</f>
        <v>Catalog Record</v>
      </c>
      <c r="AW1582" s="6" t="str">
        <f>HYPERLINK("http://www.worldcat.org/oclc/19369836","WorldCat Record")</f>
        <v>WorldCat Record</v>
      </c>
      <c r="AX1582" s="3" t="s">
        <v>16416</v>
      </c>
      <c r="AY1582" s="3" t="s">
        <v>16417</v>
      </c>
      <c r="AZ1582" s="3" t="s">
        <v>16418</v>
      </c>
      <c r="BA1582" s="3" t="s">
        <v>16418</v>
      </c>
      <c r="BB1582" s="3" t="s">
        <v>16419</v>
      </c>
      <c r="BC1582" s="3" t="s">
        <v>78</v>
      </c>
      <c r="BD1582" s="3" t="s">
        <v>79</v>
      </c>
      <c r="BF1582" s="3" t="s">
        <v>16419</v>
      </c>
      <c r="BG1582" s="3" t="s">
        <v>16420</v>
      </c>
    </row>
    <row r="1583" spans="1:59" ht="58" x14ac:dyDescent="0.35">
      <c r="A1583" s="2" t="s">
        <v>59</v>
      </c>
      <c r="B1583" s="2" t="s">
        <v>94</v>
      </c>
      <c r="C1583" s="2" t="s">
        <v>16421</v>
      </c>
      <c r="D1583" s="2" t="s">
        <v>16422</v>
      </c>
      <c r="E1583" s="2" t="s">
        <v>16423</v>
      </c>
      <c r="G1583" s="3" t="s">
        <v>64</v>
      </c>
      <c r="I1583" s="3" t="s">
        <v>64</v>
      </c>
      <c r="J1583" s="3" t="s">
        <v>64</v>
      </c>
      <c r="K1583" s="3" t="s">
        <v>65</v>
      </c>
      <c r="M1583" s="2" t="s">
        <v>16424</v>
      </c>
      <c r="N1583" s="3" t="s">
        <v>1320</v>
      </c>
      <c r="P1583" s="3" t="s">
        <v>69</v>
      </c>
      <c r="R1583" s="3" t="s">
        <v>9228</v>
      </c>
      <c r="S1583" s="4">
        <v>9</v>
      </c>
      <c r="T1583" s="4">
        <v>9</v>
      </c>
      <c r="U1583" s="5" t="s">
        <v>16404</v>
      </c>
      <c r="V1583" s="5" t="s">
        <v>16404</v>
      </c>
      <c r="W1583" s="5" t="s">
        <v>72</v>
      </c>
      <c r="X1583" s="5" t="s">
        <v>72</v>
      </c>
      <c r="Y1583" s="4">
        <v>31</v>
      </c>
      <c r="Z1583" s="4">
        <v>3</v>
      </c>
      <c r="AA1583" s="4">
        <v>3</v>
      </c>
      <c r="AB1583" s="4">
        <v>1</v>
      </c>
      <c r="AC1583" s="4">
        <v>1</v>
      </c>
      <c r="AD1583" s="4">
        <v>20</v>
      </c>
      <c r="AE1583" s="4">
        <v>20</v>
      </c>
      <c r="AF1583" s="4">
        <v>0</v>
      </c>
      <c r="AG1583" s="4">
        <v>0</v>
      </c>
      <c r="AH1583" s="4">
        <v>19</v>
      </c>
      <c r="AI1583" s="4">
        <v>19</v>
      </c>
      <c r="AJ1583" s="4">
        <v>1</v>
      </c>
      <c r="AK1583" s="4">
        <v>1</v>
      </c>
      <c r="AL1583" s="4">
        <v>17</v>
      </c>
      <c r="AM1583" s="4">
        <v>17</v>
      </c>
      <c r="AN1583" s="4">
        <v>0</v>
      </c>
      <c r="AO1583" s="4">
        <v>0</v>
      </c>
      <c r="AP1583" s="4">
        <v>1</v>
      </c>
      <c r="AQ1583" s="4">
        <v>1</v>
      </c>
      <c r="AR1583" s="3" t="s">
        <v>64</v>
      </c>
      <c r="AS1583" s="3" t="s">
        <v>64</v>
      </c>
      <c r="AT1583" s="3" t="s">
        <v>73</v>
      </c>
      <c r="AU1583" s="6" t="str">
        <f>HYPERLINK("http://catalog.hathitrust.org/Record/003063623","HathiTrust Record")</f>
        <v>HathiTrust Record</v>
      </c>
      <c r="AV1583" s="6" t="str">
        <f>HYPERLINK("http://mcgill.on.worldcat.org/oclc/34909772","Catalog Record")</f>
        <v>Catalog Record</v>
      </c>
      <c r="AW1583" s="6" t="str">
        <f>HYPERLINK("http://www.worldcat.org/oclc/34909772","WorldCat Record")</f>
        <v>WorldCat Record</v>
      </c>
      <c r="AX1583" s="3" t="s">
        <v>16425</v>
      </c>
      <c r="AY1583" s="3" t="s">
        <v>16426</v>
      </c>
      <c r="AZ1583" s="3" t="s">
        <v>16427</v>
      </c>
      <c r="BA1583" s="3" t="s">
        <v>16427</v>
      </c>
      <c r="BB1583" s="3" t="s">
        <v>16428</v>
      </c>
      <c r="BC1583" s="3" t="s">
        <v>78</v>
      </c>
      <c r="BD1583" s="3" t="s">
        <v>79</v>
      </c>
      <c r="BE1583" s="3" t="s">
        <v>16429</v>
      </c>
      <c r="BF1583" s="3" t="s">
        <v>16428</v>
      </c>
      <c r="BG1583" s="3" t="s">
        <v>16430</v>
      </c>
    </row>
    <row r="1584" spans="1:59" ht="58" x14ac:dyDescent="0.35">
      <c r="A1584" s="2" t="s">
        <v>59</v>
      </c>
      <c r="B1584" s="2" t="s">
        <v>94</v>
      </c>
      <c r="C1584" s="2" t="s">
        <v>16431</v>
      </c>
      <c r="D1584" s="2" t="s">
        <v>16432</v>
      </c>
      <c r="E1584" s="2" t="s">
        <v>16433</v>
      </c>
      <c r="G1584" s="3" t="s">
        <v>64</v>
      </c>
      <c r="I1584" s="3" t="s">
        <v>73</v>
      </c>
      <c r="J1584" s="3" t="s">
        <v>64</v>
      </c>
      <c r="K1584" s="3" t="s">
        <v>2292</v>
      </c>
      <c r="L1584" s="2" t="s">
        <v>16434</v>
      </c>
      <c r="M1584" s="2" t="s">
        <v>16435</v>
      </c>
      <c r="N1584" s="3" t="s">
        <v>365</v>
      </c>
      <c r="P1584" s="3" t="s">
        <v>69</v>
      </c>
      <c r="R1584" s="3" t="s">
        <v>9228</v>
      </c>
      <c r="S1584" s="4">
        <v>17</v>
      </c>
      <c r="T1584" s="4">
        <v>34</v>
      </c>
      <c r="U1584" s="5" t="s">
        <v>16436</v>
      </c>
      <c r="V1584" s="5" t="s">
        <v>8522</v>
      </c>
      <c r="W1584" s="5" t="s">
        <v>72</v>
      </c>
      <c r="X1584" s="5" t="s">
        <v>72</v>
      </c>
      <c r="Y1584" s="4">
        <v>741</v>
      </c>
      <c r="Z1584" s="4">
        <v>28</v>
      </c>
      <c r="AA1584" s="4">
        <v>39</v>
      </c>
      <c r="AB1584" s="4">
        <v>2</v>
      </c>
      <c r="AC1584" s="4">
        <v>5</v>
      </c>
      <c r="AD1584" s="4">
        <v>117</v>
      </c>
      <c r="AE1584" s="4">
        <v>125</v>
      </c>
      <c r="AF1584" s="4">
        <v>1</v>
      </c>
      <c r="AG1584" s="4">
        <v>3</v>
      </c>
      <c r="AH1584" s="4">
        <v>103</v>
      </c>
      <c r="AI1584" s="4">
        <v>108</v>
      </c>
      <c r="AJ1584" s="4">
        <v>16</v>
      </c>
      <c r="AK1584" s="4">
        <v>19</v>
      </c>
      <c r="AL1584" s="4">
        <v>57</v>
      </c>
      <c r="AM1584" s="4">
        <v>58</v>
      </c>
      <c r="AN1584" s="4">
        <v>0</v>
      </c>
      <c r="AO1584" s="4">
        <v>0</v>
      </c>
      <c r="AP1584" s="4">
        <v>21</v>
      </c>
      <c r="AQ1584" s="4">
        <v>24</v>
      </c>
      <c r="AR1584" s="3" t="s">
        <v>64</v>
      </c>
      <c r="AS1584" s="3" t="s">
        <v>64</v>
      </c>
      <c r="AT1584" s="3" t="s">
        <v>73</v>
      </c>
      <c r="AU1584" s="6" t="str">
        <f>HYPERLINK("http://catalog.hathitrust.org/Record/000350151","HathiTrust Record")</f>
        <v>HathiTrust Record</v>
      </c>
      <c r="AV1584" s="6" t="str">
        <f>HYPERLINK("http://mcgill.on.worldcat.org/oclc/11812496","Catalog Record")</f>
        <v>Catalog Record</v>
      </c>
      <c r="AW1584" s="6" t="str">
        <f>HYPERLINK("http://www.worldcat.org/oclc/11812496","WorldCat Record")</f>
        <v>WorldCat Record</v>
      </c>
      <c r="AX1584" s="3" t="s">
        <v>16437</v>
      </c>
      <c r="AY1584" s="3" t="s">
        <v>16438</v>
      </c>
      <c r="AZ1584" s="3" t="s">
        <v>16439</v>
      </c>
      <c r="BA1584" s="3" t="s">
        <v>16439</v>
      </c>
      <c r="BB1584" s="3" t="s">
        <v>16440</v>
      </c>
      <c r="BC1584" s="3" t="s">
        <v>78</v>
      </c>
      <c r="BD1584" s="3" t="s">
        <v>79</v>
      </c>
      <c r="BE1584" s="3" t="s">
        <v>16441</v>
      </c>
      <c r="BF1584" s="3" t="s">
        <v>16440</v>
      </c>
      <c r="BG1584" s="3" t="s">
        <v>16442</v>
      </c>
    </row>
    <row r="1585" spans="1:59" ht="58" x14ac:dyDescent="0.35">
      <c r="A1585" s="2" t="s">
        <v>59</v>
      </c>
      <c r="B1585" s="2" t="s">
        <v>94</v>
      </c>
      <c r="C1585" s="2" t="s">
        <v>16431</v>
      </c>
      <c r="D1585" s="2" t="s">
        <v>16432</v>
      </c>
      <c r="E1585" s="2" t="s">
        <v>16433</v>
      </c>
      <c r="G1585" s="3" t="s">
        <v>64</v>
      </c>
      <c r="I1585" s="3" t="s">
        <v>73</v>
      </c>
      <c r="J1585" s="3" t="s">
        <v>64</v>
      </c>
      <c r="K1585" s="3" t="s">
        <v>2292</v>
      </c>
      <c r="L1585" s="2" t="s">
        <v>16434</v>
      </c>
      <c r="M1585" s="2" t="s">
        <v>16435</v>
      </c>
      <c r="N1585" s="3" t="s">
        <v>365</v>
      </c>
      <c r="P1585" s="3" t="s">
        <v>69</v>
      </c>
      <c r="R1585" s="3" t="s">
        <v>9228</v>
      </c>
      <c r="S1585" s="4">
        <v>15</v>
      </c>
      <c r="T1585" s="4">
        <v>34</v>
      </c>
      <c r="U1585" s="5" t="s">
        <v>8522</v>
      </c>
      <c r="V1585" s="5" t="s">
        <v>8522</v>
      </c>
      <c r="W1585" s="5" t="s">
        <v>72</v>
      </c>
      <c r="X1585" s="5" t="s">
        <v>72</v>
      </c>
      <c r="Y1585" s="4">
        <v>741</v>
      </c>
      <c r="Z1585" s="4">
        <v>28</v>
      </c>
      <c r="AA1585" s="4">
        <v>39</v>
      </c>
      <c r="AB1585" s="4">
        <v>2</v>
      </c>
      <c r="AC1585" s="4">
        <v>5</v>
      </c>
      <c r="AD1585" s="4">
        <v>117</v>
      </c>
      <c r="AE1585" s="4">
        <v>125</v>
      </c>
      <c r="AF1585" s="4">
        <v>1</v>
      </c>
      <c r="AG1585" s="4">
        <v>3</v>
      </c>
      <c r="AH1585" s="4">
        <v>103</v>
      </c>
      <c r="AI1585" s="4">
        <v>108</v>
      </c>
      <c r="AJ1585" s="4">
        <v>16</v>
      </c>
      <c r="AK1585" s="4">
        <v>19</v>
      </c>
      <c r="AL1585" s="4">
        <v>57</v>
      </c>
      <c r="AM1585" s="4">
        <v>58</v>
      </c>
      <c r="AN1585" s="4">
        <v>0</v>
      </c>
      <c r="AO1585" s="4">
        <v>0</v>
      </c>
      <c r="AP1585" s="4">
        <v>21</v>
      </c>
      <c r="AQ1585" s="4">
        <v>24</v>
      </c>
      <c r="AR1585" s="3" t="s">
        <v>64</v>
      </c>
      <c r="AS1585" s="3" t="s">
        <v>64</v>
      </c>
      <c r="AT1585" s="3" t="s">
        <v>73</v>
      </c>
      <c r="AU1585" s="6" t="str">
        <f>HYPERLINK("http://catalog.hathitrust.org/Record/000350151","HathiTrust Record")</f>
        <v>HathiTrust Record</v>
      </c>
      <c r="AV1585" s="6" t="str">
        <f>HYPERLINK("http://mcgill.on.worldcat.org/oclc/11812496","Catalog Record")</f>
        <v>Catalog Record</v>
      </c>
      <c r="AW1585" s="6" t="str">
        <f>HYPERLINK("http://www.worldcat.org/oclc/11812496","WorldCat Record")</f>
        <v>WorldCat Record</v>
      </c>
      <c r="AX1585" s="3" t="s">
        <v>16437</v>
      </c>
      <c r="AY1585" s="3" t="s">
        <v>16438</v>
      </c>
      <c r="AZ1585" s="3" t="s">
        <v>16439</v>
      </c>
      <c r="BA1585" s="3" t="s">
        <v>16439</v>
      </c>
      <c r="BB1585" s="3" t="s">
        <v>16443</v>
      </c>
      <c r="BC1585" s="3" t="s">
        <v>78</v>
      </c>
      <c r="BD1585" s="3" t="s">
        <v>79</v>
      </c>
      <c r="BE1585" s="3" t="s">
        <v>16441</v>
      </c>
      <c r="BF1585" s="3" t="s">
        <v>16443</v>
      </c>
      <c r="BG1585" s="3" t="s">
        <v>16444</v>
      </c>
    </row>
    <row r="1586" spans="1:59" ht="58" x14ac:dyDescent="0.35">
      <c r="A1586" s="2" t="s">
        <v>59</v>
      </c>
      <c r="B1586" s="2" t="s">
        <v>94</v>
      </c>
      <c r="C1586" s="2" t="s">
        <v>16445</v>
      </c>
      <c r="D1586" s="2" t="s">
        <v>16446</v>
      </c>
      <c r="E1586" s="2" t="s">
        <v>16447</v>
      </c>
      <c r="G1586" s="3" t="s">
        <v>64</v>
      </c>
      <c r="I1586" s="3" t="s">
        <v>64</v>
      </c>
      <c r="J1586" s="3" t="s">
        <v>64</v>
      </c>
      <c r="K1586" s="3" t="s">
        <v>65</v>
      </c>
      <c r="M1586" s="2" t="s">
        <v>16448</v>
      </c>
      <c r="N1586" s="3" t="s">
        <v>1029</v>
      </c>
      <c r="P1586" s="3" t="s">
        <v>69</v>
      </c>
      <c r="Q1586" s="2" t="s">
        <v>16449</v>
      </c>
      <c r="R1586" s="3" t="s">
        <v>9228</v>
      </c>
      <c r="S1586" s="4">
        <v>2</v>
      </c>
      <c r="T1586" s="4">
        <v>2</v>
      </c>
      <c r="U1586" s="5" t="s">
        <v>1313</v>
      </c>
      <c r="V1586" s="5" t="s">
        <v>1313</v>
      </c>
      <c r="W1586" s="5" t="s">
        <v>72</v>
      </c>
      <c r="X1586" s="5" t="s">
        <v>72</v>
      </c>
      <c r="Y1586" s="4">
        <v>142</v>
      </c>
      <c r="Z1586" s="4">
        <v>12</v>
      </c>
      <c r="AA1586" s="4">
        <v>14</v>
      </c>
      <c r="AB1586" s="4">
        <v>3</v>
      </c>
      <c r="AC1586" s="4">
        <v>3</v>
      </c>
      <c r="AD1586" s="4">
        <v>74</v>
      </c>
      <c r="AE1586" s="4">
        <v>78</v>
      </c>
      <c r="AF1586" s="4">
        <v>1</v>
      </c>
      <c r="AG1586" s="4">
        <v>1</v>
      </c>
      <c r="AH1586" s="4">
        <v>70</v>
      </c>
      <c r="AI1586" s="4">
        <v>73</v>
      </c>
      <c r="AJ1586" s="4">
        <v>8</v>
      </c>
      <c r="AK1586" s="4">
        <v>10</v>
      </c>
      <c r="AL1586" s="4">
        <v>41</v>
      </c>
      <c r="AM1586" s="4">
        <v>42</v>
      </c>
      <c r="AN1586" s="4">
        <v>0</v>
      </c>
      <c r="AO1586" s="4">
        <v>0</v>
      </c>
      <c r="AP1586" s="4">
        <v>9</v>
      </c>
      <c r="AQ1586" s="4">
        <v>11</v>
      </c>
      <c r="AR1586" s="3" t="s">
        <v>64</v>
      </c>
      <c r="AS1586" s="3" t="s">
        <v>64</v>
      </c>
      <c r="AT1586" s="3" t="s">
        <v>64</v>
      </c>
      <c r="AV1586" s="6" t="str">
        <f>HYPERLINK("http://mcgill.on.worldcat.org/oclc/383822208","Catalog Record")</f>
        <v>Catalog Record</v>
      </c>
      <c r="AW1586" s="6" t="str">
        <f>HYPERLINK("http://www.worldcat.org/oclc/383822208","WorldCat Record")</f>
        <v>WorldCat Record</v>
      </c>
      <c r="AX1586" s="3" t="s">
        <v>16450</v>
      </c>
      <c r="AY1586" s="3" t="s">
        <v>16451</v>
      </c>
      <c r="AZ1586" s="3" t="s">
        <v>16452</v>
      </c>
      <c r="BA1586" s="3" t="s">
        <v>16452</v>
      </c>
      <c r="BB1586" s="3" t="s">
        <v>16453</v>
      </c>
      <c r="BC1586" s="3" t="s">
        <v>78</v>
      </c>
      <c r="BD1586" s="3" t="s">
        <v>79</v>
      </c>
      <c r="BE1586" s="3" t="s">
        <v>16454</v>
      </c>
      <c r="BF1586" s="3" t="s">
        <v>16453</v>
      </c>
      <c r="BG1586" s="3" t="s">
        <v>16455</v>
      </c>
    </row>
    <row r="1587" spans="1:59" ht="58" x14ac:dyDescent="0.35">
      <c r="A1587" s="2" t="s">
        <v>59</v>
      </c>
      <c r="B1587" s="2" t="s">
        <v>94</v>
      </c>
      <c r="C1587" s="2" t="s">
        <v>16456</v>
      </c>
      <c r="D1587" s="2" t="s">
        <v>16457</v>
      </c>
      <c r="E1587" s="2" t="s">
        <v>16458</v>
      </c>
      <c r="G1587" s="3" t="s">
        <v>64</v>
      </c>
      <c r="I1587" s="3" t="s">
        <v>64</v>
      </c>
      <c r="J1587" s="3" t="s">
        <v>64</v>
      </c>
      <c r="K1587" s="3" t="s">
        <v>65</v>
      </c>
      <c r="L1587" s="2" t="s">
        <v>16459</v>
      </c>
      <c r="M1587" s="2" t="s">
        <v>1142</v>
      </c>
      <c r="N1587" s="3" t="s">
        <v>68</v>
      </c>
      <c r="P1587" s="3" t="s">
        <v>69</v>
      </c>
      <c r="Q1587" s="2" t="s">
        <v>6961</v>
      </c>
      <c r="R1587" s="3" t="s">
        <v>9228</v>
      </c>
      <c r="S1587" s="4">
        <v>3</v>
      </c>
      <c r="T1587" s="4">
        <v>3</v>
      </c>
      <c r="U1587" s="5" t="s">
        <v>16357</v>
      </c>
      <c r="V1587" s="5" t="s">
        <v>16357</v>
      </c>
      <c r="W1587" s="5" t="s">
        <v>72</v>
      </c>
      <c r="X1587" s="5" t="s">
        <v>72</v>
      </c>
      <c r="Y1587" s="4">
        <v>126</v>
      </c>
      <c r="Z1587" s="4">
        <v>6</v>
      </c>
      <c r="AA1587" s="4">
        <v>9</v>
      </c>
      <c r="AB1587" s="4">
        <v>1</v>
      </c>
      <c r="AC1587" s="4">
        <v>4</v>
      </c>
      <c r="AD1587" s="4">
        <v>50</v>
      </c>
      <c r="AE1587" s="4">
        <v>51</v>
      </c>
      <c r="AF1587" s="4">
        <v>0</v>
      </c>
      <c r="AG1587" s="4">
        <v>0</v>
      </c>
      <c r="AH1587" s="4">
        <v>48</v>
      </c>
      <c r="AI1587" s="4">
        <v>49</v>
      </c>
      <c r="AJ1587" s="4">
        <v>4</v>
      </c>
      <c r="AK1587" s="4">
        <v>4</v>
      </c>
      <c r="AL1587" s="4">
        <v>30</v>
      </c>
      <c r="AM1587" s="4">
        <v>30</v>
      </c>
      <c r="AN1587" s="4">
        <v>0</v>
      </c>
      <c r="AO1587" s="4">
        <v>0</v>
      </c>
      <c r="AP1587" s="4">
        <v>4</v>
      </c>
      <c r="AQ1587" s="4">
        <v>4</v>
      </c>
      <c r="AR1587" s="3" t="s">
        <v>64</v>
      </c>
      <c r="AS1587" s="3" t="s">
        <v>64</v>
      </c>
      <c r="AT1587" s="3" t="s">
        <v>64</v>
      </c>
      <c r="AV1587" s="6" t="str">
        <f>HYPERLINK("http://mcgill.on.worldcat.org/oclc/61240598","Catalog Record")</f>
        <v>Catalog Record</v>
      </c>
      <c r="AW1587" s="6" t="str">
        <f>HYPERLINK("http://www.worldcat.org/oclc/61240598","WorldCat Record")</f>
        <v>WorldCat Record</v>
      </c>
      <c r="AX1587" s="3" t="s">
        <v>16460</v>
      </c>
      <c r="AY1587" s="3" t="s">
        <v>16461</v>
      </c>
      <c r="AZ1587" s="3" t="s">
        <v>16462</v>
      </c>
      <c r="BA1587" s="3" t="s">
        <v>16462</v>
      </c>
      <c r="BB1587" s="3" t="s">
        <v>16463</v>
      </c>
      <c r="BC1587" s="3" t="s">
        <v>78</v>
      </c>
      <c r="BD1587" s="3" t="s">
        <v>79</v>
      </c>
      <c r="BE1587" s="3" t="s">
        <v>16464</v>
      </c>
      <c r="BF1587" s="3" t="s">
        <v>16463</v>
      </c>
      <c r="BG1587" s="3" t="s">
        <v>16465</v>
      </c>
    </row>
    <row r="1588" spans="1:59" ht="58" x14ac:dyDescent="0.35">
      <c r="A1588" s="2" t="s">
        <v>59</v>
      </c>
      <c r="B1588" s="2" t="s">
        <v>94</v>
      </c>
      <c r="C1588" s="2" t="s">
        <v>16466</v>
      </c>
      <c r="D1588" s="2" t="s">
        <v>16467</v>
      </c>
      <c r="E1588" s="2" t="s">
        <v>16468</v>
      </c>
      <c r="G1588" s="3" t="s">
        <v>64</v>
      </c>
      <c r="I1588" s="3" t="s">
        <v>64</v>
      </c>
      <c r="J1588" s="3" t="s">
        <v>64</v>
      </c>
      <c r="K1588" s="3" t="s">
        <v>65</v>
      </c>
      <c r="M1588" s="2" t="s">
        <v>16469</v>
      </c>
      <c r="N1588" s="3" t="s">
        <v>328</v>
      </c>
      <c r="P1588" s="3" t="s">
        <v>69</v>
      </c>
      <c r="Q1588" s="2" t="s">
        <v>16470</v>
      </c>
      <c r="R1588" s="3" t="s">
        <v>9228</v>
      </c>
      <c r="S1588" s="4">
        <v>0</v>
      </c>
      <c r="T1588" s="4">
        <v>0</v>
      </c>
      <c r="W1588" s="5" t="s">
        <v>72</v>
      </c>
      <c r="X1588" s="5" t="s">
        <v>72</v>
      </c>
      <c r="Y1588" s="4">
        <v>107</v>
      </c>
      <c r="Z1588" s="4">
        <v>4</v>
      </c>
      <c r="AA1588" s="4">
        <v>6</v>
      </c>
      <c r="AB1588" s="4">
        <v>1</v>
      </c>
      <c r="AC1588" s="4">
        <v>1</v>
      </c>
      <c r="AD1588" s="4">
        <v>50</v>
      </c>
      <c r="AE1588" s="4">
        <v>56</v>
      </c>
      <c r="AF1588" s="4">
        <v>0</v>
      </c>
      <c r="AG1588" s="4">
        <v>0</v>
      </c>
      <c r="AH1588" s="4">
        <v>49</v>
      </c>
      <c r="AI1588" s="4">
        <v>54</v>
      </c>
      <c r="AJ1588" s="4">
        <v>2</v>
      </c>
      <c r="AK1588" s="4">
        <v>4</v>
      </c>
      <c r="AL1588" s="4">
        <v>29</v>
      </c>
      <c r="AM1588" s="4">
        <v>31</v>
      </c>
      <c r="AN1588" s="4">
        <v>0</v>
      </c>
      <c r="AO1588" s="4">
        <v>0</v>
      </c>
      <c r="AP1588" s="4">
        <v>2</v>
      </c>
      <c r="AQ1588" s="4">
        <v>4</v>
      </c>
      <c r="AR1588" s="3" t="s">
        <v>64</v>
      </c>
      <c r="AS1588" s="3" t="s">
        <v>64</v>
      </c>
      <c r="AT1588" s="3" t="s">
        <v>64</v>
      </c>
      <c r="AV1588" s="6" t="str">
        <f>HYPERLINK("http://mcgill.on.worldcat.org/oclc/709666446","Catalog Record")</f>
        <v>Catalog Record</v>
      </c>
      <c r="AW1588" s="6" t="str">
        <f>HYPERLINK("http://www.worldcat.org/oclc/709666446","WorldCat Record")</f>
        <v>WorldCat Record</v>
      </c>
      <c r="AX1588" s="3" t="s">
        <v>16471</v>
      </c>
      <c r="AY1588" s="3" t="s">
        <v>16472</v>
      </c>
      <c r="AZ1588" s="3" t="s">
        <v>16473</v>
      </c>
      <c r="BA1588" s="3" t="s">
        <v>16473</v>
      </c>
      <c r="BB1588" s="3" t="s">
        <v>16474</v>
      </c>
      <c r="BC1588" s="3" t="s">
        <v>78</v>
      </c>
      <c r="BD1588" s="3" t="s">
        <v>79</v>
      </c>
      <c r="BE1588" s="3" t="s">
        <v>16475</v>
      </c>
      <c r="BF1588" s="3" t="s">
        <v>16474</v>
      </c>
      <c r="BG1588" s="3" t="s">
        <v>16476</v>
      </c>
    </row>
    <row r="1589" spans="1:59" ht="58" x14ac:dyDescent="0.35">
      <c r="A1589" s="2" t="s">
        <v>59</v>
      </c>
      <c r="B1589" s="2" t="s">
        <v>94</v>
      </c>
      <c r="C1589" s="2" t="s">
        <v>16477</v>
      </c>
      <c r="D1589" s="2" t="s">
        <v>16478</v>
      </c>
      <c r="E1589" s="2" t="s">
        <v>16479</v>
      </c>
      <c r="G1589" s="3" t="s">
        <v>64</v>
      </c>
      <c r="I1589" s="3" t="s">
        <v>64</v>
      </c>
      <c r="J1589" s="3" t="s">
        <v>64</v>
      </c>
      <c r="K1589" s="3" t="s">
        <v>65</v>
      </c>
      <c r="L1589" s="2" t="s">
        <v>16480</v>
      </c>
      <c r="M1589" s="2" t="s">
        <v>16481</v>
      </c>
      <c r="N1589" s="3" t="s">
        <v>136</v>
      </c>
      <c r="P1589" s="3" t="s">
        <v>69</v>
      </c>
      <c r="Q1589" s="2" t="s">
        <v>15306</v>
      </c>
      <c r="R1589" s="3" t="s">
        <v>9228</v>
      </c>
      <c r="S1589" s="4">
        <v>6</v>
      </c>
      <c r="T1589" s="4">
        <v>6</v>
      </c>
      <c r="U1589" s="5" t="s">
        <v>1313</v>
      </c>
      <c r="V1589" s="5" t="s">
        <v>1313</v>
      </c>
      <c r="W1589" s="5" t="s">
        <v>72</v>
      </c>
      <c r="X1589" s="5" t="s">
        <v>72</v>
      </c>
      <c r="Y1589" s="4">
        <v>220</v>
      </c>
      <c r="Z1589" s="4">
        <v>10</v>
      </c>
      <c r="AA1589" s="4">
        <v>12</v>
      </c>
      <c r="AB1589" s="4">
        <v>1</v>
      </c>
      <c r="AC1589" s="4">
        <v>1</v>
      </c>
      <c r="AD1589" s="4">
        <v>90</v>
      </c>
      <c r="AE1589" s="4">
        <v>93</v>
      </c>
      <c r="AF1589" s="4">
        <v>0</v>
      </c>
      <c r="AG1589" s="4">
        <v>0</v>
      </c>
      <c r="AH1589" s="4">
        <v>88</v>
      </c>
      <c r="AI1589" s="4">
        <v>89</v>
      </c>
      <c r="AJ1589" s="4">
        <v>8</v>
      </c>
      <c r="AK1589" s="4">
        <v>10</v>
      </c>
      <c r="AL1589" s="4">
        <v>46</v>
      </c>
      <c r="AM1589" s="4">
        <v>46</v>
      </c>
      <c r="AN1589" s="4">
        <v>0</v>
      </c>
      <c r="AO1589" s="4">
        <v>0</v>
      </c>
      <c r="AP1589" s="4">
        <v>8</v>
      </c>
      <c r="AQ1589" s="4">
        <v>9</v>
      </c>
      <c r="AR1589" s="3" t="s">
        <v>64</v>
      </c>
      <c r="AS1589" s="3" t="s">
        <v>64</v>
      </c>
      <c r="AT1589" s="3" t="s">
        <v>64</v>
      </c>
      <c r="AV1589" s="6" t="str">
        <f>HYPERLINK("http://mcgill.on.worldcat.org/oclc/44818602","Catalog Record")</f>
        <v>Catalog Record</v>
      </c>
      <c r="AW1589" s="6" t="str">
        <f>HYPERLINK("http://www.worldcat.org/oclc/44818602","WorldCat Record")</f>
        <v>WorldCat Record</v>
      </c>
      <c r="AX1589" s="3" t="s">
        <v>16482</v>
      </c>
      <c r="AY1589" s="3" t="s">
        <v>16483</v>
      </c>
      <c r="AZ1589" s="3" t="s">
        <v>16484</v>
      </c>
      <c r="BA1589" s="3" t="s">
        <v>16484</v>
      </c>
      <c r="BB1589" s="3" t="s">
        <v>16485</v>
      </c>
      <c r="BC1589" s="3" t="s">
        <v>78</v>
      </c>
      <c r="BD1589" s="3" t="s">
        <v>79</v>
      </c>
      <c r="BE1589" s="3" t="s">
        <v>16486</v>
      </c>
      <c r="BF1589" s="3" t="s">
        <v>16485</v>
      </c>
      <c r="BG1589" s="3" t="s">
        <v>16487</v>
      </c>
    </row>
    <row r="1590" spans="1:59" ht="116" x14ac:dyDescent="0.35">
      <c r="A1590" s="2" t="s">
        <v>59</v>
      </c>
      <c r="B1590" s="2" t="s">
        <v>3778</v>
      </c>
      <c r="C1590" s="2" t="s">
        <v>16488</v>
      </c>
      <c r="D1590" s="2" t="s">
        <v>16489</v>
      </c>
      <c r="E1590" s="2" t="s">
        <v>16490</v>
      </c>
      <c r="F1590" s="3" t="s">
        <v>388</v>
      </c>
      <c r="G1590" s="3" t="s">
        <v>73</v>
      </c>
      <c r="I1590" s="3" t="s">
        <v>64</v>
      </c>
      <c r="J1590" s="3" t="s">
        <v>64</v>
      </c>
      <c r="K1590" s="3" t="s">
        <v>65</v>
      </c>
      <c r="M1590" s="2" t="s">
        <v>16491</v>
      </c>
      <c r="N1590" s="3" t="s">
        <v>175</v>
      </c>
      <c r="O1590" s="2" t="s">
        <v>16492</v>
      </c>
      <c r="P1590" s="3" t="s">
        <v>3784</v>
      </c>
      <c r="Q1590" s="2" t="s">
        <v>16493</v>
      </c>
      <c r="R1590" s="3" t="s">
        <v>9228</v>
      </c>
      <c r="S1590" s="4">
        <v>0</v>
      </c>
      <c r="T1590" s="4">
        <v>0</v>
      </c>
      <c r="W1590" s="5" t="s">
        <v>72</v>
      </c>
      <c r="X1590" s="5" t="s">
        <v>72</v>
      </c>
      <c r="Y1590" s="4">
        <v>21</v>
      </c>
      <c r="Z1590" s="4">
        <v>2</v>
      </c>
      <c r="AA1590" s="4">
        <v>2</v>
      </c>
      <c r="AB1590" s="4">
        <v>1</v>
      </c>
      <c r="AC1590" s="4">
        <v>1</v>
      </c>
      <c r="AD1590" s="4">
        <v>17</v>
      </c>
      <c r="AE1590" s="4">
        <v>18</v>
      </c>
      <c r="AF1590" s="4">
        <v>0</v>
      </c>
      <c r="AG1590" s="4">
        <v>0</v>
      </c>
      <c r="AH1590" s="4">
        <v>16</v>
      </c>
      <c r="AI1590" s="4">
        <v>17</v>
      </c>
      <c r="AJ1590" s="4">
        <v>1</v>
      </c>
      <c r="AK1590" s="4">
        <v>1</v>
      </c>
      <c r="AL1590" s="4">
        <v>13</v>
      </c>
      <c r="AM1590" s="4">
        <v>14</v>
      </c>
      <c r="AN1590" s="4">
        <v>0</v>
      </c>
      <c r="AO1590" s="4">
        <v>0</v>
      </c>
      <c r="AP1590" s="4">
        <v>1</v>
      </c>
      <c r="AQ1590" s="4">
        <v>1</v>
      </c>
      <c r="AR1590" s="3" t="s">
        <v>64</v>
      </c>
      <c r="AS1590" s="3" t="s">
        <v>64</v>
      </c>
      <c r="AT1590" s="3" t="s">
        <v>73</v>
      </c>
      <c r="AU1590" s="6" t="str">
        <f>HYPERLINK("http://catalog.hathitrust.org/Record/102214376","HathiTrust Record")</f>
        <v>HathiTrust Record</v>
      </c>
      <c r="AV1590" s="6" t="str">
        <f>HYPERLINK("http://mcgill.on.worldcat.org/oclc/903940001","Catalog Record")</f>
        <v>Catalog Record</v>
      </c>
      <c r="AW1590" s="6" t="str">
        <f>HYPERLINK("http://www.worldcat.org/oclc/903940001","WorldCat Record")</f>
        <v>WorldCat Record</v>
      </c>
      <c r="AX1590" s="3" t="s">
        <v>16494</v>
      </c>
      <c r="AY1590" s="3" t="s">
        <v>16495</v>
      </c>
      <c r="AZ1590" s="3" t="s">
        <v>16496</v>
      </c>
      <c r="BA1590" s="3" t="s">
        <v>16496</v>
      </c>
      <c r="BB1590" s="3" t="s">
        <v>16497</v>
      </c>
      <c r="BC1590" s="3" t="s">
        <v>78</v>
      </c>
      <c r="BD1590" s="3" t="s">
        <v>79</v>
      </c>
      <c r="BE1590" s="3" t="s">
        <v>16498</v>
      </c>
      <c r="BF1590" s="3" t="s">
        <v>16497</v>
      </c>
      <c r="BG1590" s="3" t="s">
        <v>16499</v>
      </c>
    </row>
    <row r="1591" spans="1:59" ht="116" x14ac:dyDescent="0.35">
      <c r="A1591" s="2" t="s">
        <v>59</v>
      </c>
      <c r="B1591" s="2" t="s">
        <v>3778</v>
      </c>
      <c r="C1591" s="2" t="s">
        <v>16488</v>
      </c>
      <c r="D1591" s="2" t="s">
        <v>16489</v>
      </c>
      <c r="E1591" s="2" t="s">
        <v>16490</v>
      </c>
      <c r="F1591" s="3" t="s">
        <v>399</v>
      </c>
      <c r="G1591" s="3" t="s">
        <v>73</v>
      </c>
      <c r="I1591" s="3" t="s">
        <v>64</v>
      </c>
      <c r="J1591" s="3" t="s">
        <v>64</v>
      </c>
      <c r="K1591" s="3" t="s">
        <v>65</v>
      </c>
      <c r="M1591" s="2" t="s">
        <v>16491</v>
      </c>
      <c r="N1591" s="3" t="s">
        <v>175</v>
      </c>
      <c r="O1591" s="2" t="s">
        <v>16492</v>
      </c>
      <c r="P1591" s="3" t="s">
        <v>3784</v>
      </c>
      <c r="Q1591" s="2" t="s">
        <v>16493</v>
      </c>
      <c r="R1591" s="3" t="s">
        <v>9228</v>
      </c>
      <c r="S1591" s="4">
        <v>0</v>
      </c>
      <c r="T1591" s="4">
        <v>0</v>
      </c>
      <c r="W1591" s="5" t="s">
        <v>72</v>
      </c>
      <c r="X1591" s="5" t="s">
        <v>72</v>
      </c>
      <c r="Y1591" s="4">
        <v>21</v>
      </c>
      <c r="Z1591" s="4">
        <v>2</v>
      </c>
      <c r="AA1591" s="4">
        <v>2</v>
      </c>
      <c r="AB1591" s="4">
        <v>1</v>
      </c>
      <c r="AC1591" s="4">
        <v>1</v>
      </c>
      <c r="AD1591" s="4">
        <v>17</v>
      </c>
      <c r="AE1591" s="4">
        <v>18</v>
      </c>
      <c r="AF1591" s="4">
        <v>0</v>
      </c>
      <c r="AG1591" s="4">
        <v>0</v>
      </c>
      <c r="AH1591" s="4">
        <v>16</v>
      </c>
      <c r="AI1591" s="4">
        <v>17</v>
      </c>
      <c r="AJ1591" s="4">
        <v>1</v>
      </c>
      <c r="AK1591" s="4">
        <v>1</v>
      </c>
      <c r="AL1591" s="4">
        <v>13</v>
      </c>
      <c r="AM1591" s="4">
        <v>14</v>
      </c>
      <c r="AN1591" s="4">
        <v>0</v>
      </c>
      <c r="AO1591" s="4">
        <v>0</v>
      </c>
      <c r="AP1591" s="4">
        <v>1</v>
      </c>
      <c r="AQ1591" s="4">
        <v>1</v>
      </c>
      <c r="AR1591" s="3" t="s">
        <v>64</v>
      </c>
      <c r="AS1591" s="3" t="s">
        <v>64</v>
      </c>
      <c r="AT1591" s="3" t="s">
        <v>73</v>
      </c>
      <c r="AU1591" s="6" t="str">
        <f>HYPERLINK("http://catalog.hathitrust.org/Record/102214376","HathiTrust Record")</f>
        <v>HathiTrust Record</v>
      </c>
      <c r="AV1591" s="6" t="str">
        <f>HYPERLINK("http://mcgill.on.worldcat.org/oclc/903940001","Catalog Record")</f>
        <v>Catalog Record</v>
      </c>
      <c r="AW1591" s="6" t="str">
        <f>HYPERLINK("http://www.worldcat.org/oclc/903940001","WorldCat Record")</f>
        <v>WorldCat Record</v>
      </c>
      <c r="AX1591" s="3" t="s">
        <v>16494</v>
      </c>
      <c r="AY1591" s="3" t="s">
        <v>16495</v>
      </c>
      <c r="AZ1591" s="3" t="s">
        <v>16496</v>
      </c>
      <c r="BA1591" s="3" t="s">
        <v>16496</v>
      </c>
      <c r="BB1591" s="3" t="s">
        <v>16500</v>
      </c>
      <c r="BC1591" s="3" t="s">
        <v>78</v>
      </c>
      <c r="BD1591" s="3" t="s">
        <v>79</v>
      </c>
      <c r="BE1591" s="3" t="s">
        <v>16498</v>
      </c>
      <c r="BF1591" s="3" t="s">
        <v>16500</v>
      </c>
      <c r="BG1591" s="3" t="s">
        <v>16501</v>
      </c>
    </row>
    <row r="1592" spans="1:59" ht="58" x14ac:dyDescent="0.35">
      <c r="A1592" s="2" t="s">
        <v>59</v>
      </c>
      <c r="B1592" s="2" t="s">
        <v>94</v>
      </c>
      <c r="C1592" s="2" t="s">
        <v>16502</v>
      </c>
      <c r="D1592" s="2" t="s">
        <v>16503</v>
      </c>
      <c r="E1592" s="2" t="s">
        <v>16504</v>
      </c>
      <c r="G1592" s="3" t="s">
        <v>64</v>
      </c>
      <c r="I1592" s="3" t="s">
        <v>64</v>
      </c>
      <c r="J1592" s="3" t="s">
        <v>64</v>
      </c>
      <c r="K1592" s="3" t="s">
        <v>65</v>
      </c>
      <c r="L1592" s="2" t="s">
        <v>16505</v>
      </c>
      <c r="M1592" s="2" t="s">
        <v>16506</v>
      </c>
      <c r="N1592" s="3" t="s">
        <v>2116</v>
      </c>
      <c r="P1592" s="3" t="s">
        <v>69</v>
      </c>
      <c r="Q1592" s="2" t="s">
        <v>16507</v>
      </c>
      <c r="R1592" s="3" t="s">
        <v>9228</v>
      </c>
      <c r="S1592" s="4">
        <v>10</v>
      </c>
      <c r="T1592" s="4">
        <v>10</v>
      </c>
      <c r="U1592" s="5" t="s">
        <v>16508</v>
      </c>
      <c r="V1592" s="5" t="s">
        <v>16508</v>
      </c>
      <c r="W1592" s="5" t="s">
        <v>72</v>
      </c>
      <c r="X1592" s="5" t="s">
        <v>72</v>
      </c>
      <c r="Y1592" s="4">
        <v>368</v>
      </c>
      <c r="Z1592" s="4">
        <v>26</v>
      </c>
      <c r="AA1592" s="4">
        <v>26</v>
      </c>
      <c r="AB1592" s="4">
        <v>1</v>
      </c>
      <c r="AC1592" s="4">
        <v>1</v>
      </c>
      <c r="AD1592" s="4">
        <v>90</v>
      </c>
      <c r="AE1592" s="4">
        <v>90</v>
      </c>
      <c r="AF1592" s="4">
        <v>0</v>
      </c>
      <c r="AG1592" s="4">
        <v>0</v>
      </c>
      <c r="AH1592" s="4">
        <v>79</v>
      </c>
      <c r="AI1592" s="4">
        <v>79</v>
      </c>
      <c r="AJ1592" s="4">
        <v>15</v>
      </c>
      <c r="AK1592" s="4">
        <v>15</v>
      </c>
      <c r="AL1592" s="4">
        <v>45</v>
      </c>
      <c r="AM1592" s="4">
        <v>45</v>
      </c>
      <c r="AN1592" s="4">
        <v>0</v>
      </c>
      <c r="AO1592" s="4">
        <v>0</v>
      </c>
      <c r="AP1592" s="4">
        <v>20</v>
      </c>
      <c r="AQ1592" s="4">
        <v>20</v>
      </c>
      <c r="AR1592" s="3" t="s">
        <v>64</v>
      </c>
      <c r="AS1592" s="3" t="s">
        <v>64</v>
      </c>
      <c r="AT1592" s="3" t="s">
        <v>73</v>
      </c>
      <c r="AU1592" s="6" t="str">
        <f>HYPERLINK("http://catalog.hathitrust.org/Record/000720492","HathiTrust Record")</f>
        <v>HathiTrust Record</v>
      </c>
      <c r="AV1592" s="6" t="str">
        <f>HYPERLINK("http://mcgill.on.worldcat.org/oclc/1818114","Catalog Record")</f>
        <v>Catalog Record</v>
      </c>
      <c r="AW1592" s="6" t="str">
        <f>HYPERLINK("http://www.worldcat.org/oclc/1818114","WorldCat Record")</f>
        <v>WorldCat Record</v>
      </c>
      <c r="AX1592" s="3" t="s">
        <v>16509</v>
      </c>
      <c r="AY1592" s="3" t="s">
        <v>16510</v>
      </c>
      <c r="AZ1592" s="3" t="s">
        <v>16511</v>
      </c>
      <c r="BA1592" s="3" t="s">
        <v>16511</v>
      </c>
      <c r="BB1592" s="3" t="s">
        <v>16512</v>
      </c>
      <c r="BC1592" s="3" t="s">
        <v>78</v>
      </c>
      <c r="BD1592" s="3" t="s">
        <v>79</v>
      </c>
      <c r="BE1592" s="3" t="s">
        <v>16513</v>
      </c>
      <c r="BF1592" s="3" t="s">
        <v>16512</v>
      </c>
      <c r="BG1592" s="3" t="s">
        <v>16514</v>
      </c>
    </row>
    <row r="1593" spans="1:59" ht="58" x14ac:dyDescent="0.35">
      <c r="A1593" s="2" t="s">
        <v>59</v>
      </c>
      <c r="B1593" s="2" t="s">
        <v>94</v>
      </c>
      <c r="C1593" s="2" t="s">
        <v>16515</v>
      </c>
      <c r="D1593" s="2" t="s">
        <v>16516</v>
      </c>
      <c r="E1593" s="2" t="s">
        <v>16517</v>
      </c>
      <c r="G1593" s="3" t="s">
        <v>64</v>
      </c>
      <c r="I1593" s="3" t="s">
        <v>64</v>
      </c>
      <c r="J1593" s="3" t="s">
        <v>64</v>
      </c>
      <c r="K1593" s="3" t="s">
        <v>65</v>
      </c>
      <c r="L1593" s="2" t="s">
        <v>16518</v>
      </c>
      <c r="M1593" s="2" t="s">
        <v>16519</v>
      </c>
      <c r="N1593" s="3" t="s">
        <v>315</v>
      </c>
      <c r="P1593" s="3" t="s">
        <v>69</v>
      </c>
      <c r="R1593" s="3" t="s">
        <v>9228</v>
      </c>
      <c r="S1593" s="4">
        <v>12</v>
      </c>
      <c r="T1593" s="4">
        <v>12</v>
      </c>
      <c r="U1593" s="5" t="s">
        <v>16508</v>
      </c>
      <c r="V1593" s="5" t="s">
        <v>16508</v>
      </c>
      <c r="W1593" s="5" t="s">
        <v>72</v>
      </c>
      <c r="X1593" s="5" t="s">
        <v>72</v>
      </c>
      <c r="Y1593" s="4">
        <v>187</v>
      </c>
      <c r="Z1593" s="4">
        <v>13</v>
      </c>
      <c r="AA1593" s="4">
        <v>14</v>
      </c>
      <c r="AB1593" s="4">
        <v>1</v>
      </c>
      <c r="AC1593" s="4">
        <v>2</v>
      </c>
      <c r="AD1593" s="4">
        <v>62</v>
      </c>
      <c r="AE1593" s="4">
        <v>65</v>
      </c>
      <c r="AF1593" s="4">
        <v>0</v>
      </c>
      <c r="AG1593" s="4">
        <v>0</v>
      </c>
      <c r="AH1593" s="4">
        <v>54</v>
      </c>
      <c r="AI1593" s="4">
        <v>57</v>
      </c>
      <c r="AJ1593" s="4">
        <v>8</v>
      </c>
      <c r="AK1593" s="4">
        <v>8</v>
      </c>
      <c r="AL1593" s="4">
        <v>37</v>
      </c>
      <c r="AM1593" s="4">
        <v>38</v>
      </c>
      <c r="AN1593" s="4">
        <v>0</v>
      </c>
      <c r="AO1593" s="4">
        <v>0</v>
      </c>
      <c r="AP1593" s="4">
        <v>9</v>
      </c>
      <c r="AQ1593" s="4">
        <v>9</v>
      </c>
      <c r="AR1593" s="3" t="s">
        <v>64</v>
      </c>
      <c r="AS1593" s="3" t="s">
        <v>64</v>
      </c>
      <c r="AT1593" s="3" t="s">
        <v>73</v>
      </c>
      <c r="AU1593" s="6" t="str">
        <f>HYPERLINK("http://catalog.hathitrust.org/Record/001074245","HathiTrust Record")</f>
        <v>HathiTrust Record</v>
      </c>
      <c r="AV1593" s="6" t="str">
        <f>HYPERLINK("http://mcgill.on.worldcat.org/oclc/17931553","Catalog Record")</f>
        <v>Catalog Record</v>
      </c>
      <c r="AW1593" s="6" t="str">
        <f>HYPERLINK("http://www.worldcat.org/oclc/17931553","WorldCat Record")</f>
        <v>WorldCat Record</v>
      </c>
      <c r="AX1593" s="3" t="s">
        <v>16520</v>
      </c>
      <c r="AY1593" s="3" t="s">
        <v>16521</v>
      </c>
      <c r="AZ1593" s="3" t="s">
        <v>16522</v>
      </c>
      <c r="BA1593" s="3" t="s">
        <v>16522</v>
      </c>
      <c r="BB1593" s="3" t="s">
        <v>16523</v>
      </c>
      <c r="BC1593" s="3" t="s">
        <v>78</v>
      </c>
      <c r="BD1593" s="3" t="s">
        <v>79</v>
      </c>
      <c r="BE1593" s="3" t="s">
        <v>16524</v>
      </c>
      <c r="BF1593" s="3" t="s">
        <v>16523</v>
      </c>
      <c r="BG1593" s="3" t="s">
        <v>16525</v>
      </c>
    </row>
    <row r="1594" spans="1:59" ht="58" x14ac:dyDescent="0.35">
      <c r="A1594" s="2" t="s">
        <v>59</v>
      </c>
      <c r="B1594" s="2" t="s">
        <v>94</v>
      </c>
      <c r="C1594" s="2" t="s">
        <v>16526</v>
      </c>
      <c r="D1594" s="2" t="s">
        <v>16527</v>
      </c>
      <c r="E1594" s="2" t="s">
        <v>16528</v>
      </c>
      <c r="G1594" s="3" t="s">
        <v>64</v>
      </c>
      <c r="I1594" s="3" t="s">
        <v>64</v>
      </c>
      <c r="J1594" s="3" t="s">
        <v>64</v>
      </c>
      <c r="K1594" s="3" t="s">
        <v>65</v>
      </c>
      <c r="L1594" s="2" t="s">
        <v>16529</v>
      </c>
      <c r="M1594" s="2" t="s">
        <v>16530</v>
      </c>
      <c r="N1594" s="3" t="s">
        <v>861</v>
      </c>
      <c r="P1594" s="3" t="s">
        <v>69</v>
      </c>
      <c r="Q1594" s="2" t="s">
        <v>2178</v>
      </c>
      <c r="R1594" s="3" t="s">
        <v>9228</v>
      </c>
      <c r="S1594" s="4">
        <v>15</v>
      </c>
      <c r="T1594" s="4">
        <v>15</v>
      </c>
      <c r="U1594" s="5" t="s">
        <v>11705</v>
      </c>
      <c r="V1594" s="5" t="s">
        <v>11705</v>
      </c>
      <c r="W1594" s="5" t="s">
        <v>72</v>
      </c>
      <c r="X1594" s="5" t="s">
        <v>72</v>
      </c>
      <c r="Y1594" s="4">
        <v>87</v>
      </c>
      <c r="Z1594" s="4">
        <v>3</v>
      </c>
      <c r="AA1594" s="4">
        <v>20</v>
      </c>
      <c r="AB1594" s="4">
        <v>2</v>
      </c>
      <c r="AC1594" s="4">
        <v>4</v>
      </c>
      <c r="AD1594" s="4">
        <v>9</v>
      </c>
      <c r="AE1594" s="4">
        <v>101</v>
      </c>
      <c r="AF1594" s="4">
        <v>0</v>
      </c>
      <c r="AG1594" s="4">
        <v>1</v>
      </c>
      <c r="AH1594" s="4">
        <v>9</v>
      </c>
      <c r="AI1594" s="4">
        <v>90</v>
      </c>
      <c r="AJ1594" s="4">
        <v>1</v>
      </c>
      <c r="AK1594" s="4">
        <v>9</v>
      </c>
      <c r="AL1594" s="4">
        <v>3</v>
      </c>
      <c r="AM1594" s="4">
        <v>55</v>
      </c>
      <c r="AN1594" s="4">
        <v>0</v>
      </c>
      <c r="AO1594" s="4">
        <v>0</v>
      </c>
      <c r="AP1594" s="4">
        <v>1</v>
      </c>
      <c r="AQ1594" s="4">
        <v>13</v>
      </c>
      <c r="AR1594" s="3" t="s">
        <v>64</v>
      </c>
      <c r="AS1594" s="3" t="s">
        <v>64</v>
      </c>
      <c r="AT1594" s="3" t="s">
        <v>64</v>
      </c>
      <c r="AV1594" s="6" t="str">
        <f>HYPERLINK("http://mcgill.on.worldcat.org/oclc/55078123","Catalog Record")</f>
        <v>Catalog Record</v>
      </c>
      <c r="AW1594" s="6" t="str">
        <f>HYPERLINK("http://www.worldcat.org/oclc/55078123","WorldCat Record")</f>
        <v>WorldCat Record</v>
      </c>
      <c r="AX1594" s="3" t="s">
        <v>16531</v>
      </c>
      <c r="AY1594" s="3" t="s">
        <v>16532</v>
      </c>
      <c r="AZ1594" s="3" t="s">
        <v>16533</v>
      </c>
      <c r="BA1594" s="3" t="s">
        <v>16533</v>
      </c>
      <c r="BB1594" s="3" t="s">
        <v>16534</v>
      </c>
      <c r="BC1594" s="3" t="s">
        <v>78</v>
      </c>
      <c r="BD1594" s="3" t="s">
        <v>79</v>
      </c>
      <c r="BE1594" s="3" t="s">
        <v>16535</v>
      </c>
      <c r="BF1594" s="3" t="s">
        <v>16534</v>
      </c>
      <c r="BG1594" s="3" t="s">
        <v>16536</v>
      </c>
    </row>
    <row r="1595" spans="1:59" ht="58" x14ac:dyDescent="0.35">
      <c r="A1595" s="2" t="s">
        <v>59</v>
      </c>
      <c r="B1595" s="2" t="s">
        <v>94</v>
      </c>
      <c r="C1595" s="2" t="s">
        <v>16537</v>
      </c>
      <c r="D1595" s="2" t="s">
        <v>16538</v>
      </c>
      <c r="E1595" s="2" t="s">
        <v>16539</v>
      </c>
      <c r="G1595" s="3" t="s">
        <v>64</v>
      </c>
      <c r="I1595" s="3" t="s">
        <v>64</v>
      </c>
      <c r="J1595" s="3" t="s">
        <v>64</v>
      </c>
      <c r="K1595" s="3" t="s">
        <v>65</v>
      </c>
      <c r="L1595" s="2" t="s">
        <v>16540</v>
      </c>
      <c r="M1595" s="2" t="s">
        <v>16541</v>
      </c>
      <c r="N1595" s="3" t="s">
        <v>689</v>
      </c>
      <c r="P1595" s="3" t="s">
        <v>69</v>
      </c>
      <c r="R1595" s="3" t="s">
        <v>9228</v>
      </c>
      <c r="S1595" s="4">
        <v>3</v>
      </c>
      <c r="T1595" s="4">
        <v>3</v>
      </c>
      <c r="U1595" s="5" t="s">
        <v>5957</v>
      </c>
      <c r="V1595" s="5" t="s">
        <v>5957</v>
      </c>
      <c r="W1595" s="5" t="s">
        <v>72</v>
      </c>
      <c r="X1595" s="5" t="s">
        <v>72</v>
      </c>
      <c r="Y1595" s="4">
        <v>35</v>
      </c>
      <c r="Z1595" s="4">
        <v>3</v>
      </c>
      <c r="AA1595" s="4">
        <v>3</v>
      </c>
      <c r="AB1595" s="4">
        <v>1</v>
      </c>
      <c r="AC1595" s="4">
        <v>1</v>
      </c>
      <c r="AD1595" s="4">
        <v>23</v>
      </c>
      <c r="AE1595" s="4">
        <v>23</v>
      </c>
      <c r="AF1595" s="4">
        <v>0</v>
      </c>
      <c r="AG1595" s="4">
        <v>0</v>
      </c>
      <c r="AH1595" s="4">
        <v>22</v>
      </c>
      <c r="AI1595" s="4">
        <v>22</v>
      </c>
      <c r="AJ1595" s="4">
        <v>1</v>
      </c>
      <c r="AK1595" s="4">
        <v>1</v>
      </c>
      <c r="AL1595" s="4">
        <v>19</v>
      </c>
      <c r="AM1595" s="4">
        <v>19</v>
      </c>
      <c r="AN1595" s="4">
        <v>0</v>
      </c>
      <c r="AO1595" s="4">
        <v>0</v>
      </c>
      <c r="AP1595" s="4">
        <v>1</v>
      </c>
      <c r="AQ1595" s="4">
        <v>1</v>
      </c>
      <c r="AR1595" s="3" t="s">
        <v>64</v>
      </c>
      <c r="AS1595" s="3" t="s">
        <v>64</v>
      </c>
      <c r="AT1595" s="3" t="s">
        <v>73</v>
      </c>
      <c r="AU1595" s="6" t="str">
        <f>HYPERLINK("http://catalog.hathitrust.org/Record/002700296","HathiTrust Record")</f>
        <v>HathiTrust Record</v>
      </c>
      <c r="AV1595" s="6" t="str">
        <f>HYPERLINK("http://mcgill.on.worldcat.org/oclc/24475799","Catalog Record")</f>
        <v>Catalog Record</v>
      </c>
      <c r="AW1595" s="6" t="str">
        <f>HYPERLINK("http://www.worldcat.org/oclc/24475799","WorldCat Record")</f>
        <v>WorldCat Record</v>
      </c>
      <c r="AX1595" s="3" t="s">
        <v>16542</v>
      </c>
      <c r="AY1595" s="3" t="s">
        <v>16543</v>
      </c>
      <c r="AZ1595" s="3" t="s">
        <v>16544</v>
      </c>
      <c r="BA1595" s="3" t="s">
        <v>16544</v>
      </c>
      <c r="BB1595" s="3" t="s">
        <v>16545</v>
      </c>
      <c r="BC1595" s="3" t="s">
        <v>78</v>
      </c>
      <c r="BD1595" s="3" t="s">
        <v>79</v>
      </c>
      <c r="BE1595" s="3" t="s">
        <v>16546</v>
      </c>
      <c r="BF1595" s="3" t="s">
        <v>16545</v>
      </c>
      <c r="BG1595" s="3" t="s">
        <v>16547</v>
      </c>
    </row>
    <row r="1596" spans="1:59" ht="58" x14ac:dyDescent="0.35">
      <c r="A1596" s="2" t="s">
        <v>59</v>
      </c>
      <c r="B1596" s="2" t="s">
        <v>94</v>
      </c>
      <c r="C1596" s="2" t="s">
        <v>16548</v>
      </c>
      <c r="D1596" s="2" t="s">
        <v>16549</v>
      </c>
      <c r="E1596" s="2" t="s">
        <v>16550</v>
      </c>
      <c r="G1596" s="3" t="s">
        <v>64</v>
      </c>
      <c r="I1596" s="3" t="s">
        <v>64</v>
      </c>
      <c r="J1596" s="3" t="s">
        <v>64</v>
      </c>
      <c r="K1596" s="3" t="s">
        <v>65</v>
      </c>
      <c r="L1596" s="2" t="s">
        <v>6464</v>
      </c>
      <c r="M1596" s="2" t="s">
        <v>16551</v>
      </c>
      <c r="N1596" s="3" t="s">
        <v>274</v>
      </c>
      <c r="O1596" s="2" t="s">
        <v>1294</v>
      </c>
      <c r="P1596" s="3" t="s">
        <v>69</v>
      </c>
      <c r="R1596" s="3" t="s">
        <v>9228</v>
      </c>
      <c r="S1596" s="4">
        <v>9</v>
      </c>
      <c r="T1596" s="4">
        <v>9</v>
      </c>
      <c r="U1596" s="5" t="s">
        <v>5774</v>
      </c>
      <c r="V1596" s="5" t="s">
        <v>5774</v>
      </c>
      <c r="W1596" s="5" t="s">
        <v>72</v>
      </c>
      <c r="X1596" s="5" t="s">
        <v>72</v>
      </c>
      <c r="Y1596" s="4">
        <v>232</v>
      </c>
      <c r="Z1596" s="4">
        <v>18</v>
      </c>
      <c r="AA1596" s="4">
        <v>19</v>
      </c>
      <c r="AB1596" s="4">
        <v>2</v>
      </c>
      <c r="AC1596" s="4">
        <v>3</v>
      </c>
      <c r="AD1596" s="4">
        <v>86</v>
      </c>
      <c r="AE1596" s="4">
        <v>87</v>
      </c>
      <c r="AF1596" s="4">
        <v>1</v>
      </c>
      <c r="AG1596" s="4">
        <v>2</v>
      </c>
      <c r="AH1596" s="4">
        <v>75</v>
      </c>
      <c r="AI1596" s="4">
        <v>75</v>
      </c>
      <c r="AJ1596" s="4">
        <v>11</v>
      </c>
      <c r="AK1596" s="4">
        <v>12</v>
      </c>
      <c r="AL1596" s="4">
        <v>45</v>
      </c>
      <c r="AM1596" s="4">
        <v>45</v>
      </c>
      <c r="AN1596" s="4">
        <v>0</v>
      </c>
      <c r="AO1596" s="4">
        <v>0</v>
      </c>
      <c r="AP1596" s="4">
        <v>14</v>
      </c>
      <c r="AQ1596" s="4">
        <v>15</v>
      </c>
      <c r="AR1596" s="3" t="s">
        <v>64</v>
      </c>
      <c r="AS1596" s="3" t="s">
        <v>64</v>
      </c>
      <c r="AT1596" s="3" t="s">
        <v>73</v>
      </c>
      <c r="AU1596" s="6" t="str">
        <f>HYPERLINK("http://catalog.hathitrust.org/Record/000912538","HathiTrust Record")</f>
        <v>HathiTrust Record</v>
      </c>
      <c r="AV1596" s="6" t="str">
        <f>HYPERLINK("http://mcgill.on.worldcat.org/oclc/16873865","Catalog Record")</f>
        <v>Catalog Record</v>
      </c>
      <c r="AW1596" s="6" t="str">
        <f>HYPERLINK("http://www.worldcat.org/oclc/16873865","WorldCat Record")</f>
        <v>WorldCat Record</v>
      </c>
      <c r="AX1596" s="3" t="s">
        <v>16552</v>
      </c>
      <c r="AY1596" s="3" t="s">
        <v>16553</v>
      </c>
      <c r="AZ1596" s="3" t="s">
        <v>16554</v>
      </c>
      <c r="BA1596" s="3" t="s">
        <v>16554</v>
      </c>
      <c r="BB1596" s="3" t="s">
        <v>16555</v>
      </c>
      <c r="BC1596" s="3" t="s">
        <v>78</v>
      </c>
      <c r="BD1596" s="3" t="s">
        <v>79</v>
      </c>
      <c r="BE1596" s="3" t="s">
        <v>16556</v>
      </c>
      <c r="BF1596" s="3" t="s">
        <v>16555</v>
      </c>
      <c r="BG1596" s="3" t="s">
        <v>16557</v>
      </c>
    </row>
    <row r="1597" spans="1:59" ht="58" x14ac:dyDescent="0.35">
      <c r="A1597" s="2" t="s">
        <v>59</v>
      </c>
      <c r="B1597" s="2" t="s">
        <v>94</v>
      </c>
      <c r="C1597" s="2" t="s">
        <v>16558</v>
      </c>
      <c r="D1597" s="2" t="s">
        <v>16559</v>
      </c>
      <c r="E1597" s="2" t="s">
        <v>16560</v>
      </c>
      <c r="G1597" s="3" t="s">
        <v>64</v>
      </c>
      <c r="I1597" s="3" t="s">
        <v>64</v>
      </c>
      <c r="J1597" s="3" t="s">
        <v>64</v>
      </c>
      <c r="K1597" s="3" t="s">
        <v>65</v>
      </c>
      <c r="L1597" s="2" t="s">
        <v>16561</v>
      </c>
      <c r="M1597" s="2" t="s">
        <v>16562</v>
      </c>
      <c r="N1597" s="3" t="s">
        <v>1064</v>
      </c>
      <c r="P1597" s="3" t="s">
        <v>69</v>
      </c>
      <c r="Q1597" s="2" t="s">
        <v>16563</v>
      </c>
      <c r="R1597" s="3" t="s">
        <v>9228</v>
      </c>
      <c r="S1597" s="4">
        <v>7</v>
      </c>
      <c r="T1597" s="4">
        <v>7</v>
      </c>
      <c r="U1597" s="5" t="s">
        <v>16564</v>
      </c>
      <c r="V1597" s="5" t="s">
        <v>16564</v>
      </c>
      <c r="W1597" s="5" t="s">
        <v>72</v>
      </c>
      <c r="X1597" s="5" t="s">
        <v>72</v>
      </c>
      <c r="Y1597" s="4">
        <v>233</v>
      </c>
      <c r="Z1597" s="4">
        <v>12</v>
      </c>
      <c r="AA1597" s="4">
        <v>12</v>
      </c>
      <c r="AB1597" s="4">
        <v>1</v>
      </c>
      <c r="AC1597" s="4">
        <v>1</v>
      </c>
      <c r="AD1597" s="4">
        <v>88</v>
      </c>
      <c r="AE1597" s="4">
        <v>89</v>
      </c>
      <c r="AF1597" s="4">
        <v>0</v>
      </c>
      <c r="AG1597" s="4">
        <v>0</v>
      </c>
      <c r="AH1597" s="4">
        <v>80</v>
      </c>
      <c r="AI1597" s="4">
        <v>81</v>
      </c>
      <c r="AJ1597" s="4">
        <v>8</v>
      </c>
      <c r="AK1597" s="4">
        <v>8</v>
      </c>
      <c r="AL1597" s="4">
        <v>47</v>
      </c>
      <c r="AM1597" s="4">
        <v>47</v>
      </c>
      <c r="AN1597" s="4">
        <v>0</v>
      </c>
      <c r="AO1597" s="4">
        <v>0</v>
      </c>
      <c r="AP1597" s="4">
        <v>10</v>
      </c>
      <c r="AQ1597" s="4">
        <v>10</v>
      </c>
      <c r="AR1597" s="3" t="s">
        <v>64</v>
      </c>
      <c r="AS1597" s="3" t="s">
        <v>64</v>
      </c>
      <c r="AT1597" s="3" t="s">
        <v>73</v>
      </c>
      <c r="AU1597" s="6" t="str">
        <f>HYPERLINK("http://catalog.hathitrust.org/Record/004060525","HathiTrust Record")</f>
        <v>HathiTrust Record</v>
      </c>
      <c r="AV1597" s="6" t="str">
        <f>HYPERLINK("http://mcgill.on.worldcat.org/oclc/41076298","Catalog Record")</f>
        <v>Catalog Record</v>
      </c>
      <c r="AW1597" s="6" t="str">
        <f>HYPERLINK("http://www.worldcat.org/oclc/41076298","WorldCat Record")</f>
        <v>WorldCat Record</v>
      </c>
      <c r="AX1597" s="3" t="s">
        <v>16565</v>
      </c>
      <c r="AY1597" s="3" t="s">
        <v>16566</v>
      </c>
      <c r="AZ1597" s="3" t="s">
        <v>16567</v>
      </c>
      <c r="BA1597" s="3" t="s">
        <v>16567</v>
      </c>
      <c r="BB1597" s="3" t="s">
        <v>16568</v>
      </c>
      <c r="BC1597" s="3" t="s">
        <v>78</v>
      </c>
      <c r="BD1597" s="3" t="s">
        <v>79</v>
      </c>
      <c r="BE1597" s="3" t="s">
        <v>16569</v>
      </c>
      <c r="BF1597" s="3" t="s">
        <v>16568</v>
      </c>
      <c r="BG1597" s="3" t="s">
        <v>16570</v>
      </c>
    </row>
    <row r="1598" spans="1:59" ht="58" x14ac:dyDescent="0.35">
      <c r="A1598" s="2" t="s">
        <v>59</v>
      </c>
      <c r="B1598" s="2" t="s">
        <v>94</v>
      </c>
      <c r="C1598" s="2" t="s">
        <v>16571</v>
      </c>
      <c r="D1598" s="2" t="s">
        <v>16572</v>
      </c>
      <c r="E1598" s="2" t="s">
        <v>16573</v>
      </c>
      <c r="G1598" s="3" t="s">
        <v>64</v>
      </c>
      <c r="I1598" s="3" t="s">
        <v>64</v>
      </c>
      <c r="J1598" s="3" t="s">
        <v>64</v>
      </c>
      <c r="K1598" s="3" t="s">
        <v>65</v>
      </c>
      <c r="L1598" s="2" t="s">
        <v>16574</v>
      </c>
      <c r="M1598" s="2" t="s">
        <v>16575</v>
      </c>
      <c r="N1598" s="3" t="s">
        <v>214</v>
      </c>
      <c r="P1598" s="3" t="s">
        <v>69</v>
      </c>
      <c r="R1598" s="3" t="s">
        <v>9228</v>
      </c>
      <c r="S1598" s="4">
        <v>8</v>
      </c>
      <c r="T1598" s="4">
        <v>8</v>
      </c>
      <c r="U1598" s="5" t="s">
        <v>16576</v>
      </c>
      <c r="V1598" s="5" t="s">
        <v>16576</v>
      </c>
      <c r="W1598" s="5" t="s">
        <v>72</v>
      </c>
      <c r="X1598" s="5" t="s">
        <v>72</v>
      </c>
      <c r="Y1598" s="4">
        <v>233</v>
      </c>
      <c r="Z1598" s="4">
        <v>22</v>
      </c>
      <c r="AA1598" s="4">
        <v>80</v>
      </c>
      <c r="AB1598" s="4">
        <v>2</v>
      </c>
      <c r="AC1598" s="4">
        <v>14</v>
      </c>
      <c r="AD1598" s="4">
        <v>71</v>
      </c>
      <c r="AE1598" s="4">
        <v>120</v>
      </c>
      <c r="AF1598" s="4">
        <v>1</v>
      </c>
      <c r="AG1598" s="4">
        <v>8</v>
      </c>
      <c r="AH1598" s="4">
        <v>61</v>
      </c>
      <c r="AI1598" s="4">
        <v>87</v>
      </c>
      <c r="AJ1598" s="4">
        <v>10</v>
      </c>
      <c r="AK1598" s="4">
        <v>21</v>
      </c>
      <c r="AL1598" s="4">
        <v>39</v>
      </c>
      <c r="AM1598" s="4">
        <v>49</v>
      </c>
      <c r="AN1598" s="4">
        <v>0</v>
      </c>
      <c r="AO1598" s="4">
        <v>0</v>
      </c>
      <c r="AP1598" s="4">
        <v>16</v>
      </c>
      <c r="AQ1598" s="4">
        <v>40</v>
      </c>
      <c r="AR1598" s="3" t="s">
        <v>64</v>
      </c>
      <c r="AS1598" s="3" t="s">
        <v>64</v>
      </c>
      <c r="AT1598" s="3" t="s">
        <v>64</v>
      </c>
      <c r="AV1598" s="6" t="str">
        <f>HYPERLINK("http://mcgill.on.worldcat.org/oclc/505423772","Catalog Record")</f>
        <v>Catalog Record</v>
      </c>
      <c r="AW1598" s="6" t="str">
        <f>HYPERLINK("http://www.worldcat.org/oclc/505423772","WorldCat Record")</f>
        <v>WorldCat Record</v>
      </c>
      <c r="AX1598" s="3" t="s">
        <v>16577</v>
      </c>
      <c r="AY1598" s="3" t="s">
        <v>16578</v>
      </c>
      <c r="AZ1598" s="3" t="s">
        <v>16579</v>
      </c>
      <c r="BA1598" s="3" t="s">
        <v>16579</v>
      </c>
      <c r="BB1598" s="3" t="s">
        <v>16580</v>
      </c>
      <c r="BC1598" s="3" t="s">
        <v>78</v>
      </c>
      <c r="BD1598" s="3" t="s">
        <v>79</v>
      </c>
      <c r="BE1598" s="3" t="s">
        <v>16581</v>
      </c>
      <c r="BF1598" s="3" t="s">
        <v>16580</v>
      </c>
      <c r="BG1598" s="3" t="s">
        <v>16582</v>
      </c>
    </row>
    <row r="1599" spans="1:59" ht="58" x14ac:dyDescent="0.35">
      <c r="A1599" s="2" t="s">
        <v>59</v>
      </c>
      <c r="B1599" s="2" t="s">
        <v>94</v>
      </c>
      <c r="C1599" s="2" t="s">
        <v>16583</v>
      </c>
      <c r="D1599" s="2" t="s">
        <v>16584</v>
      </c>
      <c r="E1599" s="2" t="s">
        <v>16585</v>
      </c>
      <c r="G1599" s="3" t="s">
        <v>64</v>
      </c>
      <c r="I1599" s="3" t="s">
        <v>64</v>
      </c>
      <c r="J1599" s="3" t="s">
        <v>64</v>
      </c>
      <c r="K1599" s="3" t="s">
        <v>65</v>
      </c>
      <c r="L1599" s="2" t="s">
        <v>16586</v>
      </c>
      <c r="M1599" s="2" t="s">
        <v>16587</v>
      </c>
      <c r="N1599" s="3" t="s">
        <v>719</v>
      </c>
      <c r="P1599" s="3" t="s">
        <v>69</v>
      </c>
      <c r="Q1599" s="2" t="s">
        <v>16588</v>
      </c>
      <c r="R1599" s="3" t="s">
        <v>9228</v>
      </c>
      <c r="S1599" s="4">
        <v>22</v>
      </c>
      <c r="T1599" s="4">
        <v>22</v>
      </c>
      <c r="U1599" s="5" t="s">
        <v>16589</v>
      </c>
      <c r="V1599" s="5" t="s">
        <v>16589</v>
      </c>
      <c r="W1599" s="5" t="s">
        <v>72</v>
      </c>
      <c r="X1599" s="5" t="s">
        <v>72</v>
      </c>
      <c r="Y1599" s="4">
        <v>202</v>
      </c>
      <c r="Z1599" s="4">
        <v>16</v>
      </c>
      <c r="AA1599" s="4">
        <v>16</v>
      </c>
      <c r="AB1599" s="4">
        <v>1</v>
      </c>
      <c r="AC1599" s="4">
        <v>1</v>
      </c>
      <c r="AD1599" s="4">
        <v>78</v>
      </c>
      <c r="AE1599" s="4">
        <v>79</v>
      </c>
      <c r="AF1599" s="4">
        <v>0</v>
      </c>
      <c r="AG1599" s="4">
        <v>0</v>
      </c>
      <c r="AH1599" s="4">
        <v>72</v>
      </c>
      <c r="AI1599" s="4">
        <v>73</v>
      </c>
      <c r="AJ1599" s="4">
        <v>12</v>
      </c>
      <c r="AK1599" s="4">
        <v>12</v>
      </c>
      <c r="AL1599" s="4">
        <v>41</v>
      </c>
      <c r="AM1599" s="4">
        <v>42</v>
      </c>
      <c r="AN1599" s="4">
        <v>0</v>
      </c>
      <c r="AO1599" s="4">
        <v>0</v>
      </c>
      <c r="AP1599" s="4">
        <v>13</v>
      </c>
      <c r="AQ1599" s="4">
        <v>13</v>
      </c>
      <c r="AR1599" s="3" t="s">
        <v>64</v>
      </c>
      <c r="AS1599" s="3" t="s">
        <v>64</v>
      </c>
      <c r="AT1599" s="3" t="s">
        <v>64</v>
      </c>
      <c r="AV1599" s="6" t="str">
        <f>HYPERLINK("http://mcgill.on.worldcat.org/oclc/11133051","Catalog Record")</f>
        <v>Catalog Record</v>
      </c>
      <c r="AW1599" s="6" t="str">
        <f>HYPERLINK("http://www.worldcat.org/oclc/11133051","WorldCat Record")</f>
        <v>WorldCat Record</v>
      </c>
      <c r="AX1599" s="3" t="s">
        <v>16590</v>
      </c>
      <c r="AY1599" s="3" t="s">
        <v>16591</v>
      </c>
      <c r="AZ1599" s="3" t="s">
        <v>16592</v>
      </c>
      <c r="BA1599" s="3" t="s">
        <v>16592</v>
      </c>
      <c r="BB1599" s="3" t="s">
        <v>16593</v>
      </c>
      <c r="BC1599" s="3" t="s">
        <v>78</v>
      </c>
      <c r="BD1599" s="3" t="s">
        <v>79</v>
      </c>
      <c r="BE1599" s="3" t="s">
        <v>16594</v>
      </c>
      <c r="BF1599" s="3" t="s">
        <v>16593</v>
      </c>
      <c r="BG1599" s="3" t="s">
        <v>16595</v>
      </c>
    </row>
    <row r="1600" spans="1:59" ht="58" x14ac:dyDescent="0.35">
      <c r="A1600" s="2" t="s">
        <v>59</v>
      </c>
      <c r="B1600" s="2" t="s">
        <v>94</v>
      </c>
      <c r="C1600" s="2" t="s">
        <v>16596</v>
      </c>
      <c r="D1600" s="2" t="s">
        <v>16597</v>
      </c>
      <c r="E1600" s="2" t="s">
        <v>16598</v>
      </c>
      <c r="G1600" s="3" t="s">
        <v>64</v>
      </c>
      <c r="I1600" s="3" t="s">
        <v>64</v>
      </c>
      <c r="J1600" s="3" t="s">
        <v>64</v>
      </c>
      <c r="K1600" s="3" t="s">
        <v>65</v>
      </c>
      <c r="L1600" s="2" t="s">
        <v>16599</v>
      </c>
      <c r="M1600" s="2" t="s">
        <v>16600</v>
      </c>
      <c r="N1600" s="3" t="s">
        <v>214</v>
      </c>
      <c r="P1600" s="3" t="s">
        <v>69</v>
      </c>
      <c r="Q1600" s="2" t="s">
        <v>16601</v>
      </c>
      <c r="R1600" s="3" t="s">
        <v>9228</v>
      </c>
      <c r="S1600" s="4">
        <v>9</v>
      </c>
      <c r="T1600" s="4">
        <v>9</v>
      </c>
      <c r="U1600" s="5" t="s">
        <v>16602</v>
      </c>
      <c r="V1600" s="5" t="s">
        <v>16602</v>
      </c>
      <c r="W1600" s="5" t="s">
        <v>72</v>
      </c>
      <c r="X1600" s="5" t="s">
        <v>72</v>
      </c>
      <c r="Y1600" s="4">
        <v>118</v>
      </c>
      <c r="Z1600" s="4">
        <v>24</v>
      </c>
      <c r="AA1600" s="4">
        <v>25</v>
      </c>
      <c r="AB1600" s="4">
        <v>1</v>
      </c>
      <c r="AC1600" s="4">
        <v>2</v>
      </c>
      <c r="AD1600" s="4">
        <v>60</v>
      </c>
      <c r="AE1600" s="4">
        <v>61</v>
      </c>
      <c r="AF1600" s="4">
        <v>0</v>
      </c>
      <c r="AG1600" s="4">
        <v>1</v>
      </c>
      <c r="AH1600" s="4">
        <v>51</v>
      </c>
      <c r="AI1600" s="4">
        <v>51</v>
      </c>
      <c r="AJ1600" s="4">
        <v>16</v>
      </c>
      <c r="AK1600" s="4">
        <v>17</v>
      </c>
      <c r="AL1600" s="4">
        <v>32</v>
      </c>
      <c r="AM1600" s="4">
        <v>32</v>
      </c>
      <c r="AN1600" s="4">
        <v>0</v>
      </c>
      <c r="AO1600" s="4">
        <v>0</v>
      </c>
      <c r="AP1600" s="4">
        <v>17</v>
      </c>
      <c r="AQ1600" s="4">
        <v>18</v>
      </c>
      <c r="AR1600" s="3" t="s">
        <v>73</v>
      </c>
      <c r="AS1600" s="3" t="s">
        <v>64</v>
      </c>
      <c r="AT1600" s="3" t="s">
        <v>64</v>
      </c>
      <c r="AV1600" s="6" t="str">
        <f>HYPERLINK("http://mcgill.on.worldcat.org/oclc/648936201","Catalog Record")</f>
        <v>Catalog Record</v>
      </c>
      <c r="AW1600" s="6" t="str">
        <f>HYPERLINK("http://www.worldcat.org/oclc/648936201","WorldCat Record")</f>
        <v>WorldCat Record</v>
      </c>
      <c r="AX1600" s="3" t="s">
        <v>16603</v>
      </c>
      <c r="AY1600" s="3" t="s">
        <v>16604</v>
      </c>
      <c r="AZ1600" s="3" t="s">
        <v>16605</v>
      </c>
      <c r="BA1600" s="3" t="s">
        <v>16605</v>
      </c>
      <c r="BB1600" s="3" t="s">
        <v>16606</v>
      </c>
      <c r="BC1600" s="3" t="s">
        <v>78</v>
      </c>
      <c r="BD1600" s="3" t="s">
        <v>79</v>
      </c>
      <c r="BE1600" s="3" t="s">
        <v>16607</v>
      </c>
      <c r="BF1600" s="3" t="s">
        <v>16606</v>
      </c>
      <c r="BG1600" s="3" t="s">
        <v>16608</v>
      </c>
    </row>
    <row r="1601" spans="1:59" ht="58" x14ac:dyDescent="0.35">
      <c r="A1601" s="2" t="s">
        <v>59</v>
      </c>
      <c r="B1601" s="2" t="s">
        <v>94</v>
      </c>
      <c r="C1601" s="2" t="s">
        <v>16609</v>
      </c>
      <c r="D1601" s="2" t="s">
        <v>16610</v>
      </c>
      <c r="E1601" s="2" t="s">
        <v>16611</v>
      </c>
      <c r="G1601" s="3" t="s">
        <v>64</v>
      </c>
      <c r="I1601" s="3" t="s">
        <v>73</v>
      </c>
      <c r="J1601" s="3" t="s">
        <v>64</v>
      </c>
      <c r="K1601" s="3" t="s">
        <v>65</v>
      </c>
      <c r="L1601" s="2" t="s">
        <v>16612</v>
      </c>
      <c r="M1601" s="2" t="s">
        <v>16613</v>
      </c>
      <c r="N1601" s="3" t="s">
        <v>733</v>
      </c>
      <c r="P1601" s="3" t="s">
        <v>69</v>
      </c>
      <c r="R1601" s="3" t="s">
        <v>9228</v>
      </c>
      <c r="S1601" s="4">
        <v>12</v>
      </c>
      <c r="T1601" s="4">
        <v>22</v>
      </c>
      <c r="U1601" s="5" t="s">
        <v>16614</v>
      </c>
      <c r="V1601" s="5" t="s">
        <v>16615</v>
      </c>
      <c r="W1601" s="5" t="s">
        <v>72</v>
      </c>
      <c r="X1601" s="5" t="s">
        <v>72</v>
      </c>
      <c r="Y1601" s="4">
        <v>809</v>
      </c>
      <c r="Z1601" s="4">
        <v>46</v>
      </c>
      <c r="AA1601" s="4">
        <v>48</v>
      </c>
      <c r="AB1601" s="4">
        <v>2</v>
      </c>
      <c r="AC1601" s="4">
        <v>3</v>
      </c>
      <c r="AD1601" s="4">
        <v>127</v>
      </c>
      <c r="AE1601" s="4">
        <v>129</v>
      </c>
      <c r="AF1601" s="4">
        <v>0</v>
      </c>
      <c r="AG1601" s="4">
        <v>1</v>
      </c>
      <c r="AH1601" s="4">
        <v>103</v>
      </c>
      <c r="AI1601" s="4">
        <v>104</v>
      </c>
      <c r="AJ1601" s="4">
        <v>20</v>
      </c>
      <c r="AK1601" s="4">
        <v>21</v>
      </c>
      <c r="AL1601" s="4">
        <v>56</v>
      </c>
      <c r="AM1601" s="4">
        <v>56</v>
      </c>
      <c r="AN1601" s="4">
        <v>0</v>
      </c>
      <c r="AO1601" s="4">
        <v>0</v>
      </c>
      <c r="AP1601" s="4">
        <v>32</v>
      </c>
      <c r="AQ1601" s="4">
        <v>34</v>
      </c>
      <c r="AR1601" s="3" t="s">
        <v>64</v>
      </c>
      <c r="AS1601" s="3" t="s">
        <v>64</v>
      </c>
      <c r="AT1601" s="3" t="s">
        <v>73</v>
      </c>
      <c r="AU1601" s="6" t="str">
        <f>HYPERLINK("http://catalog.hathitrust.org/Record/000783491","HathiTrust Record")</f>
        <v>HathiTrust Record</v>
      </c>
      <c r="AV1601" s="6" t="str">
        <f>HYPERLINK("http://mcgill.on.worldcat.org/oclc/9132155","Catalog Record")</f>
        <v>Catalog Record</v>
      </c>
      <c r="AW1601" s="6" t="str">
        <f>HYPERLINK("http://www.worldcat.org/oclc/9132155","WorldCat Record")</f>
        <v>WorldCat Record</v>
      </c>
      <c r="AX1601" s="3" t="s">
        <v>16616</v>
      </c>
      <c r="AY1601" s="3" t="s">
        <v>16617</v>
      </c>
      <c r="AZ1601" s="3" t="s">
        <v>16618</v>
      </c>
      <c r="BA1601" s="3" t="s">
        <v>16618</v>
      </c>
      <c r="BB1601" s="3" t="s">
        <v>16619</v>
      </c>
      <c r="BC1601" s="3" t="s">
        <v>78</v>
      </c>
      <c r="BD1601" s="3" t="s">
        <v>79</v>
      </c>
      <c r="BE1601" s="3" t="s">
        <v>16620</v>
      </c>
      <c r="BF1601" s="3" t="s">
        <v>16619</v>
      </c>
      <c r="BG1601" s="3" t="s">
        <v>16621</v>
      </c>
    </row>
    <row r="1602" spans="1:59" ht="58" x14ac:dyDescent="0.35">
      <c r="A1602" s="2" t="s">
        <v>59</v>
      </c>
      <c r="B1602" s="2" t="s">
        <v>94</v>
      </c>
      <c r="C1602" s="2" t="s">
        <v>16609</v>
      </c>
      <c r="D1602" s="2" t="s">
        <v>16610</v>
      </c>
      <c r="E1602" s="2" t="s">
        <v>16611</v>
      </c>
      <c r="G1602" s="3" t="s">
        <v>64</v>
      </c>
      <c r="I1602" s="3" t="s">
        <v>73</v>
      </c>
      <c r="J1602" s="3" t="s">
        <v>64</v>
      </c>
      <c r="K1602" s="3" t="s">
        <v>65</v>
      </c>
      <c r="L1602" s="2" t="s">
        <v>16612</v>
      </c>
      <c r="M1602" s="2" t="s">
        <v>16613</v>
      </c>
      <c r="N1602" s="3" t="s">
        <v>733</v>
      </c>
      <c r="P1602" s="3" t="s">
        <v>69</v>
      </c>
      <c r="R1602" s="3" t="s">
        <v>9228</v>
      </c>
      <c r="S1602" s="4">
        <v>10</v>
      </c>
      <c r="T1602" s="4">
        <v>22</v>
      </c>
      <c r="U1602" s="5" t="s">
        <v>16615</v>
      </c>
      <c r="V1602" s="5" t="s">
        <v>16615</v>
      </c>
      <c r="W1602" s="5" t="s">
        <v>72</v>
      </c>
      <c r="X1602" s="5" t="s">
        <v>72</v>
      </c>
      <c r="Y1602" s="4">
        <v>809</v>
      </c>
      <c r="Z1602" s="4">
        <v>46</v>
      </c>
      <c r="AA1602" s="4">
        <v>48</v>
      </c>
      <c r="AB1602" s="4">
        <v>2</v>
      </c>
      <c r="AC1602" s="4">
        <v>3</v>
      </c>
      <c r="AD1602" s="4">
        <v>127</v>
      </c>
      <c r="AE1602" s="4">
        <v>129</v>
      </c>
      <c r="AF1602" s="4">
        <v>0</v>
      </c>
      <c r="AG1602" s="4">
        <v>1</v>
      </c>
      <c r="AH1602" s="4">
        <v>103</v>
      </c>
      <c r="AI1602" s="4">
        <v>104</v>
      </c>
      <c r="AJ1602" s="4">
        <v>20</v>
      </c>
      <c r="AK1602" s="4">
        <v>21</v>
      </c>
      <c r="AL1602" s="4">
        <v>56</v>
      </c>
      <c r="AM1602" s="4">
        <v>56</v>
      </c>
      <c r="AN1602" s="4">
        <v>0</v>
      </c>
      <c r="AO1602" s="4">
        <v>0</v>
      </c>
      <c r="AP1602" s="4">
        <v>32</v>
      </c>
      <c r="AQ1602" s="4">
        <v>34</v>
      </c>
      <c r="AR1602" s="3" t="s">
        <v>64</v>
      </c>
      <c r="AS1602" s="3" t="s">
        <v>64</v>
      </c>
      <c r="AT1602" s="3" t="s">
        <v>73</v>
      </c>
      <c r="AU1602" s="6" t="str">
        <f>HYPERLINK("http://catalog.hathitrust.org/Record/000783491","HathiTrust Record")</f>
        <v>HathiTrust Record</v>
      </c>
      <c r="AV1602" s="6" t="str">
        <f>HYPERLINK("http://mcgill.on.worldcat.org/oclc/9132155","Catalog Record")</f>
        <v>Catalog Record</v>
      </c>
      <c r="AW1602" s="6" t="str">
        <f>HYPERLINK("http://www.worldcat.org/oclc/9132155","WorldCat Record")</f>
        <v>WorldCat Record</v>
      </c>
      <c r="AX1602" s="3" t="s">
        <v>16616</v>
      </c>
      <c r="AY1602" s="3" t="s">
        <v>16617</v>
      </c>
      <c r="AZ1602" s="3" t="s">
        <v>16618</v>
      </c>
      <c r="BA1602" s="3" t="s">
        <v>16618</v>
      </c>
      <c r="BB1602" s="3" t="s">
        <v>16622</v>
      </c>
      <c r="BC1602" s="3" t="s">
        <v>78</v>
      </c>
      <c r="BD1602" s="3" t="s">
        <v>79</v>
      </c>
      <c r="BE1602" s="3" t="s">
        <v>16620</v>
      </c>
      <c r="BF1602" s="3" t="s">
        <v>16622</v>
      </c>
      <c r="BG1602" s="3" t="s">
        <v>16623</v>
      </c>
    </row>
    <row r="1603" spans="1:59" ht="58" x14ac:dyDescent="0.35">
      <c r="A1603" s="2" t="s">
        <v>59</v>
      </c>
      <c r="B1603" s="2" t="s">
        <v>94</v>
      </c>
      <c r="C1603" s="2" t="s">
        <v>16624</v>
      </c>
      <c r="D1603" s="2" t="s">
        <v>16625</v>
      </c>
      <c r="E1603" s="2" t="s">
        <v>16626</v>
      </c>
      <c r="G1603" s="3" t="s">
        <v>64</v>
      </c>
      <c r="I1603" s="3" t="s">
        <v>64</v>
      </c>
      <c r="J1603" s="3" t="s">
        <v>64</v>
      </c>
      <c r="K1603" s="3" t="s">
        <v>65</v>
      </c>
      <c r="L1603" s="2" t="s">
        <v>16627</v>
      </c>
      <c r="M1603" s="2" t="s">
        <v>16628</v>
      </c>
      <c r="N1603" s="3" t="s">
        <v>524</v>
      </c>
      <c r="P1603" s="3" t="s">
        <v>69</v>
      </c>
      <c r="R1603" s="3" t="s">
        <v>9228</v>
      </c>
      <c r="S1603" s="4">
        <v>1</v>
      </c>
      <c r="T1603" s="4">
        <v>1</v>
      </c>
      <c r="U1603" s="5" t="s">
        <v>16629</v>
      </c>
      <c r="V1603" s="5" t="s">
        <v>16629</v>
      </c>
      <c r="W1603" s="5" t="s">
        <v>72</v>
      </c>
      <c r="X1603" s="5" t="s">
        <v>72</v>
      </c>
      <c r="Y1603" s="4">
        <v>59</v>
      </c>
      <c r="Z1603" s="4">
        <v>5</v>
      </c>
      <c r="AA1603" s="4">
        <v>5</v>
      </c>
      <c r="AB1603" s="4">
        <v>1</v>
      </c>
      <c r="AC1603" s="4">
        <v>1</v>
      </c>
      <c r="AD1603" s="4">
        <v>32</v>
      </c>
      <c r="AE1603" s="4">
        <v>32</v>
      </c>
      <c r="AF1603" s="4">
        <v>0</v>
      </c>
      <c r="AG1603" s="4">
        <v>0</v>
      </c>
      <c r="AH1603" s="4">
        <v>30</v>
      </c>
      <c r="AI1603" s="4">
        <v>30</v>
      </c>
      <c r="AJ1603" s="4">
        <v>3</v>
      </c>
      <c r="AK1603" s="4">
        <v>3</v>
      </c>
      <c r="AL1603" s="4">
        <v>24</v>
      </c>
      <c r="AM1603" s="4">
        <v>24</v>
      </c>
      <c r="AN1603" s="4">
        <v>0</v>
      </c>
      <c r="AO1603" s="4">
        <v>0</v>
      </c>
      <c r="AP1603" s="4">
        <v>3</v>
      </c>
      <c r="AQ1603" s="4">
        <v>3</v>
      </c>
      <c r="AR1603" s="3" t="s">
        <v>64</v>
      </c>
      <c r="AS1603" s="3" t="s">
        <v>64</v>
      </c>
      <c r="AT1603" s="3" t="s">
        <v>64</v>
      </c>
      <c r="AV1603" s="6" t="str">
        <f>HYPERLINK("http://mcgill.on.worldcat.org/oclc/810586726","Catalog Record")</f>
        <v>Catalog Record</v>
      </c>
      <c r="AW1603" s="6" t="str">
        <f>HYPERLINK("http://www.worldcat.org/oclc/810586726","WorldCat Record")</f>
        <v>WorldCat Record</v>
      </c>
      <c r="AX1603" s="3" t="s">
        <v>16630</v>
      </c>
      <c r="AY1603" s="3" t="s">
        <v>16631</v>
      </c>
      <c r="AZ1603" s="3" t="s">
        <v>16632</v>
      </c>
      <c r="BA1603" s="3" t="s">
        <v>16632</v>
      </c>
      <c r="BB1603" s="3" t="s">
        <v>16633</v>
      </c>
      <c r="BC1603" s="3" t="s">
        <v>78</v>
      </c>
      <c r="BD1603" s="3" t="s">
        <v>79</v>
      </c>
      <c r="BE1603" s="3" t="s">
        <v>16634</v>
      </c>
      <c r="BF1603" s="3" t="s">
        <v>16633</v>
      </c>
      <c r="BG1603" s="3" t="s">
        <v>16635</v>
      </c>
    </row>
    <row r="1604" spans="1:59" ht="58" x14ac:dyDescent="0.35">
      <c r="A1604" s="2" t="s">
        <v>59</v>
      </c>
      <c r="B1604" s="2" t="s">
        <v>94</v>
      </c>
      <c r="C1604" s="2" t="s">
        <v>16636</v>
      </c>
      <c r="D1604" s="2" t="s">
        <v>16637</v>
      </c>
      <c r="E1604" s="2" t="s">
        <v>16638</v>
      </c>
      <c r="G1604" s="3" t="s">
        <v>64</v>
      </c>
      <c r="I1604" s="3" t="s">
        <v>64</v>
      </c>
      <c r="J1604" s="3" t="s">
        <v>64</v>
      </c>
      <c r="K1604" s="3" t="s">
        <v>65</v>
      </c>
      <c r="L1604" s="2" t="s">
        <v>16639</v>
      </c>
      <c r="M1604" s="2" t="s">
        <v>16640</v>
      </c>
      <c r="N1604" s="3" t="s">
        <v>3563</v>
      </c>
      <c r="P1604" s="3" t="s">
        <v>69</v>
      </c>
      <c r="R1604" s="3" t="s">
        <v>9228</v>
      </c>
      <c r="S1604" s="4">
        <v>95</v>
      </c>
      <c r="T1604" s="4">
        <v>95</v>
      </c>
      <c r="U1604" s="5" t="s">
        <v>16641</v>
      </c>
      <c r="V1604" s="5" t="s">
        <v>16641</v>
      </c>
      <c r="W1604" s="5" t="s">
        <v>72</v>
      </c>
      <c r="X1604" s="5" t="s">
        <v>72</v>
      </c>
      <c r="Y1604" s="4">
        <v>351</v>
      </c>
      <c r="Z1604" s="4">
        <v>14</v>
      </c>
      <c r="AA1604" s="4">
        <v>103</v>
      </c>
      <c r="AB1604" s="4">
        <v>2</v>
      </c>
      <c r="AC1604" s="4">
        <v>19</v>
      </c>
      <c r="AD1604" s="4">
        <v>103</v>
      </c>
      <c r="AE1604" s="4">
        <v>147</v>
      </c>
      <c r="AF1604" s="4">
        <v>1</v>
      </c>
      <c r="AG1604" s="4">
        <v>8</v>
      </c>
      <c r="AH1604" s="4">
        <v>95</v>
      </c>
      <c r="AI1604" s="4">
        <v>110</v>
      </c>
      <c r="AJ1604" s="4">
        <v>10</v>
      </c>
      <c r="AK1604" s="4">
        <v>23</v>
      </c>
      <c r="AL1604" s="4">
        <v>55</v>
      </c>
      <c r="AM1604" s="4">
        <v>60</v>
      </c>
      <c r="AN1604" s="4">
        <v>0</v>
      </c>
      <c r="AO1604" s="4">
        <v>0</v>
      </c>
      <c r="AP1604" s="4">
        <v>10</v>
      </c>
      <c r="AQ1604" s="4">
        <v>44</v>
      </c>
      <c r="AR1604" s="3" t="s">
        <v>64</v>
      </c>
      <c r="AS1604" s="3" t="s">
        <v>64</v>
      </c>
      <c r="AT1604" s="3" t="s">
        <v>64</v>
      </c>
      <c r="AV1604" s="6" t="str">
        <f>HYPERLINK("http://mcgill.on.worldcat.org/oclc/24430869","Catalog Record")</f>
        <v>Catalog Record</v>
      </c>
      <c r="AW1604" s="6" t="str">
        <f>HYPERLINK("http://www.worldcat.org/oclc/24430869","WorldCat Record")</f>
        <v>WorldCat Record</v>
      </c>
      <c r="AX1604" s="3" t="s">
        <v>16642</v>
      </c>
      <c r="AY1604" s="3" t="s">
        <v>16643</v>
      </c>
      <c r="AZ1604" s="3" t="s">
        <v>16644</v>
      </c>
      <c r="BA1604" s="3" t="s">
        <v>16644</v>
      </c>
      <c r="BB1604" s="3" t="s">
        <v>16645</v>
      </c>
      <c r="BC1604" s="3" t="s">
        <v>78</v>
      </c>
      <c r="BD1604" s="3" t="s">
        <v>79</v>
      </c>
      <c r="BE1604" s="3" t="s">
        <v>16646</v>
      </c>
      <c r="BF1604" s="3" t="s">
        <v>16645</v>
      </c>
      <c r="BG1604" s="3" t="s">
        <v>16647</v>
      </c>
    </row>
    <row r="1605" spans="1:59" ht="58" x14ac:dyDescent="0.35">
      <c r="A1605" s="2" t="s">
        <v>59</v>
      </c>
      <c r="B1605" s="2" t="s">
        <v>94</v>
      </c>
      <c r="C1605" s="2" t="s">
        <v>16648</v>
      </c>
      <c r="D1605" s="2" t="s">
        <v>16649</v>
      </c>
      <c r="E1605" s="2" t="s">
        <v>16650</v>
      </c>
      <c r="G1605" s="3" t="s">
        <v>64</v>
      </c>
      <c r="I1605" s="3" t="s">
        <v>64</v>
      </c>
      <c r="J1605" s="3" t="s">
        <v>64</v>
      </c>
      <c r="K1605" s="3" t="s">
        <v>65</v>
      </c>
      <c r="L1605" s="2" t="s">
        <v>16651</v>
      </c>
      <c r="M1605" s="2" t="s">
        <v>16652</v>
      </c>
      <c r="N1605" s="3" t="s">
        <v>328</v>
      </c>
      <c r="P1605" s="3" t="s">
        <v>69</v>
      </c>
      <c r="Q1605" s="2" t="s">
        <v>16653</v>
      </c>
      <c r="R1605" s="3" t="s">
        <v>9228</v>
      </c>
      <c r="S1605" s="4">
        <v>2</v>
      </c>
      <c r="T1605" s="4">
        <v>2</v>
      </c>
      <c r="U1605" s="5" t="s">
        <v>16654</v>
      </c>
      <c r="V1605" s="5" t="s">
        <v>16654</v>
      </c>
      <c r="W1605" s="5" t="s">
        <v>72</v>
      </c>
      <c r="X1605" s="5" t="s">
        <v>72</v>
      </c>
      <c r="Y1605" s="4">
        <v>114</v>
      </c>
      <c r="Z1605" s="4">
        <v>14</v>
      </c>
      <c r="AA1605" s="4">
        <v>22</v>
      </c>
      <c r="AB1605" s="4">
        <v>1</v>
      </c>
      <c r="AC1605" s="4">
        <v>4</v>
      </c>
      <c r="AD1605" s="4">
        <v>55</v>
      </c>
      <c r="AE1605" s="4">
        <v>71</v>
      </c>
      <c r="AF1605" s="4">
        <v>0</v>
      </c>
      <c r="AG1605" s="4">
        <v>1</v>
      </c>
      <c r="AH1605" s="4">
        <v>49</v>
      </c>
      <c r="AI1605" s="4">
        <v>63</v>
      </c>
      <c r="AJ1605" s="4">
        <v>10</v>
      </c>
      <c r="AK1605" s="4">
        <v>15</v>
      </c>
      <c r="AL1605" s="4">
        <v>28</v>
      </c>
      <c r="AM1605" s="4">
        <v>36</v>
      </c>
      <c r="AN1605" s="4">
        <v>0</v>
      </c>
      <c r="AO1605" s="4">
        <v>0</v>
      </c>
      <c r="AP1605" s="4">
        <v>11</v>
      </c>
      <c r="AQ1605" s="4">
        <v>16</v>
      </c>
      <c r="AR1605" s="3" t="s">
        <v>64</v>
      </c>
      <c r="AS1605" s="3" t="s">
        <v>64</v>
      </c>
      <c r="AT1605" s="3" t="s">
        <v>64</v>
      </c>
      <c r="AV1605" s="6" t="str">
        <f>HYPERLINK("http://mcgill.on.worldcat.org/oclc/691111392","Catalog Record")</f>
        <v>Catalog Record</v>
      </c>
      <c r="AW1605" s="6" t="str">
        <f>HYPERLINK("http://www.worldcat.org/oclc/691111392","WorldCat Record")</f>
        <v>WorldCat Record</v>
      </c>
      <c r="AX1605" s="3" t="s">
        <v>16655</v>
      </c>
      <c r="AY1605" s="3" t="s">
        <v>16656</v>
      </c>
      <c r="AZ1605" s="3" t="s">
        <v>16657</v>
      </c>
      <c r="BA1605" s="3" t="s">
        <v>16657</v>
      </c>
      <c r="BB1605" s="3" t="s">
        <v>16658</v>
      </c>
      <c r="BC1605" s="3" t="s">
        <v>78</v>
      </c>
      <c r="BD1605" s="3" t="s">
        <v>79</v>
      </c>
      <c r="BE1605" s="3" t="s">
        <v>16659</v>
      </c>
      <c r="BF1605" s="3" t="s">
        <v>16658</v>
      </c>
      <c r="BG1605" s="3" t="s">
        <v>16660</v>
      </c>
    </row>
    <row r="1606" spans="1:59" ht="58" x14ac:dyDescent="0.35">
      <c r="A1606" s="2" t="s">
        <v>59</v>
      </c>
      <c r="B1606" s="2" t="s">
        <v>94</v>
      </c>
      <c r="C1606" s="2" t="s">
        <v>16661</v>
      </c>
      <c r="D1606" s="2" t="s">
        <v>16662</v>
      </c>
      <c r="E1606" s="2" t="s">
        <v>16663</v>
      </c>
      <c r="G1606" s="3" t="s">
        <v>64</v>
      </c>
      <c r="I1606" s="3" t="s">
        <v>64</v>
      </c>
      <c r="J1606" s="3" t="s">
        <v>64</v>
      </c>
      <c r="K1606" s="3" t="s">
        <v>65</v>
      </c>
      <c r="L1606" s="2" t="s">
        <v>16664</v>
      </c>
      <c r="M1606" s="2" t="s">
        <v>16665</v>
      </c>
      <c r="N1606" s="3" t="s">
        <v>4535</v>
      </c>
      <c r="P1606" s="3" t="s">
        <v>69</v>
      </c>
      <c r="R1606" s="3" t="s">
        <v>9228</v>
      </c>
      <c r="S1606" s="4">
        <v>0</v>
      </c>
      <c r="T1606" s="4">
        <v>0</v>
      </c>
      <c r="W1606" s="5" t="s">
        <v>72</v>
      </c>
      <c r="X1606" s="5" t="s">
        <v>72</v>
      </c>
      <c r="Y1606" s="4">
        <v>20</v>
      </c>
      <c r="Z1606" s="4">
        <v>1</v>
      </c>
      <c r="AA1606" s="4">
        <v>34</v>
      </c>
      <c r="AB1606" s="4">
        <v>1</v>
      </c>
      <c r="AC1606" s="4">
        <v>9</v>
      </c>
      <c r="AD1606" s="4">
        <v>9</v>
      </c>
      <c r="AE1606" s="4">
        <v>75</v>
      </c>
      <c r="AF1606" s="4">
        <v>0</v>
      </c>
      <c r="AG1606" s="4">
        <v>3</v>
      </c>
      <c r="AH1606" s="4">
        <v>9</v>
      </c>
      <c r="AI1606" s="4">
        <v>59</v>
      </c>
      <c r="AJ1606" s="4">
        <v>0</v>
      </c>
      <c r="AK1606" s="4">
        <v>13</v>
      </c>
      <c r="AL1606" s="4">
        <v>8</v>
      </c>
      <c r="AM1606" s="4">
        <v>31</v>
      </c>
      <c r="AN1606" s="4">
        <v>0</v>
      </c>
      <c r="AO1606" s="4">
        <v>0</v>
      </c>
      <c r="AP1606" s="4">
        <v>0</v>
      </c>
      <c r="AQ1606" s="4">
        <v>22</v>
      </c>
      <c r="AR1606" s="3" t="s">
        <v>64</v>
      </c>
      <c r="AS1606" s="3" t="s">
        <v>64</v>
      </c>
      <c r="AT1606" s="3" t="s">
        <v>64</v>
      </c>
      <c r="AV1606" s="6" t="str">
        <f>HYPERLINK("http://mcgill.on.worldcat.org/oclc/1062398031","Catalog Record")</f>
        <v>Catalog Record</v>
      </c>
      <c r="AW1606" s="6" t="str">
        <f>HYPERLINK("http://www.worldcat.org/oclc/1062398031","WorldCat Record")</f>
        <v>WorldCat Record</v>
      </c>
      <c r="AX1606" s="3" t="s">
        <v>16666</v>
      </c>
      <c r="AY1606" s="3" t="s">
        <v>16667</v>
      </c>
      <c r="AZ1606" s="3" t="s">
        <v>16668</v>
      </c>
      <c r="BA1606" s="3" t="s">
        <v>16668</v>
      </c>
      <c r="BB1606" s="3" t="s">
        <v>16669</v>
      </c>
      <c r="BC1606" s="3" t="s">
        <v>78</v>
      </c>
      <c r="BD1606" s="3" t="s">
        <v>79</v>
      </c>
      <c r="BE1606" s="3" t="s">
        <v>16670</v>
      </c>
      <c r="BF1606" s="3" t="s">
        <v>16669</v>
      </c>
      <c r="BG1606" s="3" t="s">
        <v>16671</v>
      </c>
    </row>
    <row r="1607" spans="1:59" ht="72.5" x14ac:dyDescent="0.35">
      <c r="A1607" s="2" t="s">
        <v>59</v>
      </c>
      <c r="B1607" s="2" t="s">
        <v>94</v>
      </c>
      <c r="C1607" s="2" t="s">
        <v>16672</v>
      </c>
      <c r="D1607" s="2" t="s">
        <v>16673</v>
      </c>
      <c r="E1607" s="2" t="s">
        <v>16674</v>
      </c>
      <c r="G1607" s="3" t="s">
        <v>64</v>
      </c>
      <c r="I1607" s="3" t="s">
        <v>64</v>
      </c>
      <c r="J1607" s="3" t="s">
        <v>64</v>
      </c>
      <c r="K1607" s="3" t="s">
        <v>65</v>
      </c>
      <c r="M1607" s="2" t="s">
        <v>5100</v>
      </c>
      <c r="N1607" s="3" t="s">
        <v>328</v>
      </c>
      <c r="P1607" s="3" t="s">
        <v>69</v>
      </c>
      <c r="Q1607" s="2" t="s">
        <v>16675</v>
      </c>
      <c r="R1607" s="3" t="s">
        <v>9228</v>
      </c>
      <c r="S1607" s="4">
        <v>0</v>
      </c>
      <c r="T1607" s="4">
        <v>0</v>
      </c>
      <c r="W1607" s="5" t="s">
        <v>72</v>
      </c>
      <c r="X1607" s="5" t="s">
        <v>72</v>
      </c>
      <c r="Y1607" s="4">
        <v>93</v>
      </c>
      <c r="Z1607" s="4">
        <v>5</v>
      </c>
      <c r="AA1607" s="4">
        <v>43</v>
      </c>
      <c r="AB1607" s="4">
        <v>1</v>
      </c>
      <c r="AC1607" s="4">
        <v>8</v>
      </c>
      <c r="AD1607" s="4">
        <v>47</v>
      </c>
      <c r="AE1607" s="4">
        <v>106</v>
      </c>
      <c r="AF1607" s="4">
        <v>0</v>
      </c>
      <c r="AG1607" s="4">
        <v>2</v>
      </c>
      <c r="AH1607" s="4">
        <v>46</v>
      </c>
      <c r="AI1607" s="4">
        <v>86</v>
      </c>
      <c r="AJ1607" s="4">
        <v>3</v>
      </c>
      <c r="AK1607" s="4">
        <v>13</v>
      </c>
      <c r="AL1607" s="4">
        <v>26</v>
      </c>
      <c r="AM1607" s="4">
        <v>46</v>
      </c>
      <c r="AN1607" s="4">
        <v>0</v>
      </c>
      <c r="AO1607" s="4">
        <v>0</v>
      </c>
      <c r="AP1607" s="4">
        <v>3</v>
      </c>
      <c r="AQ1607" s="4">
        <v>26</v>
      </c>
      <c r="AR1607" s="3" t="s">
        <v>64</v>
      </c>
      <c r="AS1607" s="3" t="s">
        <v>64</v>
      </c>
      <c r="AT1607" s="3" t="s">
        <v>64</v>
      </c>
      <c r="AV1607" s="6" t="str">
        <f>HYPERLINK("http://mcgill.on.worldcat.org/oclc/750401519","Catalog Record")</f>
        <v>Catalog Record</v>
      </c>
      <c r="AW1607" s="6" t="str">
        <f>HYPERLINK("http://www.worldcat.org/oclc/750401519","WorldCat Record")</f>
        <v>WorldCat Record</v>
      </c>
      <c r="AX1607" s="3" t="s">
        <v>16676</v>
      </c>
      <c r="AY1607" s="3" t="s">
        <v>16677</v>
      </c>
      <c r="AZ1607" s="3" t="s">
        <v>16678</v>
      </c>
      <c r="BA1607" s="3" t="s">
        <v>16678</v>
      </c>
      <c r="BB1607" s="3" t="s">
        <v>16679</v>
      </c>
      <c r="BC1607" s="3" t="s">
        <v>78</v>
      </c>
      <c r="BD1607" s="3" t="s">
        <v>79</v>
      </c>
      <c r="BE1607" s="3" t="s">
        <v>16680</v>
      </c>
      <c r="BF1607" s="3" t="s">
        <v>16679</v>
      </c>
      <c r="BG1607" s="3" t="s">
        <v>16681</v>
      </c>
    </row>
    <row r="1608" spans="1:59" ht="72.5" x14ac:dyDescent="0.35">
      <c r="A1608" s="2" t="s">
        <v>59</v>
      </c>
      <c r="B1608" s="2" t="s">
        <v>94</v>
      </c>
      <c r="C1608" s="2" t="s">
        <v>16682</v>
      </c>
      <c r="D1608" s="2" t="s">
        <v>16683</v>
      </c>
      <c r="E1608" s="2" t="s">
        <v>16684</v>
      </c>
      <c r="G1608" s="3" t="s">
        <v>64</v>
      </c>
      <c r="I1608" s="3" t="s">
        <v>64</v>
      </c>
      <c r="J1608" s="3" t="s">
        <v>64</v>
      </c>
      <c r="K1608" s="3" t="s">
        <v>65</v>
      </c>
      <c r="M1608" s="2" t="s">
        <v>16685</v>
      </c>
      <c r="N1608" s="3" t="s">
        <v>872</v>
      </c>
      <c r="P1608" s="3" t="s">
        <v>69</v>
      </c>
      <c r="R1608" s="3" t="s">
        <v>9228</v>
      </c>
      <c r="S1608" s="4">
        <v>10</v>
      </c>
      <c r="T1608" s="4">
        <v>10</v>
      </c>
      <c r="U1608" s="5" t="s">
        <v>14469</v>
      </c>
      <c r="V1608" s="5" t="s">
        <v>14469</v>
      </c>
      <c r="W1608" s="5" t="s">
        <v>72</v>
      </c>
      <c r="X1608" s="5" t="s">
        <v>72</v>
      </c>
      <c r="Y1608" s="4">
        <v>190</v>
      </c>
      <c r="Z1608" s="4">
        <v>63</v>
      </c>
      <c r="AA1608" s="4">
        <v>65</v>
      </c>
      <c r="AB1608" s="4">
        <v>1</v>
      </c>
      <c r="AC1608" s="4">
        <v>2</v>
      </c>
      <c r="AD1608" s="4">
        <v>83</v>
      </c>
      <c r="AE1608" s="4">
        <v>84</v>
      </c>
      <c r="AF1608" s="4">
        <v>0</v>
      </c>
      <c r="AG1608" s="4">
        <v>1</v>
      </c>
      <c r="AH1608" s="4">
        <v>58</v>
      </c>
      <c r="AI1608" s="4">
        <v>59</v>
      </c>
      <c r="AJ1608" s="4">
        <v>22</v>
      </c>
      <c r="AK1608" s="4">
        <v>23</v>
      </c>
      <c r="AL1608" s="4">
        <v>30</v>
      </c>
      <c r="AM1608" s="4">
        <v>30</v>
      </c>
      <c r="AN1608" s="4">
        <v>5</v>
      </c>
      <c r="AO1608" s="4">
        <v>5</v>
      </c>
      <c r="AP1608" s="4">
        <v>33</v>
      </c>
      <c r="AQ1608" s="4">
        <v>34</v>
      </c>
      <c r="AR1608" s="3" t="s">
        <v>73</v>
      </c>
      <c r="AS1608" s="3" t="s">
        <v>64</v>
      </c>
      <c r="AT1608" s="3" t="s">
        <v>73</v>
      </c>
      <c r="AU1608" s="6" t="str">
        <f>HYPERLINK("http://catalog.hathitrust.org/Record/001949602","HathiTrust Record")</f>
        <v>HathiTrust Record</v>
      </c>
      <c r="AV1608" s="6" t="str">
        <f>HYPERLINK("http://mcgill.on.worldcat.org/oclc/21409342","Catalog Record")</f>
        <v>Catalog Record</v>
      </c>
      <c r="AW1608" s="6" t="str">
        <f>HYPERLINK("http://www.worldcat.org/oclc/21409342","WorldCat Record")</f>
        <v>WorldCat Record</v>
      </c>
      <c r="AX1608" s="3" t="s">
        <v>16686</v>
      </c>
      <c r="AY1608" s="3" t="s">
        <v>16687</v>
      </c>
      <c r="AZ1608" s="3" t="s">
        <v>16688</v>
      </c>
      <c r="BA1608" s="3" t="s">
        <v>16688</v>
      </c>
      <c r="BB1608" s="3" t="s">
        <v>16689</v>
      </c>
      <c r="BC1608" s="3" t="s">
        <v>78</v>
      </c>
      <c r="BD1608" s="3" t="s">
        <v>79</v>
      </c>
      <c r="BE1608" s="3" t="s">
        <v>16690</v>
      </c>
      <c r="BF1608" s="3" t="s">
        <v>16689</v>
      </c>
      <c r="BG1608" s="3" t="s">
        <v>16691</v>
      </c>
    </row>
    <row r="1609" spans="1:59" ht="58" x14ac:dyDescent="0.35">
      <c r="A1609" s="2" t="s">
        <v>59</v>
      </c>
      <c r="B1609" s="2" t="s">
        <v>94</v>
      </c>
      <c r="C1609" s="2" t="s">
        <v>16692</v>
      </c>
      <c r="D1609" s="2" t="s">
        <v>16693</v>
      </c>
      <c r="E1609" s="2" t="s">
        <v>16694</v>
      </c>
      <c r="G1609" s="3" t="s">
        <v>64</v>
      </c>
      <c r="I1609" s="3" t="s">
        <v>64</v>
      </c>
      <c r="J1609" s="3" t="s">
        <v>64</v>
      </c>
      <c r="K1609" s="3" t="s">
        <v>65</v>
      </c>
      <c r="M1609" s="2" t="s">
        <v>9495</v>
      </c>
      <c r="N1609" s="3" t="s">
        <v>328</v>
      </c>
      <c r="P1609" s="3" t="s">
        <v>69</v>
      </c>
      <c r="R1609" s="3" t="s">
        <v>9228</v>
      </c>
      <c r="S1609" s="4">
        <v>9</v>
      </c>
      <c r="T1609" s="4">
        <v>9</v>
      </c>
      <c r="U1609" s="5" t="s">
        <v>8724</v>
      </c>
      <c r="V1609" s="5" t="s">
        <v>8724</v>
      </c>
      <c r="W1609" s="5" t="s">
        <v>72</v>
      </c>
      <c r="X1609" s="5" t="s">
        <v>72</v>
      </c>
      <c r="Y1609" s="4">
        <v>172</v>
      </c>
      <c r="Z1609" s="4">
        <v>22</v>
      </c>
      <c r="AA1609" s="4">
        <v>42</v>
      </c>
      <c r="AB1609" s="4">
        <v>1</v>
      </c>
      <c r="AC1609" s="4">
        <v>7</v>
      </c>
      <c r="AD1609" s="4">
        <v>63</v>
      </c>
      <c r="AE1609" s="4">
        <v>93</v>
      </c>
      <c r="AF1609" s="4">
        <v>0</v>
      </c>
      <c r="AG1609" s="4">
        <v>3</v>
      </c>
      <c r="AH1609" s="4">
        <v>53</v>
      </c>
      <c r="AI1609" s="4">
        <v>73</v>
      </c>
      <c r="AJ1609" s="4">
        <v>13</v>
      </c>
      <c r="AK1609" s="4">
        <v>18</v>
      </c>
      <c r="AL1609" s="4">
        <v>31</v>
      </c>
      <c r="AM1609" s="4">
        <v>44</v>
      </c>
      <c r="AN1609" s="4">
        <v>0</v>
      </c>
      <c r="AO1609" s="4">
        <v>0</v>
      </c>
      <c r="AP1609" s="4">
        <v>18</v>
      </c>
      <c r="AQ1609" s="4">
        <v>27</v>
      </c>
      <c r="AR1609" s="3" t="s">
        <v>64</v>
      </c>
      <c r="AS1609" s="3" t="s">
        <v>64</v>
      </c>
      <c r="AT1609" s="3" t="s">
        <v>64</v>
      </c>
      <c r="AV1609" s="6" t="str">
        <f>HYPERLINK("http://mcgill.on.worldcat.org/oclc/698361231","Catalog Record")</f>
        <v>Catalog Record</v>
      </c>
      <c r="AW1609" s="6" t="str">
        <f>HYPERLINK("http://www.worldcat.org/oclc/698361231","WorldCat Record")</f>
        <v>WorldCat Record</v>
      </c>
      <c r="AX1609" s="3" t="s">
        <v>16695</v>
      </c>
      <c r="AY1609" s="3" t="s">
        <v>16696</v>
      </c>
      <c r="AZ1609" s="3" t="s">
        <v>16697</v>
      </c>
      <c r="BA1609" s="3" t="s">
        <v>16697</v>
      </c>
      <c r="BB1609" s="3" t="s">
        <v>16698</v>
      </c>
      <c r="BC1609" s="3" t="s">
        <v>78</v>
      </c>
      <c r="BD1609" s="3" t="s">
        <v>79</v>
      </c>
      <c r="BE1609" s="3" t="s">
        <v>16699</v>
      </c>
      <c r="BF1609" s="3" t="s">
        <v>16698</v>
      </c>
      <c r="BG1609" s="3" t="s">
        <v>16700</v>
      </c>
    </row>
    <row r="1610" spans="1:59" ht="58" x14ac:dyDescent="0.35">
      <c r="A1610" s="2" t="s">
        <v>59</v>
      </c>
      <c r="B1610" s="2" t="s">
        <v>94</v>
      </c>
      <c r="C1610" s="2" t="s">
        <v>16701</v>
      </c>
      <c r="D1610" s="2" t="s">
        <v>16702</v>
      </c>
      <c r="E1610" s="2" t="s">
        <v>16703</v>
      </c>
      <c r="G1610" s="3" t="s">
        <v>64</v>
      </c>
      <c r="I1610" s="3" t="s">
        <v>64</v>
      </c>
      <c r="J1610" s="3" t="s">
        <v>64</v>
      </c>
      <c r="K1610" s="3" t="s">
        <v>65</v>
      </c>
      <c r="L1610" s="2" t="s">
        <v>16704</v>
      </c>
      <c r="M1610" s="2" t="s">
        <v>16705</v>
      </c>
      <c r="N1610" s="3" t="s">
        <v>4535</v>
      </c>
      <c r="P1610" s="3" t="s">
        <v>69</v>
      </c>
      <c r="R1610" s="3" t="s">
        <v>9228</v>
      </c>
      <c r="S1610" s="4">
        <v>1</v>
      </c>
      <c r="T1610" s="4">
        <v>1</v>
      </c>
      <c r="U1610" s="5" t="s">
        <v>8724</v>
      </c>
      <c r="V1610" s="5" t="s">
        <v>8724</v>
      </c>
      <c r="W1610" s="5" t="s">
        <v>72</v>
      </c>
      <c r="X1610" s="5" t="s">
        <v>72</v>
      </c>
      <c r="Y1610" s="4">
        <v>61</v>
      </c>
      <c r="Z1610" s="4">
        <v>25</v>
      </c>
      <c r="AA1610" s="4">
        <v>87</v>
      </c>
      <c r="AB1610" s="4">
        <v>5</v>
      </c>
      <c r="AC1610" s="4">
        <v>19</v>
      </c>
      <c r="AD1610" s="4">
        <v>22</v>
      </c>
      <c r="AE1610" s="4">
        <v>88</v>
      </c>
      <c r="AF1610" s="4">
        <v>2</v>
      </c>
      <c r="AG1610" s="4">
        <v>8</v>
      </c>
      <c r="AH1610" s="4">
        <v>12</v>
      </c>
      <c r="AI1610" s="4">
        <v>52</v>
      </c>
      <c r="AJ1610" s="4">
        <v>9</v>
      </c>
      <c r="AK1610" s="4">
        <v>20</v>
      </c>
      <c r="AL1610" s="4">
        <v>5</v>
      </c>
      <c r="AM1610" s="4">
        <v>25</v>
      </c>
      <c r="AN1610" s="4">
        <v>0</v>
      </c>
      <c r="AO1610" s="4">
        <v>0</v>
      </c>
      <c r="AP1610" s="4">
        <v>11</v>
      </c>
      <c r="AQ1610" s="4">
        <v>40</v>
      </c>
      <c r="AR1610" s="3" t="s">
        <v>73</v>
      </c>
      <c r="AS1610" s="3" t="s">
        <v>64</v>
      </c>
      <c r="AT1610" s="3" t="s">
        <v>64</v>
      </c>
      <c r="AV1610" s="6" t="str">
        <f>HYPERLINK("http://mcgill.on.worldcat.org/oclc/1013481941","Catalog Record")</f>
        <v>Catalog Record</v>
      </c>
      <c r="AW1610" s="6" t="str">
        <f>HYPERLINK("http://www.worldcat.org/oclc/1013481941","WorldCat Record")</f>
        <v>WorldCat Record</v>
      </c>
      <c r="AX1610" s="3" t="s">
        <v>16706</v>
      </c>
      <c r="AY1610" s="3" t="s">
        <v>16707</v>
      </c>
      <c r="AZ1610" s="3" t="s">
        <v>16708</v>
      </c>
      <c r="BA1610" s="3" t="s">
        <v>16708</v>
      </c>
      <c r="BB1610" s="3" t="s">
        <v>16709</v>
      </c>
      <c r="BC1610" s="3" t="s">
        <v>78</v>
      </c>
      <c r="BD1610" s="3" t="s">
        <v>79</v>
      </c>
      <c r="BE1610" s="3" t="s">
        <v>16710</v>
      </c>
      <c r="BF1610" s="3" t="s">
        <v>16709</v>
      </c>
      <c r="BG1610" s="3" t="s">
        <v>16711</v>
      </c>
    </row>
    <row r="1611" spans="1:59" ht="58" x14ac:dyDescent="0.35">
      <c r="A1611" s="2" t="s">
        <v>59</v>
      </c>
      <c r="B1611" s="2" t="s">
        <v>94</v>
      </c>
      <c r="C1611" s="2" t="s">
        <v>16712</v>
      </c>
      <c r="D1611" s="2" t="s">
        <v>16713</v>
      </c>
      <c r="E1611" s="2" t="s">
        <v>16714</v>
      </c>
      <c r="G1611" s="3" t="s">
        <v>64</v>
      </c>
      <c r="I1611" s="3" t="s">
        <v>64</v>
      </c>
      <c r="J1611" s="3" t="s">
        <v>64</v>
      </c>
      <c r="K1611" s="3" t="s">
        <v>65</v>
      </c>
      <c r="L1611" s="2" t="s">
        <v>16715</v>
      </c>
      <c r="M1611" s="2" t="s">
        <v>16716</v>
      </c>
      <c r="N1611" s="3" t="s">
        <v>303</v>
      </c>
      <c r="P1611" s="3" t="s">
        <v>69</v>
      </c>
      <c r="Q1611" s="2" t="s">
        <v>16717</v>
      </c>
      <c r="R1611" s="3" t="s">
        <v>9228</v>
      </c>
      <c r="S1611" s="4">
        <v>11</v>
      </c>
      <c r="T1611" s="4">
        <v>11</v>
      </c>
      <c r="U1611" s="5" t="s">
        <v>14469</v>
      </c>
      <c r="V1611" s="5" t="s">
        <v>14469</v>
      </c>
      <c r="W1611" s="5" t="s">
        <v>72</v>
      </c>
      <c r="X1611" s="5" t="s">
        <v>72</v>
      </c>
      <c r="Y1611" s="4">
        <v>37</v>
      </c>
      <c r="Z1611" s="4">
        <v>24</v>
      </c>
      <c r="AA1611" s="4">
        <v>24</v>
      </c>
      <c r="AB1611" s="4">
        <v>1</v>
      </c>
      <c r="AC1611" s="4">
        <v>1</v>
      </c>
      <c r="AD1611" s="4">
        <v>23</v>
      </c>
      <c r="AE1611" s="4">
        <v>23</v>
      </c>
      <c r="AF1611" s="4">
        <v>0</v>
      </c>
      <c r="AG1611" s="4">
        <v>0</v>
      </c>
      <c r="AH1611" s="4">
        <v>13</v>
      </c>
      <c r="AI1611" s="4">
        <v>13</v>
      </c>
      <c r="AJ1611" s="4">
        <v>14</v>
      </c>
      <c r="AK1611" s="4">
        <v>14</v>
      </c>
      <c r="AL1611" s="4">
        <v>5</v>
      </c>
      <c r="AM1611" s="4">
        <v>5</v>
      </c>
      <c r="AN1611" s="4">
        <v>0</v>
      </c>
      <c r="AO1611" s="4">
        <v>0</v>
      </c>
      <c r="AP1611" s="4">
        <v>15</v>
      </c>
      <c r="AQ1611" s="4">
        <v>15</v>
      </c>
      <c r="AR1611" s="3" t="s">
        <v>73</v>
      </c>
      <c r="AS1611" s="3" t="s">
        <v>64</v>
      </c>
      <c r="AT1611" s="3" t="s">
        <v>64</v>
      </c>
      <c r="AV1611" s="6" t="str">
        <f>HYPERLINK("http://mcgill.on.worldcat.org/oclc/27383551","Catalog Record")</f>
        <v>Catalog Record</v>
      </c>
      <c r="AW1611" s="6" t="str">
        <f>HYPERLINK("http://www.worldcat.org/oclc/27383551","WorldCat Record")</f>
        <v>WorldCat Record</v>
      </c>
      <c r="AX1611" s="3" t="s">
        <v>16718</v>
      </c>
      <c r="AY1611" s="3" t="s">
        <v>16719</v>
      </c>
      <c r="AZ1611" s="3" t="s">
        <v>16720</v>
      </c>
      <c r="BA1611" s="3" t="s">
        <v>16720</v>
      </c>
      <c r="BB1611" s="3" t="s">
        <v>16721</v>
      </c>
      <c r="BC1611" s="3" t="s">
        <v>78</v>
      </c>
      <c r="BD1611" s="3" t="s">
        <v>79</v>
      </c>
      <c r="BE1611" s="3" t="s">
        <v>16722</v>
      </c>
      <c r="BF1611" s="3" t="s">
        <v>16721</v>
      </c>
      <c r="BG1611" s="3" t="s">
        <v>16723</v>
      </c>
    </row>
    <row r="1612" spans="1:59" ht="58" x14ac:dyDescent="0.35">
      <c r="A1612" s="2" t="s">
        <v>59</v>
      </c>
      <c r="B1612" s="2" t="s">
        <v>94</v>
      </c>
      <c r="C1612" s="2" t="s">
        <v>16724</v>
      </c>
      <c r="D1612" s="2" t="s">
        <v>16725</v>
      </c>
      <c r="E1612" s="2" t="s">
        <v>16726</v>
      </c>
      <c r="G1612" s="3" t="s">
        <v>64</v>
      </c>
      <c r="I1612" s="3" t="s">
        <v>64</v>
      </c>
      <c r="J1612" s="3" t="s">
        <v>64</v>
      </c>
      <c r="K1612" s="3" t="s">
        <v>65</v>
      </c>
      <c r="M1612" s="2" t="s">
        <v>16727</v>
      </c>
      <c r="N1612" s="3" t="s">
        <v>524</v>
      </c>
      <c r="P1612" s="3" t="s">
        <v>69</v>
      </c>
      <c r="Q1612" s="2" t="s">
        <v>16728</v>
      </c>
      <c r="R1612" s="3" t="s">
        <v>9228</v>
      </c>
      <c r="S1612" s="4">
        <v>7</v>
      </c>
      <c r="T1612" s="4">
        <v>7</v>
      </c>
      <c r="U1612" s="5" t="s">
        <v>797</v>
      </c>
      <c r="V1612" s="5" t="s">
        <v>797</v>
      </c>
      <c r="W1612" s="5" t="s">
        <v>72</v>
      </c>
      <c r="X1612" s="5" t="s">
        <v>72</v>
      </c>
      <c r="Y1612" s="4">
        <v>201</v>
      </c>
      <c r="Z1612" s="4">
        <v>36</v>
      </c>
      <c r="AA1612" s="4">
        <v>67</v>
      </c>
      <c r="AB1612" s="4">
        <v>2</v>
      </c>
      <c r="AC1612" s="4">
        <v>13</v>
      </c>
      <c r="AD1612" s="4">
        <v>49</v>
      </c>
      <c r="AE1612" s="4">
        <v>89</v>
      </c>
      <c r="AF1612" s="4">
        <v>1</v>
      </c>
      <c r="AG1612" s="4">
        <v>6</v>
      </c>
      <c r="AH1612" s="4">
        <v>31</v>
      </c>
      <c r="AI1612" s="4">
        <v>53</v>
      </c>
      <c r="AJ1612" s="4">
        <v>17</v>
      </c>
      <c r="AK1612" s="4">
        <v>24</v>
      </c>
      <c r="AL1612" s="4">
        <v>18</v>
      </c>
      <c r="AM1612" s="4">
        <v>33</v>
      </c>
      <c r="AN1612" s="4">
        <v>0</v>
      </c>
      <c r="AO1612" s="4">
        <v>0</v>
      </c>
      <c r="AP1612" s="4">
        <v>22</v>
      </c>
      <c r="AQ1612" s="4">
        <v>41</v>
      </c>
      <c r="AR1612" s="3" t="s">
        <v>73</v>
      </c>
      <c r="AS1612" s="3" t="s">
        <v>64</v>
      </c>
      <c r="AT1612" s="3" t="s">
        <v>64</v>
      </c>
      <c r="AV1612" s="6" t="str">
        <f>HYPERLINK("http://mcgill.on.worldcat.org/oclc/825161157","Catalog Record")</f>
        <v>Catalog Record</v>
      </c>
      <c r="AW1612" s="6" t="str">
        <f>HYPERLINK("http://www.worldcat.org/oclc/825161157","WorldCat Record")</f>
        <v>WorldCat Record</v>
      </c>
      <c r="AX1612" s="3" t="s">
        <v>16729</v>
      </c>
      <c r="AY1612" s="3" t="s">
        <v>16730</v>
      </c>
      <c r="AZ1612" s="3" t="s">
        <v>16731</v>
      </c>
      <c r="BA1612" s="3" t="s">
        <v>16731</v>
      </c>
      <c r="BB1612" s="3" t="s">
        <v>16732</v>
      </c>
      <c r="BC1612" s="3" t="s">
        <v>78</v>
      </c>
      <c r="BD1612" s="3" t="s">
        <v>79</v>
      </c>
      <c r="BE1612" s="3" t="s">
        <v>16733</v>
      </c>
      <c r="BF1612" s="3" t="s">
        <v>16732</v>
      </c>
      <c r="BG1612" s="3" t="s">
        <v>16734</v>
      </c>
    </row>
    <row r="1613" spans="1:59" ht="58" x14ac:dyDescent="0.35">
      <c r="A1613" s="2" t="s">
        <v>59</v>
      </c>
      <c r="B1613" s="2" t="s">
        <v>94</v>
      </c>
      <c r="C1613" s="2" t="s">
        <v>16735</v>
      </c>
      <c r="D1613" s="2" t="s">
        <v>16736</v>
      </c>
      <c r="E1613" s="2" t="s">
        <v>16737</v>
      </c>
      <c r="G1613" s="3" t="s">
        <v>64</v>
      </c>
      <c r="I1613" s="3" t="s">
        <v>64</v>
      </c>
      <c r="J1613" s="3" t="s">
        <v>64</v>
      </c>
      <c r="K1613" s="3" t="s">
        <v>65</v>
      </c>
      <c r="M1613" s="2" t="s">
        <v>16738</v>
      </c>
      <c r="N1613" s="3" t="s">
        <v>87</v>
      </c>
      <c r="P1613" s="3" t="s">
        <v>69</v>
      </c>
      <c r="R1613" s="3" t="s">
        <v>9228</v>
      </c>
      <c r="S1613" s="4">
        <v>1</v>
      </c>
      <c r="T1613" s="4">
        <v>1</v>
      </c>
      <c r="U1613" s="5" t="s">
        <v>8724</v>
      </c>
      <c r="V1613" s="5" t="s">
        <v>8724</v>
      </c>
      <c r="W1613" s="5" t="s">
        <v>72</v>
      </c>
      <c r="X1613" s="5" t="s">
        <v>72</v>
      </c>
      <c r="Y1613" s="4">
        <v>19</v>
      </c>
      <c r="Z1613" s="4">
        <v>2</v>
      </c>
      <c r="AA1613" s="4">
        <v>16</v>
      </c>
      <c r="AB1613" s="4">
        <v>1</v>
      </c>
      <c r="AC1613" s="4">
        <v>6</v>
      </c>
      <c r="AD1613" s="4">
        <v>8</v>
      </c>
      <c r="AE1613" s="4">
        <v>44</v>
      </c>
      <c r="AF1613" s="4">
        <v>0</v>
      </c>
      <c r="AG1613" s="4">
        <v>3</v>
      </c>
      <c r="AH1613" s="4">
        <v>8</v>
      </c>
      <c r="AI1613" s="4">
        <v>37</v>
      </c>
      <c r="AJ1613" s="4">
        <v>1</v>
      </c>
      <c r="AK1613" s="4">
        <v>10</v>
      </c>
      <c r="AL1613" s="4">
        <v>4</v>
      </c>
      <c r="AM1613" s="4">
        <v>26</v>
      </c>
      <c r="AN1613" s="4">
        <v>0</v>
      </c>
      <c r="AO1613" s="4">
        <v>0</v>
      </c>
      <c r="AP1613" s="4">
        <v>1</v>
      </c>
      <c r="AQ1613" s="4">
        <v>12</v>
      </c>
      <c r="AR1613" s="3" t="s">
        <v>64</v>
      </c>
      <c r="AS1613" s="3" t="s">
        <v>64</v>
      </c>
      <c r="AT1613" s="3" t="s">
        <v>64</v>
      </c>
      <c r="AV1613" s="6" t="str">
        <f>HYPERLINK("http://mcgill.on.worldcat.org/oclc/928750493","Catalog Record")</f>
        <v>Catalog Record</v>
      </c>
      <c r="AW1613" s="6" t="str">
        <f>HYPERLINK("http://www.worldcat.org/oclc/928750493","WorldCat Record")</f>
        <v>WorldCat Record</v>
      </c>
      <c r="AX1613" s="3" t="s">
        <v>16739</v>
      </c>
      <c r="AY1613" s="3" t="s">
        <v>16740</v>
      </c>
      <c r="AZ1613" s="3" t="s">
        <v>16741</v>
      </c>
      <c r="BA1613" s="3" t="s">
        <v>16741</v>
      </c>
      <c r="BB1613" s="3" t="s">
        <v>16742</v>
      </c>
      <c r="BC1613" s="3" t="s">
        <v>78</v>
      </c>
      <c r="BD1613" s="3" t="s">
        <v>79</v>
      </c>
      <c r="BE1613" s="3" t="s">
        <v>16743</v>
      </c>
      <c r="BF1613" s="3" t="s">
        <v>16742</v>
      </c>
      <c r="BG1613" s="3" t="s">
        <v>16744</v>
      </c>
    </row>
    <row r="1614" spans="1:59" ht="58" x14ac:dyDescent="0.35">
      <c r="A1614" s="2" t="s">
        <v>59</v>
      </c>
      <c r="B1614" s="2" t="s">
        <v>94</v>
      </c>
      <c r="C1614" s="2" t="s">
        <v>16745</v>
      </c>
      <c r="D1614" s="2" t="s">
        <v>16746</v>
      </c>
      <c r="E1614" s="2" t="s">
        <v>16747</v>
      </c>
      <c r="G1614" s="3" t="s">
        <v>64</v>
      </c>
      <c r="I1614" s="3" t="s">
        <v>64</v>
      </c>
      <c r="J1614" s="3" t="s">
        <v>64</v>
      </c>
      <c r="K1614" s="3" t="s">
        <v>65</v>
      </c>
      <c r="L1614" s="2" t="s">
        <v>16748</v>
      </c>
      <c r="M1614" s="2" t="s">
        <v>16749</v>
      </c>
      <c r="N1614" s="3" t="s">
        <v>377</v>
      </c>
      <c r="P1614" s="3" t="s">
        <v>69</v>
      </c>
      <c r="R1614" s="3" t="s">
        <v>9228</v>
      </c>
      <c r="S1614" s="4">
        <v>0</v>
      </c>
      <c r="T1614" s="4">
        <v>0</v>
      </c>
      <c r="W1614" s="5" t="s">
        <v>72</v>
      </c>
      <c r="X1614" s="5" t="s">
        <v>72</v>
      </c>
      <c r="Y1614" s="4">
        <v>52</v>
      </c>
      <c r="Z1614" s="4">
        <v>5</v>
      </c>
      <c r="AA1614" s="4">
        <v>85</v>
      </c>
      <c r="AB1614" s="4">
        <v>2</v>
      </c>
      <c r="AC1614" s="4">
        <v>16</v>
      </c>
      <c r="AD1614" s="4">
        <v>28</v>
      </c>
      <c r="AE1614" s="4">
        <v>116</v>
      </c>
      <c r="AF1614" s="4">
        <v>1</v>
      </c>
      <c r="AG1614" s="4">
        <v>8</v>
      </c>
      <c r="AH1614" s="4">
        <v>26</v>
      </c>
      <c r="AI1614" s="4">
        <v>81</v>
      </c>
      <c r="AJ1614" s="4">
        <v>3</v>
      </c>
      <c r="AK1614" s="4">
        <v>22</v>
      </c>
      <c r="AL1614" s="4">
        <v>15</v>
      </c>
      <c r="AM1614" s="4">
        <v>39</v>
      </c>
      <c r="AN1614" s="4">
        <v>0</v>
      </c>
      <c r="AO1614" s="4">
        <v>0</v>
      </c>
      <c r="AP1614" s="4">
        <v>3</v>
      </c>
      <c r="AQ1614" s="4">
        <v>43</v>
      </c>
      <c r="AR1614" s="3" t="s">
        <v>64</v>
      </c>
      <c r="AS1614" s="3" t="s">
        <v>64</v>
      </c>
      <c r="AT1614" s="3" t="s">
        <v>64</v>
      </c>
      <c r="AV1614" s="6" t="str">
        <f>HYPERLINK("http://mcgill.on.worldcat.org/oclc/795013502","Catalog Record")</f>
        <v>Catalog Record</v>
      </c>
      <c r="AW1614" s="6" t="str">
        <f>HYPERLINK("http://www.worldcat.org/oclc/795013502","WorldCat Record")</f>
        <v>WorldCat Record</v>
      </c>
      <c r="AX1614" s="3" t="s">
        <v>16750</v>
      </c>
      <c r="AY1614" s="3" t="s">
        <v>16751</v>
      </c>
      <c r="AZ1614" s="3" t="s">
        <v>16752</v>
      </c>
      <c r="BA1614" s="3" t="s">
        <v>16752</v>
      </c>
      <c r="BB1614" s="3" t="s">
        <v>16753</v>
      </c>
      <c r="BC1614" s="3" t="s">
        <v>78</v>
      </c>
      <c r="BD1614" s="3" t="s">
        <v>79</v>
      </c>
      <c r="BE1614" s="3" t="s">
        <v>16754</v>
      </c>
      <c r="BF1614" s="3" t="s">
        <v>16753</v>
      </c>
      <c r="BG1614" s="3" t="s">
        <v>16755</v>
      </c>
    </row>
    <row r="1615" spans="1:59" ht="58" x14ac:dyDescent="0.35">
      <c r="A1615" s="2" t="s">
        <v>59</v>
      </c>
      <c r="B1615" s="2" t="s">
        <v>94</v>
      </c>
      <c r="C1615" s="2" t="s">
        <v>16756</v>
      </c>
      <c r="D1615" s="2" t="s">
        <v>16757</v>
      </c>
      <c r="E1615" s="2" t="s">
        <v>16758</v>
      </c>
      <c r="G1615" s="3" t="s">
        <v>64</v>
      </c>
      <c r="I1615" s="3" t="s">
        <v>64</v>
      </c>
      <c r="J1615" s="3" t="s">
        <v>64</v>
      </c>
      <c r="K1615" s="3" t="s">
        <v>65</v>
      </c>
      <c r="L1615" s="2" t="s">
        <v>16759</v>
      </c>
      <c r="M1615" s="2" t="s">
        <v>16760</v>
      </c>
      <c r="N1615" s="3" t="s">
        <v>3085</v>
      </c>
      <c r="O1615" s="2" t="s">
        <v>6770</v>
      </c>
      <c r="P1615" s="3" t="s">
        <v>69</v>
      </c>
      <c r="R1615" s="3" t="s">
        <v>9228</v>
      </c>
      <c r="S1615" s="4">
        <v>12</v>
      </c>
      <c r="T1615" s="4">
        <v>12</v>
      </c>
      <c r="U1615" s="5" t="s">
        <v>16761</v>
      </c>
      <c r="V1615" s="5" t="s">
        <v>16761</v>
      </c>
      <c r="W1615" s="5" t="s">
        <v>72</v>
      </c>
      <c r="X1615" s="5" t="s">
        <v>72</v>
      </c>
      <c r="Y1615" s="4">
        <v>313</v>
      </c>
      <c r="Z1615" s="4">
        <v>13</v>
      </c>
      <c r="AA1615" s="4">
        <v>14</v>
      </c>
      <c r="AB1615" s="4">
        <v>1</v>
      </c>
      <c r="AC1615" s="4">
        <v>2</v>
      </c>
      <c r="AD1615" s="4">
        <v>88</v>
      </c>
      <c r="AE1615" s="4">
        <v>90</v>
      </c>
      <c r="AF1615" s="4">
        <v>0</v>
      </c>
      <c r="AG1615" s="4">
        <v>1</v>
      </c>
      <c r="AH1615" s="4">
        <v>79</v>
      </c>
      <c r="AI1615" s="4">
        <v>79</v>
      </c>
      <c r="AJ1615" s="4">
        <v>8</v>
      </c>
      <c r="AK1615" s="4">
        <v>9</v>
      </c>
      <c r="AL1615" s="4">
        <v>47</v>
      </c>
      <c r="AM1615" s="4">
        <v>48</v>
      </c>
      <c r="AN1615" s="4">
        <v>0</v>
      </c>
      <c r="AO1615" s="4">
        <v>0</v>
      </c>
      <c r="AP1615" s="4">
        <v>10</v>
      </c>
      <c r="AQ1615" s="4">
        <v>10</v>
      </c>
      <c r="AR1615" s="3" t="s">
        <v>64</v>
      </c>
      <c r="AS1615" s="3" t="s">
        <v>64</v>
      </c>
      <c r="AT1615" s="3" t="s">
        <v>73</v>
      </c>
      <c r="AU1615" s="6" t="str">
        <f>HYPERLINK("http://catalog.hathitrust.org/Record/001620955","HathiTrust Record")</f>
        <v>HathiTrust Record</v>
      </c>
      <c r="AV1615" s="6" t="str">
        <f>HYPERLINK("http://mcgill.on.worldcat.org/oclc/569114","Catalog Record")</f>
        <v>Catalog Record</v>
      </c>
      <c r="AW1615" s="6" t="str">
        <f>HYPERLINK("http://www.worldcat.org/oclc/569114","WorldCat Record")</f>
        <v>WorldCat Record</v>
      </c>
      <c r="AX1615" s="3" t="s">
        <v>16762</v>
      </c>
      <c r="AY1615" s="3" t="s">
        <v>16763</v>
      </c>
      <c r="AZ1615" s="3" t="s">
        <v>16764</v>
      </c>
      <c r="BA1615" s="3" t="s">
        <v>16764</v>
      </c>
      <c r="BB1615" s="3" t="s">
        <v>16765</v>
      </c>
      <c r="BC1615" s="3" t="s">
        <v>78</v>
      </c>
      <c r="BD1615" s="3" t="s">
        <v>79</v>
      </c>
      <c r="BF1615" s="3" t="s">
        <v>16765</v>
      </c>
      <c r="BG1615" s="3" t="s">
        <v>16766</v>
      </c>
    </row>
    <row r="1616" spans="1:59" ht="72.5" x14ac:dyDescent="0.35">
      <c r="A1616" s="2" t="s">
        <v>59</v>
      </c>
      <c r="B1616" s="2" t="s">
        <v>94</v>
      </c>
      <c r="C1616" s="2" t="s">
        <v>16767</v>
      </c>
      <c r="D1616" s="2" t="s">
        <v>16768</v>
      </c>
      <c r="E1616" s="2" t="s">
        <v>16769</v>
      </c>
      <c r="G1616" s="3" t="s">
        <v>64</v>
      </c>
      <c r="I1616" s="3" t="s">
        <v>64</v>
      </c>
      <c r="J1616" s="3" t="s">
        <v>64</v>
      </c>
      <c r="K1616" s="3" t="s">
        <v>65</v>
      </c>
      <c r="L1616" s="2" t="s">
        <v>16770</v>
      </c>
      <c r="M1616" s="2" t="s">
        <v>16771</v>
      </c>
      <c r="N1616" s="3" t="s">
        <v>16772</v>
      </c>
      <c r="P1616" s="3" t="s">
        <v>69</v>
      </c>
      <c r="R1616" s="3" t="s">
        <v>9228</v>
      </c>
      <c r="S1616" s="4">
        <v>2</v>
      </c>
      <c r="T1616" s="4">
        <v>2</v>
      </c>
      <c r="U1616" s="5" t="s">
        <v>14298</v>
      </c>
      <c r="V1616" s="5" t="s">
        <v>14298</v>
      </c>
      <c r="W1616" s="5" t="s">
        <v>72</v>
      </c>
      <c r="X1616" s="5" t="s">
        <v>72</v>
      </c>
      <c r="Y1616" s="4">
        <v>113</v>
      </c>
      <c r="Z1616" s="4">
        <v>2</v>
      </c>
      <c r="AA1616" s="4">
        <v>2</v>
      </c>
      <c r="AB1616" s="4">
        <v>1</v>
      </c>
      <c r="AC1616" s="4">
        <v>1</v>
      </c>
      <c r="AD1616" s="4">
        <v>43</v>
      </c>
      <c r="AE1616" s="4">
        <v>43</v>
      </c>
      <c r="AF1616" s="4">
        <v>0</v>
      </c>
      <c r="AG1616" s="4">
        <v>0</v>
      </c>
      <c r="AH1616" s="4">
        <v>40</v>
      </c>
      <c r="AI1616" s="4">
        <v>40</v>
      </c>
      <c r="AJ1616" s="4">
        <v>1</v>
      </c>
      <c r="AK1616" s="4">
        <v>1</v>
      </c>
      <c r="AL1616" s="4">
        <v>31</v>
      </c>
      <c r="AM1616" s="4">
        <v>31</v>
      </c>
      <c r="AN1616" s="4">
        <v>0</v>
      </c>
      <c r="AO1616" s="4">
        <v>0</v>
      </c>
      <c r="AP1616" s="4">
        <v>1</v>
      </c>
      <c r="AQ1616" s="4">
        <v>1</v>
      </c>
      <c r="AR1616" s="3" t="s">
        <v>64</v>
      </c>
      <c r="AS1616" s="3" t="s">
        <v>73</v>
      </c>
      <c r="AT1616" s="3" t="s">
        <v>64</v>
      </c>
      <c r="AU1616" s="6" t="str">
        <f>HYPERLINK("http://catalog.hathitrust.org/Record/001173953","HathiTrust Record")</f>
        <v>HathiTrust Record</v>
      </c>
      <c r="AV1616" s="6" t="str">
        <f>HYPERLINK("http://mcgill.on.worldcat.org/oclc/4612434","Catalog Record")</f>
        <v>Catalog Record</v>
      </c>
      <c r="AW1616" s="6" t="str">
        <f>HYPERLINK("http://www.worldcat.org/oclc/4612434","WorldCat Record")</f>
        <v>WorldCat Record</v>
      </c>
      <c r="AX1616" s="3" t="s">
        <v>16773</v>
      </c>
      <c r="AY1616" s="3" t="s">
        <v>16774</v>
      </c>
      <c r="AZ1616" s="3" t="s">
        <v>16775</v>
      </c>
      <c r="BA1616" s="3" t="s">
        <v>16775</v>
      </c>
      <c r="BB1616" s="3" t="s">
        <v>16776</v>
      </c>
      <c r="BC1616" s="3" t="s">
        <v>78</v>
      </c>
      <c r="BD1616" s="3" t="s">
        <v>79</v>
      </c>
      <c r="BF1616" s="3" t="s">
        <v>16776</v>
      </c>
      <c r="BG1616" s="3" t="s">
        <v>16777</v>
      </c>
    </row>
    <row r="1617" spans="1:59" ht="58" x14ac:dyDescent="0.35">
      <c r="A1617" s="2" t="s">
        <v>59</v>
      </c>
      <c r="B1617" s="2" t="s">
        <v>94</v>
      </c>
      <c r="C1617" s="2" t="s">
        <v>16778</v>
      </c>
      <c r="D1617" s="2" t="s">
        <v>16779</v>
      </c>
      <c r="E1617" s="2" t="s">
        <v>16780</v>
      </c>
      <c r="G1617" s="3" t="s">
        <v>64</v>
      </c>
      <c r="I1617" s="3" t="s">
        <v>64</v>
      </c>
      <c r="J1617" s="3" t="s">
        <v>64</v>
      </c>
      <c r="K1617" s="3" t="s">
        <v>65</v>
      </c>
      <c r="M1617" s="2" t="s">
        <v>16781</v>
      </c>
      <c r="N1617" s="3" t="s">
        <v>68</v>
      </c>
      <c r="P1617" s="3" t="s">
        <v>69</v>
      </c>
      <c r="R1617" s="3" t="s">
        <v>9228</v>
      </c>
      <c r="S1617" s="4">
        <v>1</v>
      </c>
      <c r="T1617" s="4">
        <v>1</v>
      </c>
      <c r="U1617" s="5" t="s">
        <v>7430</v>
      </c>
      <c r="V1617" s="5" t="s">
        <v>7430</v>
      </c>
      <c r="W1617" s="5" t="s">
        <v>72</v>
      </c>
      <c r="X1617" s="5" t="s">
        <v>72</v>
      </c>
      <c r="Y1617" s="4">
        <v>172</v>
      </c>
      <c r="Z1617" s="4">
        <v>7</v>
      </c>
      <c r="AA1617" s="4">
        <v>110</v>
      </c>
      <c r="AB1617" s="4">
        <v>1</v>
      </c>
      <c r="AC1617" s="4">
        <v>20</v>
      </c>
      <c r="AD1617" s="4">
        <v>80</v>
      </c>
      <c r="AE1617" s="4">
        <v>147</v>
      </c>
      <c r="AF1617" s="4">
        <v>0</v>
      </c>
      <c r="AG1617" s="4">
        <v>8</v>
      </c>
      <c r="AH1617" s="4">
        <v>78</v>
      </c>
      <c r="AI1617" s="4">
        <v>106</v>
      </c>
      <c r="AJ1617" s="4">
        <v>5</v>
      </c>
      <c r="AK1617" s="4">
        <v>24</v>
      </c>
      <c r="AL1617" s="4">
        <v>45</v>
      </c>
      <c r="AM1617" s="4">
        <v>56</v>
      </c>
      <c r="AN1617" s="4">
        <v>5</v>
      </c>
      <c r="AO1617" s="4">
        <v>5</v>
      </c>
      <c r="AP1617" s="4">
        <v>5</v>
      </c>
      <c r="AQ1617" s="4">
        <v>46</v>
      </c>
      <c r="AR1617" s="3" t="s">
        <v>64</v>
      </c>
      <c r="AS1617" s="3" t="s">
        <v>64</v>
      </c>
      <c r="AT1617" s="3" t="s">
        <v>73</v>
      </c>
      <c r="AU1617" s="6" t="str">
        <f>HYPERLINK("http://catalog.hathitrust.org/Record/005412058","HathiTrust Record")</f>
        <v>HathiTrust Record</v>
      </c>
      <c r="AV1617" s="6" t="str">
        <f>HYPERLINK("http://mcgill.on.worldcat.org/oclc/74029353","Catalog Record")</f>
        <v>Catalog Record</v>
      </c>
      <c r="AW1617" s="6" t="str">
        <f>HYPERLINK("http://www.worldcat.org/oclc/74029353","WorldCat Record")</f>
        <v>WorldCat Record</v>
      </c>
      <c r="AX1617" s="3" t="s">
        <v>16782</v>
      </c>
      <c r="AY1617" s="3" t="s">
        <v>16783</v>
      </c>
      <c r="AZ1617" s="3" t="s">
        <v>16784</v>
      </c>
      <c r="BA1617" s="3" t="s">
        <v>16784</v>
      </c>
      <c r="BB1617" s="3" t="s">
        <v>16785</v>
      </c>
      <c r="BC1617" s="3" t="s">
        <v>78</v>
      </c>
      <c r="BD1617" s="3" t="s">
        <v>79</v>
      </c>
      <c r="BE1617" s="3" t="s">
        <v>16786</v>
      </c>
      <c r="BF1617" s="3" t="s">
        <v>16785</v>
      </c>
      <c r="BG1617" s="3" t="s">
        <v>16787</v>
      </c>
    </row>
    <row r="1618" spans="1:59" ht="58" x14ac:dyDescent="0.35">
      <c r="A1618" s="2" t="s">
        <v>59</v>
      </c>
      <c r="B1618" s="2" t="s">
        <v>94</v>
      </c>
      <c r="C1618" s="2" t="s">
        <v>16788</v>
      </c>
      <c r="D1618" s="2" t="s">
        <v>16789</v>
      </c>
      <c r="E1618" s="2" t="s">
        <v>16790</v>
      </c>
      <c r="G1618" s="3" t="s">
        <v>64</v>
      </c>
      <c r="I1618" s="3" t="s">
        <v>64</v>
      </c>
      <c r="J1618" s="3" t="s">
        <v>64</v>
      </c>
      <c r="K1618" s="3" t="s">
        <v>65</v>
      </c>
      <c r="L1618" s="2" t="s">
        <v>16791</v>
      </c>
      <c r="M1618" s="2" t="s">
        <v>16792</v>
      </c>
      <c r="N1618" s="3" t="s">
        <v>538</v>
      </c>
      <c r="P1618" s="3" t="s">
        <v>69</v>
      </c>
      <c r="R1618" s="3" t="s">
        <v>9228</v>
      </c>
      <c r="S1618" s="4">
        <v>9</v>
      </c>
      <c r="T1618" s="4">
        <v>9</v>
      </c>
      <c r="U1618" s="5" t="s">
        <v>5845</v>
      </c>
      <c r="V1618" s="5" t="s">
        <v>5845</v>
      </c>
      <c r="W1618" s="5" t="s">
        <v>72</v>
      </c>
      <c r="X1618" s="5" t="s">
        <v>72</v>
      </c>
      <c r="Y1618" s="4">
        <v>210</v>
      </c>
      <c r="Z1618" s="4">
        <v>19</v>
      </c>
      <c r="AA1618" s="4">
        <v>31</v>
      </c>
      <c r="AB1618" s="4">
        <v>2</v>
      </c>
      <c r="AC1618" s="4">
        <v>4</v>
      </c>
      <c r="AD1618" s="4">
        <v>93</v>
      </c>
      <c r="AE1618" s="4">
        <v>103</v>
      </c>
      <c r="AF1618" s="4">
        <v>1</v>
      </c>
      <c r="AG1618" s="4">
        <v>1</v>
      </c>
      <c r="AH1618" s="4">
        <v>83</v>
      </c>
      <c r="AI1618" s="4">
        <v>87</v>
      </c>
      <c r="AJ1618" s="4">
        <v>15</v>
      </c>
      <c r="AK1618" s="4">
        <v>18</v>
      </c>
      <c r="AL1618" s="4">
        <v>46</v>
      </c>
      <c r="AM1618" s="4">
        <v>46</v>
      </c>
      <c r="AN1618" s="4">
        <v>0</v>
      </c>
      <c r="AO1618" s="4">
        <v>0</v>
      </c>
      <c r="AP1618" s="4">
        <v>16</v>
      </c>
      <c r="AQ1618" s="4">
        <v>24</v>
      </c>
      <c r="AR1618" s="3" t="s">
        <v>64</v>
      </c>
      <c r="AS1618" s="3" t="s">
        <v>64</v>
      </c>
      <c r="AT1618" s="3" t="s">
        <v>64</v>
      </c>
      <c r="AV1618" s="6" t="str">
        <f>HYPERLINK("http://mcgill.on.worldcat.org/oclc/74648934","Catalog Record")</f>
        <v>Catalog Record</v>
      </c>
      <c r="AW1618" s="6" t="str">
        <f>HYPERLINK("http://www.worldcat.org/oclc/74648934","WorldCat Record")</f>
        <v>WorldCat Record</v>
      </c>
      <c r="AX1618" s="3" t="s">
        <v>16793</v>
      </c>
      <c r="AY1618" s="3" t="s">
        <v>16794</v>
      </c>
      <c r="AZ1618" s="3" t="s">
        <v>16795</v>
      </c>
      <c r="BA1618" s="3" t="s">
        <v>16795</v>
      </c>
      <c r="BB1618" s="3" t="s">
        <v>16796</v>
      </c>
      <c r="BC1618" s="3" t="s">
        <v>78</v>
      </c>
      <c r="BD1618" s="3" t="s">
        <v>79</v>
      </c>
      <c r="BE1618" s="3" t="s">
        <v>16797</v>
      </c>
      <c r="BF1618" s="3" t="s">
        <v>16796</v>
      </c>
      <c r="BG1618" s="3" t="s">
        <v>16798</v>
      </c>
    </row>
    <row r="1619" spans="1:59" ht="58" x14ac:dyDescent="0.35">
      <c r="A1619" s="2" t="s">
        <v>59</v>
      </c>
      <c r="B1619" s="2" t="s">
        <v>94</v>
      </c>
      <c r="C1619" s="2" t="s">
        <v>16799</v>
      </c>
      <c r="D1619" s="2" t="s">
        <v>16800</v>
      </c>
      <c r="E1619" s="2" t="s">
        <v>16801</v>
      </c>
      <c r="G1619" s="3" t="s">
        <v>64</v>
      </c>
      <c r="I1619" s="3" t="s">
        <v>64</v>
      </c>
      <c r="J1619" s="3" t="s">
        <v>64</v>
      </c>
      <c r="K1619" s="3" t="s">
        <v>65</v>
      </c>
      <c r="L1619" s="2" t="s">
        <v>16802</v>
      </c>
      <c r="M1619" s="2" t="s">
        <v>16803</v>
      </c>
      <c r="N1619" s="3" t="s">
        <v>68</v>
      </c>
      <c r="O1619" s="2" t="s">
        <v>1294</v>
      </c>
      <c r="P1619" s="3" t="s">
        <v>69</v>
      </c>
      <c r="R1619" s="3" t="s">
        <v>9228</v>
      </c>
      <c r="S1619" s="4">
        <v>3</v>
      </c>
      <c r="T1619" s="4">
        <v>3</v>
      </c>
      <c r="U1619" s="5" t="s">
        <v>14613</v>
      </c>
      <c r="V1619" s="5" t="s">
        <v>14613</v>
      </c>
      <c r="W1619" s="5" t="s">
        <v>72</v>
      </c>
      <c r="X1619" s="5" t="s">
        <v>72</v>
      </c>
      <c r="Y1619" s="4">
        <v>609</v>
      </c>
      <c r="Z1619" s="4">
        <v>14</v>
      </c>
      <c r="AA1619" s="4">
        <v>14</v>
      </c>
      <c r="AB1619" s="4">
        <v>2</v>
      </c>
      <c r="AC1619" s="4">
        <v>2</v>
      </c>
      <c r="AD1619" s="4">
        <v>78</v>
      </c>
      <c r="AE1619" s="4">
        <v>78</v>
      </c>
      <c r="AF1619" s="4">
        <v>0</v>
      </c>
      <c r="AG1619" s="4">
        <v>0</v>
      </c>
      <c r="AH1619" s="4">
        <v>72</v>
      </c>
      <c r="AI1619" s="4">
        <v>72</v>
      </c>
      <c r="AJ1619" s="4">
        <v>7</v>
      </c>
      <c r="AK1619" s="4">
        <v>7</v>
      </c>
      <c r="AL1619" s="4">
        <v>42</v>
      </c>
      <c r="AM1619" s="4">
        <v>42</v>
      </c>
      <c r="AN1619" s="4">
        <v>0</v>
      </c>
      <c r="AO1619" s="4">
        <v>0</v>
      </c>
      <c r="AP1619" s="4">
        <v>6</v>
      </c>
      <c r="AQ1619" s="4">
        <v>6</v>
      </c>
      <c r="AR1619" s="3" t="s">
        <v>64</v>
      </c>
      <c r="AS1619" s="3" t="s">
        <v>64</v>
      </c>
      <c r="AT1619" s="3" t="s">
        <v>64</v>
      </c>
      <c r="AV1619" s="6" t="str">
        <f>HYPERLINK("http://mcgill.on.worldcat.org/oclc/62728674","Catalog Record")</f>
        <v>Catalog Record</v>
      </c>
      <c r="AW1619" s="6" t="str">
        <f>HYPERLINK("http://www.worldcat.org/oclc/62728674","WorldCat Record")</f>
        <v>WorldCat Record</v>
      </c>
      <c r="AX1619" s="3" t="s">
        <v>16804</v>
      </c>
      <c r="AY1619" s="3" t="s">
        <v>16805</v>
      </c>
      <c r="AZ1619" s="3" t="s">
        <v>16806</v>
      </c>
      <c r="BA1619" s="3" t="s">
        <v>16806</v>
      </c>
      <c r="BB1619" s="3" t="s">
        <v>16807</v>
      </c>
      <c r="BC1619" s="3" t="s">
        <v>78</v>
      </c>
      <c r="BD1619" s="3" t="s">
        <v>79</v>
      </c>
      <c r="BE1619" s="3" t="s">
        <v>16808</v>
      </c>
      <c r="BF1619" s="3" t="s">
        <v>16807</v>
      </c>
      <c r="BG1619" s="3" t="s">
        <v>16809</v>
      </c>
    </row>
    <row r="1620" spans="1:59" ht="72.5" x14ac:dyDescent="0.35">
      <c r="A1620" s="2" t="s">
        <v>59</v>
      </c>
      <c r="B1620" s="2" t="s">
        <v>94</v>
      </c>
      <c r="C1620" s="2" t="s">
        <v>16810</v>
      </c>
      <c r="D1620" s="2" t="s">
        <v>16811</v>
      </c>
      <c r="E1620" s="2" t="s">
        <v>16812</v>
      </c>
      <c r="G1620" s="3" t="s">
        <v>64</v>
      </c>
      <c r="I1620" s="3" t="s">
        <v>64</v>
      </c>
      <c r="J1620" s="3" t="s">
        <v>64</v>
      </c>
      <c r="K1620" s="3" t="s">
        <v>65</v>
      </c>
      <c r="L1620" s="2" t="s">
        <v>16813</v>
      </c>
      <c r="M1620" s="2" t="s">
        <v>16814</v>
      </c>
      <c r="N1620" s="3" t="s">
        <v>1645</v>
      </c>
      <c r="O1620" s="2" t="s">
        <v>16815</v>
      </c>
      <c r="P1620" s="3" t="s">
        <v>69</v>
      </c>
      <c r="R1620" s="3" t="s">
        <v>9228</v>
      </c>
      <c r="S1620" s="4">
        <v>2</v>
      </c>
      <c r="T1620" s="4">
        <v>2</v>
      </c>
      <c r="U1620" s="5" t="s">
        <v>5433</v>
      </c>
      <c r="V1620" s="5" t="s">
        <v>5433</v>
      </c>
      <c r="W1620" s="5" t="s">
        <v>72</v>
      </c>
      <c r="X1620" s="5" t="s">
        <v>72</v>
      </c>
      <c r="Y1620" s="4">
        <v>879</v>
      </c>
      <c r="Z1620" s="4">
        <v>11</v>
      </c>
      <c r="AA1620" s="4">
        <v>13</v>
      </c>
      <c r="AB1620" s="4">
        <v>2</v>
      </c>
      <c r="AC1620" s="4">
        <v>4</v>
      </c>
      <c r="AD1620" s="4">
        <v>46</v>
      </c>
      <c r="AE1620" s="4">
        <v>47</v>
      </c>
      <c r="AF1620" s="4">
        <v>0</v>
      </c>
      <c r="AG1620" s="4">
        <v>0</v>
      </c>
      <c r="AH1620" s="4">
        <v>45</v>
      </c>
      <c r="AI1620" s="4">
        <v>46</v>
      </c>
      <c r="AJ1620" s="4">
        <v>1</v>
      </c>
      <c r="AK1620" s="4">
        <v>1</v>
      </c>
      <c r="AL1620" s="4">
        <v>31</v>
      </c>
      <c r="AM1620" s="4">
        <v>31</v>
      </c>
      <c r="AN1620" s="4">
        <v>0</v>
      </c>
      <c r="AO1620" s="4">
        <v>0</v>
      </c>
      <c r="AP1620" s="4">
        <v>1</v>
      </c>
      <c r="AQ1620" s="4">
        <v>1</v>
      </c>
      <c r="AR1620" s="3" t="s">
        <v>64</v>
      </c>
      <c r="AS1620" s="3" t="s">
        <v>64</v>
      </c>
      <c r="AT1620" s="3" t="s">
        <v>64</v>
      </c>
      <c r="AV1620" s="6" t="str">
        <f>HYPERLINK("http://mcgill.on.worldcat.org/oclc/971248821","Catalog Record")</f>
        <v>Catalog Record</v>
      </c>
      <c r="AW1620" s="6" t="str">
        <f>HYPERLINK("http://www.worldcat.org/oclc/971248821","WorldCat Record")</f>
        <v>WorldCat Record</v>
      </c>
      <c r="AX1620" s="3" t="s">
        <v>16816</v>
      </c>
      <c r="AY1620" s="3" t="s">
        <v>16817</v>
      </c>
      <c r="AZ1620" s="3" t="s">
        <v>16818</v>
      </c>
      <c r="BA1620" s="3" t="s">
        <v>16818</v>
      </c>
      <c r="BB1620" s="3" t="s">
        <v>16819</v>
      </c>
      <c r="BC1620" s="3" t="s">
        <v>78</v>
      </c>
      <c r="BD1620" s="3" t="s">
        <v>79</v>
      </c>
      <c r="BE1620" s="3" t="s">
        <v>16820</v>
      </c>
      <c r="BF1620" s="3" t="s">
        <v>16819</v>
      </c>
      <c r="BG1620" s="3" t="s">
        <v>16821</v>
      </c>
    </row>
    <row r="1621" spans="1:59" ht="58" x14ac:dyDescent="0.35">
      <c r="A1621" s="2" t="s">
        <v>59</v>
      </c>
      <c r="B1621" s="2" t="s">
        <v>94</v>
      </c>
      <c r="C1621" s="2" t="s">
        <v>16822</v>
      </c>
      <c r="D1621" s="2" t="s">
        <v>16823</v>
      </c>
      <c r="E1621" s="2" t="s">
        <v>16824</v>
      </c>
      <c r="G1621" s="3" t="s">
        <v>64</v>
      </c>
      <c r="I1621" s="3" t="s">
        <v>64</v>
      </c>
      <c r="J1621" s="3" t="s">
        <v>64</v>
      </c>
      <c r="K1621" s="3" t="s">
        <v>65</v>
      </c>
      <c r="L1621" s="2" t="s">
        <v>16825</v>
      </c>
      <c r="M1621" s="2" t="s">
        <v>16826</v>
      </c>
      <c r="N1621" s="3" t="s">
        <v>112</v>
      </c>
      <c r="P1621" s="3" t="s">
        <v>69</v>
      </c>
      <c r="R1621" s="3" t="s">
        <v>9228</v>
      </c>
      <c r="S1621" s="4">
        <v>2</v>
      </c>
      <c r="T1621" s="4">
        <v>2</v>
      </c>
      <c r="U1621" s="5" t="s">
        <v>16827</v>
      </c>
      <c r="V1621" s="5" t="s">
        <v>16827</v>
      </c>
      <c r="W1621" s="5" t="s">
        <v>72</v>
      </c>
      <c r="X1621" s="5" t="s">
        <v>72</v>
      </c>
      <c r="Y1621" s="4">
        <v>120</v>
      </c>
      <c r="Z1621" s="4">
        <v>1</v>
      </c>
      <c r="AA1621" s="4">
        <v>1</v>
      </c>
      <c r="AB1621" s="4">
        <v>1</v>
      </c>
      <c r="AC1621" s="4">
        <v>1</v>
      </c>
      <c r="AD1621" s="4">
        <v>41</v>
      </c>
      <c r="AE1621" s="4">
        <v>42</v>
      </c>
      <c r="AF1621" s="4">
        <v>0</v>
      </c>
      <c r="AG1621" s="4">
        <v>0</v>
      </c>
      <c r="AH1621" s="4">
        <v>40</v>
      </c>
      <c r="AI1621" s="4">
        <v>41</v>
      </c>
      <c r="AJ1621" s="4">
        <v>0</v>
      </c>
      <c r="AK1621" s="4">
        <v>0</v>
      </c>
      <c r="AL1621" s="4">
        <v>28</v>
      </c>
      <c r="AM1621" s="4">
        <v>29</v>
      </c>
      <c r="AN1621" s="4">
        <v>0</v>
      </c>
      <c r="AO1621" s="4">
        <v>0</v>
      </c>
      <c r="AP1621" s="4">
        <v>0</v>
      </c>
      <c r="AQ1621" s="4">
        <v>0</v>
      </c>
      <c r="AR1621" s="3" t="s">
        <v>64</v>
      </c>
      <c r="AS1621" s="3" t="s">
        <v>73</v>
      </c>
      <c r="AT1621" s="3" t="s">
        <v>64</v>
      </c>
      <c r="AU1621" s="6" t="str">
        <f>HYPERLINK("http://catalog.hathitrust.org/Record/002028355","HathiTrust Record")</f>
        <v>HathiTrust Record</v>
      </c>
      <c r="AV1621" s="6" t="str">
        <f>HYPERLINK("http://mcgill.on.worldcat.org/oclc/1726068","Catalog Record")</f>
        <v>Catalog Record</v>
      </c>
      <c r="AW1621" s="6" t="str">
        <f>HYPERLINK("http://www.worldcat.org/oclc/1726068","WorldCat Record")</f>
        <v>WorldCat Record</v>
      </c>
      <c r="AX1621" s="3" t="s">
        <v>16828</v>
      </c>
      <c r="AY1621" s="3" t="s">
        <v>16829</v>
      </c>
      <c r="AZ1621" s="3" t="s">
        <v>16830</v>
      </c>
      <c r="BA1621" s="3" t="s">
        <v>16830</v>
      </c>
      <c r="BB1621" s="3" t="s">
        <v>16831</v>
      </c>
      <c r="BC1621" s="3" t="s">
        <v>78</v>
      </c>
      <c r="BD1621" s="3" t="s">
        <v>79</v>
      </c>
      <c r="BF1621" s="3" t="s">
        <v>16831</v>
      </c>
      <c r="BG1621" s="3" t="s">
        <v>16832</v>
      </c>
    </row>
    <row r="1622" spans="1:59" ht="58" x14ac:dyDescent="0.35">
      <c r="A1622" s="2" t="s">
        <v>59</v>
      </c>
      <c r="B1622" s="2" t="s">
        <v>94</v>
      </c>
      <c r="C1622" s="2" t="s">
        <v>16833</v>
      </c>
      <c r="D1622" s="2" t="s">
        <v>16834</v>
      </c>
      <c r="E1622" s="2" t="s">
        <v>16835</v>
      </c>
      <c r="G1622" s="3" t="s">
        <v>64</v>
      </c>
      <c r="I1622" s="3" t="s">
        <v>64</v>
      </c>
      <c r="J1622" s="3" t="s">
        <v>64</v>
      </c>
      <c r="K1622" s="3" t="s">
        <v>65</v>
      </c>
      <c r="L1622" s="2" t="s">
        <v>16836</v>
      </c>
      <c r="M1622" s="2" t="s">
        <v>16837</v>
      </c>
      <c r="N1622" s="3" t="s">
        <v>136</v>
      </c>
      <c r="P1622" s="3" t="s">
        <v>69</v>
      </c>
      <c r="Q1622" s="2" t="s">
        <v>16838</v>
      </c>
      <c r="R1622" s="3" t="s">
        <v>9228</v>
      </c>
      <c r="S1622" s="4">
        <v>11</v>
      </c>
      <c r="T1622" s="4">
        <v>11</v>
      </c>
      <c r="U1622" s="5" t="s">
        <v>8907</v>
      </c>
      <c r="V1622" s="5" t="s">
        <v>8907</v>
      </c>
      <c r="W1622" s="5" t="s">
        <v>72</v>
      </c>
      <c r="X1622" s="5" t="s">
        <v>72</v>
      </c>
      <c r="Y1622" s="4">
        <v>496</v>
      </c>
      <c r="Z1622" s="4">
        <v>22</v>
      </c>
      <c r="AA1622" s="4">
        <v>39</v>
      </c>
      <c r="AB1622" s="4">
        <v>1</v>
      </c>
      <c r="AC1622" s="4">
        <v>5</v>
      </c>
      <c r="AD1622" s="4">
        <v>107</v>
      </c>
      <c r="AE1622" s="4">
        <v>123</v>
      </c>
      <c r="AF1622" s="4">
        <v>0</v>
      </c>
      <c r="AG1622" s="4">
        <v>2</v>
      </c>
      <c r="AH1622" s="4">
        <v>96</v>
      </c>
      <c r="AI1622" s="4">
        <v>103</v>
      </c>
      <c r="AJ1622" s="4">
        <v>11</v>
      </c>
      <c r="AK1622" s="4">
        <v>19</v>
      </c>
      <c r="AL1622" s="4">
        <v>53</v>
      </c>
      <c r="AM1622" s="4">
        <v>55</v>
      </c>
      <c r="AN1622" s="4">
        <v>0</v>
      </c>
      <c r="AO1622" s="4">
        <v>0</v>
      </c>
      <c r="AP1622" s="4">
        <v>17</v>
      </c>
      <c r="AQ1622" s="4">
        <v>28</v>
      </c>
      <c r="AR1622" s="3" t="s">
        <v>64</v>
      </c>
      <c r="AS1622" s="3" t="s">
        <v>64</v>
      </c>
      <c r="AT1622" s="3" t="s">
        <v>64</v>
      </c>
      <c r="AV1622" s="6" t="str">
        <f>HYPERLINK("http://mcgill.on.worldcat.org/oclc/43083317","Catalog Record")</f>
        <v>Catalog Record</v>
      </c>
      <c r="AW1622" s="6" t="str">
        <f>HYPERLINK("http://www.worldcat.org/oclc/43083317","WorldCat Record")</f>
        <v>WorldCat Record</v>
      </c>
      <c r="AX1622" s="3" t="s">
        <v>16839</v>
      </c>
      <c r="AY1622" s="3" t="s">
        <v>16840</v>
      </c>
      <c r="AZ1622" s="3" t="s">
        <v>16841</v>
      </c>
      <c r="BA1622" s="3" t="s">
        <v>16841</v>
      </c>
      <c r="BB1622" s="3" t="s">
        <v>16842</v>
      </c>
      <c r="BC1622" s="3" t="s">
        <v>78</v>
      </c>
      <c r="BD1622" s="3" t="s">
        <v>79</v>
      </c>
      <c r="BE1622" s="3" t="s">
        <v>16843</v>
      </c>
      <c r="BF1622" s="3" t="s">
        <v>16842</v>
      </c>
      <c r="BG1622" s="3" t="s">
        <v>16844</v>
      </c>
    </row>
    <row r="1623" spans="1:59" ht="58" x14ac:dyDescent="0.35">
      <c r="A1623" s="2" t="s">
        <v>59</v>
      </c>
      <c r="B1623" s="2" t="s">
        <v>94</v>
      </c>
      <c r="C1623" s="2" t="s">
        <v>16845</v>
      </c>
      <c r="D1623" s="2" t="s">
        <v>16846</v>
      </c>
      <c r="E1623" s="2" t="s">
        <v>16847</v>
      </c>
      <c r="G1623" s="3" t="s">
        <v>64</v>
      </c>
      <c r="I1623" s="3" t="s">
        <v>64</v>
      </c>
      <c r="J1623" s="3" t="s">
        <v>64</v>
      </c>
      <c r="K1623" s="3" t="s">
        <v>65</v>
      </c>
      <c r="L1623" s="2" t="s">
        <v>16848</v>
      </c>
      <c r="M1623" s="2" t="s">
        <v>16849</v>
      </c>
      <c r="N1623" s="3" t="s">
        <v>861</v>
      </c>
      <c r="P1623" s="3" t="s">
        <v>69</v>
      </c>
      <c r="Q1623" s="2" t="s">
        <v>16850</v>
      </c>
      <c r="R1623" s="3" t="s">
        <v>9228</v>
      </c>
      <c r="S1623" s="4">
        <v>15</v>
      </c>
      <c r="T1623" s="4">
        <v>15</v>
      </c>
      <c r="U1623" s="5" t="s">
        <v>16851</v>
      </c>
      <c r="V1623" s="5" t="s">
        <v>16851</v>
      </c>
      <c r="W1623" s="5" t="s">
        <v>72</v>
      </c>
      <c r="X1623" s="5" t="s">
        <v>72</v>
      </c>
      <c r="Y1623" s="4">
        <v>39</v>
      </c>
      <c r="Z1623" s="4">
        <v>1</v>
      </c>
      <c r="AA1623" s="4">
        <v>53</v>
      </c>
      <c r="AB1623" s="4">
        <v>1</v>
      </c>
      <c r="AC1623" s="4">
        <v>3</v>
      </c>
      <c r="AD1623" s="4">
        <v>3</v>
      </c>
      <c r="AE1623" s="4">
        <v>122</v>
      </c>
      <c r="AF1623" s="4">
        <v>0</v>
      </c>
      <c r="AG1623" s="4">
        <v>0</v>
      </c>
      <c r="AH1623" s="4">
        <v>3</v>
      </c>
      <c r="AI1623" s="4">
        <v>103</v>
      </c>
      <c r="AJ1623" s="4">
        <v>0</v>
      </c>
      <c r="AK1623" s="4">
        <v>13</v>
      </c>
      <c r="AL1623" s="4">
        <v>2</v>
      </c>
      <c r="AM1623" s="4">
        <v>55</v>
      </c>
      <c r="AN1623" s="4">
        <v>0</v>
      </c>
      <c r="AO1623" s="4">
        <v>0</v>
      </c>
      <c r="AP1623" s="4">
        <v>0</v>
      </c>
      <c r="AQ1623" s="4">
        <v>23</v>
      </c>
      <c r="AR1623" s="3" t="s">
        <v>64</v>
      </c>
      <c r="AS1623" s="3" t="s">
        <v>64</v>
      </c>
      <c r="AT1623" s="3" t="s">
        <v>64</v>
      </c>
      <c r="AV1623" s="6" t="str">
        <f>HYPERLINK("http://mcgill.on.worldcat.org/oclc/55590640","Catalog Record")</f>
        <v>Catalog Record</v>
      </c>
      <c r="AW1623" s="6" t="str">
        <f>HYPERLINK("http://www.worldcat.org/oclc/55590640","WorldCat Record")</f>
        <v>WorldCat Record</v>
      </c>
      <c r="AX1623" s="3" t="s">
        <v>16852</v>
      </c>
      <c r="AY1623" s="3" t="s">
        <v>16853</v>
      </c>
      <c r="AZ1623" s="3" t="s">
        <v>16854</v>
      </c>
      <c r="BA1623" s="3" t="s">
        <v>16854</v>
      </c>
      <c r="BB1623" s="3" t="s">
        <v>16855</v>
      </c>
      <c r="BC1623" s="3" t="s">
        <v>78</v>
      </c>
      <c r="BD1623" s="3" t="s">
        <v>79</v>
      </c>
      <c r="BE1623" s="3" t="s">
        <v>16856</v>
      </c>
      <c r="BF1623" s="3" t="s">
        <v>16855</v>
      </c>
      <c r="BG1623" s="3" t="s">
        <v>16857</v>
      </c>
    </row>
    <row r="1624" spans="1:59" ht="58" x14ac:dyDescent="0.35">
      <c r="A1624" s="2" t="s">
        <v>59</v>
      </c>
      <c r="B1624" s="2" t="s">
        <v>94</v>
      </c>
      <c r="C1624" s="2" t="s">
        <v>16858</v>
      </c>
      <c r="D1624" s="2" t="s">
        <v>16859</v>
      </c>
      <c r="E1624" s="2" t="s">
        <v>16860</v>
      </c>
      <c r="G1624" s="3" t="s">
        <v>64</v>
      </c>
      <c r="I1624" s="3" t="s">
        <v>64</v>
      </c>
      <c r="J1624" s="3" t="s">
        <v>64</v>
      </c>
      <c r="K1624" s="3" t="s">
        <v>65</v>
      </c>
      <c r="L1624" s="2" t="s">
        <v>16861</v>
      </c>
      <c r="M1624" s="2" t="s">
        <v>16862</v>
      </c>
      <c r="N1624" s="3" t="s">
        <v>315</v>
      </c>
      <c r="P1624" s="3" t="s">
        <v>69</v>
      </c>
      <c r="R1624" s="3" t="s">
        <v>9228</v>
      </c>
      <c r="S1624" s="4">
        <v>8</v>
      </c>
      <c r="T1624" s="4">
        <v>8</v>
      </c>
      <c r="U1624" s="5" t="s">
        <v>16863</v>
      </c>
      <c r="V1624" s="5" t="s">
        <v>16863</v>
      </c>
      <c r="W1624" s="5" t="s">
        <v>72</v>
      </c>
      <c r="X1624" s="5" t="s">
        <v>72</v>
      </c>
      <c r="Y1624" s="4">
        <v>133</v>
      </c>
      <c r="Z1624" s="4">
        <v>8</v>
      </c>
      <c r="AA1624" s="4">
        <v>18</v>
      </c>
      <c r="AB1624" s="4">
        <v>2</v>
      </c>
      <c r="AC1624" s="4">
        <v>3</v>
      </c>
      <c r="AD1624" s="4">
        <v>46</v>
      </c>
      <c r="AE1624" s="4">
        <v>80</v>
      </c>
      <c r="AF1624" s="4">
        <v>0</v>
      </c>
      <c r="AG1624" s="4">
        <v>0</v>
      </c>
      <c r="AH1624" s="4">
        <v>44</v>
      </c>
      <c r="AI1624" s="4">
        <v>74</v>
      </c>
      <c r="AJ1624" s="4">
        <v>4</v>
      </c>
      <c r="AK1624" s="4">
        <v>12</v>
      </c>
      <c r="AL1624" s="4">
        <v>26</v>
      </c>
      <c r="AM1624" s="4">
        <v>43</v>
      </c>
      <c r="AN1624" s="4">
        <v>0</v>
      </c>
      <c r="AO1624" s="4">
        <v>0</v>
      </c>
      <c r="AP1624" s="4">
        <v>5</v>
      </c>
      <c r="AQ1624" s="4">
        <v>13</v>
      </c>
      <c r="AR1624" s="3" t="s">
        <v>64</v>
      </c>
      <c r="AS1624" s="3" t="s">
        <v>64</v>
      </c>
      <c r="AT1624" s="3" t="s">
        <v>64</v>
      </c>
      <c r="AV1624" s="6" t="str">
        <f>HYPERLINK("http://mcgill.on.worldcat.org/oclc/14167024","Catalog Record")</f>
        <v>Catalog Record</v>
      </c>
      <c r="AW1624" s="6" t="str">
        <f>HYPERLINK("http://www.worldcat.org/oclc/14167024","WorldCat Record")</f>
        <v>WorldCat Record</v>
      </c>
      <c r="AX1624" s="3" t="s">
        <v>16864</v>
      </c>
      <c r="AY1624" s="3" t="s">
        <v>16865</v>
      </c>
      <c r="AZ1624" s="3" t="s">
        <v>16866</v>
      </c>
      <c r="BA1624" s="3" t="s">
        <v>16866</v>
      </c>
      <c r="BB1624" s="3" t="s">
        <v>16867</v>
      </c>
      <c r="BC1624" s="3" t="s">
        <v>78</v>
      </c>
      <c r="BD1624" s="3" t="s">
        <v>79</v>
      </c>
      <c r="BE1624" s="3" t="s">
        <v>16868</v>
      </c>
      <c r="BF1624" s="3" t="s">
        <v>16867</v>
      </c>
      <c r="BG1624" s="3" t="s">
        <v>16869</v>
      </c>
    </row>
    <row r="1625" spans="1:59" ht="58" x14ac:dyDescent="0.35">
      <c r="A1625" s="2" t="s">
        <v>59</v>
      </c>
      <c r="B1625" s="2" t="s">
        <v>94</v>
      </c>
      <c r="C1625" s="2" t="s">
        <v>16870</v>
      </c>
      <c r="D1625" s="2" t="s">
        <v>16871</v>
      </c>
      <c r="E1625" s="2" t="s">
        <v>16872</v>
      </c>
      <c r="G1625" s="3" t="s">
        <v>64</v>
      </c>
      <c r="I1625" s="3" t="s">
        <v>64</v>
      </c>
      <c r="J1625" s="3" t="s">
        <v>64</v>
      </c>
      <c r="K1625" s="3" t="s">
        <v>65</v>
      </c>
      <c r="L1625" s="2" t="s">
        <v>16873</v>
      </c>
      <c r="M1625" s="2" t="s">
        <v>16874</v>
      </c>
      <c r="N1625" s="3" t="s">
        <v>377</v>
      </c>
      <c r="P1625" s="3" t="s">
        <v>69</v>
      </c>
      <c r="Q1625" s="2" t="s">
        <v>16875</v>
      </c>
      <c r="R1625" s="3" t="s">
        <v>9228</v>
      </c>
      <c r="S1625" s="4">
        <v>3</v>
      </c>
      <c r="T1625" s="4">
        <v>3</v>
      </c>
      <c r="U1625" s="5" t="s">
        <v>7866</v>
      </c>
      <c r="V1625" s="5" t="s">
        <v>7866</v>
      </c>
      <c r="W1625" s="5" t="s">
        <v>72</v>
      </c>
      <c r="X1625" s="5" t="s">
        <v>72</v>
      </c>
      <c r="Y1625" s="4">
        <v>107</v>
      </c>
      <c r="Z1625" s="4">
        <v>58</v>
      </c>
      <c r="AA1625" s="4">
        <v>112</v>
      </c>
      <c r="AB1625" s="4">
        <v>2</v>
      </c>
      <c r="AC1625" s="4">
        <v>16</v>
      </c>
      <c r="AD1625" s="4">
        <v>55</v>
      </c>
      <c r="AE1625" s="4">
        <v>104</v>
      </c>
      <c r="AF1625" s="4">
        <v>0</v>
      </c>
      <c r="AG1625" s="4">
        <v>8</v>
      </c>
      <c r="AH1625" s="4">
        <v>33</v>
      </c>
      <c r="AI1625" s="4">
        <v>60</v>
      </c>
      <c r="AJ1625" s="4">
        <v>23</v>
      </c>
      <c r="AK1625" s="4">
        <v>28</v>
      </c>
      <c r="AL1625" s="4">
        <v>15</v>
      </c>
      <c r="AM1625" s="4">
        <v>28</v>
      </c>
      <c r="AN1625" s="4">
        <v>0</v>
      </c>
      <c r="AO1625" s="4">
        <v>0</v>
      </c>
      <c r="AP1625" s="4">
        <v>31</v>
      </c>
      <c r="AQ1625" s="4">
        <v>53</v>
      </c>
      <c r="AR1625" s="3" t="s">
        <v>73</v>
      </c>
      <c r="AS1625" s="3" t="s">
        <v>64</v>
      </c>
      <c r="AT1625" s="3" t="s">
        <v>64</v>
      </c>
      <c r="AV1625" s="6" t="str">
        <f>HYPERLINK("http://mcgill.on.worldcat.org/oclc/759669178","Catalog Record")</f>
        <v>Catalog Record</v>
      </c>
      <c r="AW1625" s="6" t="str">
        <f>HYPERLINK("http://www.worldcat.org/oclc/759669178","WorldCat Record")</f>
        <v>WorldCat Record</v>
      </c>
      <c r="AX1625" s="3" t="s">
        <v>16876</v>
      </c>
      <c r="AY1625" s="3" t="s">
        <v>16877</v>
      </c>
      <c r="AZ1625" s="3" t="s">
        <v>16878</v>
      </c>
      <c r="BA1625" s="3" t="s">
        <v>16878</v>
      </c>
      <c r="BB1625" s="3" t="s">
        <v>16879</v>
      </c>
      <c r="BC1625" s="3" t="s">
        <v>78</v>
      </c>
      <c r="BD1625" s="3" t="s">
        <v>79</v>
      </c>
      <c r="BE1625" s="3" t="s">
        <v>16880</v>
      </c>
      <c r="BF1625" s="3" t="s">
        <v>16879</v>
      </c>
      <c r="BG1625" s="3" t="s">
        <v>16881</v>
      </c>
    </row>
    <row r="1626" spans="1:59" ht="58" x14ac:dyDescent="0.35">
      <c r="A1626" s="2" t="s">
        <v>59</v>
      </c>
      <c r="B1626" s="2" t="s">
        <v>94</v>
      </c>
      <c r="C1626" s="2" t="s">
        <v>16882</v>
      </c>
      <c r="D1626" s="2" t="s">
        <v>16883</v>
      </c>
      <c r="E1626" s="2" t="s">
        <v>16884</v>
      </c>
      <c r="G1626" s="3" t="s">
        <v>64</v>
      </c>
      <c r="I1626" s="3" t="s">
        <v>73</v>
      </c>
      <c r="J1626" s="3" t="s">
        <v>64</v>
      </c>
      <c r="K1626" s="3" t="s">
        <v>65</v>
      </c>
      <c r="L1626" s="2" t="s">
        <v>16885</v>
      </c>
      <c r="M1626" s="2" t="s">
        <v>16886</v>
      </c>
      <c r="N1626" s="3" t="s">
        <v>13441</v>
      </c>
      <c r="P1626" s="3" t="s">
        <v>69</v>
      </c>
      <c r="R1626" s="3" t="s">
        <v>9228</v>
      </c>
      <c r="S1626" s="4">
        <v>9</v>
      </c>
      <c r="T1626" s="4">
        <v>10</v>
      </c>
      <c r="U1626" s="5" t="s">
        <v>16887</v>
      </c>
      <c r="V1626" s="5" t="s">
        <v>16887</v>
      </c>
      <c r="W1626" s="5" t="s">
        <v>72</v>
      </c>
      <c r="X1626" s="5" t="s">
        <v>72</v>
      </c>
      <c r="Y1626" s="4">
        <v>151</v>
      </c>
      <c r="Z1626" s="4">
        <v>13</v>
      </c>
      <c r="AA1626" s="4">
        <v>13</v>
      </c>
      <c r="AB1626" s="4">
        <v>2</v>
      </c>
      <c r="AC1626" s="4">
        <v>2</v>
      </c>
      <c r="AD1626" s="4">
        <v>61</v>
      </c>
      <c r="AE1626" s="4">
        <v>61</v>
      </c>
      <c r="AF1626" s="4">
        <v>0</v>
      </c>
      <c r="AG1626" s="4">
        <v>0</v>
      </c>
      <c r="AH1626" s="4">
        <v>55</v>
      </c>
      <c r="AI1626" s="4">
        <v>55</v>
      </c>
      <c r="AJ1626" s="4">
        <v>9</v>
      </c>
      <c r="AK1626" s="4">
        <v>9</v>
      </c>
      <c r="AL1626" s="4">
        <v>35</v>
      </c>
      <c r="AM1626" s="4">
        <v>35</v>
      </c>
      <c r="AN1626" s="4">
        <v>0</v>
      </c>
      <c r="AO1626" s="4">
        <v>0</v>
      </c>
      <c r="AP1626" s="4">
        <v>10</v>
      </c>
      <c r="AQ1626" s="4">
        <v>10</v>
      </c>
      <c r="AR1626" s="3" t="s">
        <v>64</v>
      </c>
      <c r="AS1626" s="3" t="s">
        <v>64</v>
      </c>
      <c r="AT1626" s="3" t="s">
        <v>73</v>
      </c>
      <c r="AU1626" s="6" t="str">
        <f>HYPERLINK("http://catalog.hathitrust.org/Record/001621014","HathiTrust Record")</f>
        <v>HathiTrust Record</v>
      </c>
      <c r="AV1626" s="6" t="str">
        <f>HYPERLINK("http://mcgill.on.worldcat.org/oclc/1521823","Catalog Record")</f>
        <v>Catalog Record</v>
      </c>
      <c r="AW1626" s="6" t="str">
        <f>HYPERLINK("http://www.worldcat.org/oclc/1521823","WorldCat Record")</f>
        <v>WorldCat Record</v>
      </c>
      <c r="AX1626" s="3" t="s">
        <v>16888</v>
      </c>
      <c r="AY1626" s="3" t="s">
        <v>16889</v>
      </c>
      <c r="AZ1626" s="3" t="s">
        <v>16890</v>
      </c>
      <c r="BA1626" s="3" t="s">
        <v>16890</v>
      </c>
      <c r="BB1626" s="3" t="s">
        <v>16891</v>
      </c>
      <c r="BC1626" s="3" t="s">
        <v>78</v>
      </c>
      <c r="BD1626" s="3" t="s">
        <v>79</v>
      </c>
      <c r="BF1626" s="3" t="s">
        <v>16891</v>
      </c>
      <c r="BG1626" s="3" t="s">
        <v>16892</v>
      </c>
    </row>
    <row r="1627" spans="1:59" ht="58" x14ac:dyDescent="0.35">
      <c r="A1627" s="2" t="s">
        <v>59</v>
      </c>
      <c r="B1627" s="2" t="s">
        <v>94</v>
      </c>
      <c r="C1627" s="2" t="s">
        <v>16893</v>
      </c>
      <c r="D1627" s="2" t="s">
        <v>16894</v>
      </c>
      <c r="E1627" s="2" t="s">
        <v>16895</v>
      </c>
      <c r="G1627" s="3" t="s">
        <v>64</v>
      </c>
      <c r="I1627" s="3" t="s">
        <v>64</v>
      </c>
      <c r="J1627" s="3" t="s">
        <v>64</v>
      </c>
      <c r="K1627" s="3" t="s">
        <v>65</v>
      </c>
      <c r="M1627" s="2" t="s">
        <v>6841</v>
      </c>
      <c r="N1627" s="3" t="s">
        <v>377</v>
      </c>
      <c r="P1627" s="3" t="s">
        <v>69</v>
      </c>
      <c r="R1627" s="3" t="s">
        <v>9228</v>
      </c>
      <c r="S1627" s="4">
        <v>0</v>
      </c>
      <c r="T1627" s="4">
        <v>0</v>
      </c>
      <c r="W1627" s="5" t="s">
        <v>72</v>
      </c>
      <c r="X1627" s="5" t="s">
        <v>72</v>
      </c>
      <c r="Y1627" s="4">
        <v>90</v>
      </c>
      <c r="Z1627" s="4">
        <v>5</v>
      </c>
      <c r="AA1627" s="4">
        <v>7</v>
      </c>
      <c r="AB1627" s="4">
        <v>1</v>
      </c>
      <c r="AC1627" s="4">
        <v>1</v>
      </c>
      <c r="AD1627" s="4">
        <v>45</v>
      </c>
      <c r="AE1627" s="4">
        <v>50</v>
      </c>
      <c r="AF1627" s="4">
        <v>0</v>
      </c>
      <c r="AG1627" s="4">
        <v>0</v>
      </c>
      <c r="AH1627" s="4">
        <v>44</v>
      </c>
      <c r="AI1627" s="4">
        <v>48</v>
      </c>
      <c r="AJ1627" s="4">
        <v>3</v>
      </c>
      <c r="AK1627" s="4">
        <v>5</v>
      </c>
      <c r="AL1627" s="4">
        <v>25</v>
      </c>
      <c r="AM1627" s="4">
        <v>27</v>
      </c>
      <c r="AN1627" s="4">
        <v>0</v>
      </c>
      <c r="AO1627" s="4">
        <v>0</v>
      </c>
      <c r="AP1627" s="4">
        <v>3</v>
      </c>
      <c r="AQ1627" s="4">
        <v>5</v>
      </c>
      <c r="AR1627" s="3" t="s">
        <v>64</v>
      </c>
      <c r="AS1627" s="3" t="s">
        <v>64</v>
      </c>
      <c r="AT1627" s="3" t="s">
        <v>64</v>
      </c>
      <c r="AV1627" s="6" t="str">
        <f>HYPERLINK("http://mcgill.on.worldcat.org/oclc/314378523","Catalog Record")</f>
        <v>Catalog Record</v>
      </c>
      <c r="AW1627" s="6" t="str">
        <f>HYPERLINK("http://www.worldcat.org/oclc/314378523","WorldCat Record")</f>
        <v>WorldCat Record</v>
      </c>
      <c r="AX1627" s="3" t="s">
        <v>16896</v>
      </c>
      <c r="AY1627" s="3" t="s">
        <v>16897</v>
      </c>
      <c r="AZ1627" s="3" t="s">
        <v>16898</v>
      </c>
      <c r="BA1627" s="3" t="s">
        <v>16898</v>
      </c>
      <c r="BB1627" s="3" t="s">
        <v>16899</v>
      </c>
      <c r="BC1627" s="3" t="s">
        <v>78</v>
      </c>
      <c r="BD1627" s="3" t="s">
        <v>79</v>
      </c>
      <c r="BE1627" s="3" t="s">
        <v>16900</v>
      </c>
      <c r="BF1627" s="3" t="s">
        <v>16899</v>
      </c>
      <c r="BG1627" s="3" t="s">
        <v>16901</v>
      </c>
    </row>
    <row r="1628" spans="1:59" ht="87" x14ac:dyDescent="0.35">
      <c r="A1628" s="2" t="s">
        <v>59</v>
      </c>
      <c r="B1628" s="2" t="s">
        <v>94</v>
      </c>
      <c r="C1628" s="2" t="s">
        <v>16902</v>
      </c>
      <c r="D1628" s="2" t="s">
        <v>16903</v>
      </c>
      <c r="E1628" s="2" t="s">
        <v>16904</v>
      </c>
      <c r="G1628" s="3" t="s">
        <v>64</v>
      </c>
      <c r="I1628" s="3" t="s">
        <v>64</v>
      </c>
      <c r="J1628" s="3" t="s">
        <v>64</v>
      </c>
      <c r="K1628" s="3" t="s">
        <v>65</v>
      </c>
      <c r="L1628" s="2" t="s">
        <v>16905</v>
      </c>
      <c r="M1628" s="2" t="s">
        <v>7151</v>
      </c>
      <c r="N1628" s="3" t="s">
        <v>524</v>
      </c>
      <c r="P1628" s="3" t="s">
        <v>69</v>
      </c>
      <c r="R1628" s="3" t="s">
        <v>9228</v>
      </c>
      <c r="S1628" s="4">
        <v>0</v>
      </c>
      <c r="T1628" s="4">
        <v>0</v>
      </c>
      <c r="W1628" s="5" t="s">
        <v>72</v>
      </c>
      <c r="X1628" s="5" t="s">
        <v>72</v>
      </c>
      <c r="Y1628" s="4">
        <v>68</v>
      </c>
      <c r="Z1628" s="4">
        <v>4</v>
      </c>
      <c r="AA1628" s="4">
        <v>32</v>
      </c>
      <c r="AB1628" s="4">
        <v>1</v>
      </c>
      <c r="AC1628" s="4">
        <v>6</v>
      </c>
      <c r="AD1628" s="4">
        <v>43</v>
      </c>
      <c r="AE1628" s="4">
        <v>94</v>
      </c>
      <c r="AF1628" s="4">
        <v>0</v>
      </c>
      <c r="AG1628" s="4">
        <v>2</v>
      </c>
      <c r="AH1628" s="4">
        <v>42</v>
      </c>
      <c r="AI1628" s="4">
        <v>77</v>
      </c>
      <c r="AJ1628" s="4">
        <v>3</v>
      </c>
      <c r="AK1628" s="4">
        <v>13</v>
      </c>
      <c r="AL1628" s="4">
        <v>22</v>
      </c>
      <c r="AM1628" s="4">
        <v>41</v>
      </c>
      <c r="AN1628" s="4">
        <v>0</v>
      </c>
      <c r="AO1628" s="4">
        <v>0</v>
      </c>
      <c r="AP1628" s="4">
        <v>3</v>
      </c>
      <c r="AQ1628" s="4">
        <v>23</v>
      </c>
      <c r="AR1628" s="3" t="s">
        <v>64</v>
      </c>
      <c r="AS1628" s="3" t="s">
        <v>64</v>
      </c>
      <c r="AT1628" s="3" t="s">
        <v>64</v>
      </c>
      <c r="AV1628" s="6" t="str">
        <f>HYPERLINK("http://mcgill.on.worldcat.org/oclc/833631069","Catalog Record")</f>
        <v>Catalog Record</v>
      </c>
      <c r="AW1628" s="6" t="str">
        <f>HYPERLINK("http://www.worldcat.org/oclc/833631069","WorldCat Record")</f>
        <v>WorldCat Record</v>
      </c>
      <c r="AX1628" s="3" t="s">
        <v>16906</v>
      </c>
      <c r="AY1628" s="3" t="s">
        <v>16907</v>
      </c>
      <c r="AZ1628" s="3" t="s">
        <v>16908</v>
      </c>
      <c r="BA1628" s="3" t="s">
        <v>16908</v>
      </c>
      <c r="BB1628" s="3" t="s">
        <v>16909</v>
      </c>
      <c r="BC1628" s="3" t="s">
        <v>78</v>
      </c>
      <c r="BD1628" s="3" t="s">
        <v>79</v>
      </c>
      <c r="BE1628" s="3" t="s">
        <v>16910</v>
      </c>
      <c r="BF1628" s="3" t="s">
        <v>16909</v>
      </c>
      <c r="BG1628" s="3" t="s">
        <v>16911</v>
      </c>
    </row>
    <row r="1629" spans="1:59" ht="58" x14ac:dyDescent="0.35">
      <c r="A1629" s="2" t="s">
        <v>59</v>
      </c>
      <c r="B1629" s="2" t="s">
        <v>94</v>
      </c>
      <c r="C1629" s="2" t="s">
        <v>16912</v>
      </c>
      <c r="D1629" s="2" t="s">
        <v>16913</v>
      </c>
      <c r="E1629" s="2" t="s">
        <v>16914</v>
      </c>
      <c r="G1629" s="3" t="s">
        <v>64</v>
      </c>
      <c r="I1629" s="3" t="s">
        <v>64</v>
      </c>
      <c r="J1629" s="3" t="s">
        <v>64</v>
      </c>
      <c r="K1629" s="3" t="s">
        <v>65</v>
      </c>
      <c r="L1629" s="2" t="s">
        <v>16915</v>
      </c>
      <c r="M1629" s="2" t="s">
        <v>16916</v>
      </c>
      <c r="N1629" s="3" t="s">
        <v>524</v>
      </c>
      <c r="P1629" s="3" t="s">
        <v>69</v>
      </c>
      <c r="R1629" s="3" t="s">
        <v>9228</v>
      </c>
      <c r="S1629" s="4">
        <v>0</v>
      </c>
      <c r="T1629" s="4">
        <v>0</v>
      </c>
      <c r="W1629" s="5" t="s">
        <v>72</v>
      </c>
      <c r="X1629" s="5" t="s">
        <v>72</v>
      </c>
      <c r="Y1629" s="4">
        <v>12</v>
      </c>
      <c r="Z1629" s="4">
        <v>9</v>
      </c>
      <c r="AA1629" s="4">
        <v>14</v>
      </c>
      <c r="AB1629" s="4">
        <v>2</v>
      </c>
      <c r="AC1629" s="4">
        <v>2</v>
      </c>
      <c r="AD1629" s="4">
        <v>8</v>
      </c>
      <c r="AE1629" s="4">
        <v>11</v>
      </c>
      <c r="AF1629" s="4">
        <v>1</v>
      </c>
      <c r="AG1629" s="4">
        <v>1</v>
      </c>
      <c r="AH1629" s="4">
        <v>6</v>
      </c>
      <c r="AI1629" s="4">
        <v>8</v>
      </c>
      <c r="AJ1629" s="4">
        <v>5</v>
      </c>
      <c r="AK1629" s="4">
        <v>8</v>
      </c>
      <c r="AL1629" s="4">
        <v>1</v>
      </c>
      <c r="AM1629" s="4">
        <v>2</v>
      </c>
      <c r="AN1629" s="4">
        <v>0</v>
      </c>
      <c r="AO1629" s="4">
        <v>0</v>
      </c>
      <c r="AP1629" s="4">
        <v>5</v>
      </c>
      <c r="AQ1629" s="4">
        <v>8</v>
      </c>
      <c r="AR1629" s="3" t="s">
        <v>73</v>
      </c>
      <c r="AS1629" s="3" t="s">
        <v>64</v>
      </c>
      <c r="AT1629" s="3" t="s">
        <v>64</v>
      </c>
      <c r="AV1629" s="6" t="str">
        <f>HYPERLINK("http://mcgill.on.worldcat.org/oclc/853309215","Catalog Record")</f>
        <v>Catalog Record</v>
      </c>
      <c r="AW1629" s="6" t="str">
        <f>HYPERLINK("http://www.worldcat.org/oclc/853309215","WorldCat Record")</f>
        <v>WorldCat Record</v>
      </c>
      <c r="AX1629" s="3" t="s">
        <v>16917</v>
      </c>
      <c r="AY1629" s="3" t="s">
        <v>16918</v>
      </c>
      <c r="AZ1629" s="3" t="s">
        <v>16919</v>
      </c>
      <c r="BA1629" s="3" t="s">
        <v>16919</v>
      </c>
      <c r="BB1629" s="3" t="s">
        <v>16920</v>
      </c>
      <c r="BC1629" s="3" t="s">
        <v>78</v>
      </c>
      <c r="BD1629" s="3" t="s">
        <v>79</v>
      </c>
      <c r="BE1629" s="3" t="s">
        <v>16921</v>
      </c>
      <c r="BF1629" s="3" t="s">
        <v>16920</v>
      </c>
      <c r="BG1629" s="3" t="s">
        <v>16922</v>
      </c>
    </row>
    <row r="1630" spans="1:59" ht="58" x14ac:dyDescent="0.35">
      <c r="A1630" s="2" t="s">
        <v>59</v>
      </c>
      <c r="B1630" s="2" t="s">
        <v>94</v>
      </c>
      <c r="C1630" s="2" t="s">
        <v>16923</v>
      </c>
      <c r="D1630" s="2" t="s">
        <v>16924</v>
      </c>
      <c r="E1630" s="2" t="s">
        <v>16925</v>
      </c>
      <c r="G1630" s="3" t="s">
        <v>64</v>
      </c>
      <c r="I1630" s="3" t="s">
        <v>64</v>
      </c>
      <c r="J1630" s="3" t="s">
        <v>64</v>
      </c>
      <c r="K1630" s="3" t="s">
        <v>65</v>
      </c>
      <c r="L1630" s="2" t="s">
        <v>16926</v>
      </c>
      <c r="M1630" s="2" t="s">
        <v>16927</v>
      </c>
      <c r="N1630" s="3" t="s">
        <v>3411</v>
      </c>
      <c r="P1630" s="3" t="s">
        <v>69</v>
      </c>
      <c r="Q1630" s="2" t="s">
        <v>16928</v>
      </c>
      <c r="R1630" s="3" t="s">
        <v>9228</v>
      </c>
      <c r="S1630" s="4">
        <v>2</v>
      </c>
      <c r="T1630" s="4">
        <v>2</v>
      </c>
      <c r="U1630" s="5" t="s">
        <v>5693</v>
      </c>
      <c r="V1630" s="5" t="s">
        <v>5693</v>
      </c>
      <c r="W1630" s="5" t="s">
        <v>72</v>
      </c>
      <c r="X1630" s="5" t="s">
        <v>72</v>
      </c>
      <c r="Y1630" s="4">
        <v>320</v>
      </c>
      <c r="Z1630" s="4">
        <v>27</v>
      </c>
      <c r="AA1630" s="4">
        <v>29</v>
      </c>
      <c r="AB1630" s="4">
        <v>4</v>
      </c>
      <c r="AC1630" s="4">
        <v>6</v>
      </c>
      <c r="AD1630" s="4">
        <v>85</v>
      </c>
      <c r="AE1630" s="4">
        <v>87</v>
      </c>
      <c r="AF1630" s="4">
        <v>2</v>
      </c>
      <c r="AG1630" s="4">
        <v>4</v>
      </c>
      <c r="AH1630" s="4">
        <v>68</v>
      </c>
      <c r="AI1630" s="4">
        <v>68</v>
      </c>
      <c r="AJ1630" s="4">
        <v>14</v>
      </c>
      <c r="AK1630" s="4">
        <v>16</v>
      </c>
      <c r="AL1630" s="4">
        <v>34</v>
      </c>
      <c r="AM1630" s="4">
        <v>34</v>
      </c>
      <c r="AN1630" s="4">
        <v>0</v>
      </c>
      <c r="AO1630" s="4">
        <v>0</v>
      </c>
      <c r="AP1630" s="4">
        <v>23</v>
      </c>
      <c r="AQ1630" s="4">
        <v>24</v>
      </c>
      <c r="AR1630" s="3" t="s">
        <v>64</v>
      </c>
      <c r="AS1630" s="3" t="s">
        <v>64</v>
      </c>
      <c r="AT1630" s="3" t="s">
        <v>64</v>
      </c>
      <c r="AV1630" s="6" t="str">
        <f>HYPERLINK("http://mcgill.on.worldcat.org/oclc/573217","Catalog Record")</f>
        <v>Catalog Record</v>
      </c>
      <c r="AW1630" s="6" t="str">
        <f>HYPERLINK("http://www.worldcat.org/oclc/573217","WorldCat Record")</f>
        <v>WorldCat Record</v>
      </c>
      <c r="AX1630" s="3" t="s">
        <v>16929</v>
      </c>
      <c r="AY1630" s="3" t="s">
        <v>16930</v>
      </c>
      <c r="AZ1630" s="3" t="s">
        <v>16931</v>
      </c>
      <c r="BA1630" s="3" t="s">
        <v>16931</v>
      </c>
      <c r="BB1630" s="3" t="s">
        <v>16932</v>
      </c>
      <c r="BC1630" s="3" t="s">
        <v>78</v>
      </c>
      <c r="BD1630" s="3" t="s">
        <v>79</v>
      </c>
      <c r="BF1630" s="3" t="s">
        <v>16932</v>
      </c>
      <c r="BG1630" s="3" t="s">
        <v>16933</v>
      </c>
    </row>
    <row r="1631" spans="1:59" ht="58" x14ac:dyDescent="0.35">
      <c r="A1631" s="2" t="s">
        <v>59</v>
      </c>
      <c r="B1631" s="2" t="s">
        <v>94</v>
      </c>
      <c r="C1631" s="2" t="s">
        <v>16934</v>
      </c>
      <c r="D1631" s="2" t="s">
        <v>16935</v>
      </c>
      <c r="E1631" s="2" t="s">
        <v>16936</v>
      </c>
      <c r="G1631" s="3" t="s">
        <v>64</v>
      </c>
      <c r="I1631" s="3" t="s">
        <v>64</v>
      </c>
      <c r="J1631" s="3" t="s">
        <v>64</v>
      </c>
      <c r="K1631" s="3" t="s">
        <v>65</v>
      </c>
      <c r="L1631" s="2" t="s">
        <v>16937</v>
      </c>
      <c r="M1631" s="2" t="s">
        <v>16938</v>
      </c>
      <c r="N1631" s="3" t="s">
        <v>214</v>
      </c>
      <c r="P1631" s="3" t="s">
        <v>69</v>
      </c>
      <c r="R1631" s="3" t="s">
        <v>16939</v>
      </c>
      <c r="S1631" s="4">
        <v>2</v>
      </c>
      <c r="T1631" s="4">
        <v>2</v>
      </c>
      <c r="U1631" s="5" t="s">
        <v>16940</v>
      </c>
      <c r="V1631" s="5" t="s">
        <v>16940</v>
      </c>
      <c r="W1631" s="5" t="s">
        <v>72</v>
      </c>
      <c r="X1631" s="5" t="s">
        <v>72</v>
      </c>
      <c r="Y1631" s="4">
        <v>154</v>
      </c>
      <c r="Z1631" s="4">
        <v>14</v>
      </c>
      <c r="AA1631" s="4">
        <v>14</v>
      </c>
      <c r="AB1631" s="4">
        <v>1</v>
      </c>
      <c r="AC1631" s="4">
        <v>1</v>
      </c>
      <c r="AD1631" s="4">
        <v>70</v>
      </c>
      <c r="AE1631" s="4">
        <v>70</v>
      </c>
      <c r="AF1631" s="4">
        <v>0</v>
      </c>
      <c r="AG1631" s="4">
        <v>0</v>
      </c>
      <c r="AH1631" s="4">
        <v>63</v>
      </c>
      <c r="AI1631" s="4">
        <v>63</v>
      </c>
      <c r="AJ1631" s="4">
        <v>8</v>
      </c>
      <c r="AK1631" s="4">
        <v>8</v>
      </c>
      <c r="AL1631" s="4">
        <v>41</v>
      </c>
      <c r="AM1631" s="4">
        <v>41</v>
      </c>
      <c r="AN1631" s="4">
        <v>0</v>
      </c>
      <c r="AO1631" s="4">
        <v>0</v>
      </c>
      <c r="AP1631" s="4">
        <v>11</v>
      </c>
      <c r="AQ1631" s="4">
        <v>11</v>
      </c>
      <c r="AR1631" s="3" t="s">
        <v>64</v>
      </c>
      <c r="AS1631" s="3" t="s">
        <v>64</v>
      </c>
      <c r="AT1631" s="3" t="s">
        <v>64</v>
      </c>
      <c r="AV1631" s="6" t="str">
        <f>HYPERLINK("http://mcgill.on.worldcat.org/oclc/419874310","Catalog Record")</f>
        <v>Catalog Record</v>
      </c>
      <c r="AW1631" s="6" t="str">
        <f>HYPERLINK("http://www.worldcat.org/oclc/419874310","WorldCat Record")</f>
        <v>WorldCat Record</v>
      </c>
      <c r="AX1631" s="3" t="s">
        <v>16941</v>
      </c>
      <c r="AY1631" s="3" t="s">
        <v>16942</v>
      </c>
      <c r="AZ1631" s="3" t="s">
        <v>16943</v>
      </c>
      <c r="BA1631" s="3" t="s">
        <v>16943</v>
      </c>
      <c r="BB1631" s="3" t="s">
        <v>16944</v>
      </c>
      <c r="BC1631" s="3" t="s">
        <v>78</v>
      </c>
      <c r="BD1631" s="3" t="s">
        <v>79</v>
      </c>
      <c r="BE1631" s="3" t="s">
        <v>16945</v>
      </c>
      <c r="BF1631" s="3" t="s">
        <v>16944</v>
      </c>
      <c r="BG1631" s="3" t="s">
        <v>16946</v>
      </c>
    </row>
    <row r="1632" spans="1:59" ht="58" x14ac:dyDescent="0.35">
      <c r="A1632" s="2" t="s">
        <v>59</v>
      </c>
      <c r="B1632" s="2" t="s">
        <v>94</v>
      </c>
      <c r="C1632" s="2" t="s">
        <v>16947</v>
      </c>
      <c r="D1632" s="2" t="s">
        <v>16948</v>
      </c>
      <c r="E1632" s="2" t="s">
        <v>16949</v>
      </c>
      <c r="G1632" s="3" t="s">
        <v>64</v>
      </c>
      <c r="I1632" s="3" t="s">
        <v>64</v>
      </c>
      <c r="J1632" s="3" t="s">
        <v>73</v>
      </c>
      <c r="K1632" s="3" t="s">
        <v>65</v>
      </c>
      <c r="L1632" s="2" t="s">
        <v>16950</v>
      </c>
      <c r="M1632" s="2" t="s">
        <v>16951</v>
      </c>
      <c r="N1632" s="3" t="s">
        <v>3437</v>
      </c>
      <c r="P1632" s="3" t="s">
        <v>69</v>
      </c>
      <c r="R1632" s="3" t="s">
        <v>16939</v>
      </c>
      <c r="S1632" s="4">
        <v>7</v>
      </c>
      <c r="T1632" s="4">
        <v>7</v>
      </c>
      <c r="U1632" s="5" t="s">
        <v>16952</v>
      </c>
      <c r="V1632" s="5" t="s">
        <v>16952</v>
      </c>
      <c r="W1632" s="5" t="s">
        <v>72</v>
      </c>
      <c r="X1632" s="5" t="s">
        <v>72</v>
      </c>
      <c r="Y1632" s="4">
        <v>11</v>
      </c>
      <c r="Z1632" s="4">
        <v>6</v>
      </c>
      <c r="AA1632" s="4">
        <v>55</v>
      </c>
      <c r="AB1632" s="4">
        <v>1</v>
      </c>
      <c r="AC1632" s="4">
        <v>7</v>
      </c>
      <c r="AD1632" s="4">
        <v>4</v>
      </c>
      <c r="AE1632" s="4">
        <v>144</v>
      </c>
      <c r="AF1632" s="4">
        <v>0</v>
      </c>
      <c r="AG1632" s="4">
        <v>4</v>
      </c>
      <c r="AH1632" s="4">
        <v>3</v>
      </c>
      <c r="AI1632" s="4">
        <v>110</v>
      </c>
      <c r="AJ1632" s="4">
        <v>4</v>
      </c>
      <c r="AK1632" s="4">
        <v>24</v>
      </c>
      <c r="AL1632" s="4">
        <v>1</v>
      </c>
      <c r="AM1632" s="4">
        <v>62</v>
      </c>
      <c r="AN1632" s="4">
        <v>0</v>
      </c>
      <c r="AO1632" s="4">
        <v>3</v>
      </c>
      <c r="AP1632" s="4">
        <v>4</v>
      </c>
      <c r="AQ1632" s="4">
        <v>38</v>
      </c>
      <c r="AR1632" s="3" t="s">
        <v>64</v>
      </c>
      <c r="AS1632" s="3" t="s">
        <v>64</v>
      </c>
      <c r="AT1632" s="3" t="s">
        <v>73</v>
      </c>
      <c r="AU1632" s="6" t="str">
        <f>HYPERLINK("http://catalog.hathitrust.org/Record/001114817","HathiTrust Record")</f>
        <v>HathiTrust Record</v>
      </c>
      <c r="AV1632" s="6" t="str">
        <f>HYPERLINK("http://mcgill.on.worldcat.org/oclc/265791578","Catalog Record")</f>
        <v>Catalog Record</v>
      </c>
      <c r="AW1632" s="6" t="str">
        <f>HYPERLINK("http://www.worldcat.org/oclc/265791578","WorldCat Record")</f>
        <v>WorldCat Record</v>
      </c>
      <c r="AX1632" s="3" t="s">
        <v>16953</v>
      </c>
      <c r="AY1632" s="3" t="s">
        <v>16954</v>
      </c>
      <c r="AZ1632" s="3" t="s">
        <v>16955</v>
      </c>
      <c r="BA1632" s="3" t="s">
        <v>16955</v>
      </c>
      <c r="BB1632" s="3" t="s">
        <v>16956</v>
      </c>
      <c r="BC1632" s="3" t="s">
        <v>78</v>
      </c>
      <c r="BD1632" s="3" t="s">
        <v>79</v>
      </c>
      <c r="BF1632" s="3" t="s">
        <v>16956</v>
      </c>
      <c r="BG1632" s="3" t="s">
        <v>16957</v>
      </c>
    </row>
    <row r="1633" spans="1:59" ht="58" x14ac:dyDescent="0.35">
      <c r="A1633" s="2" t="s">
        <v>59</v>
      </c>
      <c r="B1633" s="2" t="s">
        <v>94</v>
      </c>
      <c r="C1633" s="2" t="s">
        <v>16958</v>
      </c>
      <c r="D1633" s="2" t="s">
        <v>16959</v>
      </c>
      <c r="E1633" s="2" t="s">
        <v>16960</v>
      </c>
      <c r="G1633" s="3" t="s">
        <v>64</v>
      </c>
      <c r="I1633" s="3" t="s">
        <v>64</v>
      </c>
      <c r="J1633" s="3" t="s">
        <v>73</v>
      </c>
      <c r="K1633" s="3" t="s">
        <v>65</v>
      </c>
      <c r="L1633" s="2" t="s">
        <v>16961</v>
      </c>
      <c r="M1633" s="2" t="s">
        <v>16962</v>
      </c>
      <c r="N1633" s="3" t="s">
        <v>148</v>
      </c>
      <c r="P1633" s="3" t="s">
        <v>69</v>
      </c>
      <c r="Q1633" s="2" t="s">
        <v>16963</v>
      </c>
      <c r="R1633" s="3" t="s">
        <v>16939</v>
      </c>
      <c r="S1633" s="4">
        <v>19</v>
      </c>
      <c r="T1633" s="4">
        <v>19</v>
      </c>
      <c r="U1633" s="5" t="s">
        <v>16964</v>
      </c>
      <c r="V1633" s="5" t="s">
        <v>16964</v>
      </c>
      <c r="W1633" s="5" t="s">
        <v>72</v>
      </c>
      <c r="X1633" s="5" t="s">
        <v>72</v>
      </c>
      <c r="Y1633" s="4">
        <v>115</v>
      </c>
      <c r="Z1633" s="4">
        <v>8</v>
      </c>
      <c r="AA1633" s="4">
        <v>55</v>
      </c>
      <c r="AB1633" s="4">
        <v>1</v>
      </c>
      <c r="AC1633" s="4">
        <v>7</v>
      </c>
      <c r="AD1633" s="4">
        <v>24</v>
      </c>
      <c r="AE1633" s="4">
        <v>144</v>
      </c>
      <c r="AF1633" s="4">
        <v>0</v>
      </c>
      <c r="AG1633" s="4">
        <v>4</v>
      </c>
      <c r="AH1633" s="4">
        <v>21</v>
      </c>
      <c r="AI1633" s="4">
        <v>110</v>
      </c>
      <c r="AJ1633" s="4">
        <v>4</v>
      </c>
      <c r="AK1633" s="4">
        <v>24</v>
      </c>
      <c r="AL1633" s="4">
        <v>15</v>
      </c>
      <c r="AM1633" s="4">
        <v>62</v>
      </c>
      <c r="AN1633" s="4">
        <v>0</v>
      </c>
      <c r="AO1633" s="4">
        <v>3</v>
      </c>
      <c r="AP1633" s="4">
        <v>5</v>
      </c>
      <c r="AQ1633" s="4">
        <v>38</v>
      </c>
      <c r="AR1633" s="3" t="s">
        <v>64</v>
      </c>
      <c r="AS1633" s="3" t="s">
        <v>64</v>
      </c>
      <c r="AT1633" s="3" t="s">
        <v>64</v>
      </c>
      <c r="AV1633" s="6" t="str">
        <f>HYPERLINK("http://mcgill.on.worldcat.org/oclc/183066","Catalog Record")</f>
        <v>Catalog Record</v>
      </c>
      <c r="AW1633" s="6" t="str">
        <f>HYPERLINK("http://www.worldcat.org/oclc/183066","WorldCat Record")</f>
        <v>WorldCat Record</v>
      </c>
      <c r="AX1633" s="3" t="s">
        <v>16953</v>
      </c>
      <c r="AY1633" s="3" t="s">
        <v>16965</v>
      </c>
      <c r="AZ1633" s="3" t="s">
        <v>16966</v>
      </c>
      <c r="BA1633" s="3" t="s">
        <v>16966</v>
      </c>
      <c r="BB1633" s="3" t="s">
        <v>16967</v>
      </c>
      <c r="BC1633" s="3" t="s">
        <v>78</v>
      </c>
      <c r="BD1633" s="3" t="s">
        <v>79</v>
      </c>
      <c r="BF1633" s="3" t="s">
        <v>16967</v>
      </c>
      <c r="BG1633" s="3" t="s">
        <v>16968</v>
      </c>
    </row>
    <row r="1634" spans="1:59" ht="58" x14ac:dyDescent="0.35">
      <c r="A1634" s="2" t="s">
        <v>59</v>
      </c>
      <c r="B1634" s="2" t="s">
        <v>94</v>
      </c>
      <c r="C1634" s="2" t="s">
        <v>16969</v>
      </c>
      <c r="D1634" s="2" t="s">
        <v>16970</v>
      </c>
      <c r="E1634" s="2" t="s">
        <v>16971</v>
      </c>
      <c r="G1634" s="3" t="s">
        <v>64</v>
      </c>
      <c r="I1634" s="3" t="s">
        <v>64</v>
      </c>
      <c r="J1634" s="3" t="s">
        <v>64</v>
      </c>
      <c r="K1634" s="3" t="s">
        <v>65</v>
      </c>
      <c r="L1634" s="2" t="s">
        <v>16972</v>
      </c>
      <c r="M1634" s="2" t="s">
        <v>16973</v>
      </c>
      <c r="N1634" s="3" t="s">
        <v>328</v>
      </c>
      <c r="P1634" s="3" t="s">
        <v>69</v>
      </c>
      <c r="R1634" s="3" t="s">
        <v>16939</v>
      </c>
      <c r="S1634" s="4">
        <v>2</v>
      </c>
      <c r="T1634" s="4">
        <v>2</v>
      </c>
      <c r="U1634" s="5" t="s">
        <v>16974</v>
      </c>
      <c r="V1634" s="5" t="s">
        <v>16974</v>
      </c>
      <c r="W1634" s="5" t="s">
        <v>72</v>
      </c>
      <c r="X1634" s="5" t="s">
        <v>72</v>
      </c>
      <c r="Y1634" s="4">
        <v>208</v>
      </c>
      <c r="Z1634" s="4">
        <v>7</v>
      </c>
      <c r="AA1634" s="4">
        <v>84</v>
      </c>
      <c r="AB1634" s="4">
        <v>1</v>
      </c>
      <c r="AC1634" s="4">
        <v>14</v>
      </c>
      <c r="AD1634" s="4">
        <v>61</v>
      </c>
      <c r="AE1634" s="4">
        <v>128</v>
      </c>
      <c r="AF1634" s="4">
        <v>0</v>
      </c>
      <c r="AG1634" s="4">
        <v>8</v>
      </c>
      <c r="AH1634" s="4">
        <v>57</v>
      </c>
      <c r="AI1634" s="4">
        <v>93</v>
      </c>
      <c r="AJ1634" s="4">
        <v>2</v>
      </c>
      <c r="AK1634" s="4">
        <v>19</v>
      </c>
      <c r="AL1634" s="4">
        <v>39</v>
      </c>
      <c r="AM1634" s="4">
        <v>54</v>
      </c>
      <c r="AN1634" s="4">
        <v>0</v>
      </c>
      <c r="AO1634" s="4">
        <v>0</v>
      </c>
      <c r="AP1634" s="4">
        <v>4</v>
      </c>
      <c r="AQ1634" s="4">
        <v>40</v>
      </c>
      <c r="AR1634" s="3" t="s">
        <v>64</v>
      </c>
      <c r="AS1634" s="3" t="s">
        <v>64</v>
      </c>
      <c r="AT1634" s="3" t="s">
        <v>64</v>
      </c>
      <c r="AV1634" s="6" t="str">
        <f>HYPERLINK("http://mcgill.on.worldcat.org/oclc/697979990","Catalog Record")</f>
        <v>Catalog Record</v>
      </c>
      <c r="AW1634" s="6" t="str">
        <f>HYPERLINK("http://www.worldcat.org/oclc/697979990","WorldCat Record")</f>
        <v>WorldCat Record</v>
      </c>
      <c r="AX1634" s="3" t="s">
        <v>16975</v>
      </c>
      <c r="AY1634" s="3" t="s">
        <v>16976</v>
      </c>
      <c r="AZ1634" s="3" t="s">
        <v>16977</v>
      </c>
      <c r="BA1634" s="3" t="s">
        <v>16977</v>
      </c>
      <c r="BB1634" s="3" t="s">
        <v>16978</v>
      </c>
      <c r="BC1634" s="3" t="s">
        <v>78</v>
      </c>
      <c r="BD1634" s="3" t="s">
        <v>79</v>
      </c>
      <c r="BE1634" s="3" t="s">
        <v>16979</v>
      </c>
      <c r="BF1634" s="3" t="s">
        <v>16978</v>
      </c>
      <c r="BG1634" s="3" t="s">
        <v>16980</v>
      </c>
    </row>
    <row r="1635" spans="1:59" ht="58" x14ac:dyDescent="0.35">
      <c r="A1635" s="2" t="s">
        <v>59</v>
      </c>
      <c r="B1635" s="2" t="s">
        <v>94</v>
      </c>
      <c r="C1635" s="2" t="s">
        <v>16981</v>
      </c>
      <c r="D1635" s="2" t="s">
        <v>16982</v>
      </c>
      <c r="E1635" s="2" t="s">
        <v>16983</v>
      </c>
      <c r="G1635" s="3" t="s">
        <v>64</v>
      </c>
      <c r="I1635" s="3" t="s">
        <v>64</v>
      </c>
      <c r="J1635" s="3" t="s">
        <v>64</v>
      </c>
      <c r="K1635" s="3" t="s">
        <v>65</v>
      </c>
      <c r="L1635" s="2" t="s">
        <v>16984</v>
      </c>
      <c r="M1635" s="2" t="s">
        <v>16985</v>
      </c>
      <c r="N1635" s="3" t="s">
        <v>175</v>
      </c>
      <c r="O1635" s="2" t="s">
        <v>525</v>
      </c>
      <c r="P1635" s="3" t="s">
        <v>69</v>
      </c>
      <c r="R1635" s="3" t="s">
        <v>16939</v>
      </c>
      <c r="S1635" s="4">
        <v>0</v>
      </c>
      <c r="T1635" s="4">
        <v>0</v>
      </c>
      <c r="W1635" s="5" t="s">
        <v>72</v>
      </c>
      <c r="X1635" s="5" t="s">
        <v>72</v>
      </c>
      <c r="Y1635" s="4">
        <v>117</v>
      </c>
      <c r="Z1635" s="4">
        <v>4</v>
      </c>
      <c r="AA1635" s="4">
        <v>18</v>
      </c>
      <c r="AB1635" s="4">
        <v>1</v>
      </c>
      <c r="AC1635" s="4">
        <v>6</v>
      </c>
      <c r="AD1635" s="4">
        <v>38</v>
      </c>
      <c r="AE1635" s="4">
        <v>58</v>
      </c>
      <c r="AF1635" s="4">
        <v>0</v>
      </c>
      <c r="AG1635" s="4">
        <v>2</v>
      </c>
      <c r="AH1635" s="4">
        <v>36</v>
      </c>
      <c r="AI1635" s="4">
        <v>48</v>
      </c>
      <c r="AJ1635" s="4">
        <v>2</v>
      </c>
      <c r="AK1635" s="4">
        <v>9</v>
      </c>
      <c r="AL1635" s="4">
        <v>24</v>
      </c>
      <c r="AM1635" s="4">
        <v>29</v>
      </c>
      <c r="AN1635" s="4">
        <v>0</v>
      </c>
      <c r="AO1635" s="4">
        <v>0</v>
      </c>
      <c r="AP1635" s="4">
        <v>3</v>
      </c>
      <c r="AQ1635" s="4">
        <v>13</v>
      </c>
      <c r="AR1635" s="3" t="s">
        <v>64</v>
      </c>
      <c r="AS1635" s="3" t="s">
        <v>64</v>
      </c>
      <c r="AT1635" s="3" t="s">
        <v>64</v>
      </c>
      <c r="AV1635" s="6" t="str">
        <f>HYPERLINK("http://mcgill.on.worldcat.org/oclc/883866158","Catalog Record")</f>
        <v>Catalog Record</v>
      </c>
      <c r="AW1635" s="6" t="str">
        <f>HYPERLINK("http://www.worldcat.org/oclc/883866158","WorldCat Record")</f>
        <v>WorldCat Record</v>
      </c>
      <c r="AX1635" s="3" t="s">
        <v>16986</v>
      </c>
      <c r="AY1635" s="3" t="s">
        <v>16987</v>
      </c>
      <c r="AZ1635" s="3" t="s">
        <v>16988</v>
      </c>
      <c r="BA1635" s="3" t="s">
        <v>16988</v>
      </c>
      <c r="BB1635" s="3" t="s">
        <v>16989</v>
      </c>
      <c r="BC1635" s="3" t="s">
        <v>78</v>
      </c>
      <c r="BD1635" s="3" t="s">
        <v>79</v>
      </c>
      <c r="BE1635" s="3" t="s">
        <v>16990</v>
      </c>
      <c r="BF1635" s="3" t="s">
        <v>16989</v>
      </c>
      <c r="BG1635" s="3" t="s">
        <v>16991</v>
      </c>
    </row>
    <row r="1636" spans="1:59" ht="58" x14ac:dyDescent="0.35">
      <c r="A1636" s="2" t="s">
        <v>59</v>
      </c>
      <c r="B1636" s="2" t="s">
        <v>94</v>
      </c>
      <c r="C1636" s="2" t="s">
        <v>16992</v>
      </c>
      <c r="D1636" s="2" t="s">
        <v>16993</v>
      </c>
      <c r="E1636" s="2" t="s">
        <v>16994</v>
      </c>
      <c r="G1636" s="3" t="s">
        <v>64</v>
      </c>
      <c r="I1636" s="3" t="s">
        <v>64</v>
      </c>
      <c r="J1636" s="3" t="s">
        <v>64</v>
      </c>
      <c r="K1636" s="3" t="s">
        <v>65</v>
      </c>
      <c r="L1636" s="2" t="s">
        <v>16995</v>
      </c>
      <c r="M1636" s="2" t="s">
        <v>16996</v>
      </c>
      <c r="N1636" s="3" t="s">
        <v>524</v>
      </c>
      <c r="O1636" s="2" t="s">
        <v>16997</v>
      </c>
      <c r="P1636" s="3" t="s">
        <v>162</v>
      </c>
      <c r="Q1636" s="2" t="s">
        <v>16998</v>
      </c>
      <c r="R1636" s="3" t="s">
        <v>16939</v>
      </c>
      <c r="S1636" s="4">
        <v>0</v>
      </c>
      <c r="T1636" s="4">
        <v>0</v>
      </c>
      <c r="U1636" s="5" t="s">
        <v>14938</v>
      </c>
      <c r="V1636" s="5" t="s">
        <v>14938</v>
      </c>
      <c r="W1636" s="5" t="s">
        <v>72</v>
      </c>
      <c r="X1636" s="5" t="s">
        <v>72</v>
      </c>
      <c r="Y1636" s="4">
        <v>4</v>
      </c>
      <c r="Z1636" s="4">
        <v>1</v>
      </c>
      <c r="AA1636" s="4">
        <v>85</v>
      </c>
      <c r="AB1636" s="4">
        <v>1</v>
      </c>
      <c r="AC1636" s="4">
        <v>17</v>
      </c>
      <c r="AD1636" s="4">
        <v>1</v>
      </c>
      <c r="AE1636" s="4">
        <v>86</v>
      </c>
      <c r="AF1636" s="4">
        <v>0</v>
      </c>
      <c r="AG1636" s="4">
        <v>8</v>
      </c>
      <c r="AH1636" s="4">
        <v>1</v>
      </c>
      <c r="AI1636" s="4">
        <v>47</v>
      </c>
      <c r="AJ1636" s="4">
        <v>0</v>
      </c>
      <c r="AK1636" s="4">
        <v>20</v>
      </c>
      <c r="AL1636" s="4">
        <v>0</v>
      </c>
      <c r="AM1636" s="4">
        <v>22</v>
      </c>
      <c r="AN1636" s="4">
        <v>0</v>
      </c>
      <c r="AO1636" s="4">
        <v>0</v>
      </c>
      <c r="AP1636" s="4">
        <v>0</v>
      </c>
      <c r="AQ1636" s="4">
        <v>45</v>
      </c>
      <c r="AR1636" s="3" t="s">
        <v>73</v>
      </c>
      <c r="AS1636" s="3" t="s">
        <v>64</v>
      </c>
      <c r="AT1636" s="3" t="s">
        <v>64</v>
      </c>
      <c r="AV1636" s="6" t="str">
        <f>HYPERLINK("http://mcgill.on.worldcat.org/oclc/857873536","Catalog Record")</f>
        <v>Catalog Record</v>
      </c>
      <c r="AW1636" s="6" t="str">
        <f>HYPERLINK("http://www.worldcat.org/oclc/857873536","WorldCat Record")</f>
        <v>WorldCat Record</v>
      </c>
      <c r="AX1636" s="3" t="s">
        <v>16999</v>
      </c>
      <c r="AY1636" s="3" t="s">
        <v>17000</v>
      </c>
      <c r="AZ1636" s="3" t="s">
        <v>17001</v>
      </c>
      <c r="BA1636" s="3" t="s">
        <v>17001</v>
      </c>
      <c r="BB1636" s="3" t="s">
        <v>17002</v>
      </c>
      <c r="BC1636" s="3" t="s">
        <v>78</v>
      </c>
      <c r="BD1636" s="3" t="s">
        <v>79</v>
      </c>
      <c r="BE1636" s="3" t="s">
        <v>17003</v>
      </c>
      <c r="BF1636" s="3" t="s">
        <v>17002</v>
      </c>
      <c r="BG1636" s="3" t="s">
        <v>17004</v>
      </c>
    </row>
    <row r="1637" spans="1:59" ht="72.5" x14ac:dyDescent="0.35">
      <c r="A1637" s="2" t="s">
        <v>59</v>
      </c>
      <c r="B1637" s="2" t="s">
        <v>94</v>
      </c>
      <c r="C1637" s="2" t="s">
        <v>17005</v>
      </c>
      <c r="D1637" s="2" t="s">
        <v>17006</v>
      </c>
      <c r="E1637" s="2" t="s">
        <v>17007</v>
      </c>
      <c r="G1637" s="3" t="s">
        <v>64</v>
      </c>
      <c r="I1637" s="3" t="s">
        <v>64</v>
      </c>
      <c r="J1637" s="3" t="s">
        <v>64</v>
      </c>
      <c r="K1637" s="3" t="s">
        <v>65</v>
      </c>
      <c r="L1637" s="2" t="s">
        <v>17008</v>
      </c>
      <c r="M1637" s="2" t="s">
        <v>17009</v>
      </c>
      <c r="N1637" s="3" t="s">
        <v>524</v>
      </c>
      <c r="P1637" s="3" t="s">
        <v>69</v>
      </c>
      <c r="R1637" s="3" t="s">
        <v>16939</v>
      </c>
      <c r="S1637" s="4">
        <v>0</v>
      </c>
      <c r="T1637" s="4">
        <v>0</v>
      </c>
      <c r="W1637" s="5" t="s">
        <v>72</v>
      </c>
      <c r="X1637" s="5" t="s">
        <v>72</v>
      </c>
      <c r="Y1637" s="4">
        <v>66</v>
      </c>
      <c r="Z1637" s="4">
        <v>4</v>
      </c>
      <c r="AA1637" s="4">
        <v>32</v>
      </c>
      <c r="AB1637" s="4">
        <v>1</v>
      </c>
      <c r="AC1637" s="4">
        <v>6</v>
      </c>
      <c r="AD1637" s="4">
        <v>40</v>
      </c>
      <c r="AE1637" s="4">
        <v>92</v>
      </c>
      <c r="AF1637" s="4">
        <v>0</v>
      </c>
      <c r="AG1637" s="4">
        <v>2</v>
      </c>
      <c r="AH1637" s="4">
        <v>39</v>
      </c>
      <c r="AI1637" s="4">
        <v>75</v>
      </c>
      <c r="AJ1637" s="4">
        <v>3</v>
      </c>
      <c r="AK1637" s="4">
        <v>13</v>
      </c>
      <c r="AL1637" s="4">
        <v>21</v>
      </c>
      <c r="AM1637" s="4">
        <v>40</v>
      </c>
      <c r="AN1637" s="4">
        <v>0</v>
      </c>
      <c r="AO1637" s="4">
        <v>0</v>
      </c>
      <c r="AP1637" s="4">
        <v>3</v>
      </c>
      <c r="AQ1637" s="4">
        <v>23</v>
      </c>
      <c r="AR1637" s="3" t="s">
        <v>64</v>
      </c>
      <c r="AS1637" s="3" t="s">
        <v>64</v>
      </c>
      <c r="AT1637" s="3" t="s">
        <v>64</v>
      </c>
      <c r="AV1637" s="6" t="str">
        <f>HYPERLINK("http://mcgill.on.worldcat.org/oclc/862787458","Catalog Record")</f>
        <v>Catalog Record</v>
      </c>
      <c r="AW1637" s="6" t="str">
        <f>HYPERLINK("http://www.worldcat.org/oclc/862787458","WorldCat Record")</f>
        <v>WorldCat Record</v>
      </c>
      <c r="AX1637" s="3" t="s">
        <v>17010</v>
      </c>
      <c r="AY1637" s="3" t="s">
        <v>17011</v>
      </c>
      <c r="AZ1637" s="3" t="s">
        <v>17012</v>
      </c>
      <c r="BA1637" s="3" t="s">
        <v>17012</v>
      </c>
      <c r="BB1637" s="3" t="s">
        <v>17013</v>
      </c>
      <c r="BC1637" s="3" t="s">
        <v>78</v>
      </c>
      <c r="BD1637" s="3" t="s">
        <v>79</v>
      </c>
      <c r="BE1637" s="3" t="s">
        <v>17014</v>
      </c>
      <c r="BF1637" s="3" t="s">
        <v>17013</v>
      </c>
      <c r="BG1637" s="3" t="s">
        <v>17015</v>
      </c>
    </row>
    <row r="1638" spans="1:59" ht="58" x14ac:dyDescent="0.35">
      <c r="A1638" s="2" t="s">
        <v>59</v>
      </c>
      <c r="B1638" s="2" t="s">
        <v>94</v>
      </c>
      <c r="C1638" s="2" t="s">
        <v>17016</v>
      </c>
      <c r="D1638" s="2" t="s">
        <v>17017</v>
      </c>
      <c r="E1638" s="2" t="s">
        <v>17018</v>
      </c>
      <c r="G1638" s="3" t="s">
        <v>64</v>
      </c>
      <c r="I1638" s="3" t="s">
        <v>64</v>
      </c>
      <c r="J1638" s="3" t="s">
        <v>64</v>
      </c>
      <c r="K1638" s="3" t="s">
        <v>65</v>
      </c>
      <c r="L1638" s="2" t="s">
        <v>17008</v>
      </c>
      <c r="M1638" s="2" t="s">
        <v>17019</v>
      </c>
      <c r="N1638" s="3" t="s">
        <v>524</v>
      </c>
      <c r="P1638" s="3" t="s">
        <v>69</v>
      </c>
      <c r="Q1638" s="2" t="s">
        <v>17020</v>
      </c>
      <c r="R1638" s="3" t="s">
        <v>16939</v>
      </c>
      <c r="S1638" s="4">
        <v>0</v>
      </c>
      <c r="T1638" s="4">
        <v>0</v>
      </c>
      <c r="W1638" s="5" t="s">
        <v>72</v>
      </c>
      <c r="X1638" s="5" t="s">
        <v>72</v>
      </c>
      <c r="Y1638" s="4">
        <v>84</v>
      </c>
      <c r="Z1638" s="4">
        <v>6</v>
      </c>
      <c r="AA1638" s="4">
        <v>35</v>
      </c>
      <c r="AB1638" s="4">
        <v>1</v>
      </c>
      <c r="AC1638" s="4">
        <v>6</v>
      </c>
      <c r="AD1638" s="4">
        <v>46</v>
      </c>
      <c r="AE1638" s="4">
        <v>98</v>
      </c>
      <c r="AF1638" s="4">
        <v>0</v>
      </c>
      <c r="AG1638" s="4">
        <v>2</v>
      </c>
      <c r="AH1638" s="4">
        <v>44</v>
      </c>
      <c r="AI1638" s="4">
        <v>80</v>
      </c>
      <c r="AJ1638" s="4">
        <v>4</v>
      </c>
      <c r="AK1638" s="4">
        <v>15</v>
      </c>
      <c r="AL1638" s="4">
        <v>24</v>
      </c>
      <c r="AM1638" s="4">
        <v>42</v>
      </c>
      <c r="AN1638" s="4">
        <v>0</v>
      </c>
      <c r="AO1638" s="4">
        <v>0</v>
      </c>
      <c r="AP1638" s="4">
        <v>5</v>
      </c>
      <c r="AQ1638" s="4">
        <v>26</v>
      </c>
      <c r="AR1638" s="3" t="s">
        <v>64</v>
      </c>
      <c r="AS1638" s="3" t="s">
        <v>64</v>
      </c>
      <c r="AT1638" s="3" t="s">
        <v>64</v>
      </c>
      <c r="AV1638" s="6" t="str">
        <f>HYPERLINK("http://mcgill.on.worldcat.org/oclc/866996455","Catalog Record")</f>
        <v>Catalog Record</v>
      </c>
      <c r="AW1638" s="6" t="str">
        <f>HYPERLINK("http://www.worldcat.org/oclc/866996455","WorldCat Record")</f>
        <v>WorldCat Record</v>
      </c>
      <c r="AX1638" s="3" t="s">
        <v>17021</v>
      </c>
      <c r="AY1638" s="3" t="s">
        <v>17022</v>
      </c>
      <c r="AZ1638" s="3" t="s">
        <v>17023</v>
      </c>
      <c r="BA1638" s="3" t="s">
        <v>17023</v>
      </c>
      <c r="BB1638" s="3" t="s">
        <v>17024</v>
      </c>
      <c r="BC1638" s="3" t="s">
        <v>78</v>
      </c>
      <c r="BD1638" s="3" t="s">
        <v>79</v>
      </c>
      <c r="BE1638" s="3" t="s">
        <v>17025</v>
      </c>
      <c r="BF1638" s="3" t="s">
        <v>17024</v>
      </c>
      <c r="BG1638" s="3" t="s">
        <v>17026</v>
      </c>
    </row>
    <row r="1639" spans="1:59" ht="87" x14ac:dyDescent="0.35">
      <c r="A1639" s="2" t="s">
        <v>59</v>
      </c>
      <c r="B1639" s="2" t="s">
        <v>94</v>
      </c>
      <c r="C1639" s="2" t="s">
        <v>17027</v>
      </c>
      <c r="D1639" s="2" t="s">
        <v>17028</v>
      </c>
      <c r="E1639" s="2" t="s">
        <v>17029</v>
      </c>
      <c r="G1639" s="3" t="s">
        <v>64</v>
      </c>
      <c r="I1639" s="3" t="s">
        <v>64</v>
      </c>
      <c r="J1639" s="3" t="s">
        <v>64</v>
      </c>
      <c r="K1639" s="3" t="s">
        <v>65</v>
      </c>
      <c r="L1639" s="2" t="s">
        <v>17030</v>
      </c>
      <c r="M1639" s="2" t="s">
        <v>5066</v>
      </c>
      <c r="N1639" s="3" t="s">
        <v>175</v>
      </c>
      <c r="P1639" s="3" t="s">
        <v>69</v>
      </c>
      <c r="R1639" s="3" t="s">
        <v>16939</v>
      </c>
      <c r="S1639" s="4">
        <v>0</v>
      </c>
      <c r="T1639" s="4">
        <v>0</v>
      </c>
      <c r="W1639" s="5" t="s">
        <v>72</v>
      </c>
      <c r="X1639" s="5" t="s">
        <v>72</v>
      </c>
      <c r="Y1639" s="4">
        <v>64</v>
      </c>
      <c r="Z1639" s="4">
        <v>3</v>
      </c>
      <c r="AA1639" s="4">
        <v>4</v>
      </c>
      <c r="AB1639" s="4">
        <v>1</v>
      </c>
      <c r="AC1639" s="4">
        <v>1</v>
      </c>
      <c r="AD1639" s="4">
        <v>41</v>
      </c>
      <c r="AE1639" s="4">
        <v>47</v>
      </c>
      <c r="AF1639" s="4">
        <v>0</v>
      </c>
      <c r="AG1639" s="4">
        <v>0</v>
      </c>
      <c r="AH1639" s="4">
        <v>40</v>
      </c>
      <c r="AI1639" s="4">
        <v>45</v>
      </c>
      <c r="AJ1639" s="4">
        <v>2</v>
      </c>
      <c r="AK1639" s="4">
        <v>3</v>
      </c>
      <c r="AL1639" s="4">
        <v>23</v>
      </c>
      <c r="AM1639" s="4">
        <v>27</v>
      </c>
      <c r="AN1639" s="4">
        <v>0</v>
      </c>
      <c r="AO1639" s="4">
        <v>0</v>
      </c>
      <c r="AP1639" s="4">
        <v>2</v>
      </c>
      <c r="AQ1639" s="4">
        <v>3</v>
      </c>
      <c r="AR1639" s="3" t="s">
        <v>64</v>
      </c>
      <c r="AS1639" s="3" t="s">
        <v>64</v>
      </c>
      <c r="AT1639" s="3" t="s">
        <v>64</v>
      </c>
      <c r="AV1639" s="6" t="str">
        <f>HYPERLINK("http://mcgill.on.worldcat.org/oclc/881306735","Catalog Record")</f>
        <v>Catalog Record</v>
      </c>
      <c r="AW1639" s="6" t="str">
        <f>HYPERLINK("http://www.worldcat.org/oclc/881306735","WorldCat Record")</f>
        <v>WorldCat Record</v>
      </c>
      <c r="AX1639" s="3" t="s">
        <v>17031</v>
      </c>
      <c r="AY1639" s="3" t="s">
        <v>17032</v>
      </c>
      <c r="AZ1639" s="3" t="s">
        <v>17033</v>
      </c>
      <c r="BA1639" s="3" t="s">
        <v>17033</v>
      </c>
      <c r="BB1639" s="3" t="s">
        <v>17034</v>
      </c>
      <c r="BC1639" s="3" t="s">
        <v>78</v>
      </c>
      <c r="BD1639" s="3" t="s">
        <v>79</v>
      </c>
      <c r="BE1639" s="3" t="s">
        <v>17035</v>
      </c>
      <c r="BF1639" s="3" t="s">
        <v>17034</v>
      </c>
      <c r="BG1639" s="3" t="s">
        <v>17036</v>
      </c>
    </row>
    <row r="1640" spans="1:59" ht="58" x14ac:dyDescent="0.35">
      <c r="A1640" s="2" t="s">
        <v>59</v>
      </c>
      <c r="B1640" s="2" t="s">
        <v>94</v>
      </c>
      <c r="C1640" s="2" t="s">
        <v>17037</v>
      </c>
      <c r="D1640" s="2" t="s">
        <v>17038</v>
      </c>
      <c r="E1640" s="2" t="s">
        <v>17039</v>
      </c>
      <c r="G1640" s="3" t="s">
        <v>64</v>
      </c>
      <c r="I1640" s="3" t="s">
        <v>64</v>
      </c>
      <c r="J1640" s="3" t="s">
        <v>64</v>
      </c>
      <c r="K1640" s="3" t="s">
        <v>65</v>
      </c>
      <c r="L1640" s="2" t="s">
        <v>17040</v>
      </c>
      <c r="M1640" s="2" t="s">
        <v>17041</v>
      </c>
      <c r="N1640" s="3" t="s">
        <v>328</v>
      </c>
      <c r="P1640" s="3" t="s">
        <v>69</v>
      </c>
      <c r="R1640" s="3" t="s">
        <v>16939</v>
      </c>
      <c r="S1640" s="4">
        <v>0</v>
      </c>
      <c r="T1640" s="4">
        <v>0</v>
      </c>
      <c r="W1640" s="5" t="s">
        <v>72</v>
      </c>
      <c r="X1640" s="5" t="s">
        <v>72</v>
      </c>
      <c r="Y1640" s="4">
        <v>18</v>
      </c>
      <c r="Z1640" s="4">
        <v>4</v>
      </c>
      <c r="AA1640" s="4">
        <v>4</v>
      </c>
      <c r="AB1640" s="4">
        <v>1</v>
      </c>
      <c r="AC1640" s="4">
        <v>1</v>
      </c>
      <c r="AD1640" s="4">
        <v>12</v>
      </c>
      <c r="AE1640" s="4">
        <v>12</v>
      </c>
      <c r="AF1640" s="4">
        <v>0</v>
      </c>
      <c r="AG1640" s="4">
        <v>0</v>
      </c>
      <c r="AH1640" s="4">
        <v>11</v>
      </c>
      <c r="AI1640" s="4">
        <v>11</v>
      </c>
      <c r="AJ1640" s="4">
        <v>2</v>
      </c>
      <c r="AK1640" s="4">
        <v>2</v>
      </c>
      <c r="AL1640" s="4">
        <v>10</v>
      </c>
      <c r="AM1640" s="4">
        <v>10</v>
      </c>
      <c r="AN1640" s="4">
        <v>0</v>
      </c>
      <c r="AO1640" s="4">
        <v>0</v>
      </c>
      <c r="AP1640" s="4">
        <v>2</v>
      </c>
      <c r="AQ1640" s="4">
        <v>2</v>
      </c>
      <c r="AR1640" s="3" t="s">
        <v>64</v>
      </c>
      <c r="AS1640" s="3" t="s">
        <v>64</v>
      </c>
      <c r="AT1640" s="3" t="s">
        <v>64</v>
      </c>
      <c r="AV1640" s="6" t="str">
        <f>HYPERLINK("http://mcgill.on.worldcat.org/oclc/703547508","Catalog Record")</f>
        <v>Catalog Record</v>
      </c>
      <c r="AW1640" s="6" t="str">
        <f>HYPERLINK("http://www.worldcat.org/oclc/703547508","WorldCat Record")</f>
        <v>WorldCat Record</v>
      </c>
      <c r="AX1640" s="3" t="s">
        <v>17042</v>
      </c>
      <c r="AY1640" s="3" t="s">
        <v>17043</v>
      </c>
      <c r="AZ1640" s="3" t="s">
        <v>17044</v>
      </c>
      <c r="BA1640" s="3" t="s">
        <v>17044</v>
      </c>
      <c r="BB1640" s="3" t="s">
        <v>17045</v>
      </c>
      <c r="BC1640" s="3" t="s">
        <v>78</v>
      </c>
      <c r="BD1640" s="3" t="s">
        <v>79</v>
      </c>
      <c r="BE1640" s="3" t="s">
        <v>17046</v>
      </c>
      <c r="BF1640" s="3" t="s">
        <v>17045</v>
      </c>
      <c r="BG1640" s="3" t="s">
        <v>17047</v>
      </c>
    </row>
    <row r="1641" spans="1:59" ht="58" x14ac:dyDescent="0.35">
      <c r="A1641" s="2" t="s">
        <v>59</v>
      </c>
      <c r="B1641" s="2" t="s">
        <v>94</v>
      </c>
      <c r="C1641" s="2" t="s">
        <v>17048</v>
      </c>
      <c r="D1641" s="2" t="s">
        <v>17049</v>
      </c>
      <c r="E1641" s="2" t="s">
        <v>17050</v>
      </c>
      <c r="G1641" s="3" t="s">
        <v>73</v>
      </c>
      <c r="I1641" s="3" t="s">
        <v>64</v>
      </c>
      <c r="J1641" s="3" t="s">
        <v>64</v>
      </c>
      <c r="K1641" s="3" t="s">
        <v>65</v>
      </c>
      <c r="L1641" s="2" t="s">
        <v>17051</v>
      </c>
      <c r="M1641" s="2" t="s">
        <v>17052</v>
      </c>
      <c r="N1641" s="3" t="s">
        <v>4513</v>
      </c>
      <c r="P1641" s="3" t="s">
        <v>69</v>
      </c>
      <c r="R1641" s="3" t="s">
        <v>16939</v>
      </c>
      <c r="S1641" s="4">
        <v>12</v>
      </c>
      <c r="T1641" s="4">
        <v>12</v>
      </c>
      <c r="U1641" s="5" t="s">
        <v>527</v>
      </c>
      <c r="V1641" s="5" t="s">
        <v>527</v>
      </c>
      <c r="W1641" s="5" t="s">
        <v>72</v>
      </c>
      <c r="X1641" s="5" t="s">
        <v>72</v>
      </c>
      <c r="Y1641" s="4">
        <v>1</v>
      </c>
      <c r="Z1641" s="4">
        <v>1</v>
      </c>
      <c r="AA1641" s="4">
        <v>20</v>
      </c>
      <c r="AB1641" s="4">
        <v>1</v>
      </c>
      <c r="AC1641" s="4">
        <v>2</v>
      </c>
      <c r="AD1641" s="4">
        <v>0</v>
      </c>
      <c r="AE1641" s="4">
        <v>108</v>
      </c>
      <c r="AF1641" s="4">
        <v>0</v>
      </c>
      <c r="AG1641" s="4">
        <v>1</v>
      </c>
      <c r="AH1641" s="4">
        <v>0</v>
      </c>
      <c r="AI1641" s="4">
        <v>95</v>
      </c>
      <c r="AJ1641" s="4">
        <v>0</v>
      </c>
      <c r="AK1641" s="4">
        <v>11</v>
      </c>
      <c r="AL1641" s="4">
        <v>0</v>
      </c>
      <c r="AM1641" s="4">
        <v>52</v>
      </c>
      <c r="AN1641" s="4">
        <v>0</v>
      </c>
      <c r="AO1641" s="4">
        <v>6</v>
      </c>
      <c r="AP1641" s="4">
        <v>0</v>
      </c>
      <c r="AQ1641" s="4">
        <v>16</v>
      </c>
      <c r="AR1641" s="3" t="s">
        <v>64</v>
      </c>
      <c r="AS1641" s="3" t="s">
        <v>64</v>
      </c>
      <c r="AT1641" s="3" t="s">
        <v>64</v>
      </c>
      <c r="AV1641" s="6" t="str">
        <f>HYPERLINK("http://mcgill.on.worldcat.org/oclc/427558631","Catalog Record")</f>
        <v>Catalog Record</v>
      </c>
      <c r="AW1641" s="6" t="str">
        <f>HYPERLINK("http://www.worldcat.org/oclc/427558631","WorldCat Record")</f>
        <v>WorldCat Record</v>
      </c>
      <c r="AX1641" s="3" t="s">
        <v>17053</v>
      </c>
      <c r="AY1641" s="3" t="s">
        <v>17054</v>
      </c>
      <c r="AZ1641" s="3" t="s">
        <v>17055</v>
      </c>
      <c r="BA1641" s="3" t="s">
        <v>17055</v>
      </c>
      <c r="BB1641" s="3" t="s">
        <v>17056</v>
      </c>
      <c r="BC1641" s="3" t="s">
        <v>78</v>
      </c>
      <c r="BD1641" s="3" t="s">
        <v>79</v>
      </c>
      <c r="BF1641" s="3" t="s">
        <v>17056</v>
      </c>
      <c r="BG1641" s="3" t="s">
        <v>17057</v>
      </c>
    </row>
    <row r="1642" spans="1:59" ht="58" x14ac:dyDescent="0.35">
      <c r="A1642" s="2" t="s">
        <v>59</v>
      </c>
      <c r="B1642" s="2" t="s">
        <v>94</v>
      </c>
      <c r="C1642" s="2" t="s">
        <v>17058</v>
      </c>
      <c r="D1642" s="2" t="s">
        <v>17059</v>
      </c>
      <c r="E1642" s="2" t="s">
        <v>17060</v>
      </c>
      <c r="G1642" s="3" t="s">
        <v>64</v>
      </c>
      <c r="I1642" s="3" t="s">
        <v>64</v>
      </c>
      <c r="J1642" s="3" t="s">
        <v>64</v>
      </c>
      <c r="K1642" s="3" t="s">
        <v>65</v>
      </c>
      <c r="L1642" s="2" t="s">
        <v>17061</v>
      </c>
      <c r="M1642" s="2" t="s">
        <v>17062</v>
      </c>
      <c r="N1642" s="3" t="s">
        <v>449</v>
      </c>
      <c r="P1642" s="3" t="s">
        <v>69</v>
      </c>
      <c r="R1642" s="3" t="s">
        <v>16939</v>
      </c>
      <c r="S1642" s="4">
        <v>1</v>
      </c>
      <c r="T1642" s="4">
        <v>1</v>
      </c>
      <c r="U1642" s="5" t="s">
        <v>4240</v>
      </c>
      <c r="V1642" s="5" t="s">
        <v>4240</v>
      </c>
      <c r="W1642" s="5" t="s">
        <v>72</v>
      </c>
      <c r="X1642" s="5" t="s">
        <v>72</v>
      </c>
      <c r="Y1642" s="4">
        <v>74</v>
      </c>
      <c r="Z1642" s="4">
        <v>56</v>
      </c>
      <c r="AA1642" s="4">
        <v>62</v>
      </c>
      <c r="AB1642" s="4">
        <v>3</v>
      </c>
      <c r="AC1642" s="4">
        <v>7</v>
      </c>
      <c r="AD1642" s="4">
        <v>41</v>
      </c>
      <c r="AE1642" s="4">
        <v>47</v>
      </c>
      <c r="AF1642" s="4">
        <v>2</v>
      </c>
      <c r="AG1642" s="4">
        <v>6</v>
      </c>
      <c r="AH1642" s="4">
        <v>14</v>
      </c>
      <c r="AI1642" s="4">
        <v>16</v>
      </c>
      <c r="AJ1642" s="4">
        <v>22</v>
      </c>
      <c r="AK1642" s="4">
        <v>27</v>
      </c>
      <c r="AL1642" s="4">
        <v>2</v>
      </c>
      <c r="AM1642" s="4">
        <v>2</v>
      </c>
      <c r="AN1642" s="4">
        <v>0</v>
      </c>
      <c r="AO1642" s="4">
        <v>0</v>
      </c>
      <c r="AP1642" s="4">
        <v>37</v>
      </c>
      <c r="AQ1642" s="4">
        <v>42</v>
      </c>
      <c r="AR1642" s="3" t="s">
        <v>73</v>
      </c>
      <c r="AS1642" s="3" t="s">
        <v>64</v>
      </c>
      <c r="AT1642" s="3" t="s">
        <v>64</v>
      </c>
      <c r="AV1642" s="6" t="str">
        <f>HYPERLINK("http://mcgill.on.worldcat.org/oclc/236116526","Catalog Record")</f>
        <v>Catalog Record</v>
      </c>
      <c r="AW1642" s="6" t="str">
        <f>HYPERLINK("http://www.worldcat.org/oclc/236116526","WorldCat Record")</f>
        <v>WorldCat Record</v>
      </c>
      <c r="AX1642" s="3" t="s">
        <v>17063</v>
      </c>
      <c r="AY1642" s="3" t="s">
        <v>17064</v>
      </c>
      <c r="AZ1642" s="3" t="s">
        <v>17065</v>
      </c>
      <c r="BA1642" s="3" t="s">
        <v>17065</v>
      </c>
      <c r="BB1642" s="3" t="s">
        <v>17066</v>
      </c>
      <c r="BC1642" s="3" t="s">
        <v>78</v>
      </c>
      <c r="BD1642" s="3" t="s">
        <v>79</v>
      </c>
      <c r="BE1642" s="3" t="s">
        <v>17067</v>
      </c>
      <c r="BF1642" s="3" t="s">
        <v>17066</v>
      </c>
      <c r="BG1642" s="3" t="s">
        <v>17068</v>
      </c>
    </row>
    <row r="1643" spans="1:59" ht="58" x14ac:dyDescent="0.35">
      <c r="A1643" s="2" t="s">
        <v>59</v>
      </c>
      <c r="B1643" s="2" t="s">
        <v>94</v>
      </c>
      <c r="C1643" s="2" t="s">
        <v>17069</v>
      </c>
      <c r="D1643" s="2" t="s">
        <v>17070</v>
      </c>
      <c r="E1643" s="2" t="s">
        <v>17071</v>
      </c>
      <c r="G1643" s="3" t="s">
        <v>64</v>
      </c>
      <c r="I1643" s="3" t="s">
        <v>64</v>
      </c>
      <c r="J1643" s="3" t="s">
        <v>64</v>
      </c>
      <c r="K1643" s="3" t="s">
        <v>65</v>
      </c>
      <c r="L1643" s="2" t="s">
        <v>17072</v>
      </c>
      <c r="M1643" s="2" t="s">
        <v>9616</v>
      </c>
      <c r="N1643" s="3" t="s">
        <v>328</v>
      </c>
      <c r="P1643" s="3" t="s">
        <v>69</v>
      </c>
      <c r="R1643" s="3" t="s">
        <v>16939</v>
      </c>
      <c r="S1643" s="4">
        <v>1</v>
      </c>
      <c r="T1643" s="4">
        <v>1</v>
      </c>
      <c r="U1643" s="5" t="s">
        <v>4240</v>
      </c>
      <c r="V1643" s="5" t="s">
        <v>4240</v>
      </c>
      <c r="W1643" s="5" t="s">
        <v>72</v>
      </c>
      <c r="X1643" s="5" t="s">
        <v>72</v>
      </c>
      <c r="Y1643" s="4">
        <v>136</v>
      </c>
      <c r="Z1643" s="4">
        <v>6</v>
      </c>
      <c r="AA1643" s="4">
        <v>87</v>
      </c>
      <c r="AB1643" s="4">
        <v>1</v>
      </c>
      <c r="AC1643" s="4">
        <v>14</v>
      </c>
      <c r="AD1643" s="4">
        <v>50</v>
      </c>
      <c r="AE1643" s="4">
        <v>119</v>
      </c>
      <c r="AF1643" s="4">
        <v>0</v>
      </c>
      <c r="AG1643" s="4">
        <v>8</v>
      </c>
      <c r="AH1643" s="4">
        <v>48</v>
      </c>
      <c r="AI1643" s="4">
        <v>84</v>
      </c>
      <c r="AJ1643" s="4">
        <v>3</v>
      </c>
      <c r="AK1643" s="4">
        <v>20</v>
      </c>
      <c r="AL1643" s="4">
        <v>34</v>
      </c>
      <c r="AM1643" s="4">
        <v>46</v>
      </c>
      <c r="AN1643" s="4">
        <v>0</v>
      </c>
      <c r="AO1643" s="4">
        <v>0</v>
      </c>
      <c r="AP1643" s="4">
        <v>3</v>
      </c>
      <c r="AQ1643" s="4">
        <v>41</v>
      </c>
      <c r="AR1643" s="3" t="s">
        <v>64</v>
      </c>
      <c r="AS1643" s="3" t="s">
        <v>64</v>
      </c>
      <c r="AT1643" s="3" t="s">
        <v>64</v>
      </c>
      <c r="AV1643" s="6" t="str">
        <f>HYPERLINK("http://mcgill.on.worldcat.org/oclc/651011978","Catalog Record")</f>
        <v>Catalog Record</v>
      </c>
      <c r="AW1643" s="6" t="str">
        <f>HYPERLINK("http://www.worldcat.org/oclc/651011978","WorldCat Record")</f>
        <v>WorldCat Record</v>
      </c>
      <c r="AX1643" s="3" t="s">
        <v>17073</v>
      </c>
      <c r="AY1643" s="3" t="s">
        <v>17074</v>
      </c>
      <c r="AZ1643" s="3" t="s">
        <v>17075</v>
      </c>
      <c r="BA1643" s="3" t="s">
        <v>17075</v>
      </c>
      <c r="BB1643" s="3" t="s">
        <v>17076</v>
      </c>
      <c r="BC1643" s="3" t="s">
        <v>78</v>
      </c>
      <c r="BD1643" s="3" t="s">
        <v>79</v>
      </c>
      <c r="BE1643" s="3" t="s">
        <v>17077</v>
      </c>
      <c r="BF1643" s="3" t="s">
        <v>17076</v>
      </c>
      <c r="BG1643" s="3" t="s">
        <v>17078</v>
      </c>
    </row>
    <row r="1644" spans="1:59" ht="58" x14ac:dyDescent="0.35">
      <c r="A1644" s="2" t="s">
        <v>59</v>
      </c>
      <c r="B1644" s="2" t="s">
        <v>94</v>
      </c>
      <c r="C1644" s="2" t="s">
        <v>17079</v>
      </c>
      <c r="D1644" s="2" t="s">
        <v>17080</v>
      </c>
      <c r="E1644" s="2" t="s">
        <v>17081</v>
      </c>
      <c r="G1644" s="3" t="s">
        <v>64</v>
      </c>
      <c r="H1644" s="3" t="s">
        <v>2292</v>
      </c>
      <c r="I1644" s="3" t="s">
        <v>64</v>
      </c>
      <c r="J1644" s="3" t="s">
        <v>64</v>
      </c>
      <c r="K1644" s="3" t="s">
        <v>65</v>
      </c>
      <c r="M1644" s="2" t="s">
        <v>1970</v>
      </c>
      <c r="N1644" s="3" t="s">
        <v>1645</v>
      </c>
      <c r="P1644" s="3" t="s">
        <v>69</v>
      </c>
      <c r="Q1644" s="2" t="s">
        <v>17082</v>
      </c>
      <c r="R1644" s="3" t="s">
        <v>16939</v>
      </c>
      <c r="S1644" s="4">
        <v>0</v>
      </c>
      <c r="T1644" s="4">
        <v>0</v>
      </c>
      <c r="W1644" s="5" t="s">
        <v>14143</v>
      </c>
      <c r="X1644" s="5" t="s">
        <v>14143</v>
      </c>
      <c r="Y1644" s="4">
        <v>37</v>
      </c>
      <c r="Z1644" s="4">
        <v>28</v>
      </c>
      <c r="AA1644" s="4">
        <v>28</v>
      </c>
      <c r="AB1644" s="4">
        <v>1</v>
      </c>
      <c r="AC1644" s="4">
        <v>1</v>
      </c>
      <c r="AD1644" s="4">
        <v>24</v>
      </c>
      <c r="AE1644" s="4">
        <v>24</v>
      </c>
      <c r="AF1644" s="4">
        <v>0</v>
      </c>
      <c r="AG1644" s="4">
        <v>0</v>
      </c>
      <c r="AH1644" s="4">
        <v>9</v>
      </c>
      <c r="AI1644" s="4">
        <v>9</v>
      </c>
      <c r="AJ1644" s="4">
        <v>11</v>
      </c>
      <c r="AK1644" s="4">
        <v>11</v>
      </c>
      <c r="AL1644" s="4">
        <v>1</v>
      </c>
      <c r="AM1644" s="4">
        <v>1</v>
      </c>
      <c r="AN1644" s="4">
        <v>0</v>
      </c>
      <c r="AO1644" s="4">
        <v>0</v>
      </c>
      <c r="AP1644" s="4">
        <v>22</v>
      </c>
      <c r="AQ1644" s="4">
        <v>22</v>
      </c>
      <c r="AR1644" s="3" t="s">
        <v>73</v>
      </c>
      <c r="AS1644" s="3" t="s">
        <v>64</v>
      </c>
      <c r="AT1644" s="3" t="s">
        <v>64</v>
      </c>
      <c r="AV1644" s="6" t="str">
        <f>HYPERLINK("http://mcgill.on.worldcat.org/oclc/1007479592","Catalog Record")</f>
        <v>Catalog Record</v>
      </c>
      <c r="AW1644" s="6" t="str">
        <f>HYPERLINK("http://www.worldcat.org/oclc/1007479592","WorldCat Record")</f>
        <v>WorldCat Record</v>
      </c>
      <c r="AX1644" s="3" t="s">
        <v>17083</v>
      </c>
      <c r="AY1644" s="3" t="s">
        <v>17084</v>
      </c>
      <c r="AZ1644" s="3" t="s">
        <v>17085</v>
      </c>
      <c r="BA1644" s="3" t="s">
        <v>17085</v>
      </c>
      <c r="BB1644" s="3" t="s">
        <v>17086</v>
      </c>
      <c r="BC1644" s="3" t="s">
        <v>78</v>
      </c>
      <c r="BD1644" s="3" t="s">
        <v>79</v>
      </c>
      <c r="BE1644" s="3" t="s">
        <v>17087</v>
      </c>
      <c r="BF1644" s="3" t="s">
        <v>17086</v>
      </c>
      <c r="BG1644" s="3" t="s">
        <v>17088</v>
      </c>
    </row>
    <row r="1645" spans="1:59" ht="58" x14ac:dyDescent="0.35">
      <c r="A1645" s="2" t="s">
        <v>59</v>
      </c>
      <c r="B1645" s="2" t="s">
        <v>94</v>
      </c>
      <c r="C1645" s="2" t="s">
        <v>17089</v>
      </c>
      <c r="D1645" s="2" t="s">
        <v>17090</v>
      </c>
      <c r="E1645" s="2" t="s">
        <v>17091</v>
      </c>
      <c r="G1645" s="3" t="s">
        <v>64</v>
      </c>
      <c r="I1645" s="3" t="s">
        <v>64</v>
      </c>
      <c r="J1645" s="3" t="s">
        <v>64</v>
      </c>
      <c r="K1645" s="3" t="s">
        <v>2292</v>
      </c>
      <c r="M1645" s="2" t="s">
        <v>6841</v>
      </c>
      <c r="N1645" s="3" t="s">
        <v>377</v>
      </c>
      <c r="P1645" s="3" t="s">
        <v>69</v>
      </c>
      <c r="Q1645" s="2" t="s">
        <v>5134</v>
      </c>
      <c r="R1645" s="3" t="s">
        <v>16939</v>
      </c>
      <c r="S1645" s="4">
        <v>0</v>
      </c>
      <c r="T1645" s="4">
        <v>0</v>
      </c>
      <c r="W1645" s="5" t="s">
        <v>72</v>
      </c>
      <c r="X1645" s="5" t="s">
        <v>72</v>
      </c>
      <c r="Y1645" s="4">
        <v>84</v>
      </c>
      <c r="Z1645" s="4">
        <v>5</v>
      </c>
      <c r="AA1645" s="4">
        <v>34</v>
      </c>
      <c r="AB1645" s="4">
        <v>1</v>
      </c>
      <c r="AC1645" s="4">
        <v>6</v>
      </c>
      <c r="AD1645" s="4">
        <v>48</v>
      </c>
      <c r="AE1645" s="4">
        <v>99</v>
      </c>
      <c r="AF1645" s="4">
        <v>0</v>
      </c>
      <c r="AG1645" s="4">
        <v>2</v>
      </c>
      <c r="AH1645" s="4">
        <v>47</v>
      </c>
      <c r="AI1645" s="4">
        <v>82</v>
      </c>
      <c r="AJ1645" s="4">
        <v>3</v>
      </c>
      <c r="AK1645" s="4">
        <v>14</v>
      </c>
      <c r="AL1645" s="4">
        <v>28</v>
      </c>
      <c r="AM1645" s="4">
        <v>46</v>
      </c>
      <c r="AN1645" s="4">
        <v>0</v>
      </c>
      <c r="AO1645" s="4">
        <v>0</v>
      </c>
      <c r="AP1645" s="4">
        <v>3</v>
      </c>
      <c r="AQ1645" s="4">
        <v>24</v>
      </c>
      <c r="AR1645" s="3" t="s">
        <v>64</v>
      </c>
      <c r="AS1645" s="3" t="s">
        <v>64</v>
      </c>
      <c r="AT1645" s="3" t="s">
        <v>64</v>
      </c>
      <c r="AV1645" s="6" t="str">
        <f>HYPERLINK("http://mcgill.on.worldcat.org/oclc/776874739","Catalog Record")</f>
        <v>Catalog Record</v>
      </c>
      <c r="AW1645" s="6" t="str">
        <f>HYPERLINK("http://www.worldcat.org/oclc/776874739","WorldCat Record")</f>
        <v>WorldCat Record</v>
      </c>
      <c r="AX1645" s="3" t="s">
        <v>17092</v>
      </c>
      <c r="AY1645" s="3" t="s">
        <v>17093</v>
      </c>
      <c r="AZ1645" s="3" t="s">
        <v>17094</v>
      </c>
      <c r="BA1645" s="3" t="s">
        <v>17094</v>
      </c>
      <c r="BB1645" s="3" t="s">
        <v>17095</v>
      </c>
      <c r="BC1645" s="3" t="s">
        <v>78</v>
      </c>
      <c r="BD1645" s="3" t="s">
        <v>79</v>
      </c>
      <c r="BE1645" s="3" t="s">
        <v>17096</v>
      </c>
      <c r="BF1645" s="3" t="s">
        <v>17095</v>
      </c>
      <c r="BG1645" s="3" t="s">
        <v>17097</v>
      </c>
    </row>
    <row r="1646" spans="1:59" ht="72.5" x14ac:dyDescent="0.35">
      <c r="A1646" s="2" t="s">
        <v>59</v>
      </c>
      <c r="B1646" s="2" t="s">
        <v>94</v>
      </c>
      <c r="C1646" s="2" t="s">
        <v>17098</v>
      </c>
      <c r="D1646" s="2" t="s">
        <v>17099</v>
      </c>
      <c r="E1646" s="2" t="s">
        <v>17100</v>
      </c>
      <c r="G1646" s="3" t="s">
        <v>64</v>
      </c>
      <c r="I1646" s="3" t="s">
        <v>64</v>
      </c>
      <c r="J1646" s="3" t="s">
        <v>64</v>
      </c>
      <c r="K1646" s="3" t="s">
        <v>65</v>
      </c>
      <c r="L1646" s="2" t="s">
        <v>17101</v>
      </c>
      <c r="M1646" s="2" t="s">
        <v>17102</v>
      </c>
      <c r="N1646" s="3" t="s">
        <v>175</v>
      </c>
      <c r="P1646" s="3" t="s">
        <v>69</v>
      </c>
      <c r="Q1646" s="2" t="s">
        <v>7262</v>
      </c>
      <c r="R1646" s="3" t="s">
        <v>16939</v>
      </c>
      <c r="S1646" s="4">
        <v>0</v>
      </c>
      <c r="T1646" s="4">
        <v>0</v>
      </c>
      <c r="W1646" s="5" t="s">
        <v>72</v>
      </c>
      <c r="X1646" s="5" t="s">
        <v>72</v>
      </c>
      <c r="Y1646" s="4">
        <v>60</v>
      </c>
      <c r="Z1646" s="4">
        <v>3</v>
      </c>
      <c r="AA1646" s="4">
        <v>4</v>
      </c>
      <c r="AB1646" s="4">
        <v>1</v>
      </c>
      <c r="AC1646" s="4">
        <v>1</v>
      </c>
      <c r="AD1646" s="4">
        <v>41</v>
      </c>
      <c r="AE1646" s="4">
        <v>45</v>
      </c>
      <c r="AF1646" s="4">
        <v>0</v>
      </c>
      <c r="AG1646" s="4">
        <v>0</v>
      </c>
      <c r="AH1646" s="4">
        <v>40</v>
      </c>
      <c r="AI1646" s="4">
        <v>43</v>
      </c>
      <c r="AJ1646" s="4">
        <v>2</v>
      </c>
      <c r="AK1646" s="4">
        <v>3</v>
      </c>
      <c r="AL1646" s="4">
        <v>23</v>
      </c>
      <c r="AM1646" s="4">
        <v>25</v>
      </c>
      <c r="AN1646" s="4">
        <v>0</v>
      </c>
      <c r="AO1646" s="4">
        <v>0</v>
      </c>
      <c r="AP1646" s="4">
        <v>2</v>
      </c>
      <c r="AQ1646" s="4">
        <v>3</v>
      </c>
      <c r="AR1646" s="3" t="s">
        <v>64</v>
      </c>
      <c r="AS1646" s="3" t="s">
        <v>64</v>
      </c>
      <c r="AT1646" s="3" t="s">
        <v>64</v>
      </c>
      <c r="AV1646" s="6" t="str">
        <f>HYPERLINK("http://mcgill.on.worldcat.org/oclc/871219734","Catalog Record")</f>
        <v>Catalog Record</v>
      </c>
      <c r="AW1646" s="6" t="str">
        <f>HYPERLINK("http://www.worldcat.org/oclc/871219734","WorldCat Record")</f>
        <v>WorldCat Record</v>
      </c>
      <c r="AX1646" s="3" t="s">
        <v>17103</v>
      </c>
      <c r="AY1646" s="3" t="s">
        <v>17104</v>
      </c>
      <c r="AZ1646" s="3" t="s">
        <v>17105</v>
      </c>
      <c r="BA1646" s="3" t="s">
        <v>17105</v>
      </c>
      <c r="BB1646" s="3" t="s">
        <v>17106</v>
      </c>
      <c r="BC1646" s="3" t="s">
        <v>78</v>
      </c>
      <c r="BD1646" s="3" t="s">
        <v>79</v>
      </c>
      <c r="BE1646" s="3" t="s">
        <v>17107</v>
      </c>
      <c r="BF1646" s="3" t="s">
        <v>17106</v>
      </c>
      <c r="BG1646" s="3" t="s">
        <v>17108</v>
      </c>
    </row>
    <row r="1647" spans="1:59" ht="58" x14ac:dyDescent="0.35">
      <c r="A1647" s="2" t="s">
        <v>59</v>
      </c>
      <c r="B1647" s="2" t="s">
        <v>94</v>
      </c>
      <c r="C1647" s="2" t="s">
        <v>17109</v>
      </c>
      <c r="D1647" s="2" t="s">
        <v>17110</v>
      </c>
      <c r="E1647" s="2" t="s">
        <v>17111</v>
      </c>
      <c r="G1647" s="3" t="s">
        <v>64</v>
      </c>
      <c r="I1647" s="3" t="s">
        <v>64</v>
      </c>
      <c r="J1647" s="3" t="s">
        <v>64</v>
      </c>
      <c r="K1647" s="3" t="s">
        <v>65</v>
      </c>
      <c r="L1647" s="2" t="s">
        <v>1292</v>
      </c>
      <c r="M1647" s="2" t="s">
        <v>17112</v>
      </c>
      <c r="N1647" s="3" t="s">
        <v>365</v>
      </c>
      <c r="P1647" s="3" t="s">
        <v>69</v>
      </c>
      <c r="R1647" s="3" t="s">
        <v>16939</v>
      </c>
      <c r="S1647" s="4">
        <v>2</v>
      </c>
      <c r="T1647" s="4">
        <v>2</v>
      </c>
      <c r="U1647" s="5" t="s">
        <v>8392</v>
      </c>
      <c r="V1647" s="5" t="s">
        <v>8392</v>
      </c>
      <c r="W1647" s="5" t="s">
        <v>72</v>
      </c>
      <c r="X1647" s="5" t="s">
        <v>72</v>
      </c>
      <c r="Y1647" s="4">
        <v>806</v>
      </c>
      <c r="Z1647" s="4">
        <v>36</v>
      </c>
      <c r="AA1647" s="4">
        <v>45</v>
      </c>
      <c r="AB1647" s="4">
        <v>1</v>
      </c>
      <c r="AC1647" s="4">
        <v>5</v>
      </c>
      <c r="AD1647" s="4">
        <v>120</v>
      </c>
      <c r="AE1647" s="4">
        <v>127</v>
      </c>
      <c r="AF1647" s="4">
        <v>0</v>
      </c>
      <c r="AG1647" s="4">
        <v>2</v>
      </c>
      <c r="AH1647" s="4">
        <v>104</v>
      </c>
      <c r="AI1647" s="4">
        <v>106</v>
      </c>
      <c r="AJ1647" s="4">
        <v>18</v>
      </c>
      <c r="AK1647" s="4">
        <v>21</v>
      </c>
      <c r="AL1647" s="4">
        <v>58</v>
      </c>
      <c r="AM1647" s="4">
        <v>59</v>
      </c>
      <c r="AN1647" s="4">
        <v>0</v>
      </c>
      <c r="AO1647" s="4">
        <v>0</v>
      </c>
      <c r="AP1647" s="4">
        <v>25</v>
      </c>
      <c r="AQ1647" s="4">
        <v>29</v>
      </c>
      <c r="AR1647" s="3" t="s">
        <v>64</v>
      </c>
      <c r="AS1647" s="3" t="s">
        <v>64</v>
      </c>
      <c r="AT1647" s="3" t="s">
        <v>73</v>
      </c>
      <c r="AU1647" s="6" t="str">
        <f>HYPERLINK("http://catalog.hathitrust.org/Record/000337852","HathiTrust Record")</f>
        <v>HathiTrust Record</v>
      </c>
      <c r="AV1647" s="6" t="str">
        <f>HYPERLINK("http://mcgill.on.worldcat.org/oclc/10949797","Catalog Record")</f>
        <v>Catalog Record</v>
      </c>
      <c r="AW1647" s="6" t="str">
        <f>HYPERLINK("http://www.worldcat.org/oclc/10949797","WorldCat Record")</f>
        <v>WorldCat Record</v>
      </c>
      <c r="AX1647" s="3" t="s">
        <v>17113</v>
      </c>
      <c r="AY1647" s="3" t="s">
        <v>17114</v>
      </c>
      <c r="AZ1647" s="3" t="s">
        <v>17115</v>
      </c>
      <c r="BA1647" s="3" t="s">
        <v>17115</v>
      </c>
      <c r="BB1647" s="3" t="s">
        <v>17116</v>
      </c>
      <c r="BC1647" s="3" t="s">
        <v>78</v>
      </c>
      <c r="BD1647" s="3" t="s">
        <v>79</v>
      </c>
      <c r="BE1647" s="3" t="s">
        <v>17117</v>
      </c>
      <c r="BF1647" s="3" t="s">
        <v>17116</v>
      </c>
      <c r="BG1647" s="3" t="s">
        <v>17118</v>
      </c>
    </row>
    <row r="1648" spans="1:59" ht="58" x14ac:dyDescent="0.35">
      <c r="A1648" s="2" t="s">
        <v>59</v>
      </c>
      <c r="B1648" s="2" t="s">
        <v>94</v>
      </c>
      <c r="C1648" s="2" t="s">
        <v>17119</v>
      </c>
      <c r="D1648" s="2" t="s">
        <v>17120</v>
      </c>
      <c r="E1648" s="2" t="s">
        <v>17121</v>
      </c>
      <c r="G1648" s="3" t="s">
        <v>64</v>
      </c>
      <c r="I1648" s="3" t="s">
        <v>64</v>
      </c>
      <c r="J1648" s="3" t="s">
        <v>64</v>
      </c>
      <c r="K1648" s="3" t="s">
        <v>65</v>
      </c>
      <c r="L1648" s="2" t="s">
        <v>17122</v>
      </c>
      <c r="M1648" s="2" t="s">
        <v>5066</v>
      </c>
      <c r="N1648" s="3" t="s">
        <v>175</v>
      </c>
      <c r="P1648" s="3" t="s">
        <v>69</v>
      </c>
      <c r="R1648" s="3" t="s">
        <v>16939</v>
      </c>
      <c r="S1648" s="4">
        <v>0</v>
      </c>
      <c r="T1648" s="4">
        <v>0</v>
      </c>
      <c r="W1648" s="5" t="s">
        <v>72</v>
      </c>
      <c r="X1648" s="5" t="s">
        <v>72</v>
      </c>
      <c r="Y1648" s="4">
        <v>62</v>
      </c>
      <c r="Z1648" s="4">
        <v>3</v>
      </c>
      <c r="AA1648" s="4">
        <v>5</v>
      </c>
      <c r="AB1648" s="4">
        <v>1</v>
      </c>
      <c r="AC1648" s="4">
        <v>1</v>
      </c>
      <c r="AD1648" s="4">
        <v>39</v>
      </c>
      <c r="AE1648" s="4">
        <v>45</v>
      </c>
      <c r="AF1648" s="4">
        <v>0</v>
      </c>
      <c r="AG1648" s="4">
        <v>0</v>
      </c>
      <c r="AH1648" s="4">
        <v>38</v>
      </c>
      <c r="AI1648" s="4">
        <v>43</v>
      </c>
      <c r="AJ1648" s="4">
        <v>2</v>
      </c>
      <c r="AK1648" s="4">
        <v>4</v>
      </c>
      <c r="AL1648" s="4">
        <v>22</v>
      </c>
      <c r="AM1648" s="4">
        <v>25</v>
      </c>
      <c r="AN1648" s="4">
        <v>0</v>
      </c>
      <c r="AO1648" s="4">
        <v>0</v>
      </c>
      <c r="AP1648" s="4">
        <v>2</v>
      </c>
      <c r="AQ1648" s="4">
        <v>4</v>
      </c>
      <c r="AR1648" s="3" t="s">
        <v>64</v>
      </c>
      <c r="AS1648" s="3" t="s">
        <v>64</v>
      </c>
      <c r="AT1648" s="3" t="s">
        <v>64</v>
      </c>
      <c r="AV1648" s="6" t="str">
        <f>HYPERLINK("http://mcgill.on.worldcat.org/oclc/870990992","Catalog Record")</f>
        <v>Catalog Record</v>
      </c>
      <c r="AW1648" s="6" t="str">
        <f>HYPERLINK("http://www.worldcat.org/oclc/870990992","WorldCat Record")</f>
        <v>WorldCat Record</v>
      </c>
      <c r="AX1648" s="3" t="s">
        <v>17123</v>
      </c>
      <c r="AY1648" s="3" t="s">
        <v>17124</v>
      </c>
      <c r="AZ1648" s="3" t="s">
        <v>17125</v>
      </c>
      <c r="BA1648" s="3" t="s">
        <v>17125</v>
      </c>
      <c r="BB1648" s="3" t="s">
        <v>17126</v>
      </c>
      <c r="BC1648" s="3" t="s">
        <v>78</v>
      </c>
      <c r="BD1648" s="3" t="s">
        <v>79</v>
      </c>
      <c r="BE1648" s="3" t="s">
        <v>17127</v>
      </c>
      <c r="BF1648" s="3" t="s">
        <v>17126</v>
      </c>
      <c r="BG1648" s="3" t="s">
        <v>17128</v>
      </c>
    </row>
    <row r="1649" spans="1:59" ht="58" x14ac:dyDescent="0.35">
      <c r="A1649" s="2" t="s">
        <v>59</v>
      </c>
      <c r="B1649" s="2" t="s">
        <v>94</v>
      </c>
      <c r="C1649" s="2" t="s">
        <v>17129</v>
      </c>
      <c r="D1649" s="2" t="s">
        <v>17130</v>
      </c>
      <c r="E1649" s="2" t="s">
        <v>17131</v>
      </c>
      <c r="G1649" s="3" t="s">
        <v>64</v>
      </c>
      <c r="I1649" s="3" t="s">
        <v>64</v>
      </c>
      <c r="J1649" s="3" t="s">
        <v>64</v>
      </c>
      <c r="K1649" s="3" t="s">
        <v>65</v>
      </c>
      <c r="L1649" s="2" t="s">
        <v>17132</v>
      </c>
      <c r="M1649" s="2" t="s">
        <v>17133</v>
      </c>
      <c r="N1649" s="3" t="s">
        <v>2116</v>
      </c>
      <c r="P1649" s="3" t="s">
        <v>69</v>
      </c>
      <c r="R1649" s="3" t="s">
        <v>16939</v>
      </c>
      <c r="S1649" s="4">
        <v>4</v>
      </c>
      <c r="T1649" s="4">
        <v>4</v>
      </c>
      <c r="U1649" s="5" t="s">
        <v>12732</v>
      </c>
      <c r="V1649" s="5" t="s">
        <v>12732</v>
      </c>
      <c r="W1649" s="5" t="s">
        <v>72</v>
      </c>
      <c r="X1649" s="5" t="s">
        <v>72</v>
      </c>
      <c r="Y1649" s="4">
        <v>609</v>
      </c>
      <c r="Z1649" s="4">
        <v>24</v>
      </c>
      <c r="AA1649" s="4">
        <v>24</v>
      </c>
      <c r="AB1649" s="4">
        <v>2</v>
      </c>
      <c r="AC1649" s="4">
        <v>2</v>
      </c>
      <c r="AD1649" s="4">
        <v>118</v>
      </c>
      <c r="AE1649" s="4">
        <v>118</v>
      </c>
      <c r="AF1649" s="4">
        <v>1</v>
      </c>
      <c r="AG1649" s="4">
        <v>1</v>
      </c>
      <c r="AH1649" s="4">
        <v>105</v>
      </c>
      <c r="AI1649" s="4">
        <v>105</v>
      </c>
      <c r="AJ1649" s="4">
        <v>17</v>
      </c>
      <c r="AK1649" s="4">
        <v>17</v>
      </c>
      <c r="AL1649" s="4">
        <v>56</v>
      </c>
      <c r="AM1649" s="4">
        <v>56</v>
      </c>
      <c r="AN1649" s="4">
        <v>0</v>
      </c>
      <c r="AO1649" s="4">
        <v>0</v>
      </c>
      <c r="AP1649" s="4">
        <v>19</v>
      </c>
      <c r="AQ1649" s="4">
        <v>19</v>
      </c>
      <c r="AR1649" s="3" t="s">
        <v>64</v>
      </c>
      <c r="AS1649" s="3" t="s">
        <v>64</v>
      </c>
      <c r="AT1649" s="3" t="s">
        <v>73</v>
      </c>
      <c r="AU1649" s="6" t="str">
        <f>HYPERLINK("http://catalog.hathitrust.org/Record/000716728","HathiTrust Record")</f>
        <v>HathiTrust Record</v>
      </c>
      <c r="AV1649" s="6" t="str">
        <f>HYPERLINK("http://mcgill.on.worldcat.org/oclc/1975015","Catalog Record")</f>
        <v>Catalog Record</v>
      </c>
      <c r="AW1649" s="6" t="str">
        <f>HYPERLINK("http://www.worldcat.org/oclc/1975015","WorldCat Record")</f>
        <v>WorldCat Record</v>
      </c>
      <c r="AX1649" s="3" t="s">
        <v>17134</v>
      </c>
      <c r="AY1649" s="3" t="s">
        <v>17135</v>
      </c>
      <c r="AZ1649" s="3" t="s">
        <v>17136</v>
      </c>
      <c r="BA1649" s="3" t="s">
        <v>17136</v>
      </c>
      <c r="BB1649" s="3" t="s">
        <v>17137</v>
      </c>
      <c r="BC1649" s="3" t="s">
        <v>78</v>
      </c>
      <c r="BD1649" s="3" t="s">
        <v>79</v>
      </c>
      <c r="BE1649" s="3" t="s">
        <v>17138</v>
      </c>
      <c r="BF1649" s="3" t="s">
        <v>17137</v>
      </c>
      <c r="BG1649" s="3" t="s">
        <v>17139</v>
      </c>
    </row>
    <row r="1650" spans="1:59" ht="58" x14ac:dyDescent="0.35">
      <c r="A1650" s="2" t="s">
        <v>59</v>
      </c>
      <c r="B1650" s="2" t="s">
        <v>94</v>
      </c>
      <c r="C1650" s="2" t="s">
        <v>17140</v>
      </c>
      <c r="D1650" s="2" t="s">
        <v>17141</v>
      </c>
      <c r="E1650" s="2" t="s">
        <v>17142</v>
      </c>
      <c r="G1650" s="3" t="s">
        <v>64</v>
      </c>
      <c r="I1650" s="3" t="s">
        <v>64</v>
      </c>
      <c r="J1650" s="3" t="s">
        <v>64</v>
      </c>
      <c r="K1650" s="3" t="s">
        <v>65</v>
      </c>
      <c r="L1650" s="2" t="s">
        <v>17143</v>
      </c>
      <c r="M1650" s="2" t="s">
        <v>17144</v>
      </c>
      <c r="N1650" s="3" t="s">
        <v>68</v>
      </c>
      <c r="P1650" s="3" t="s">
        <v>69</v>
      </c>
      <c r="Q1650" s="2" t="s">
        <v>17145</v>
      </c>
      <c r="R1650" s="3" t="s">
        <v>16939</v>
      </c>
      <c r="S1650" s="4">
        <v>3</v>
      </c>
      <c r="T1650" s="4">
        <v>3</v>
      </c>
      <c r="U1650" s="5" t="s">
        <v>17146</v>
      </c>
      <c r="V1650" s="5" t="s">
        <v>17146</v>
      </c>
      <c r="W1650" s="5" t="s">
        <v>72</v>
      </c>
      <c r="X1650" s="5" t="s">
        <v>72</v>
      </c>
      <c r="Y1650" s="4">
        <v>107</v>
      </c>
      <c r="Z1650" s="4">
        <v>7</v>
      </c>
      <c r="AA1650" s="4">
        <v>10</v>
      </c>
      <c r="AB1650" s="4">
        <v>1</v>
      </c>
      <c r="AC1650" s="4">
        <v>4</v>
      </c>
      <c r="AD1650" s="4">
        <v>44</v>
      </c>
      <c r="AE1650" s="4">
        <v>52</v>
      </c>
      <c r="AF1650" s="4">
        <v>0</v>
      </c>
      <c r="AG1650" s="4">
        <v>1</v>
      </c>
      <c r="AH1650" s="4">
        <v>40</v>
      </c>
      <c r="AI1650" s="4">
        <v>47</v>
      </c>
      <c r="AJ1650" s="4">
        <v>5</v>
      </c>
      <c r="AK1650" s="4">
        <v>6</v>
      </c>
      <c r="AL1650" s="4">
        <v>21</v>
      </c>
      <c r="AM1650" s="4">
        <v>24</v>
      </c>
      <c r="AN1650" s="4">
        <v>0</v>
      </c>
      <c r="AO1650" s="4">
        <v>0</v>
      </c>
      <c r="AP1650" s="4">
        <v>6</v>
      </c>
      <c r="AQ1650" s="4">
        <v>6</v>
      </c>
      <c r="AR1650" s="3" t="s">
        <v>64</v>
      </c>
      <c r="AS1650" s="3" t="s">
        <v>64</v>
      </c>
      <c r="AT1650" s="3" t="s">
        <v>64</v>
      </c>
      <c r="AV1650" s="6" t="str">
        <f>HYPERLINK("http://mcgill.on.worldcat.org/oclc/70796778","Catalog Record")</f>
        <v>Catalog Record</v>
      </c>
      <c r="AW1650" s="6" t="str">
        <f>HYPERLINK("http://www.worldcat.org/oclc/70796778","WorldCat Record")</f>
        <v>WorldCat Record</v>
      </c>
      <c r="AX1650" s="3" t="s">
        <v>17147</v>
      </c>
      <c r="AY1650" s="3" t="s">
        <v>17148</v>
      </c>
      <c r="AZ1650" s="3" t="s">
        <v>17149</v>
      </c>
      <c r="BA1650" s="3" t="s">
        <v>17149</v>
      </c>
      <c r="BB1650" s="3" t="s">
        <v>17150</v>
      </c>
      <c r="BC1650" s="3" t="s">
        <v>78</v>
      </c>
      <c r="BD1650" s="3" t="s">
        <v>79</v>
      </c>
      <c r="BE1650" s="3" t="s">
        <v>17151</v>
      </c>
      <c r="BF1650" s="3" t="s">
        <v>17150</v>
      </c>
      <c r="BG1650" s="3" t="s">
        <v>17152</v>
      </c>
    </row>
    <row r="1651" spans="1:59" ht="58" x14ac:dyDescent="0.35">
      <c r="A1651" s="2" t="s">
        <v>59</v>
      </c>
      <c r="B1651" s="2" t="s">
        <v>94</v>
      </c>
      <c r="C1651" s="2" t="s">
        <v>17153</v>
      </c>
      <c r="D1651" s="2" t="s">
        <v>17154</v>
      </c>
      <c r="E1651" s="2" t="s">
        <v>17155</v>
      </c>
      <c r="G1651" s="3" t="s">
        <v>64</v>
      </c>
      <c r="I1651" s="3" t="s">
        <v>64</v>
      </c>
      <c r="J1651" s="3" t="s">
        <v>64</v>
      </c>
      <c r="K1651" s="3" t="s">
        <v>65</v>
      </c>
      <c r="L1651" s="2" t="s">
        <v>17156</v>
      </c>
      <c r="M1651" s="2" t="s">
        <v>17157</v>
      </c>
      <c r="N1651" s="3" t="s">
        <v>340</v>
      </c>
      <c r="P1651" s="3" t="s">
        <v>69</v>
      </c>
      <c r="R1651" s="3" t="s">
        <v>16939</v>
      </c>
      <c r="S1651" s="4">
        <v>4</v>
      </c>
      <c r="T1651" s="4">
        <v>4</v>
      </c>
      <c r="U1651" s="5" t="s">
        <v>2994</v>
      </c>
      <c r="V1651" s="5" t="s">
        <v>2994</v>
      </c>
      <c r="W1651" s="5" t="s">
        <v>72</v>
      </c>
      <c r="X1651" s="5" t="s">
        <v>72</v>
      </c>
      <c r="Y1651" s="4">
        <v>291</v>
      </c>
      <c r="Z1651" s="4">
        <v>21</v>
      </c>
      <c r="AA1651" s="4">
        <v>34</v>
      </c>
      <c r="AB1651" s="4">
        <v>1</v>
      </c>
      <c r="AC1651" s="4">
        <v>2</v>
      </c>
      <c r="AD1651" s="4">
        <v>99</v>
      </c>
      <c r="AE1651" s="4">
        <v>109</v>
      </c>
      <c r="AF1651" s="4">
        <v>0</v>
      </c>
      <c r="AG1651" s="4">
        <v>0</v>
      </c>
      <c r="AH1651" s="4">
        <v>87</v>
      </c>
      <c r="AI1651" s="4">
        <v>93</v>
      </c>
      <c r="AJ1651" s="4">
        <v>14</v>
      </c>
      <c r="AK1651" s="4">
        <v>15</v>
      </c>
      <c r="AL1651" s="4">
        <v>48</v>
      </c>
      <c r="AM1651" s="4">
        <v>50</v>
      </c>
      <c r="AN1651" s="4">
        <v>0</v>
      </c>
      <c r="AO1651" s="4">
        <v>0</v>
      </c>
      <c r="AP1651" s="4">
        <v>17</v>
      </c>
      <c r="AQ1651" s="4">
        <v>22</v>
      </c>
      <c r="AR1651" s="3" t="s">
        <v>64</v>
      </c>
      <c r="AS1651" s="3" t="s">
        <v>64</v>
      </c>
      <c r="AT1651" s="3" t="s">
        <v>64</v>
      </c>
      <c r="AV1651" s="6" t="str">
        <f>HYPERLINK("http://mcgill.on.worldcat.org/oclc/38976233","Catalog Record")</f>
        <v>Catalog Record</v>
      </c>
      <c r="AW1651" s="6" t="str">
        <f>HYPERLINK("http://www.worldcat.org/oclc/38976233","WorldCat Record")</f>
        <v>WorldCat Record</v>
      </c>
      <c r="AX1651" s="3" t="s">
        <v>17158</v>
      </c>
      <c r="AY1651" s="3" t="s">
        <v>17159</v>
      </c>
      <c r="AZ1651" s="3" t="s">
        <v>17160</v>
      </c>
      <c r="BA1651" s="3" t="s">
        <v>17160</v>
      </c>
      <c r="BB1651" s="3" t="s">
        <v>17161</v>
      </c>
      <c r="BC1651" s="3" t="s">
        <v>78</v>
      </c>
      <c r="BD1651" s="3" t="s">
        <v>79</v>
      </c>
      <c r="BE1651" s="3" t="s">
        <v>17162</v>
      </c>
      <c r="BF1651" s="3" t="s">
        <v>17161</v>
      </c>
      <c r="BG1651" s="3" t="s">
        <v>17163</v>
      </c>
    </row>
    <row r="1652" spans="1:59" ht="72.5" x14ac:dyDescent="0.35">
      <c r="A1652" s="2" t="s">
        <v>59</v>
      </c>
      <c r="B1652" s="2" t="s">
        <v>94</v>
      </c>
      <c r="C1652" s="2" t="s">
        <v>17164</v>
      </c>
      <c r="D1652" s="2" t="s">
        <v>17165</v>
      </c>
      <c r="E1652" s="2" t="s">
        <v>17166</v>
      </c>
      <c r="G1652" s="3" t="s">
        <v>64</v>
      </c>
      <c r="I1652" s="3" t="s">
        <v>64</v>
      </c>
      <c r="J1652" s="3" t="s">
        <v>73</v>
      </c>
      <c r="K1652" s="3" t="s">
        <v>65</v>
      </c>
      <c r="L1652" s="2" t="s">
        <v>17167</v>
      </c>
      <c r="M1652" s="2" t="s">
        <v>8382</v>
      </c>
      <c r="N1652" s="3" t="s">
        <v>524</v>
      </c>
      <c r="P1652" s="3" t="s">
        <v>69</v>
      </c>
      <c r="Q1652" s="2" t="s">
        <v>17168</v>
      </c>
      <c r="R1652" s="3" t="s">
        <v>16939</v>
      </c>
      <c r="S1652" s="4">
        <v>0</v>
      </c>
      <c r="T1652" s="4">
        <v>0</v>
      </c>
      <c r="W1652" s="5" t="s">
        <v>72</v>
      </c>
      <c r="X1652" s="5" t="s">
        <v>72</v>
      </c>
      <c r="Y1652" s="4">
        <v>68</v>
      </c>
      <c r="Z1652" s="4">
        <v>5</v>
      </c>
      <c r="AA1652" s="4">
        <v>34</v>
      </c>
      <c r="AB1652" s="4">
        <v>1</v>
      </c>
      <c r="AC1652" s="4">
        <v>6</v>
      </c>
      <c r="AD1652" s="4">
        <v>42</v>
      </c>
      <c r="AE1652" s="4">
        <v>95</v>
      </c>
      <c r="AF1652" s="4">
        <v>0</v>
      </c>
      <c r="AG1652" s="4">
        <v>2</v>
      </c>
      <c r="AH1652" s="4">
        <v>41</v>
      </c>
      <c r="AI1652" s="4">
        <v>78</v>
      </c>
      <c r="AJ1652" s="4">
        <v>3</v>
      </c>
      <c r="AK1652" s="4">
        <v>14</v>
      </c>
      <c r="AL1652" s="4">
        <v>23</v>
      </c>
      <c r="AM1652" s="4">
        <v>43</v>
      </c>
      <c r="AN1652" s="4">
        <v>0</v>
      </c>
      <c r="AO1652" s="4">
        <v>0</v>
      </c>
      <c r="AP1652" s="4">
        <v>3</v>
      </c>
      <c r="AQ1652" s="4">
        <v>24</v>
      </c>
      <c r="AR1652" s="3" t="s">
        <v>64</v>
      </c>
      <c r="AS1652" s="3" t="s">
        <v>64</v>
      </c>
      <c r="AT1652" s="3" t="s">
        <v>64</v>
      </c>
      <c r="AV1652" s="6" t="str">
        <f>HYPERLINK("http://mcgill.on.worldcat.org/oclc/843037592","Catalog Record")</f>
        <v>Catalog Record</v>
      </c>
      <c r="AW1652" s="6" t="str">
        <f>HYPERLINK("http://www.worldcat.org/oclc/843037592","WorldCat Record")</f>
        <v>WorldCat Record</v>
      </c>
      <c r="AX1652" s="3" t="s">
        <v>17169</v>
      </c>
      <c r="AY1652" s="3" t="s">
        <v>17170</v>
      </c>
      <c r="AZ1652" s="3" t="s">
        <v>17171</v>
      </c>
      <c r="BA1652" s="3" t="s">
        <v>17171</v>
      </c>
      <c r="BB1652" s="3" t="s">
        <v>17172</v>
      </c>
      <c r="BC1652" s="3" t="s">
        <v>78</v>
      </c>
      <c r="BD1652" s="3" t="s">
        <v>79</v>
      </c>
      <c r="BE1652" s="3" t="s">
        <v>17173</v>
      </c>
      <c r="BF1652" s="3" t="s">
        <v>17172</v>
      </c>
      <c r="BG1652" s="3" t="s">
        <v>17174</v>
      </c>
    </row>
    <row r="1653" spans="1:59" ht="58" x14ac:dyDescent="0.35">
      <c r="A1653" s="2" t="s">
        <v>59</v>
      </c>
      <c r="B1653" s="2" t="s">
        <v>94</v>
      </c>
      <c r="C1653" s="2" t="s">
        <v>17175</v>
      </c>
      <c r="D1653" s="2" t="s">
        <v>17176</v>
      </c>
      <c r="E1653" s="2" t="s">
        <v>17177</v>
      </c>
      <c r="G1653" s="3" t="s">
        <v>64</v>
      </c>
      <c r="I1653" s="3" t="s">
        <v>64</v>
      </c>
      <c r="J1653" s="3" t="s">
        <v>73</v>
      </c>
      <c r="K1653" s="3" t="s">
        <v>65</v>
      </c>
      <c r="L1653" s="2" t="s">
        <v>17167</v>
      </c>
      <c r="M1653" s="2" t="s">
        <v>17178</v>
      </c>
      <c r="N1653" s="3" t="s">
        <v>524</v>
      </c>
      <c r="P1653" s="3" t="s">
        <v>69</v>
      </c>
      <c r="Q1653" s="2" t="s">
        <v>17179</v>
      </c>
      <c r="R1653" s="3" t="s">
        <v>16939</v>
      </c>
      <c r="S1653" s="4">
        <v>0</v>
      </c>
      <c r="T1653" s="4">
        <v>0</v>
      </c>
      <c r="W1653" s="5" t="s">
        <v>72</v>
      </c>
      <c r="X1653" s="5" t="s">
        <v>72</v>
      </c>
      <c r="Y1653" s="4">
        <v>63</v>
      </c>
      <c r="Z1653" s="4">
        <v>4</v>
      </c>
      <c r="AA1653" s="4">
        <v>34</v>
      </c>
      <c r="AB1653" s="4">
        <v>1</v>
      </c>
      <c r="AC1653" s="4">
        <v>6</v>
      </c>
      <c r="AD1653" s="4">
        <v>40</v>
      </c>
      <c r="AE1653" s="4">
        <v>95</v>
      </c>
      <c r="AF1653" s="4">
        <v>0</v>
      </c>
      <c r="AG1653" s="4">
        <v>2</v>
      </c>
      <c r="AH1653" s="4">
        <v>39</v>
      </c>
      <c r="AI1653" s="4">
        <v>78</v>
      </c>
      <c r="AJ1653" s="4">
        <v>3</v>
      </c>
      <c r="AK1653" s="4">
        <v>14</v>
      </c>
      <c r="AL1653" s="4">
        <v>22</v>
      </c>
      <c r="AM1653" s="4">
        <v>43</v>
      </c>
      <c r="AN1653" s="4">
        <v>0</v>
      </c>
      <c r="AO1653" s="4">
        <v>0</v>
      </c>
      <c r="AP1653" s="4">
        <v>3</v>
      </c>
      <c r="AQ1653" s="4">
        <v>24</v>
      </c>
      <c r="AR1653" s="3" t="s">
        <v>64</v>
      </c>
      <c r="AS1653" s="3" t="s">
        <v>64</v>
      </c>
      <c r="AT1653" s="3" t="s">
        <v>64</v>
      </c>
      <c r="AV1653" s="6" t="str">
        <f>HYPERLINK("http://mcgill.on.worldcat.org/oclc/843228799","Catalog Record")</f>
        <v>Catalog Record</v>
      </c>
      <c r="AW1653" s="6" t="str">
        <f>HYPERLINK("http://www.worldcat.org/oclc/843228799","WorldCat Record")</f>
        <v>WorldCat Record</v>
      </c>
      <c r="AX1653" s="3" t="s">
        <v>17169</v>
      </c>
      <c r="AY1653" s="3" t="s">
        <v>17180</v>
      </c>
      <c r="AZ1653" s="3" t="s">
        <v>17181</v>
      </c>
      <c r="BA1653" s="3" t="s">
        <v>17181</v>
      </c>
      <c r="BB1653" s="3" t="s">
        <v>17182</v>
      </c>
      <c r="BC1653" s="3" t="s">
        <v>78</v>
      </c>
      <c r="BD1653" s="3" t="s">
        <v>79</v>
      </c>
      <c r="BE1653" s="3" t="s">
        <v>17183</v>
      </c>
      <c r="BF1653" s="3" t="s">
        <v>17182</v>
      </c>
      <c r="BG1653" s="3" t="s">
        <v>17184</v>
      </c>
    </row>
    <row r="1654" spans="1:59" ht="72.5" x14ac:dyDescent="0.35">
      <c r="A1654" s="2" t="s">
        <v>59</v>
      </c>
      <c r="B1654" s="2" t="s">
        <v>94</v>
      </c>
      <c r="C1654" s="2" t="s">
        <v>17185</v>
      </c>
      <c r="D1654" s="2" t="s">
        <v>17186</v>
      </c>
      <c r="E1654" s="2" t="s">
        <v>17187</v>
      </c>
      <c r="G1654" s="3" t="s">
        <v>64</v>
      </c>
      <c r="I1654" s="3" t="s">
        <v>64</v>
      </c>
      <c r="J1654" s="3" t="s">
        <v>64</v>
      </c>
      <c r="K1654" s="3" t="s">
        <v>65</v>
      </c>
      <c r="M1654" s="2" t="s">
        <v>17188</v>
      </c>
      <c r="N1654" s="3" t="s">
        <v>214</v>
      </c>
      <c r="P1654" s="3" t="s">
        <v>69</v>
      </c>
      <c r="Q1654" s="2" t="s">
        <v>17189</v>
      </c>
      <c r="R1654" s="3" t="s">
        <v>16939</v>
      </c>
      <c r="S1654" s="4">
        <v>0</v>
      </c>
      <c r="T1654" s="4">
        <v>0</v>
      </c>
      <c r="W1654" s="5" t="s">
        <v>72</v>
      </c>
      <c r="X1654" s="5" t="s">
        <v>72</v>
      </c>
      <c r="Y1654" s="4">
        <v>96</v>
      </c>
      <c r="Z1654" s="4">
        <v>5</v>
      </c>
      <c r="AA1654" s="4">
        <v>9</v>
      </c>
      <c r="AB1654" s="4">
        <v>1</v>
      </c>
      <c r="AC1654" s="4">
        <v>1</v>
      </c>
      <c r="AD1654" s="4">
        <v>52</v>
      </c>
      <c r="AE1654" s="4">
        <v>57</v>
      </c>
      <c r="AF1654" s="4">
        <v>0</v>
      </c>
      <c r="AG1654" s="4">
        <v>0</v>
      </c>
      <c r="AH1654" s="4">
        <v>50</v>
      </c>
      <c r="AI1654" s="4">
        <v>53</v>
      </c>
      <c r="AJ1654" s="4">
        <v>3</v>
      </c>
      <c r="AK1654" s="4">
        <v>6</v>
      </c>
      <c r="AL1654" s="4">
        <v>28</v>
      </c>
      <c r="AM1654" s="4">
        <v>28</v>
      </c>
      <c r="AN1654" s="4">
        <v>0</v>
      </c>
      <c r="AO1654" s="4">
        <v>0</v>
      </c>
      <c r="AP1654" s="4">
        <v>3</v>
      </c>
      <c r="AQ1654" s="4">
        <v>7</v>
      </c>
      <c r="AR1654" s="3" t="s">
        <v>64</v>
      </c>
      <c r="AS1654" s="3" t="s">
        <v>64</v>
      </c>
      <c r="AT1654" s="3" t="s">
        <v>64</v>
      </c>
      <c r="AV1654" s="6" t="str">
        <f>HYPERLINK("http://mcgill.on.worldcat.org/oclc/660536954","Catalog Record")</f>
        <v>Catalog Record</v>
      </c>
      <c r="AW1654" s="6" t="str">
        <f>HYPERLINK("http://www.worldcat.org/oclc/660536954","WorldCat Record")</f>
        <v>WorldCat Record</v>
      </c>
      <c r="AX1654" s="3" t="s">
        <v>17190</v>
      </c>
      <c r="AY1654" s="3" t="s">
        <v>17191</v>
      </c>
      <c r="AZ1654" s="3" t="s">
        <v>17192</v>
      </c>
      <c r="BA1654" s="3" t="s">
        <v>17192</v>
      </c>
      <c r="BB1654" s="3" t="s">
        <v>17193</v>
      </c>
      <c r="BC1654" s="3" t="s">
        <v>78</v>
      </c>
      <c r="BD1654" s="3" t="s">
        <v>79</v>
      </c>
      <c r="BE1654" s="3" t="s">
        <v>17194</v>
      </c>
      <c r="BF1654" s="3" t="s">
        <v>17193</v>
      </c>
      <c r="BG1654" s="3" t="s">
        <v>17195</v>
      </c>
    </row>
    <row r="1655" spans="1:59" ht="58" x14ac:dyDescent="0.35">
      <c r="A1655" s="2" t="s">
        <v>59</v>
      </c>
      <c r="B1655" s="2" t="s">
        <v>94</v>
      </c>
      <c r="C1655" s="2" t="s">
        <v>17196</v>
      </c>
      <c r="D1655" s="2" t="s">
        <v>17197</v>
      </c>
      <c r="E1655" s="2" t="s">
        <v>17198</v>
      </c>
      <c r="G1655" s="3" t="s">
        <v>64</v>
      </c>
      <c r="I1655" s="3" t="s">
        <v>64</v>
      </c>
      <c r="J1655" s="3" t="s">
        <v>64</v>
      </c>
      <c r="K1655" s="3" t="s">
        <v>65</v>
      </c>
      <c r="M1655" s="2" t="s">
        <v>17199</v>
      </c>
      <c r="N1655" s="3" t="s">
        <v>175</v>
      </c>
      <c r="P1655" s="3" t="s">
        <v>69</v>
      </c>
      <c r="Q1655" s="2" t="s">
        <v>17200</v>
      </c>
      <c r="R1655" s="3" t="s">
        <v>16939</v>
      </c>
      <c r="S1655" s="4">
        <v>2</v>
      </c>
      <c r="T1655" s="4">
        <v>2</v>
      </c>
      <c r="U1655" s="5" t="s">
        <v>4026</v>
      </c>
      <c r="V1655" s="5" t="s">
        <v>4026</v>
      </c>
      <c r="W1655" s="5" t="s">
        <v>72</v>
      </c>
      <c r="X1655" s="5" t="s">
        <v>72</v>
      </c>
      <c r="Y1655" s="4">
        <v>62</v>
      </c>
      <c r="Z1655" s="4">
        <v>4</v>
      </c>
      <c r="AA1655" s="4">
        <v>9</v>
      </c>
      <c r="AB1655" s="4">
        <v>1</v>
      </c>
      <c r="AC1655" s="4">
        <v>4</v>
      </c>
      <c r="AD1655" s="4">
        <v>18</v>
      </c>
      <c r="AE1655" s="4">
        <v>31</v>
      </c>
      <c r="AF1655" s="4">
        <v>0</v>
      </c>
      <c r="AG1655" s="4">
        <v>0</v>
      </c>
      <c r="AH1655" s="4">
        <v>18</v>
      </c>
      <c r="AI1655" s="4">
        <v>29</v>
      </c>
      <c r="AJ1655" s="4">
        <v>1</v>
      </c>
      <c r="AK1655" s="4">
        <v>3</v>
      </c>
      <c r="AL1655" s="4">
        <v>10</v>
      </c>
      <c r="AM1655" s="4">
        <v>19</v>
      </c>
      <c r="AN1655" s="4">
        <v>0</v>
      </c>
      <c r="AO1655" s="4">
        <v>0</v>
      </c>
      <c r="AP1655" s="4">
        <v>2</v>
      </c>
      <c r="AQ1655" s="4">
        <v>4</v>
      </c>
      <c r="AR1655" s="3" t="s">
        <v>64</v>
      </c>
      <c r="AS1655" s="3" t="s">
        <v>64</v>
      </c>
      <c r="AT1655" s="3" t="s">
        <v>64</v>
      </c>
      <c r="AV1655" s="6" t="str">
        <f>HYPERLINK("http://mcgill.on.worldcat.org/oclc/802326001","Catalog Record")</f>
        <v>Catalog Record</v>
      </c>
      <c r="AW1655" s="6" t="str">
        <f>HYPERLINK("http://www.worldcat.org/oclc/802326001","WorldCat Record")</f>
        <v>WorldCat Record</v>
      </c>
      <c r="AX1655" s="3" t="s">
        <v>17201</v>
      </c>
      <c r="AY1655" s="3" t="s">
        <v>17202</v>
      </c>
      <c r="AZ1655" s="3" t="s">
        <v>17203</v>
      </c>
      <c r="BA1655" s="3" t="s">
        <v>17203</v>
      </c>
      <c r="BB1655" s="3" t="s">
        <v>17204</v>
      </c>
      <c r="BC1655" s="3" t="s">
        <v>78</v>
      </c>
      <c r="BD1655" s="3" t="s">
        <v>79</v>
      </c>
      <c r="BE1655" s="3" t="s">
        <v>17205</v>
      </c>
      <c r="BF1655" s="3" t="s">
        <v>17204</v>
      </c>
      <c r="BG1655" s="3" t="s">
        <v>17206</v>
      </c>
    </row>
    <row r="1656" spans="1:59" ht="58" x14ac:dyDescent="0.35">
      <c r="A1656" s="2" t="s">
        <v>59</v>
      </c>
      <c r="B1656" s="2" t="s">
        <v>94</v>
      </c>
      <c r="C1656" s="2" t="s">
        <v>17207</v>
      </c>
      <c r="D1656" s="2" t="s">
        <v>17208</v>
      </c>
      <c r="E1656" s="2" t="s">
        <v>17209</v>
      </c>
      <c r="G1656" s="3" t="s">
        <v>64</v>
      </c>
      <c r="I1656" s="3" t="s">
        <v>64</v>
      </c>
      <c r="J1656" s="3" t="s">
        <v>64</v>
      </c>
      <c r="K1656" s="3" t="s">
        <v>65</v>
      </c>
      <c r="M1656" s="2" t="s">
        <v>537</v>
      </c>
      <c r="N1656" s="3" t="s">
        <v>538</v>
      </c>
      <c r="P1656" s="3" t="s">
        <v>69</v>
      </c>
      <c r="R1656" s="3" t="s">
        <v>16939</v>
      </c>
      <c r="S1656" s="4">
        <v>5</v>
      </c>
      <c r="T1656" s="4">
        <v>5</v>
      </c>
      <c r="U1656" s="5" t="s">
        <v>17210</v>
      </c>
      <c r="V1656" s="5" t="s">
        <v>17210</v>
      </c>
      <c r="W1656" s="5" t="s">
        <v>72</v>
      </c>
      <c r="X1656" s="5" t="s">
        <v>72</v>
      </c>
      <c r="Y1656" s="4">
        <v>154</v>
      </c>
      <c r="Z1656" s="4">
        <v>13</v>
      </c>
      <c r="AA1656" s="4">
        <v>18</v>
      </c>
      <c r="AB1656" s="4">
        <v>1</v>
      </c>
      <c r="AC1656" s="4">
        <v>4</v>
      </c>
      <c r="AD1656" s="4">
        <v>44</v>
      </c>
      <c r="AE1656" s="4">
        <v>58</v>
      </c>
      <c r="AF1656" s="4">
        <v>0</v>
      </c>
      <c r="AG1656" s="4">
        <v>0</v>
      </c>
      <c r="AH1656" s="4">
        <v>36</v>
      </c>
      <c r="AI1656" s="4">
        <v>49</v>
      </c>
      <c r="AJ1656" s="4">
        <v>8</v>
      </c>
      <c r="AK1656" s="4">
        <v>9</v>
      </c>
      <c r="AL1656" s="4">
        <v>21</v>
      </c>
      <c r="AM1656" s="4">
        <v>27</v>
      </c>
      <c r="AN1656" s="4">
        <v>0</v>
      </c>
      <c r="AO1656" s="4">
        <v>0</v>
      </c>
      <c r="AP1656" s="4">
        <v>10</v>
      </c>
      <c r="AQ1656" s="4">
        <v>11</v>
      </c>
      <c r="AR1656" s="3" t="s">
        <v>64</v>
      </c>
      <c r="AS1656" s="3" t="s">
        <v>64</v>
      </c>
      <c r="AT1656" s="3" t="s">
        <v>64</v>
      </c>
      <c r="AV1656" s="6" t="str">
        <f>HYPERLINK("http://mcgill.on.worldcat.org/oclc/70219957","Catalog Record")</f>
        <v>Catalog Record</v>
      </c>
      <c r="AW1656" s="6" t="str">
        <f>HYPERLINK("http://www.worldcat.org/oclc/70219957","WorldCat Record")</f>
        <v>WorldCat Record</v>
      </c>
      <c r="AX1656" s="3" t="s">
        <v>17211</v>
      </c>
      <c r="AY1656" s="3" t="s">
        <v>17212</v>
      </c>
      <c r="AZ1656" s="3" t="s">
        <v>17213</v>
      </c>
      <c r="BA1656" s="3" t="s">
        <v>17213</v>
      </c>
      <c r="BB1656" s="3" t="s">
        <v>17214</v>
      </c>
      <c r="BC1656" s="3" t="s">
        <v>78</v>
      </c>
      <c r="BD1656" s="3" t="s">
        <v>79</v>
      </c>
      <c r="BE1656" s="3" t="s">
        <v>17215</v>
      </c>
      <c r="BF1656" s="3" t="s">
        <v>17214</v>
      </c>
      <c r="BG1656" s="3" t="s">
        <v>17216</v>
      </c>
    </row>
    <row r="1657" spans="1:59" ht="58" x14ac:dyDescent="0.35">
      <c r="A1657" s="2" t="s">
        <v>59</v>
      </c>
      <c r="B1657" s="2" t="s">
        <v>94</v>
      </c>
      <c r="C1657" s="2" t="s">
        <v>17217</v>
      </c>
      <c r="D1657" s="2" t="s">
        <v>17218</v>
      </c>
      <c r="E1657" s="2" t="s">
        <v>17219</v>
      </c>
      <c r="G1657" s="3" t="s">
        <v>64</v>
      </c>
      <c r="I1657" s="3" t="s">
        <v>64</v>
      </c>
      <c r="J1657" s="3" t="s">
        <v>64</v>
      </c>
      <c r="K1657" s="3" t="s">
        <v>65</v>
      </c>
      <c r="L1657" s="2" t="s">
        <v>6408</v>
      </c>
      <c r="M1657" s="2" t="s">
        <v>17220</v>
      </c>
      <c r="N1657" s="3" t="s">
        <v>303</v>
      </c>
      <c r="P1657" s="3" t="s">
        <v>69</v>
      </c>
      <c r="Q1657" s="2" t="s">
        <v>17221</v>
      </c>
      <c r="R1657" s="3" t="s">
        <v>16939</v>
      </c>
      <c r="S1657" s="4">
        <v>1</v>
      </c>
      <c r="T1657" s="4">
        <v>1</v>
      </c>
      <c r="U1657" s="5" t="s">
        <v>17222</v>
      </c>
      <c r="V1657" s="5" t="s">
        <v>17222</v>
      </c>
      <c r="W1657" s="5" t="s">
        <v>72</v>
      </c>
      <c r="X1657" s="5" t="s">
        <v>72</v>
      </c>
      <c r="Y1657" s="4">
        <v>222</v>
      </c>
      <c r="Z1657" s="4">
        <v>10</v>
      </c>
      <c r="AA1657" s="4">
        <v>35</v>
      </c>
      <c r="AB1657" s="4">
        <v>1</v>
      </c>
      <c r="AC1657" s="4">
        <v>6</v>
      </c>
      <c r="AD1657" s="4">
        <v>84</v>
      </c>
      <c r="AE1657" s="4">
        <v>91</v>
      </c>
      <c r="AF1657" s="4">
        <v>0</v>
      </c>
      <c r="AG1657" s="4">
        <v>1</v>
      </c>
      <c r="AH1657" s="4">
        <v>78</v>
      </c>
      <c r="AI1657" s="4">
        <v>83</v>
      </c>
      <c r="AJ1657" s="4">
        <v>5</v>
      </c>
      <c r="AK1657" s="4">
        <v>7</v>
      </c>
      <c r="AL1657" s="4">
        <v>45</v>
      </c>
      <c r="AM1657" s="4">
        <v>46</v>
      </c>
      <c r="AN1657" s="4">
        <v>0</v>
      </c>
      <c r="AO1657" s="4">
        <v>0</v>
      </c>
      <c r="AP1657" s="4">
        <v>7</v>
      </c>
      <c r="AQ1657" s="4">
        <v>11</v>
      </c>
      <c r="AR1657" s="3" t="s">
        <v>64</v>
      </c>
      <c r="AS1657" s="3" t="s">
        <v>64</v>
      </c>
      <c r="AT1657" s="3" t="s">
        <v>73</v>
      </c>
      <c r="AU1657" s="6" t="str">
        <f>HYPERLINK("http://catalog.hathitrust.org/Record/002728082","HathiTrust Record")</f>
        <v>HathiTrust Record</v>
      </c>
      <c r="AV1657" s="6" t="str">
        <f>HYPERLINK("http://mcgill.on.worldcat.org/oclc/27429536","Catalog Record")</f>
        <v>Catalog Record</v>
      </c>
      <c r="AW1657" s="6" t="str">
        <f>HYPERLINK("http://www.worldcat.org/oclc/27429536","WorldCat Record")</f>
        <v>WorldCat Record</v>
      </c>
      <c r="AX1657" s="3" t="s">
        <v>17223</v>
      </c>
      <c r="AY1657" s="3" t="s">
        <v>17224</v>
      </c>
      <c r="AZ1657" s="3" t="s">
        <v>17225</v>
      </c>
      <c r="BA1657" s="3" t="s">
        <v>17225</v>
      </c>
      <c r="BB1657" s="3" t="s">
        <v>17226</v>
      </c>
      <c r="BC1657" s="3" t="s">
        <v>78</v>
      </c>
      <c r="BD1657" s="3" t="s">
        <v>79</v>
      </c>
      <c r="BE1657" s="3" t="s">
        <v>17227</v>
      </c>
      <c r="BF1657" s="3" t="s">
        <v>17226</v>
      </c>
      <c r="BG1657" s="3" t="s">
        <v>17228</v>
      </c>
    </row>
    <row r="1658" spans="1:59" ht="58" x14ac:dyDescent="0.35">
      <c r="A1658" s="2" t="s">
        <v>59</v>
      </c>
      <c r="B1658" s="2" t="s">
        <v>94</v>
      </c>
      <c r="C1658" s="2" t="s">
        <v>17229</v>
      </c>
      <c r="D1658" s="2" t="s">
        <v>17230</v>
      </c>
      <c r="E1658" s="2" t="s">
        <v>17231</v>
      </c>
      <c r="G1658" s="3" t="s">
        <v>64</v>
      </c>
      <c r="I1658" s="3" t="s">
        <v>64</v>
      </c>
      <c r="J1658" s="3" t="s">
        <v>64</v>
      </c>
      <c r="K1658" s="3" t="s">
        <v>65</v>
      </c>
      <c r="M1658" s="2" t="s">
        <v>17232</v>
      </c>
      <c r="N1658" s="3" t="s">
        <v>340</v>
      </c>
      <c r="P1658" s="3" t="s">
        <v>69</v>
      </c>
      <c r="Q1658" s="2" t="s">
        <v>17233</v>
      </c>
      <c r="R1658" s="3" t="s">
        <v>16939</v>
      </c>
      <c r="S1658" s="4">
        <v>13</v>
      </c>
      <c r="T1658" s="4">
        <v>13</v>
      </c>
      <c r="U1658" s="5" t="s">
        <v>17234</v>
      </c>
      <c r="V1658" s="5" t="s">
        <v>17234</v>
      </c>
      <c r="W1658" s="5" t="s">
        <v>72</v>
      </c>
      <c r="X1658" s="5" t="s">
        <v>72</v>
      </c>
      <c r="Y1658" s="4">
        <v>203</v>
      </c>
      <c r="Z1658" s="4">
        <v>12</v>
      </c>
      <c r="AA1658" s="4">
        <v>16</v>
      </c>
      <c r="AB1658" s="4">
        <v>2</v>
      </c>
      <c r="AC1658" s="4">
        <v>5</v>
      </c>
      <c r="AD1658" s="4">
        <v>64</v>
      </c>
      <c r="AE1658" s="4">
        <v>66</v>
      </c>
      <c r="AF1658" s="4">
        <v>1</v>
      </c>
      <c r="AG1658" s="4">
        <v>1</v>
      </c>
      <c r="AH1658" s="4">
        <v>57</v>
      </c>
      <c r="AI1658" s="4">
        <v>58</v>
      </c>
      <c r="AJ1658" s="4">
        <v>7</v>
      </c>
      <c r="AK1658" s="4">
        <v>7</v>
      </c>
      <c r="AL1658" s="4">
        <v>38</v>
      </c>
      <c r="AM1658" s="4">
        <v>38</v>
      </c>
      <c r="AN1658" s="4">
        <v>0</v>
      </c>
      <c r="AO1658" s="4">
        <v>0</v>
      </c>
      <c r="AP1658" s="4">
        <v>8</v>
      </c>
      <c r="AQ1658" s="4">
        <v>9</v>
      </c>
      <c r="AR1658" s="3" t="s">
        <v>64</v>
      </c>
      <c r="AS1658" s="3" t="s">
        <v>64</v>
      </c>
      <c r="AT1658" s="3" t="s">
        <v>64</v>
      </c>
      <c r="AV1658" s="6" t="str">
        <f>HYPERLINK("http://mcgill.on.worldcat.org/oclc/39379976","Catalog Record")</f>
        <v>Catalog Record</v>
      </c>
      <c r="AW1658" s="6" t="str">
        <f>HYPERLINK("http://www.worldcat.org/oclc/39379976","WorldCat Record")</f>
        <v>WorldCat Record</v>
      </c>
      <c r="AX1658" s="3" t="s">
        <v>17235</v>
      </c>
      <c r="AY1658" s="3" t="s">
        <v>17236</v>
      </c>
      <c r="AZ1658" s="3" t="s">
        <v>17237</v>
      </c>
      <c r="BA1658" s="3" t="s">
        <v>17237</v>
      </c>
      <c r="BB1658" s="3" t="s">
        <v>17238</v>
      </c>
      <c r="BC1658" s="3" t="s">
        <v>78</v>
      </c>
      <c r="BD1658" s="3" t="s">
        <v>414</v>
      </c>
      <c r="BE1658" s="3" t="s">
        <v>17239</v>
      </c>
      <c r="BF1658" s="3" t="s">
        <v>17238</v>
      </c>
      <c r="BG1658" s="3" t="s">
        <v>17240</v>
      </c>
    </row>
    <row r="1659" spans="1:59" ht="58" x14ac:dyDescent="0.35">
      <c r="A1659" s="2" t="s">
        <v>59</v>
      </c>
      <c r="B1659" s="2" t="s">
        <v>94</v>
      </c>
      <c r="C1659" s="2" t="s">
        <v>17241</v>
      </c>
      <c r="D1659" s="2" t="s">
        <v>17242</v>
      </c>
      <c r="E1659" s="2" t="s">
        <v>17243</v>
      </c>
      <c r="G1659" s="3" t="s">
        <v>64</v>
      </c>
      <c r="I1659" s="3" t="s">
        <v>64</v>
      </c>
      <c r="J1659" s="3" t="s">
        <v>64</v>
      </c>
      <c r="K1659" s="3" t="s">
        <v>65</v>
      </c>
      <c r="M1659" s="2" t="s">
        <v>17244</v>
      </c>
      <c r="N1659" s="3" t="s">
        <v>1064</v>
      </c>
      <c r="P1659" s="3" t="s">
        <v>69</v>
      </c>
      <c r="Q1659" s="2" t="s">
        <v>17245</v>
      </c>
      <c r="R1659" s="3" t="s">
        <v>16939</v>
      </c>
      <c r="S1659" s="4">
        <v>3</v>
      </c>
      <c r="T1659" s="4">
        <v>3</v>
      </c>
      <c r="U1659" s="5" t="s">
        <v>10219</v>
      </c>
      <c r="V1659" s="5" t="s">
        <v>10219</v>
      </c>
      <c r="W1659" s="5" t="s">
        <v>72</v>
      </c>
      <c r="X1659" s="5" t="s">
        <v>72</v>
      </c>
      <c r="Y1659" s="4">
        <v>162</v>
      </c>
      <c r="Z1659" s="4">
        <v>12</v>
      </c>
      <c r="AA1659" s="4">
        <v>37</v>
      </c>
      <c r="AB1659" s="4">
        <v>1</v>
      </c>
      <c r="AC1659" s="4">
        <v>5</v>
      </c>
      <c r="AD1659" s="4">
        <v>61</v>
      </c>
      <c r="AE1659" s="4">
        <v>68</v>
      </c>
      <c r="AF1659" s="4">
        <v>0</v>
      </c>
      <c r="AG1659" s="4">
        <v>0</v>
      </c>
      <c r="AH1659" s="4">
        <v>55</v>
      </c>
      <c r="AI1659" s="4">
        <v>60</v>
      </c>
      <c r="AJ1659" s="4">
        <v>5</v>
      </c>
      <c r="AK1659" s="4">
        <v>5</v>
      </c>
      <c r="AL1659" s="4">
        <v>39</v>
      </c>
      <c r="AM1659" s="4">
        <v>39</v>
      </c>
      <c r="AN1659" s="4">
        <v>0</v>
      </c>
      <c r="AO1659" s="4">
        <v>0</v>
      </c>
      <c r="AP1659" s="4">
        <v>8</v>
      </c>
      <c r="AQ1659" s="4">
        <v>10</v>
      </c>
      <c r="AR1659" s="3" t="s">
        <v>64</v>
      </c>
      <c r="AS1659" s="3" t="s">
        <v>64</v>
      </c>
      <c r="AT1659" s="3" t="s">
        <v>64</v>
      </c>
      <c r="AV1659" s="6" t="str">
        <f>HYPERLINK("http://mcgill.on.worldcat.org/oclc/41981905","Catalog Record")</f>
        <v>Catalog Record</v>
      </c>
      <c r="AW1659" s="6" t="str">
        <f>HYPERLINK("http://www.worldcat.org/oclc/41981905","WorldCat Record")</f>
        <v>WorldCat Record</v>
      </c>
      <c r="AX1659" s="3" t="s">
        <v>17246</v>
      </c>
      <c r="AY1659" s="3" t="s">
        <v>17247</v>
      </c>
      <c r="AZ1659" s="3" t="s">
        <v>17248</v>
      </c>
      <c r="BA1659" s="3" t="s">
        <v>17248</v>
      </c>
      <c r="BB1659" s="3" t="s">
        <v>17249</v>
      </c>
      <c r="BC1659" s="3" t="s">
        <v>78</v>
      </c>
      <c r="BD1659" s="3" t="s">
        <v>79</v>
      </c>
      <c r="BE1659" s="3" t="s">
        <v>17250</v>
      </c>
      <c r="BF1659" s="3" t="s">
        <v>17249</v>
      </c>
      <c r="BG1659" s="3" t="s">
        <v>17251</v>
      </c>
    </row>
    <row r="1660" spans="1:59" ht="58" x14ac:dyDescent="0.35">
      <c r="A1660" s="2" t="s">
        <v>59</v>
      </c>
      <c r="B1660" s="2" t="s">
        <v>94</v>
      </c>
      <c r="C1660" s="2" t="s">
        <v>17252</v>
      </c>
      <c r="D1660" s="2" t="s">
        <v>17253</v>
      </c>
      <c r="E1660" s="2" t="s">
        <v>17254</v>
      </c>
      <c r="G1660" s="3" t="s">
        <v>64</v>
      </c>
      <c r="I1660" s="3" t="s">
        <v>64</v>
      </c>
      <c r="J1660" s="3" t="s">
        <v>64</v>
      </c>
      <c r="K1660" s="3" t="s">
        <v>65</v>
      </c>
      <c r="L1660" s="2" t="s">
        <v>17255</v>
      </c>
      <c r="M1660" s="2" t="s">
        <v>17256</v>
      </c>
      <c r="N1660" s="3" t="s">
        <v>1064</v>
      </c>
      <c r="P1660" s="3" t="s">
        <v>69</v>
      </c>
      <c r="Q1660" s="2" t="s">
        <v>17257</v>
      </c>
      <c r="R1660" s="3" t="s">
        <v>16939</v>
      </c>
      <c r="S1660" s="4">
        <v>10</v>
      </c>
      <c r="T1660" s="4">
        <v>10</v>
      </c>
      <c r="U1660" s="5" t="s">
        <v>8636</v>
      </c>
      <c r="V1660" s="5" t="s">
        <v>8636</v>
      </c>
      <c r="W1660" s="5" t="s">
        <v>72</v>
      </c>
      <c r="X1660" s="5" t="s">
        <v>72</v>
      </c>
      <c r="Y1660" s="4">
        <v>45</v>
      </c>
      <c r="Z1660" s="4">
        <v>24</v>
      </c>
      <c r="AA1660" s="4">
        <v>25</v>
      </c>
      <c r="AB1660" s="4">
        <v>2</v>
      </c>
      <c r="AC1660" s="4">
        <v>3</v>
      </c>
      <c r="AD1660" s="4">
        <v>23</v>
      </c>
      <c r="AE1660" s="4">
        <v>24</v>
      </c>
      <c r="AF1660" s="4">
        <v>0</v>
      </c>
      <c r="AG1660" s="4">
        <v>1</v>
      </c>
      <c r="AH1660" s="4">
        <v>11</v>
      </c>
      <c r="AI1660" s="4">
        <v>11</v>
      </c>
      <c r="AJ1660" s="4">
        <v>13</v>
      </c>
      <c r="AK1660" s="4">
        <v>14</v>
      </c>
      <c r="AL1660" s="4">
        <v>5</v>
      </c>
      <c r="AM1660" s="4">
        <v>5</v>
      </c>
      <c r="AN1660" s="4">
        <v>0</v>
      </c>
      <c r="AO1660" s="4">
        <v>0</v>
      </c>
      <c r="AP1660" s="4">
        <v>15</v>
      </c>
      <c r="AQ1660" s="4">
        <v>15</v>
      </c>
      <c r="AR1660" s="3" t="s">
        <v>73</v>
      </c>
      <c r="AS1660" s="3" t="s">
        <v>64</v>
      </c>
      <c r="AT1660" s="3" t="s">
        <v>64</v>
      </c>
      <c r="AV1660" s="6" t="str">
        <f>HYPERLINK("http://mcgill.on.worldcat.org/oclc/41993122","Catalog Record")</f>
        <v>Catalog Record</v>
      </c>
      <c r="AW1660" s="6" t="str">
        <f>HYPERLINK("http://www.worldcat.org/oclc/41993122","WorldCat Record")</f>
        <v>WorldCat Record</v>
      </c>
      <c r="AX1660" s="3" t="s">
        <v>17258</v>
      </c>
      <c r="AY1660" s="3" t="s">
        <v>17259</v>
      </c>
      <c r="AZ1660" s="3" t="s">
        <v>17260</v>
      </c>
      <c r="BA1660" s="3" t="s">
        <v>17260</v>
      </c>
      <c r="BB1660" s="3" t="s">
        <v>17261</v>
      </c>
      <c r="BC1660" s="3" t="s">
        <v>78</v>
      </c>
      <c r="BD1660" s="3" t="s">
        <v>79</v>
      </c>
      <c r="BE1660" s="3" t="s">
        <v>17262</v>
      </c>
      <c r="BF1660" s="3" t="s">
        <v>17261</v>
      </c>
      <c r="BG1660" s="3" t="s">
        <v>17263</v>
      </c>
    </row>
    <row r="1661" spans="1:59" ht="58" x14ac:dyDescent="0.35">
      <c r="A1661" s="2" t="s">
        <v>59</v>
      </c>
      <c r="B1661" s="2" t="s">
        <v>94</v>
      </c>
      <c r="C1661" s="2" t="s">
        <v>17264</v>
      </c>
      <c r="D1661" s="2" t="s">
        <v>17265</v>
      </c>
      <c r="E1661" s="2" t="s">
        <v>17266</v>
      </c>
      <c r="G1661" s="3" t="s">
        <v>64</v>
      </c>
      <c r="I1661" s="3" t="s">
        <v>64</v>
      </c>
      <c r="J1661" s="3" t="s">
        <v>64</v>
      </c>
      <c r="K1661" s="3" t="s">
        <v>65</v>
      </c>
      <c r="M1661" s="2" t="s">
        <v>17267</v>
      </c>
      <c r="N1661" s="3" t="s">
        <v>422</v>
      </c>
      <c r="P1661" s="3" t="s">
        <v>17268</v>
      </c>
      <c r="R1661" s="3" t="s">
        <v>16939</v>
      </c>
      <c r="S1661" s="4">
        <v>3</v>
      </c>
      <c r="T1661" s="4">
        <v>3</v>
      </c>
      <c r="U1661" s="5" t="s">
        <v>652</v>
      </c>
      <c r="V1661" s="5" t="s">
        <v>652</v>
      </c>
      <c r="W1661" s="5" t="s">
        <v>72</v>
      </c>
      <c r="X1661" s="5" t="s">
        <v>72</v>
      </c>
      <c r="Y1661" s="4">
        <v>81</v>
      </c>
      <c r="Z1661" s="4">
        <v>7</v>
      </c>
      <c r="AA1661" s="4">
        <v>7</v>
      </c>
      <c r="AB1661" s="4">
        <v>2</v>
      </c>
      <c r="AC1661" s="4">
        <v>2</v>
      </c>
      <c r="AD1661" s="4">
        <v>29</v>
      </c>
      <c r="AE1661" s="4">
        <v>29</v>
      </c>
      <c r="AF1661" s="4">
        <v>0</v>
      </c>
      <c r="AG1661" s="4">
        <v>0</v>
      </c>
      <c r="AH1661" s="4">
        <v>26</v>
      </c>
      <c r="AI1661" s="4">
        <v>26</v>
      </c>
      <c r="AJ1661" s="4">
        <v>4</v>
      </c>
      <c r="AK1661" s="4">
        <v>4</v>
      </c>
      <c r="AL1661" s="4">
        <v>20</v>
      </c>
      <c r="AM1661" s="4">
        <v>20</v>
      </c>
      <c r="AN1661" s="4">
        <v>0</v>
      </c>
      <c r="AO1661" s="4">
        <v>0</v>
      </c>
      <c r="AP1661" s="4">
        <v>5</v>
      </c>
      <c r="AQ1661" s="4">
        <v>5</v>
      </c>
      <c r="AR1661" s="3" t="s">
        <v>64</v>
      </c>
      <c r="AS1661" s="3" t="s">
        <v>64</v>
      </c>
      <c r="AT1661" s="3" t="s">
        <v>73</v>
      </c>
      <c r="AU1661" s="6" t="str">
        <f>HYPERLINK("http://catalog.hathitrust.org/Record/003575059","HathiTrust Record")</f>
        <v>HathiTrust Record</v>
      </c>
      <c r="AV1661" s="6" t="str">
        <f>HYPERLINK("http://mcgill.on.worldcat.org/oclc/47882411","Catalog Record")</f>
        <v>Catalog Record</v>
      </c>
      <c r="AW1661" s="6" t="str">
        <f>HYPERLINK("http://www.worldcat.org/oclc/47882411","WorldCat Record")</f>
        <v>WorldCat Record</v>
      </c>
      <c r="AX1661" s="3" t="s">
        <v>17269</v>
      </c>
      <c r="AY1661" s="3" t="s">
        <v>17270</v>
      </c>
      <c r="AZ1661" s="3" t="s">
        <v>17271</v>
      </c>
      <c r="BA1661" s="3" t="s">
        <v>17271</v>
      </c>
      <c r="BB1661" s="3" t="s">
        <v>17272</v>
      </c>
      <c r="BC1661" s="3" t="s">
        <v>78</v>
      </c>
      <c r="BD1661" s="3" t="s">
        <v>79</v>
      </c>
      <c r="BE1661" s="3" t="s">
        <v>17273</v>
      </c>
      <c r="BF1661" s="3" t="s">
        <v>17272</v>
      </c>
      <c r="BG1661" s="3" t="s">
        <v>17274</v>
      </c>
    </row>
    <row r="1662" spans="1:59" ht="58" x14ac:dyDescent="0.35">
      <c r="A1662" s="2" t="s">
        <v>59</v>
      </c>
      <c r="B1662" s="2" t="s">
        <v>94</v>
      </c>
      <c r="C1662" s="2" t="s">
        <v>17275</v>
      </c>
      <c r="D1662" s="2" t="s">
        <v>17276</v>
      </c>
      <c r="E1662" s="2" t="s">
        <v>17277</v>
      </c>
      <c r="G1662" s="3" t="s">
        <v>64</v>
      </c>
      <c r="I1662" s="3" t="s">
        <v>64</v>
      </c>
      <c r="J1662" s="3" t="s">
        <v>64</v>
      </c>
      <c r="K1662" s="3" t="s">
        <v>65</v>
      </c>
      <c r="L1662" s="2" t="s">
        <v>2293</v>
      </c>
      <c r="M1662" s="2" t="s">
        <v>17278</v>
      </c>
      <c r="N1662" s="3" t="s">
        <v>651</v>
      </c>
      <c r="O1662" s="2" t="s">
        <v>677</v>
      </c>
      <c r="P1662" s="3" t="s">
        <v>69</v>
      </c>
      <c r="R1662" s="3" t="s">
        <v>16939</v>
      </c>
      <c r="S1662" s="4">
        <v>15</v>
      </c>
      <c r="T1662" s="4">
        <v>15</v>
      </c>
      <c r="U1662" s="5" t="s">
        <v>3485</v>
      </c>
      <c r="V1662" s="5" t="s">
        <v>3485</v>
      </c>
      <c r="W1662" s="5" t="s">
        <v>72</v>
      </c>
      <c r="X1662" s="5" t="s">
        <v>72</v>
      </c>
      <c r="Y1662" s="4">
        <v>1468</v>
      </c>
      <c r="Z1662" s="4">
        <v>17</v>
      </c>
      <c r="AA1662" s="4">
        <v>73</v>
      </c>
      <c r="AB1662" s="4">
        <v>1</v>
      </c>
      <c r="AC1662" s="4">
        <v>8</v>
      </c>
      <c r="AD1662" s="4">
        <v>93</v>
      </c>
      <c r="AE1662" s="4">
        <v>125</v>
      </c>
      <c r="AF1662" s="4">
        <v>0</v>
      </c>
      <c r="AG1662" s="4">
        <v>2</v>
      </c>
      <c r="AH1662" s="4">
        <v>82</v>
      </c>
      <c r="AI1662" s="4">
        <v>101</v>
      </c>
      <c r="AJ1662" s="4">
        <v>7</v>
      </c>
      <c r="AK1662" s="4">
        <v>22</v>
      </c>
      <c r="AL1662" s="4">
        <v>42</v>
      </c>
      <c r="AM1662" s="4">
        <v>54</v>
      </c>
      <c r="AN1662" s="4">
        <v>0</v>
      </c>
      <c r="AO1662" s="4">
        <v>1</v>
      </c>
      <c r="AP1662" s="4">
        <v>12</v>
      </c>
      <c r="AQ1662" s="4">
        <v>28</v>
      </c>
      <c r="AR1662" s="3" t="s">
        <v>64</v>
      </c>
      <c r="AS1662" s="3" t="s">
        <v>64</v>
      </c>
      <c r="AT1662" s="3" t="s">
        <v>73</v>
      </c>
      <c r="AU1662" s="6" t="str">
        <f>HYPERLINK("http://catalog.hathitrust.org/Record/004349680","HathiTrust Record")</f>
        <v>HathiTrust Record</v>
      </c>
      <c r="AV1662" s="6" t="str">
        <f>HYPERLINK("http://mcgill.on.worldcat.org/oclc/51275201","Catalog Record")</f>
        <v>Catalog Record</v>
      </c>
      <c r="AW1662" s="6" t="str">
        <f>HYPERLINK("http://www.worldcat.org/oclc/51275201","WorldCat Record")</f>
        <v>WorldCat Record</v>
      </c>
      <c r="AX1662" s="3" t="s">
        <v>17279</v>
      </c>
      <c r="AY1662" s="3" t="s">
        <v>17280</v>
      </c>
      <c r="AZ1662" s="3" t="s">
        <v>17281</v>
      </c>
      <c r="BA1662" s="3" t="s">
        <v>17281</v>
      </c>
      <c r="BB1662" s="3" t="s">
        <v>17282</v>
      </c>
      <c r="BC1662" s="3" t="s">
        <v>78</v>
      </c>
      <c r="BD1662" s="3" t="s">
        <v>79</v>
      </c>
      <c r="BE1662" s="3" t="s">
        <v>17283</v>
      </c>
      <c r="BF1662" s="3" t="s">
        <v>17282</v>
      </c>
      <c r="BG1662" s="3" t="s">
        <v>17284</v>
      </c>
    </row>
    <row r="1663" spans="1:59" ht="58" x14ac:dyDescent="0.35">
      <c r="A1663" s="2" t="s">
        <v>59</v>
      </c>
      <c r="B1663" s="2" t="s">
        <v>94</v>
      </c>
      <c r="C1663" s="2" t="s">
        <v>17285</v>
      </c>
      <c r="D1663" s="2" t="s">
        <v>17286</v>
      </c>
      <c r="E1663" s="2" t="s">
        <v>17287</v>
      </c>
      <c r="G1663" s="3" t="s">
        <v>64</v>
      </c>
      <c r="I1663" s="3" t="s">
        <v>64</v>
      </c>
      <c r="J1663" s="3" t="s">
        <v>64</v>
      </c>
      <c r="K1663" s="3" t="s">
        <v>65</v>
      </c>
      <c r="M1663" s="2" t="s">
        <v>14925</v>
      </c>
      <c r="N1663" s="3" t="s">
        <v>719</v>
      </c>
      <c r="P1663" s="3" t="s">
        <v>69</v>
      </c>
      <c r="R1663" s="3" t="s">
        <v>16939</v>
      </c>
      <c r="S1663" s="4">
        <v>14</v>
      </c>
      <c r="T1663" s="4">
        <v>14</v>
      </c>
      <c r="U1663" s="5" t="s">
        <v>17288</v>
      </c>
      <c r="V1663" s="5" t="s">
        <v>17288</v>
      </c>
      <c r="W1663" s="5" t="s">
        <v>72</v>
      </c>
      <c r="X1663" s="5" t="s">
        <v>72</v>
      </c>
      <c r="Y1663" s="4">
        <v>735</v>
      </c>
      <c r="Z1663" s="4">
        <v>38</v>
      </c>
      <c r="AA1663" s="4">
        <v>47</v>
      </c>
      <c r="AB1663" s="4">
        <v>3</v>
      </c>
      <c r="AC1663" s="4">
        <v>8</v>
      </c>
      <c r="AD1663" s="4">
        <v>129</v>
      </c>
      <c r="AE1663" s="4">
        <v>136</v>
      </c>
      <c r="AF1663" s="4">
        <v>2</v>
      </c>
      <c r="AG1663" s="4">
        <v>3</v>
      </c>
      <c r="AH1663" s="4">
        <v>110</v>
      </c>
      <c r="AI1663" s="4">
        <v>114</v>
      </c>
      <c r="AJ1663" s="4">
        <v>20</v>
      </c>
      <c r="AK1663" s="4">
        <v>22</v>
      </c>
      <c r="AL1663" s="4">
        <v>57</v>
      </c>
      <c r="AM1663" s="4">
        <v>59</v>
      </c>
      <c r="AN1663" s="4">
        <v>0</v>
      </c>
      <c r="AO1663" s="4">
        <v>0</v>
      </c>
      <c r="AP1663" s="4">
        <v>29</v>
      </c>
      <c r="AQ1663" s="4">
        <v>31</v>
      </c>
      <c r="AR1663" s="3" t="s">
        <v>64</v>
      </c>
      <c r="AS1663" s="3" t="s">
        <v>64</v>
      </c>
      <c r="AT1663" s="3" t="s">
        <v>64</v>
      </c>
      <c r="AV1663" s="6" t="str">
        <f>HYPERLINK("http://mcgill.on.worldcat.org/oclc/10778871","Catalog Record")</f>
        <v>Catalog Record</v>
      </c>
      <c r="AW1663" s="6" t="str">
        <f>HYPERLINK("http://www.worldcat.org/oclc/10778871","WorldCat Record")</f>
        <v>WorldCat Record</v>
      </c>
      <c r="AX1663" s="3" t="s">
        <v>17289</v>
      </c>
      <c r="AY1663" s="3" t="s">
        <v>17290</v>
      </c>
      <c r="AZ1663" s="3" t="s">
        <v>17291</v>
      </c>
      <c r="BA1663" s="3" t="s">
        <v>17291</v>
      </c>
      <c r="BB1663" s="3" t="s">
        <v>17292</v>
      </c>
      <c r="BC1663" s="3" t="s">
        <v>78</v>
      </c>
      <c r="BD1663" s="3" t="s">
        <v>79</v>
      </c>
      <c r="BE1663" s="3" t="s">
        <v>17293</v>
      </c>
      <c r="BF1663" s="3" t="s">
        <v>17292</v>
      </c>
      <c r="BG1663" s="3" t="s">
        <v>17294</v>
      </c>
    </row>
    <row r="1664" spans="1:59" ht="58" x14ac:dyDescent="0.35">
      <c r="A1664" s="2" t="s">
        <v>59</v>
      </c>
      <c r="B1664" s="2" t="s">
        <v>94</v>
      </c>
      <c r="C1664" s="2" t="s">
        <v>17295</v>
      </c>
      <c r="D1664" s="2" t="s">
        <v>17296</v>
      </c>
      <c r="E1664" s="2" t="s">
        <v>17297</v>
      </c>
      <c r="G1664" s="3" t="s">
        <v>64</v>
      </c>
      <c r="I1664" s="3" t="s">
        <v>64</v>
      </c>
      <c r="J1664" s="3" t="s">
        <v>64</v>
      </c>
      <c r="K1664" s="3" t="s">
        <v>65</v>
      </c>
      <c r="M1664" s="2" t="s">
        <v>13011</v>
      </c>
      <c r="N1664" s="3" t="s">
        <v>68</v>
      </c>
      <c r="P1664" s="3" t="s">
        <v>69</v>
      </c>
      <c r="Q1664" s="2" t="s">
        <v>17200</v>
      </c>
      <c r="R1664" s="3" t="s">
        <v>16939</v>
      </c>
      <c r="S1664" s="4">
        <v>6</v>
      </c>
      <c r="T1664" s="4">
        <v>6</v>
      </c>
      <c r="U1664" s="5" t="s">
        <v>8636</v>
      </c>
      <c r="V1664" s="5" t="s">
        <v>8636</v>
      </c>
      <c r="W1664" s="5" t="s">
        <v>72</v>
      </c>
      <c r="X1664" s="5" t="s">
        <v>72</v>
      </c>
      <c r="Y1664" s="4">
        <v>111</v>
      </c>
      <c r="Z1664" s="4">
        <v>12</v>
      </c>
      <c r="AA1664" s="4">
        <v>17</v>
      </c>
      <c r="AB1664" s="4">
        <v>1</v>
      </c>
      <c r="AC1664" s="4">
        <v>5</v>
      </c>
      <c r="AD1664" s="4">
        <v>36</v>
      </c>
      <c r="AE1664" s="4">
        <v>41</v>
      </c>
      <c r="AF1664" s="4">
        <v>0</v>
      </c>
      <c r="AG1664" s="4">
        <v>1</v>
      </c>
      <c r="AH1664" s="4">
        <v>31</v>
      </c>
      <c r="AI1664" s="4">
        <v>35</v>
      </c>
      <c r="AJ1664" s="4">
        <v>7</v>
      </c>
      <c r="AK1664" s="4">
        <v>8</v>
      </c>
      <c r="AL1664" s="4">
        <v>21</v>
      </c>
      <c r="AM1664" s="4">
        <v>23</v>
      </c>
      <c r="AN1664" s="4">
        <v>0</v>
      </c>
      <c r="AO1664" s="4">
        <v>0</v>
      </c>
      <c r="AP1664" s="4">
        <v>8</v>
      </c>
      <c r="AQ1664" s="4">
        <v>10</v>
      </c>
      <c r="AR1664" s="3" t="s">
        <v>64</v>
      </c>
      <c r="AS1664" s="3" t="s">
        <v>64</v>
      </c>
      <c r="AT1664" s="3" t="s">
        <v>64</v>
      </c>
      <c r="AV1664" s="6" t="str">
        <f>HYPERLINK("http://mcgill.on.worldcat.org/oclc/61129257","Catalog Record")</f>
        <v>Catalog Record</v>
      </c>
      <c r="AW1664" s="6" t="str">
        <f>HYPERLINK("http://www.worldcat.org/oclc/61129257","WorldCat Record")</f>
        <v>WorldCat Record</v>
      </c>
      <c r="AX1664" s="3" t="s">
        <v>17298</v>
      </c>
      <c r="AY1664" s="3" t="s">
        <v>17299</v>
      </c>
      <c r="AZ1664" s="3" t="s">
        <v>17300</v>
      </c>
      <c r="BA1664" s="3" t="s">
        <v>17300</v>
      </c>
      <c r="BB1664" s="3" t="s">
        <v>17301</v>
      </c>
      <c r="BC1664" s="3" t="s">
        <v>78</v>
      </c>
      <c r="BD1664" s="3" t="s">
        <v>79</v>
      </c>
      <c r="BE1664" s="3" t="s">
        <v>17302</v>
      </c>
      <c r="BF1664" s="3" t="s">
        <v>17301</v>
      </c>
      <c r="BG1664" s="3" t="s">
        <v>17303</v>
      </c>
    </row>
    <row r="1665" spans="1:59" ht="58" x14ac:dyDescent="0.35">
      <c r="A1665" s="2" t="s">
        <v>59</v>
      </c>
      <c r="B1665" s="2" t="s">
        <v>94</v>
      </c>
      <c r="C1665" s="2" t="s">
        <v>17304</v>
      </c>
      <c r="D1665" s="2" t="s">
        <v>17305</v>
      </c>
      <c r="E1665" s="2" t="s">
        <v>17306</v>
      </c>
      <c r="G1665" s="3" t="s">
        <v>64</v>
      </c>
      <c r="I1665" s="3" t="s">
        <v>64</v>
      </c>
      <c r="J1665" s="3" t="s">
        <v>64</v>
      </c>
      <c r="K1665" s="3" t="s">
        <v>65</v>
      </c>
      <c r="L1665" s="2" t="s">
        <v>9451</v>
      </c>
      <c r="M1665" s="2" t="s">
        <v>6841</v>
      </c>
      <c r="N1665" s="3" t="s">
        <v>377</v>
      </c>
      <c r="P1665" s="3" t="s">
        <v>69</v>
      </c>
      <c r="Q1665" s="2" t="s">
        <v>17307</v>
      </c>
      <c r="R1665" s="3" t="s">
        <v>16939</v>
      </c>
      <c r="S1665" s="4">
        <v>0</v>
      </c>
      <c r="T1665" s="4">
        <v>0</v>
      </c>
      <c r="W1665" s="5" t="s">
        <v>72</v>
      </c>
      <c r="X1665" s="5" t="s">
        <v>72</v>
      </c>
      <c r="Y1665" s="4">
        <v>91</v>
      </c>
      <c r="Z1665" s="4">
        <v>2</v>
      </c>
      <c r="AA1665" s="4">
        <v>3</v>
      </c>
      <c r="AB1665" s="4">
        <v>1</v>
      </c>
      <c r="AC1665" s="4">
        <v>1</v>
      </c>
      <c r="AD1665" s="4">
        <v>44</v>
      </c>
      <c r="AE1665" s="4">
        <v>47</v>
      </c>
      <c r="AF1665" s="4">
        <v>0</v>
      </c>
      <c r="AG1665" s="4">
        <v>0</v>
      </c>
      <c r="AH1665" s="4">
        <v>43</v>
      </c>
      <c r="AI1665" s="4">
        <v>46</v>
      </c>
      <c r="AJ1665" s="4">
        <v>1</v>
      </c>
      <c r="AK1665" s="4">
        <v>2</v>
      </c>
      <c r="AL1665" s="4">
        <v>24</v>
      </c>
      <c r="AM1665" s="4">
        <v>25</v>
      </c>
      <c r="AN1665" s="4">
        <v>0</v>
      </c>
      <c r="AO1665" s="4">
        <v>0</v>
      </c>
      <c r="AP1665" s="4">
        <v>1</v>
      </c>
      <c r="AQ1665" s="4">
        <v>2</v>
      </c>
      <c r="AR1665" s="3" t="s">
        <v>64</v>
      </c>
      <c r="AS1665" s="3" t="s">
        <v>64</v>
      </c>
      <c r="AT1665" s="3" t="s">
        <v>64</v>
      </c>
      <c r="AV1665" s="6" t="str">
        <f>HYPERLINK("http://mcgill.on.worldcat.org/oclc/779876047","Catalog Record")</f>
        <v>Catalog Record</v>
      </c>
      <c r="AW1665" s="6" t="str">
        <f>HYPERLINK("http://www.worldcat.org/oclc/779876047","WorldCat Record")</f>
        <v>WorldCat Record</v>
      </c>
      <c r="AX1665" s="3" t="s">
        <v>17308</v>
      </c>
      <c r="AY1665" s="3" t="s">
        <v>17309</v>
      </c>
      <c r="AZ1665" s="3" t="s">
        <v>17310</v>
      </c>
      <c r="BA1665" s="3" t="s">
        <v>17310</v>
      </c>
      <c r="BB1665" s="3" t="s">
        <v>17311</v>
      </c>
      <c r="BC1665" s="3" t="s">
        <v>78</v>
      </c>
      <c r="BD1665" s="3" t="s">
        <v>79</v>
      </c>
      <c r="BE1665" s="3" t="s">
        <v>17312</v>
      </c>
      <c r="BF1665" s="3" t="s">
        <v>17311</v>
      </c>
      <c r="BG1665" s="3" t="s">
        <v>17313</v>
      </c>
    </row>
    <row r="1666" spans="1:59" ht="58" x14ac:dyDescent="0.35">
      <c r="A1666" s="2" t="s">
        <v>59</v>
      </c>
      <c r="B1666" s="2" t="s">
        <v>94</v>
      </c>
      <c r="C1666" s="2" t="s">
        <v>17314</v>
      </c>
      <c r="D1666" s="2" t="s">
        <v>17315</v>
      </c>
      <c r="E1666" s="2" t="s">
        <v>17316</v>
      </c>
      <c r="G1666" s="3" t="s">
        <v>64</v>
      </c>
      <c r="I1666" s="3" t="s">
        <v>64</v>
      </c>
      <c r="J1666" s="3" t="s">
        <v>64</v>
      </c>
      <c r="K1666" s="3" t="s">
        <v>65</v>
      </c>
      <c r="M1666" s="2" t="s">
        <v>17317</v>
      </c>
      <c r="N1666" s="3" t="s">
        <v>524</v>
      </c>
      <c r="P1666" s="3" t="s">
        <v>69</v>
      </c>
      <c r="Q1666" s="2" t="s">
        <v>17318</v>
      </c>
      <c r="R1666" s="3" t="s">
        <v>16939</v>
      </c>
      <c r="S1666" s="4">
        <v>1</v>
      </c>
      <c r="T1666" s="4">
        <v>1</v>
      </c>
      <c r="U1666" s="5" t="s">
        <v>17319</v>
      </c>
      <c r="V1666" s="5" t="s">
        <v>17319</v>
      </c>
      <c r="W1666" s="5" t="s">
        <v>72</v>
      </c>
      <c r="X1666" s="5" t="s">
        <v>72</v>
      </c>
      <c r="Y1666" s="4">
        <v>62</v>
      </c>
      <c r="Z1666" s="4">
        <v>5</v>
      </c>
      <c r="AA1666" s="4">
        <v>74</v>
      </c>
      <c r="AB1666" s="4">
        <v>1</v>
      </c>
      <c r="AC1666" s="4">
        <v>15</v>
      </c>
      <c r="AD1666" s="4">
        <v>17</v>
      </c>
      <c r="AE1666" s="4">
        <v>102</v>
      </c>
      <c r="AF1666" s="4">
        <v>0</v>
      </c>
      <c r="AG1666" s="4">
        <v>8</v>
      </c>
      <c r="AH1666" s="4">
        <v>16</v>
      </c>
      <c r="AI1666" s="4">
        <v>70</v>
      </c>
      <c r="AJ1666" s="4">
        <v>1</v>
      </c>
      <c r="AK1666" s="4">
        <v>19</v>
      </c>
      <c r="AL1666" s="4">
        <v>11</v>
      </c>
      <c r="AM1666" s="4">
        <v>36</v>
      </c>
      <c r="AN1666" s="4">
        <v>0</v>
      </c>
      <c r="AO1666" s="4">
        <v>0</v>
      </c>
      <c r="AP1666" s="4">
        <v>2</v>
      </c>
      <c r="AQ1666" s="4">
        <v>38</v>
      </c>
      <c r="AR1666" s="3" t="s">
        <v>64</v>
      </c>
      <c r="AS1666" s="3" t="s">
        <v>64</v>
      </c>
      <c r="AT1666" s="3" t="s">
        <v>64</v>
      </c>
      <c r="AV1666" s="6" t="str">
        <f>HYPERLINK("http://mcgill.on.worldcat.org/oclc/802326095","Catalog Record")</f>
        <v>Catalog Record</v>
      </c>
      <c r="AW1666" s="6" t="str">
        <f>HYPERLINK("http://www.worldcat.org/oclc/802326095","WorldCat Record")</f>
        <v>WorldCat Record</v>
      </c>
      <c r="AX1666" s="3" t="s">
        <v>17320</v>
      </c>
      <c r="AY1666" s="3" t="s">
        <v>17321</v>
      </c>
      <c r="AZ1666" s="3" t="s">
        <v>17322</v>
      </c>
      <c r="BA1666" s="3" t="s">
        <v>17322</v>
      </c>
      <c r="BB1666" s="3" t="s">
        <v>17323</v>
      </c>
      <c r="BC1666" s="3" t="s">
        <v>78</v>
      </c>
      <c r="BD1666" s="3" t="s">
        <v>79</v>
      </c>
      <c r="BE1666" s="3" t="s">
        <v>17324</v>
      </c>
      <c r="BF1666" s="3" t="s">
        <v>17323</v>
      </c>
      <c r="BG1666" s="3" t="s">
        <v>17325</v>
      </c>
    </row>
    <row r="1667" spans="1:59" ht="58" x14ac:dyDescent="0.35">
      <c r="A1667" s="2" t="s">
        <v>59</v>
      </c>
      <c r="B1667" s="2" t="s">
        <v>94</v>
      </c>
      <c r="C1667" s="2" t="s">
        <v>17326</v>
      </c>
      <c r="D1667" s="2" t="s">
        <v>17327</v>
      </c>
      <c r="E1667" s="2" t="s">
        <v>17328</v>
      </c>
      <c r="G1667" s="3" t="s">
        <v>64</v>
      </c>
      <c r="I1667" s="3" t="s">
        <v>64</v>
      </c>
      <c r="J1667" s="3" t="s">
        <v>64</v>
      </c>
      <c r="K1667" s="3" t="s">
        <v>65</v>
      </c>
      <c r="L1667" s="2" t="s">
        <v>17329</v>
      </c>
      <c r="M1667" s="2" t="s">
        <v>17330</v>
      </c>
      <c r="N1667" s="3" t="s">
        <v>287</v>
      </c>
      <c r="P1667" s="3" t="s">
        <v>69</v>
      </c>
      <c r="R1667" s="3" t="s">
        <v>16939</v>
      </c>
      <c r="S1667" s="4">
        <v>12</v>
      </c>
      <c r="T1667" s="4">
        <v>12</v>
      </c>
      <c r="U1667" s="5" t="s">
        <v>17331</v>
      </c>
      <c r="V1667" s="5" t="s">
        <v>17331</v>
      </c>
      <c r="W1667" s="5" t="s">
        <v>72</v>
      </c>
      <c r="X1667" s="5" t="s">
        <v>72</v>
      </c>
      <c r="Y1667" s="4">
        <v>61</v>
      </c>
      <c r="Z1667" s="4">
        <v>37</v>
      </c>
      <c r="AA1667" s="4">
        <v>39</v>
      </c>
      <c r="AB1667" s="4">
        <v>1</v>
      </c>
      <c r="AC1667" s="4">
        <v>2</v>
      </c>
      <c r="AD1667" s="4">
        <v>36</v>
      </c>
      <c r="AE1667" s="4">
        <v>38</v>
      </c>
      <c r="AF1667" s="4">
        <v>0</v>
      </c>
      <c r="AG1667" s="4">
        <v>1</v>
      </c>
      <c r="AH1667" s="4">
        <v>19</v>
      </c>
      <c r="AI1667" s="4">
        <v>19</v>
      </c>
      <c r="AJ1667" s="4">
        <v>18</v>
      </c>
      <c r="AK1667" s="4">
        <v>19</v>
      </c>
      <c r="AL1667" s="4">
        <v>6</v>
      </c>
      <c r="AM1667" s="4">
        <v>6</v>
      </c>
      <c r="AN1667" s="4">
        <v>0</v>
      </c>
      <c r="AO1667" s="4">
        <v>0</v>
      </c>
      <c r="AP1667" s="4">
        <v>26</v>
      </c>
      <c r="AQ1667" s="4">
        <v>27</v>
      </c>
      <c r="AR1667" s="3" t="s">
        <v>73</v>
      </c>
      <c r="AS1667" s="3" t="s">
        <v>64</v>
      </c>
      <c r="AT1667" s="3" t="s">
        <v>64</v>
      </c>
      <c r="AV1667" s="6" t="str">
        <f>HYPERLINK("http://mcgill.on.worldcat.org/oclc/8508690","Catalog Record")</f>
        <v>Catalog Record</v>
      </c>
      <c r="AW1667" s="6" t="str">
        <f>HYPERLINK("http://www.worldcat.org/oclc/8508690","WorldCat Record")</f>
        <v>WorldCat Record</v>
      </c>
      <c r="AX1667" s="3" t="s">
        <v>17332</v>
      </c>
      <c r="AY1667" s="3" t="s">
        <v>17333</v>
      </c>
      <c r="AZ1667" s="3" t="s">
        <v>17334</v>
      </c>
      <c r="BA1667" s="3" t="s">
        <v>17334</v>
      </c>
      <c r="BB1667" s="3" t="s">
        <v>17335</v>
      </c>
      <c r="BC1667" s="3" t="s">
        <v>78</v>
      </c>
      <c r="BD1667" s="3" t="s">
        <v>79</v>
      </c>
      <c r="BE1667" s="3" t="s">
        <v>17336</v>
      </c>
      <c r="BF1667" s="3" t="s">
        <v>17335</v>
      </c>
      <c r="BG1667" s="3" t="s">
        <v>17337</v>
      </c>
    </row>
    <row r="1668" spans="1:59" ht="58" x14ac:dyDescent="0.35">
      <c r="A1668" s="2" t="s">
        <v>59</v>
      </c>
      <c r="B1668" s="2" t="s">
        <v>94</v>
      </c>
      <c r="C1668" s="2" t="s">
        <v>17338</v>
      </c>
      <c r="D1668" s="2" t="s">
        <v>17339</v>
      </c>
      <c r="E1668" s="2" t="s">
        <v>17340</v>
      </c>
      <c r="G1668" s="3" t="s">
        <v>64</v>
      </c>
      <c r="I1668" s="3" t="s">
        <v>64</v>
      </c>
      <c r="J1668" s="3" t="s">
        <v>64</v>
      </c>
      <c r="K1668" s="3" t="s">
        <v>65</v>
      </c>
      <c r="L1668" s="2" t="s">
        <v>17341</v>
      </c>
      <c r="M1668" s="2" t="s">
        <v>17342</v>
      </c>
      <c r="N1668" s="3" t="s">
        <v>449</v>
      </c>
      <c r="P1668" s="3" t="s">
        <v>69</v>
      </c>
      <c r="R1668" s="3" t="s">
        <v>16939</v>
      </c>
      <c r="S1668" s="4">
        <v>4</v>
      </c>
      <c r="T1668" s="4">
        <v>4</v>
      </c>
      <c r="U1668" s="5" t="s">
        <v>17343</v>
      </c>
      <c r="V1668" s="5" t="s">
        <v>17343</v>
      </c>
      <c r="W1668" s="5" t="s">
        <v>72</v>
      </c>
      <c r="X1668" s="5" t="s">
        <v>72</v>
      </c>
      <c r="Y1668" s="4">
        <v>135</v>
      </c>
      <c r="Z1668" s="4">
        <v>57</v>
      </c>
      <c r="AA1668" s="4">
        <v>96</v>
      </c>
      <c r="AB1668" s="4">
        <v>1</v>
      </c>
      <c r="AC1668" s="4">
        <v>11</v>
      </c>
      <c r="AD1668" s="4">
        <v>72</v>
      </c>
      <c r="AE1668" s="4">
        <v>110</v>
      </c>
      <c r="AF1668" s="4">
        <v>0</v>
      </c>
      <c r="AG1668" s="4">
        <v>5</v>
      </c>
      <c r="AH1668" s="4">
        <v>48</v>
      </c>
      <c r="AI1668" s="4">
        <v>69</v>
      </c>
      <c r="AJ1668" s="4">
        <v>21</v>
      </c>
      <c r="AK1668" s="4">
        <v>27</v>
      </c>
      <c r="AL1668" s="4">
        <v>23</v>
      </c>
      <c r="AM1668" s="4">
        <v>33</v>
      </c>
      <c r="AN1668" s="4">
        <v>0</v>
      </c>
      <c r="AO1668" s="4">
        <v>3</v>
      </c>
      <c r="AP1668" s="4">
        <v>33</v>
      </c>
      <c r="AQ1668" s="4">
        <v>51</v>
      </c>
      <c r="AR1668" s="3" t="s">
        <v>73</v>
      </c>
      <c r="AS1668" s="3" t="s">
        <v>64</v>
      </c>
      <c r="AT1668" s="3" t="s">
        <v>64</v>
      </c>
      <c r="AV1668" s="6" t="str">
        <f>HYPERLINK("http://mcgill.on.worldcat.org/oclc/192052563","Catalog Record")</f>
        <v>Catalog Record</v>
      </c>
      <c r="AW1668" s="6" t="str">
        <f>HYPERLINK("http://www.worldcat.org/oclc/192052563","WorldCat Record")</f>
        <v>WorldCat Record</v>
      </c>
      <c r="AX1668" s="3" t="s">
        <v>17344</v>
      </c>
      <c r="AY1668" s="3" t="s">
        <v>17345</v>
      </c>
      <c r="AZ1668" s="3" t="s">
        <v>17346</v>
      </c>
      <c r="BA1668" s="3" t="s">
        <v>17346</v>
      </c>
      <c r="BB1668" s="3" t="s">
        <v>17347</v>
      </c>
      <c r="BC1668" s="3" t="s">
        <v>78</v>
      </c>
      <c r="BD1668" s="3" t="s">
        <v>79</v>
      </c>
      <c r="BE1668" s="3" t="s">
        <v>17348</v>
      </c>
      <c r="BF1668" s="3" t="s">
        <v>17347</v>
      </c>
      <c r="BG1668" s="3" t="s">
        <v>17349</v>
      </c>
    </row>
    <row r="1669" spans="1:59" ht="58" x14ac:dyDescent="0.35">
      <c r="A1669" s="2" t="s">
        <v>59</v>
      </c>
      <c r="B1669" s="2" t="s">
        <v>94</v>
      </c>
      <c r="C1669" s="2" t="s">
        <v>17350</v>
      </c>
      <c r="D1669" s="2" t="s">
        <v>17351</v>
      </c>
      <c r="E1669" s="2" t="s">
        <v>17352</v>
      </c>
      <c r="G1669" s="3" t="s">
        <v>64</v>
      </c>
      <c r="I1669" s="3" t="s">
        <v>64</v>
      </c>
      <c r="J1669" s="3" t="s">
        <v>64</v>
      </c>
      <c r="K1669" s="3" t="s">
        <v>65</v>
      </c>
      <c r="L1669" s="2" t="s">
        <v>17353</v>
      </c>
      <c r="M1669" s="2" t="s">
        <v>17354</v>
      </c>
      <c r="N1669" s="3" t="s">
        <v>407</v>
      </c>
      <c r="O1669" s="2" t="s">
        <v>1294</v>
      </c>
      <c r="P1669" s="3" t="s">
        <v>69</v>
      </c>
      <c r="R1669" s="3" t="s">
        <v>16939</v>
      </c>
      <c r="S1669" s="4">
        <v>35</v>
      </c>
      <c r="T1669" s="4">
        <v>35</v>
      </c>
      <c r="U1669" s="5" t="s">
        <v>17343</v>
      </c>
      <c r="V1669" s="5" t="s">
        <v>17343</v>
      </c>
      <c r="W1669" s="5" t="s">
        <v>72</v>
      </c>
      <c r="X1669" s="5" t="s">
        <v>72</v>
      </c>
      <c r="Y1669" s="4">
        <v>150</v>
      </c>
      <c r="Z1669" s="4">
        <v>64</v>
      </c>
      <c r="AA1669" s="4">
        <v>69</v>
      </c>
      <c r="AB1669" s="4">
        <v>1</v>
      </c>
      <c r="AC1669" s="4">
        <v>5</v>
      </c>
      <c r="AD1669" s="4">
        <v>75</v>
      </c>
      <c r="AE1669" s="4">
        <v>79</v>
      </c>
      <c r="AF1669" s="4">
        <v>0</v>
      </c>
      <c r="AG1669" s="4">
        <v>3</v>
      </c>
      <c r="AH1669" s="4">
        <v>46</v>
      </c>
      <c r="AI1669" s="4">
        <v>47</v>
      </c>
      <c r="AJ1669" s="4">
        <v>23</v>
      </c>
      <c r="AK1669" s="4">
        <v>26</v>
      </c>
      <c r="AL1669" s="4">
        <v>22</v>
      </c>
      <c r="AM1669" s="4">
        <v>22</v>
      </c>
      <c r="AN1669" s="4">
        <v>0</v>
      </c>
      <c r="AO1669" s="4">
        <v>0</v>
      </c>
      <c r="AP1669" s="4">
        <v>39</v>
      </c>
      <c r="AQ1669" s="4">
        <v>42</v>
      </c>
      <c r="AR1669" s="3" t="s">
        <v>73</v>
      </c>
      <c r="AS1669" s="3" t="s">
        <v>64</v>
      </c>
      <c r="AT1669" s="3" t="s">
        <v>73</v>
      </c>
      <c r="AU1669" s="6" t="str">
        <f>HYPERLINK("http://catalog.hathitrust.org/Record/006196546","HathiTrust Record")</f>
        <v>HathiTrust Record</v>
      </c>
      <c r="AV1669" s="6" t="str">
        <f>HYPERLINK("http://mcgill.on.worldcat.org/oclc/14378077","Catalog Record")</f>
        <v>Catalog Record</v>
      </c>
      <c r="AW1669" s="6" t="str">
        <f>HYPERLINK("http://www.worldcat.org/oclc/14378077","WorldCat Record")</f>
        <v>WorldCat Record</v>
      </c>
      <c r="AX1669" s="3" t="s">
        <v>17355</v>
      </c>
      <c r="AY1669" s="3" t="s">
        <v>17356</v>
      </c>
      <c r="AZ1669" s="3" t="s">
        <v>17357</v>
      </c>
      <c r="BA1669" s="3" t="s">
        <v>17357</v>
      </c>
      <c r="BB1669" s="3" t="s">
        <v>17358</v>
      </c>
      <c r="BC1669" s="3" t="s">
        <v>78</v>
      </c>
      <c r="BD1669" s="3" t="s">
        <v>79</v>
      </c>
      <c r="BE1669" s="3" t="s">
        <v>17359</v>
      </c>
      <c r="BF1669" s="3" t="s">
        <v>17358</v>
      </c>
      <c r="BG1669" s="3" t="s">
        <v>17360</v>
      </c>
    </row>
    <row r="1670" spans="1:59" ht="58" x14ac:dyDescent="0.35">
      <c r="A1670" s="2" t="s">
        <v>59</v>
      </c>
      <c r="B1670" s="2" t="s">
        <v>94</v>
      </c>
      <c r="C1670" s="2" t="s">
        <v>17361</v>
      </c>
      <c r="D1670" s="2" t="s">
        <v>17362</v>
      </c>
      <c r="E1670" s="2" t="s">
        <v>17363</v>
      </c>
      <c r="G1670" s="3" t="s">
        <v>64</v>
      </c>
      <c r="I1670" s="3" t="s">
        <v>64</v>
      </c>
      <c r="J1670" s="3" t="s">
        <v>64</v>
      </c>
      <c r="K1670" s="3" t="s">
        <v>65</v>
      </c>
      <c r="L1670" s="2" t="s">
        <v>2557</v>
      </c>
      <c r="M1670" s="2" t="s">
        <v>14817</v>
      </c>
      <c r="N1670" s="3" t="s">
        <v>340</v>
      </c>
      <c r="P1670" s="3" t="s">
        <v>69</v>
      </c>
      <c r="R1670" s="3" t="s">
        <v>16939</v>
      </c>
      <c r="S1670" s="4">
        <v>9</v>
      </c>
      <c r="T1670" s="4">
        <v>9</v>
      </c>
      <c r="U1670" s="5" t="s">
        <v>1169</v>
      </c>
      <c r="V1670" s="5" t="s">
        <v>1169</v>
      </c>
      <c r="W1670" s="5" t="s">
        <v>72</v>
      </c>
      <c r="X1670" s="5" t="s">
        <v>72</v>
      </c>
      <c r="Y1670" s="4">
        <v>223</v>
      </c>
      <c r="Z1670" s="4">
        <v>9</v>
      </c>
      <c r="AA1670" s="4">
        <v>10</v>
      </c>
      <c r="AB1670" s="4">
        <v>1</v>
      </c>
      <c r="AC1670" s="4">
        <v>1</v>
      </c>
      <c r="AD1670" s="4">
        <v>76</v>
      </c>
      <c r="AE1670" s="4">
        <v>77</v>
      </c>
      <c r="AF1670" s="4">
        <v>0</v>
      </c>
      <c r="AG1670" s="4">
        <v>0</v>
      </c>
      <c r="AH1670" s="4">
        <v>72</v>
      </c>
      <c r="AI1670" s="4">
        <v>73</v>
      </c>
      <c r="AJ1670" s="4">
        <v>5</v>
      </c>
      <c r="AK1670" s="4">
        <v>6</v>
      </c>
      <c r="AL1670" s="4">
        <v>43</v>
      </c>
      <c r="AM1670" s="4">
        <v>43</v>
      </c>
      <c r="AN1670" s="4">
        <v>0</v>
      </c>
      <c r="AO1670" s="4">
        <v>0</v>
      </c>
      <c r="AP1670" s="4">
        <v>7</v>
      </c>
      <c r="AQ1670" s="4">
        <v>8</v>
      </c>
      <c r="AR1670" s="3" t="s">
        <v>64</v>
      </c>
      <c r="AS1670" s="3" t="s">
        <v>64</v>
      </c>
      <c r="AT1670" s="3" t="s">
        <v>73</v>
      </c>
      <c r="AU1670" s="6" t="str">
        <f>HYPERLINK("http://catalog.hathitrust.org/Record/003985703","HathiTrust Record")</f>
        <v>HathiTrust Record</v>
      </c>
      <c r="AV1670" s="6" t="str">
        <f>HYPERLINK("http://mcgill.on.worldcat.org/oclc/38738841","Catalog Record")</f>
        <v>Catalog Record</v>
      </c>
      <c r="AW1670" s="6" t="str">
        <f>HYPERLINK("http://www.worldcat.org/oclc/38738841","WorldCat Record")</f>
        <v>WorldCat Record</v>
      </c>
      <c r="AX1670" s="3" t="s">
        <v>17364</v>
      </c>
      <c r="AY1670" s="3" t="s">
        <v>17365</v>
      </c>
      <c r="AZ1670" s="3" t="s">
        <v>17366</v>
      </c>
      <c r="BA1670" s="3" t="s">
        <v>17366</v>
      </c>
      <c r="BB1670" s="3" t="s">
        <v>17367</v>
      </c>
      <c r="BC1670" s="3" t="s">
        <v>78</v>
      </c>
      <c r="BD1670" s="3" t="s">
        <v>79</v>
      </c>
      <c r="BE1670" s="3" t="s">
        <v>17368</v>
      </c>
      <c r="BF1670" s="3" t="s">
        <v>17367</v>
      </c>
      <c r="BG1670" s="3" t="s">
        <v>17369</v>
      </c>
    </row>
    <row r="1671" spans="1:59" ht="58" x14ac:dyDescent="0.35">
      <c r="A1671" s="2" t="s">
        <v>59</v>
      </c>
      <c r="B1671" s="2" t="s">
        <v>94</v>
      </c>
      <c r="C1671" s="2" t="s">
        <v>17370</v>
      </c>
      <c r="D1671" s="2" t="s">
        <v>17371</v>
      </c>
      <c r="E1671" s="2" t="s">
        <v>17372</v>
      </c>
      <c r="G1671" s="3" t="s">
        <v>64</v>
      </c>
      <c r="I1671" s="3" t="s">
        <v>64</v>
      </c>
      <c r="J1671" s="3" t="s">
        <v>64</v>
      </c>
      <c r="K1671" s="3" t="s">
        <v>65</v>
      </c>
      <c r="L1671" s="2" t="s">
        <v>17373</v>
      </c>
      <c r="M1671" s="2" t="s">
        <v>17374</v>
      </c>
      <c r="N1671" s="3" t="s">
        <v>1227</v>
      </c>
      <c r="O1671" s="2" t="s">
        <v>17375</v>
      </c>
      <c r="P1671" s="3" t="s">
        <v>69</v>
      </c>
      <c r="R1671" s="3" t="s">
        <v>16939</v>
      </c>
      <c r="S1671" s="4">
        <v>1</v>
      </c>
      <c r="T1671" s="4">
        <v>1</v>
      </c>
      <c r="U1671" s="5" t="s">
        <v>265</v>
      </c>
      <c r="V1671" s="5" t="s">
        <v>265</v>
      </c>
      <c r="W1671" s="5" t="s">
        <v>72</v>
      </c>
      <c r="X1671" s="5" t="s">
        <v>72</v>
      </c>
      <c r="Y1671" s="4">
        <v>409</v>
      </c>
      <c r="Z1671" s="4">
        <v>21</v>
      </c>
      <c r="AA1671" s="4">
        <v>24</v>
      </c>
      <c r="AB1671" s="4">
        <v>3</v>
      </c>
      <c r="AC1671" s="4">
        <v>5</v>
      </c>
      <c r="AD1671" s="4">
        <v>100</v>
      </c>
      <c r="AE1671" s="4">
        <v>103</v>
      </c>
      <c r="AF1671" s="4">
        <v>2</v>
      </c>
      <c r="AG1671" s="4">
        <v>4</v>
      </c>
      <c r="AH1671" s="4">
        <v>90</v>
      </c>
      <c r="AI1671" s="4">
        <v>91</v>
      </c>
      <c r="AJ1671" s="4">
        <v>15</v>
      </c>
      <c r="AK1671" s="4">
        <v>18</v>
      </c>
      <c r="AL1671" s="4">
        <v>49</v>
      </c>
      <c r="AM1671" s="4">
        <v>49</v>
      </c>
      <c r="AN1671" s="4">
        <v>0</v>
      </c>
      <c r="AO1671" s="4">
        <v>0</v>
      </c>
      <c r="AP1671" s="4">
        <v>18</v>
      </c>
      <c r="AQ1671" s="4">
        <v>20</v>
      </c>
      <c r="AR1671" s="3" t="s">
        <v>64</v>
      </c>
      <c r="AS1671" s="3" t="s">
        <v>64</v>
      </c>
      <c r="AT1671" s="3" t="s">
        <v>73</v>
      </c>
      <c r="AU1671" s="6" t="str">
        <f>HYPERLINK("http://catalog.hathitrust.org/Record/001600393","HathiTrust Record")</f>
        <v>HathiTrust Record</v>
      </c>
      <c r="AV1671" s="6" t="str">
        <f>HYPERLINK("http://mcgill.on.worldcat.org/oclc/328926","Catalog Record")</f>
        <v>Catalog Record</v>
      </c>
      <c r="AW1671" s="6" t="str">
        <f>HYPERLINK("http://www.worldcat.org/oclc/328926","WorldCat Record")</f>
        <v>WorldCat Record</v>
      </c>
      <c r="AX1671" s="3" t="s">
        <v>17376</v>
      </c>
      <c r="AY1671" s="3" t="s">
        <v>17377</v>
      </c>
      <c r="AZ1671" s="3" t="s">
        <v>17378</v>
      </c>
      <c r="BA1671" s="3" t="s">
        <v>17378</v>
      </c>
      <c r="BB1671" s="3" t="s">
        <v>17379</v>
      </c>
      <c r="BC1671" s="3" t="s">
        <v>78</v>
      </c>
      <c r="BD1671" s="3" t="s">
        <v>79</v>
      </c>
      <c r="BE1671" s="3" t="s">
        <v>17380</v>
      </c>
      <c r="BF1671" s="3" t="s">
        <v>17379</v>
      </c>
      <c r="BG1671" s="3" t="s">
        <v>17381</v>
      </c>
    </row>
    <row r="1672" spans="1:59" ht="58" x14ac:dyDescent="0.35">
      <c r="A1672" s="2" t="s">
        <v>59</v>
      </c>
      <c r="B1672" s="2" t="s">
        <v>94</v>
      </c>
      <c r="C1672" s="2" t="s">
        <v>17382</v>
      </c>
      <c r="D1672" s="2" t="s">
        <v>17383</v>
      </c>
      <c r="E1672" s="2" t="s">
        <v>17384</v>
      </c>
      <c r="G1672" s="3" t="s">
        <v>64</v>
      </c>
      <c r="I1672" s="3" t="s">
        <v>64</v>
      </c>
      <c r="J1672" s="3" t="s">
        <v>64</v>
      </c>
      <c r="K1672" s="3" t="s">
        <v>65</v>
      </c>
      <c r="L1672" s="2" t="s">
        <v>17385</v>
      </c>
      <c r="M1672" s="2" t="s">
        <v>17386</v>
      </c>
      <c r="N1672" s="3" t="s">
        <v>1029</v>
      </c>
      <c r="P1672" s="3" t="s">
        <v>69</v>
      </c>
      <c r="Q1672" s="2" t="s">
        <v>17387</v>
      </c>
      <c r="R1672" s="3" t="s">
        <v>16939</v>
      </c>
      <c r="S1672" s="4">
        <v>1</v>
      </c>
      <c r="T1672" s="4">
        <v>1</v>
      </c>
      <c r="U1672" s="5" t="s">
        <v>5715</v>
      </c>
      <c r="V1672" s="5" t="s">
        <v>5715</v>
      </c>
      <c r="W1672" s="5" t="s">
        <v>72</v>
      </c>
      <c r="X1672" s="5" t="s">
        <v>72</v>
      </c>
      <c r="Y1672" s="4">
        <v>70</v>
      </c>
      <c r="Z1672" s="4">
        <v>8</v>
      </c>
      <c r="AA1672" s="4">
        <v>77</v>
      </c>
      <c r="AB1672" s="4">
        <v>1</v>
      </c>
      <c r="AC1672" s="4">
        <v>14</v>
      </c>
      <c r="AD1672" s="4">
        <v>24</v>
      </c>
      <c r="AE1672" s="4">
        <v>102</v>
      </c>
      <c r="AF1672" s="4">
        <v>0</v>
      </c>
      <c r="AG1672" s="4">
        <v>8</v>
      </c>
      <c r="AH1672" s="4">
        <v>22</v>
      </c>
      <c r="AI1672" s="4">
        <v>69</v>
      </c>
      <c r="AJ1672" s="4">
        <v>6</v>
      </c>
      <c r="AK1672" s="4">
        <v>21</v>
      </c>
      <c r="AL1672" s="4">
        <v>15</v>
      </c>
      <c r="AM1672" s="4">
        <v>34</v>
      </c>
      <c r="AN1672" s="4">
        <v>0</v>
      </c>
      <c r="AO1672" s="4">
        <v>0</v>
      </c>
      <c r="AP1672" s="4">
        <v>6</v>
      </c>
      <c r="AQ1672" s="4">
        <v>40</v>
      </c>
      <c r="AR1672" s="3" t="s">
        <v>64</v>
      </c>
      <c r="AS1672" s="3" t="s">
        <v>64</v>
      </c>
      <c r="AT1672" s="3" t="s">
        <v>64</v>
      </c>
      <c r="AV1672" s="6" t="str">
        <f>HYPERLINK("http://mcgill.on.worldcat.org/oclc/316327237","Catalog Record")</f>
        <v>Catalog Record</v>
      </c>
      <c r="AW1672" s="6" t="str">
        <f>HYPERLINK("http://www.worldcat.org/oclc/316327237","WorldCat Record")</f>
        <v>WorldCat Record</v>
      </c>
      <c r="AX1672" s="3" t="s">
        <v>17388</v>
      </c>
      <c r="AY1672" s="3" t="s">
        <v>17389</v>
      </c>
      <c r="AZ1672" s="3" t="s">
        <v>17390</v>
      </c>
      <c r="BA1672" s="3" t="s">
        <v>17390</v>
      </c>
      <c r="BB1672" s="3" t="s">
        <v>17391</v>
      </c>
      <c r="BC1672" s="3" t="s">
        <v>78</v>
      </c>
      <c r="BD1672" s="3" t="s">
        <v>79</v>
      </c>
      <c r="BE1672" s="3" t="s">
        <v>17392</v>
      </c>
      <c r="BF1672" s="3" t="s">
        <v>17391</v>
      </c>
      <c r="BG1672" s="3" t="s">
        <v>17393</v>
      </c>
    </row>
    <row r="1673" spans="1:59" ht="58" x14ac:dyDescent="0.35">
      <c r="A1673" s="2" t="s">
        <v>59</v>
      </c>
      <c r="B1673" s="2" t="s">
        <v>94</v>
      </c>
      <c r="C1673" s="2" t="s">
        <v>17394</v>
      </c>
      <c r="D1673" s="2" t="s">
        <v>17395</v>
      </c>
      <c r="E1673" s="2" t="s">
        <v>17396</v>
      </c>
      <c r="G1673" s="3" t="s">
        <v>64</v>
      </c>
      <c r="I1673" s="3" t="s">
        <v>64</v>
      </c>
      <c r="J1673" s="3" t="s">
        <v>64</v>
      </c>
      <c r="K1673" s="3" t="s">
        <v>65</v>
      </c>
      <c r="L1673" s="2" t="s">
        <v>17397</v>
      </c>
      <c r="M1673" s="2" t="s">
        <v>17398</v>
      </c>
      <c r="N1673" s="3" t="s">
        <v>214</v>
      </c>
      <c r="P1673" s="3" t="s">
        <v>69</v>
      </c>
      <c r="R1673" s="3" t="s">
        <v>16939</v>
      </c>
      <c r="S1673" s="4">
        <v>2</v>
      </c>
      <c r="T1673" s="4">
        <v>2</v>
      </c>
      <c r="U1673" s="5" t="s">
        <v>17399</v>
      </c>
      <c r="V1673" s="5" t="s">
        <v>17399</v>
      </c>
      <c r="W1673" s="5" t="s">
        <v>72</v>
      </c>
      <c r="X1673" s="5" t="s">
        <v>72</v>
      </c>
      <c r="Y1673" s="4">
        <v>202</v>
      </c>
      <c r="Z1673" s="4">
        <v>21</v>
      </c>
      <c r="AA1673" s="4">
        <v>28</v>
      </c>
      <c r="AB1673" s="4">
        <v>2</v>
      </c>
      <c r="AC1673" s="4">
        <v>4</v>
      </c>
      <c r="AD1673" s="4">
        <v>34</v>
      </c>
      <c r="AE1673" s="4">
        <v>39</v>
      </c>
      <c r="AF1673" s="4">
        <v>0</v>
      </c>
      <c r="AG1673" s="4">
        <v>1</v>
      </c>
      <c r="AH1673" s="4">
        <v>30</v>
      </c>
      <c r="AI1673" s="4">
        <v>34</v>
      </c>
      <c r="AJ1673" s="4">
        <v>8</v>
      </c>
      <c r="AK1673" s="4">
        <v>10</v>
      </c>
      <c r="AL1673" s="4">
        <v>21</v>
      </c>
      <c r="AM1673" s="4">
        <v>22</v>
      </c>
      <c r="AN1673" s="4">
        <v>0</v>
      </c>
      <c r="AO1673" s="4">
        <v>0</v>
      </c>
      <c r="AP1673" s="4">
        <v>7</v>
      </c>
      <c r="AQ1673" s="4">
        <v>10</v>
      </c>
      <c r="AR1673" s="3" t="s">
        <v>64</v>
      </c>
      <c r="AS1673" s="3" t="s">
        <v>64</v>
      </c>
      <c r="AT1673" s="3" t="s">
        <v>64</v>
      </c>
      <c r="AV1673" s="6" t="str">
        <f>HYPERLINK("http://mcgill.on.worldcat.org/oclc/503638180","Catalog Record")</f>
        <v>Catalog Record</v>
      </c>
      <c r="AW1673" s="6" t="str">
        <f>HYPERLINK("http://www.worldcat.org/oclc/503638180","WorldCat Record")</f>
        <v>WorldCat Record</v>
      </c>
      <c r="AX1673" s="3" t="s">
        <v>17400</v>
      </c>
      <c r="AY1673" s="3" t="s">
        <v>17401</v>
      </c>
      <c r="AZ1673" s="3" t="s">
        <v>17402</v>
      </c>
      <c r="BA1673" s="3" t="s">
        <v>17402</v>
      </c>
      <c r="BB1673" s="3" t="s">
        <v>17403</v>
      </c>
      <c r="BC1673" s="3" t="s">
        <v>78</v>
      </c>
      <c r="BD1673" s="3" t="s">
        <v>79</v>
      </c>
      <c r="BE1673" s="3" t="s">
        <v>17404</v>
      </c>
      <c r="BF1673" s="3" t="s">
        <v>17403</v>
      </c>
      <c r="BG1673" s="3" t="s">
        <v>17405</v>
      </c>
    </row>
    <row r="1674" spans="1:59" ht="58" x14ac:dyDescent="0.35">
      <c r="A1674" s="2" t="s">
        <v>59</v>
      </c>
      <c r="B1674" s="2" t="s">
        <v>94</v>
      </c>
      <c r="C1674" s="2" t="s">
        <v>17406</v>
      </c>
      <c r="D1674" s="2" t="s">
        <v>17407</v>
      </c>
      <c r="E1674" s="2" t="s">
        <v>17408</v>
      </c>
      <c r="G1674" s="3" t="s">
        <v>64</v>
      </c>
      <c r="I1674" s="3" t="s">
        <v>64</v>
      </c>
      <c r="J1674" s="3" t="s">
        <v>64</v>
      </c>
      <c r="K1674" s="3" t="s">
        <v>65</v>
      </c>
      <c r="M1674" s="2" t="s">
        <v>17409</v>
      </c>
      <c r="N1674" s="3" t="s">
        <v>340</v>
      </c>
      <c r="P1674" s="3" t="s">
        <v>69</v>
      </c>
      <c r="Q1674" s="2" t="s">
        <v>17410</v>
      </c>
      <c r="R1674" s="3" t="s">
        <v>16939</v>
      </c>
      <c r="S1674" s="4">
        <v>10</v>
      </c>
      <c r="T1674" s="4">
        <v>10</v>
      </c>
      <c r="U1674" s="5" t="s">
        <v>17399</v>
      </c>
      <c r="V1674" s="5" t="s">
        <v>17399</v>
      </c>
      <c r="W1674" s="5" t="s">
        <v>72</v>
      </c>
      <c r="X1674" s="5" t="s">
        <v>72</v>
      </c>
      <c r="Y1674" s="4">
        <v>184</v>
      </c>
      <c r="Z1674" s="4">
        <v>14</v>
      </c>
      <c r="AA1674" s="4">
        <v>14</v>
      </c>
      <c r="AB1674" s="4">
        <v>1</v>
      </c>
      <c r="AC1674" s="4">
        <v>1</v>
      </c>
      <c r="AD1674" s="4">
        <v>76</v>
      </c>
      <c r="AE1674" s="4">
        <v>76</v>
      </c>
      <c r="AF1674" s="4">
        <v>0</v>
      </c>
      <c r="AG1674" s="4">
        <v>0</v>
      </c>
      <c r="AH1674" s="4">
        <v>65</v>
      </c>
      <c r="AI1674" s="4">
        <v>65</v>
      </c>
      <c r="AJ1674" s="4">
        <v>9</v>
      </c>
      <c r="AK1674" s="4">
        <v>9</v>
      </c>
      <c r="AL1674" s="4">
        <v>40</v>
      </c>
      <c r="AM1674" s="4">
        <v>40</v>
      </c>
      <c r="AN1674" s="4">
        <v>0</v>
      </c>
      <c r="AO1674" s="4">
        <v>0</v>
      </c>
      <c r="AP1674" s="4">
        <v>12</v>
      </c>
      <c r="AQ1674" s="4">
        <v>12</v>
      </c>
      <c r="AR1674" s="3" t="s">
        <v>64</v>
      </c>
      <c r="AS1674" s="3" t="s">
        <v>64</v>
      </c>
      <c r="AT1674" s="3" t="s">
        <v>64</v>
      </c>
      <c r="AV1674" s="6" t="str">
        <f>HYPERLINK("http://mcgill.on.worldcat.org/oclc/39339209","Catalog Record")</f>
        <v>Catalog Record</v>
      </c>
      <c r="AW1674" s="6" t="str">
        <f>HYPERLINK("http://www.worldcat.org/oclc/39339209","WorldCat Record")</f>
        <v>WorldCat Record</v>
      </c>
      <c r="AX1674" s="3" t="s">
        <v>17411</v>
      </c>
      <c r="AY1674" s="3" t="s">
        <v>17412</v>
      </c>
      <c r="AZ1674" s="3" t="s">
        <v>17413</v>
      </c>
      <c r="BA1674" s="3" t="s">
        <v>17413</v>
      </c>
      <c r="BB1674" s="3" t="s">
        <v>17414</v>
      </c>
      <c r="BC1674" s="3" t="s">
        <v>78</v>
      </c>
      <c r="BD1674" s="3" t="s">
        <v>79</v>
      </c>
      <c r="BE1674" s="3" t="s">
        <v>17415</v>
      </c>
      <c r="BF1674" s="3" t="s">
        <v>17414</v>
      </c>
      <c r="BG1674" s="3" t="s">
        <v>17416</v>
      </c>
    </row>
    <row r="1675" spans="1:59" ht="58" x14ac:dyDescent="0.35">
      <c r="A1675" s="2" t="s">
        <v>59</v>
      </c>
      <c r="B1675" s="2" t="s">
        <v>94</v>
      </c>
      <c r="C1675" s="2" t="s">
        <v>17417</v>
      </c>
      <c r="D1675" s="2" t="s">
        <v>17418</v>
      </c>
      <c r="E1675" s="2" t="s">
        <v>17419</v>
      </c>
      <c r="G1675" s="3" t="s">
        <v>64</v>
      </c>
      <c r="I1675" s="3" t="s">
        <v>64</v>
      </c>
      <c r="J1675" s="3" t="s">
        <v>64</v>
      </c>
      <c r="K1675" s="3" t="s">
        <v>65</v>
      </c>
      <c r="L1675" s="2" t="s">
        <v>17420</v>
      </c>
      <c r="M1675" s="2" t="s">
        <v>17421</v>
      </c>
      <c r="N1675" s="3" t="s">
        <v>1029</v>
      </c>
      <c r="P1675" s="3" t="s">
        <v>69</v>
      </c>
      <c r="R1675" s="3" t="s">
        <v>16939</v>
      </c>
      <c r="S1675" s="4">
        <v>7</v>
      </c>
      <c r="T1675" s="4">
        <v>7</v>
      </c>
      <c r="U1675" s="5" t="s">
        <v>17422</v>
      </c>
      <c r="V1675" s="5" t="s">
        <v>17422</v>
      </c>
      <c r="W1675" s="5" t="s">
        <v>72</v>
      </c>
      <c r="X1675" s="5" t="s">
        <v>72</v>
      </c>
      <c r="Y1675" s="4">
        <v>65</v>
      </c>
      <c r="Z1675" s="4">
        <v>3</v>
      </c>
      <c r="AA1675" s="4">
        <v>3</v>
      </c>
      <c r="AB1675" s="4">
        <v>2</v>
      </c>
      <c r="AC1675" s="4">
        <v>2</v>
      </c>
      <c r="AD1675" s="4">
        <v>13</v>
      </c>
      <c r="AE1675" s="4">
        <v>13</v>
      </c>
      <c r="AF1675" s="4">
        <v>0</v>
      </c>
      <c r="AG1675" s="4">
        <v>0</v>
      </c>
      <c r="AH1675" s="4">
        <v>12</v>
      </c>
      <c r="AI1675" s="4">
        <v>12</v>
      </c>
      <c r="AJ1675" s="4">
        <v>0</v>
      </c>
      <c r="AK1675" s="4">
        <v>0</v>
      </c>
      <c r="AL1675" s="4">
        <v>9</v>
      </c>
      <c r="AM1675" s="4">
        <v>9</v>
      </c>
      <c r="AN1675" s="4">
        <v>0</v>
      </c>
      <c r="AO1675" s="4">
        <v>0</v>
      </c>
      <c r="AP1675" s="4">
        <v>1</v>
      </c>
      <c r="AQ1675" s="4">
        <v>1</v>
      </c>
      <c r="AR1675" s="3" t="s">
        <v>64</v>
      </c>
      <c r="AS1675" s="3" t="s">
        <v>64</v>
      </c>
      <c r="AT1675" s="3" t="s">
        <v>64</v>
      </c>
      <c r="AV1675" s="6" t="str">
        <f>HYPERLINK("http://mcgill.on.worldcat.org/oclc/360145015","Catalog Record")</f>
        <v>Catalog Record</v>
      </c>
      <c r="AW1675" s="6" t="str">
        <f>HYPERLINK("http://www.worldcat.org/oclc/360145015","WorldCat Record")</f>
        <v>WorldCat Record</v>
      </c>
      <c r="AX1675" s="3" t="s">
        <v>17423</v>
      </c>
      <c r="AY1675" s="3" t="s">
        <v>17424</v>
      </c>
      <c r="AZ1675" s="3" t="s">
        <v>17425</v>
      </c>
      <c r="BA1675" s="3" t="s">
        <v>17425</v>
      </c>
      <c r="BB1675" s="3" t="s">
        <v>17426</v>
      </c>
      <c r="BC1675" s="3" t="s">
        <v>78</v>
      </c>
      <c r="BD1675" s="3" t="s">
        <v>79</v>
      </c>
      <c r="BE1675" s="3" t="s">
        <v>17427</v>
      </c>
      <c r="BF1675" s="3" t="s">
        <v>17426</v>
      </c>
      <c r="BG1675" s="3" t="s">
        <v>17428</v>
      </c>
    </row>
    <row r="1676" spans="1:59" ht="58" x14ac:dyDescent="0.35">
      <c r="A1676" s="2" t="s">
        <v>59</v>
      </c>
      <c r="B1676" s="2" t="s">
        <v>94</v>
      </c>
      <c r="C1676" s="2" t="s">
        <v>17429</v>
      </c>
      <c r="D1676" s="2" t="s">
        <v>17430</v>
      </c>
      <c r="E1676" s="2" t="s">
        <v>17431</v>
      </c>
      <c r="G1676" s="3" t="s">
        <v>64</v>
      </c>
      <c r="I1676" s="3" t="s">
        <v>64</v>
      </c>
      <c r="J1676" s="3" t="s">
        <v>64</v>
      </c>
      <c r="K1676" s="3" t="s">
        <v>65</v>
      </c>
      <c r="L1676" s="2" t="s">
        <v>17432</v>
      </c>
      <c r="M1676" s="2" t="s">
        <v>17433</v>
      </c>
      <c r="N1676" s="3" t="s">
        <v>377</v>
      </c>
      <c r="P1676" s="3" t="s">
        <v>69</v>
      </c>
      <c r="Q1676" s="2" t="s">
        <v>17434</v>
      </c>
      <c r="R1676" s="3" t="s">
        <v>16939</v>
      </c>
      <c r="S1676" s="4">
        <v>2</v>
      </c>
      <c r="T1676" s="4">
        <v>2</v>
      </c>
      <c r="U1676" s="5" t="s">
        <v>3611</v>
      </c>
      <c r="V1676" s="5" t="s">
        <v>3611</v>
      </c>
      <c r="W1676" s="5" t="s">
        <v>72</v>
      </c>
      <c r="X1676" s="5" t="s">
        <v>72</v>
      </c>
      <c r="Y1676" s="4">
        <v>156</v>
      </c>
      <c r="Z1676" s="4">
        <v>13</v>
      </c>
      <c r="AA1676" s="4">
        <v>45</v>
      </c>
      <c r="AB1676" s="4">
        <v>1</v>
      </c>
      <c r="AC1676" s="4">
        <v>4</v>
      </c>
      <c r="AD1676" s="4">
        <v>65</v>
      </c>
      <c r="AE1676" s="4">
        <v>83</v>
      </c>
      <c r="AF1676" s="4">
        <v>0</v>
      </c>
      <c r="AG1676" s="4">
        <v>1</v>
      </c>
      <c r="AH1676" s="4">
        <v>58</v>
      </c>
      <c r="AI1676" s="4">
        <v>67</v>
      </c>
      <c r="AJ1676" s="4">
        <v>8</v>
      </c>
      <c r="AK1676" s="4">
        <v>14</v>
      </c>
      <c r="AL1676" s="4">
        <v>41</v>
      </c>
      <c r="AM1676" s="4">
        <v>46</v>
      </c>
      <c r="AN1676" s="4">
        <v>0</v>
      </c>
      <c r="AO1676" s="4">
        <v>0</v>
      </c>
      <c r="AP1676" s="4">
        <v>11</v>
      </c>
      <c r="AQ1676" s="4">
        <v>20</v>
      </c>
      <c r="AR1676" s="3" t="s">
        <v>64</v>
      </c>
      <c r="AS1676" s="3" t="s">
        <v>64</v>
      </c>
      <c r="AT1676" s="3" t="s">
        <v>64</v>
      </c>
      <c r="AV1676" s="6" t="str">
        <f>HYPERLINK("http://mcgill.on.worldcat.org/oclc/779244511","Catalog Record")</f>
        <v>Catalog Record</v>
      </c>
      <c r="AW1676" s="6" t="str">
        <f>HYPERLINK("http://www.worldcat.org/oclc/779244511","WorldCat Record")</f>
        <v>WorldCat Record</v>
      </c>
      <c r="AX1676" s="3" t="s">
        <v>17435</v>
      </c>
      <c r="AY1676" s="3" t="s">
        <v>17436</v>
      </c>
      <c r="AZ1676" s="3" t="s">
        <v>17437</v>
      </c>
      <c r="BA1676" s="3" t="s">
        <v>17437</v>
      </c>
      <c r="BB1676" s="3" t="s">
        <v>17438</v>
      </c>
      <c r="BC1676" s="3" t="s">
        <v>78</v>
      </c>
      <c r="BD1676" s="3" t="s">
        <v>79</v>
      </c>
      <c r="BE1676" s="3" t="s">
        <v>17439</v>
      </c>
      <c r="BF1676" s="3" t="s">
        <v>17438</v>
      </c>
      <c r="BG1676" s="3" t="s">
        <v>17440</v>
      </c>
    </row>
    <row r="1677" spans="1:59" ht="58" x14ac:dyDescent="0.35">
      <c r="A1677" s="2" t="s">
        <v>59</v>
      </c>
      <c r="B1677" s="2" t="s">
        <v>94</v>
      </c>
      <c r="C1677" s="2" t="s">
        <v>17441</v>
      </c>
      <c r="D1677" s="2" t="s">
        <v>17442</v>
      </c>
      <c r="E1677" s="2" t="s">
        <v>17443</v>
      </c>
      <c r="G1677" s="3" t="s">
        <v>64</v>
      </c>
      <c r="I1677" s="3" t="s">
        <v>64</v>
      </c>
      <c r="J1677" s="3" t="s">
        <v>64</v>
      </c>
      <c r="K1677" s="3" t="s">
        <v>65</v>
      </c>
      <c r="L1677" s="2" t="s">
        <v>17444</v>
      </c>
      <c r="M1677" s="2" t="s">
        <v>17445</v>
      </c>
      <c r="N1677" s="3" t="s">
        <v>1029</v>
      </c>
      <c r="P1677" s="3" t="s">
        <v>69</v>
      </c>
      <c r="R1677" s="3" t="s">
        <v>16939</v>
      </c>
      <c r="S1677" s="4">
        <v>1</v>
      </c>
      <c r="T1677" s="4">
        <v>1</v>
      </c>
      <c r="U1677" s="5" t="s">
        <v>17446</v>
      </c>
      <c r="V1677" s="5" t="s">
        <v>17446</v>
      </c>
      <c r="W1677" s="5" t="s">
        <v>72</v>
      </c>
      <c r="X1677" s="5" t="s">
        <v>72</v>
      </c>
      <c r="Y1677" s="4">
        <v>68</v>
      </c>
      <c r="Z1677" s="4">
        <v>8</v>
      </c>
      <c r="AA1677" s="4">
        <v>10</v>
      </c>
      <c r="AB1677" s="4">
        <v>1</v>
      </c>
      <c r="AC1677" s="4">
        <v>3</v>
      </c>
      <c r="AD1677" s="4">
        <v>19</v>
      </c>
      <c r="AE1677" s="4">
        <v>19</v>
      </c>
      <c r="AF1677" s="4">
        <v>0</v>
      </c>
      <c r="AG1677" s="4">
        <v>0</v>
      </c>
      <c r="AH1677" s="4">
        <v>16</v>
      </c>
      <c r="AI1677" s="4">
        <v>16</v>
      </c>
      <c r="AJ1677" s="4">
        <v>4</v>
      </c>
      <c r="AK1677" s="4">
        <v>4</v>
      </c>
      <c r="AL1677" s="4">
        <v>13</v>
      </c>
      <c r="AM1677" s="4">
        <v>13</v>
      </c>
      <c r="AN1677" s="4">
        <v>0</v>
      </c>
      <c r="AO1677" s="4">
        <v>0</v>
      </c>
      <c r="AP1677" s="4">
        <v>5</v>
      </c>
      <c r="AQ1677" s="4">
        <v>5</v>
      </c>
      <c r="AR1677" s="3" t="s">
        <v>64</v>
      </c>
      <c r="AS1677" s="3" t="s">
        <v>64</v>
      </c>
      <c r="AT1677" s="3" t="s">
        <v>64</v>
      </c>
      <c r="AV1677" s="6" t="str">
        <f>HYPERLINK("http://mcgill.on.worldcat.org/oclc/277068789","Catalog Record")</f>
        <v>Catalog Record</v>
      </c>
      <c r="AW1677" s="6" t="str">
        <f>HYPERLINK("http://www.worldcat.org/oclc/277068789","WorldCat Record")</f>
        <v>WorldCat Record</v>
      </c>
      <c r="AX1677" s="3" t="s">
        <v>17447</v>
      </c>
      <c r="AY1677" s="3" t="s">
        <v>17448</v>
      </c>
      <c r="AZ1677" s="3" t="s">
        <v>17449</v>
      </c>
      <c r="BA1677" s="3" t="s">
        <v>17449</v>
      </c>
      <c r="BB1677" s="3" t="s">
        <v>17450</v>
      </c>
      <c r="BC1677" s="3" t="s">
        <v>78</v>
      </c>
      <c r="BD1677" s="3" t="s">
        <v>79</v>
      </c>
      <c r="BE1677" s="3" t="s">
        <v>17451</v>
      </c>
      <c r="BF1677" s="3" t="s">
        <v>17450</v>
      </c>
      <c r="BG1677" s="3" t="s">
        <v>17452</v>
      </c>
    </row>
    <row r="1678" spans="1:59" ht="58" x14ac:dyDescent="0.35">
      <c r="A1678" s="2" t="s">
        <v>59</v>
      </c>
      <c r="B1678" s="2" t="s">
        <v>94</v>
      </c>
      <c r="C1678" s="2" t="s">
        <v>17453</v>
      </c>
      <c r="D1678" s="2" t="s">
        <v>17454</v>
      </c>
      <c r="E1678" s="2" t="s">
        <v>17455</v>
      </c>
      <c r="G1678" s="3" t="s">
        <v>64</v>
      </c>
      <c r="I1678" s="3" t="s">
        <v>64</v>
      </c>
      <c r="J1678" s="3" t="s">
        <v>64</v>
      </c>
      <c r="K1678" s="3" t="s">
        <v>65</v>
      </c>
      <c r="L1678" s="2" t="s">
        <v>17456</v>
      </c>
      <c r="M1678" s="2" t="s">
        <v>17457</v>
      </c>
      <c r="N1678" s="3" t="s">
        <v>68</v>
      </c>
      <c r="P1678" s="3" t="s">
        <v>69</v>
      </c>
      <c r="R1678" s="3" t="s">
        <v>16939</v>
      </c>
      <c r="S1678" s="4">
        <v>2</v>
      </c>
      <c r="T1678" s="4">
        <v>2</v>
      </c>
      <c r="U1678" s="5" t="s">
        <v>652</v>
      </c>
      <c r="V1678" s="5" t="s">
        <v>652</v>
      </c>
      <c r="W1678" s="5" t="s">
        <v>72</v>
      </c>
      <c r="X1678" s="5" t="s">
        <v>72</v>
      </c>
      <c r="Y1678" s="4">
        <v>70</v>
      </c>
      <c r="Z1678" s="4">
        <v>6</v>
      </c>
      <c r="AA1678" s="4">
        <v>14</v>
      </c>
      <c r="AB1678" s="4">
        <v>1</v>
      </c>
      <c r="AC1678" s="4">
        <v>4</v>
      </c>
      <c r="AD1678" s="4">
        <v>23</v>
      </c>
      <c r="AE1678" s="4">
        <v>46</v>
      </c>
      <c r="AF1678" s="4">
        <v>0</v>
      </c>
      <c r="AG1678" s="4">
        <v>1</v>
      </c>
      <c r="AH1678" s="4">
        <v>22</v>
      </c>
      <c r="AI1678" s="4">
        <v>43</v>
      </c>
      <c r="AJ1678" s="4">
        <v>2</v>
      </c>
      <c r="AK1678" s="4">
        <v>6</v>
      </c>
      <c r="AL1678" s="4">
        <v>15</v>
      </c>
      <c r="AM1678" s="4">
        <v>27</v>
      </c>
      <c r="AN1678" s="4">
        <v>0</v>
      </c>
      <c r="AO1678" s="4">
        <v>0</v>
      </c>
      <c r="AP1678" s="4">
        <v>2</v>
      </c>
      <c r="AQ1678" s="4">
        <v>6</v>
      </c>
      <c r="AR1678" s="3" t="s">
        <v>64</v>
      </c>
      <c r="AS1678" s="3" t="s">
        <v>64</v>
      </c>
      <c r="AT1678" s="3" t="s">
        <v>64</v>
      </c>
      <c r="AV1678" s="6" t="str">
        <f>HYPERLINK("http://mcgill.on.worldcat.org/oclc/76941848","Catalog Record")</f>
        <v>Catalog Record</v>
      </c>
      <c r="AW1678" s="6" t="str">
        <f>HYPERLINK("http://www.worldcat.org/oclc/76941848","WorldCat Record")</f>
        <v>WorldCat Record</v>
      </c>
      <c r="AX1678" s="3" t="s">
        <v>17458</v>
      </c>
      <c r="AY1678" s="3" t="s">
        <v>17459</v>
      </c>
      <c r="AZ1678" s="3" t="s">
        <v>17460</v>
      </c>
      <c r="BA1678" s="3" t="s">
        <v>17460</v>
      </c>
      <c r="BB1678" s="3" t="s">
        <v>17461</v>
      </c>
      <c r="BC1678" s="3" t="s">
        <v>78</v>
      </c>
      <c r="BD1678" s="3" t="s">
        <v>79</v>
      </c>
      <c r="BE1678" s="3" t="s">
        <v>17462</v>
      </c>
      <c r="BF1678" s="3" t="s">
        <v>17461</v>
      </c>
      <c r="BG1678" s="3" t="s">
        <v>17463</v>
      </c>
    </row>
    <row r="1679" spans="1:59" ht="58" x14ac:dyDescent="0.35">
      <c r="A1679" s="2" t="s">
        <v>59</v>
      </c>
      <c r="B1679" s="2" t="s">
        <v>94</v>
      </c>
      <c r="C1679" s="2" t="s">
        <v>17464</v>
      </c>
      <c r="D1679" s="2" t="s">
        <v>17465</v>
      </c>
      <c r="E1679" s="2" t="s">
        <v>17466</v>
      </c>
      <c r="G1679" s="3" t="s">
        <v>64</v>
      </c>
      <c r="I1679" s="3" t="s">
        <v>64</v>
      </c>
      <c r="J1679" s="3" t="s">
        <v>64</v>
      </c>
      <c r="K1679" s="3" t="s">
        <v>65</v>
      </c>
      <c r="L1679" s="2" t="s">
        <v>17456</v>
      </c>
      <c r="M1679" s="2" t="s">
        <v>17467</v>
      </c>
      <c r="N1679" s="3" t="s">
        <v>274</v>
      </c>
      <c r="P1679" s="3" t="s">
        <v>69</v>
      </c>
      <c r="R1679" s="3" t="s">
        <v>16939</v>
      </c>
      <c r="S1679" s="4">
        <v>5</v>
      </c>
      <c r="T1679" s="4">
        <v>5</v>
      </c>
      <c r="U1679" s="5" t="s">
        <v>652</v>
      </c>
      <c r="V1679" s="5" t="s">
        <v>652</v>
      </c>
      <c r="W1679" s="5" t="s">
        <v>72</v>
      </c>
      <c r="X1679" s="5" t="s">
        <v>72</v>
      </c>
      <c r="Y1679" s="4">
        <v>94</v>
      </c>
      <c r="Z1679" s="4">
        <v>8</v>
      </c>
      <c r="AA1679" s="4">
        <v>14</v>
      </c>
      <c r="AB1679" s="4">
        <v>2</v>
      </c>
      <c r="AC1679" s="4">
        <v>2</v>
      </c>
      <c r="AD1679" s="4">
        <v>30</v>
      </c>
      <c r="AE1679" s="4">
        <v>39</v>
      </c>
      <c r="AF1679" s="4">
        <v>0</v>
      </c>
      <c r="AG1679" s="4">
        <v>0</v>
      </c>
      <c r="AH1679" s="4">
        <v>28</v>
      </c>
      <c r="AI1679" s="4">
        <v>37</v>
      </c>
      <c r="AJ1679" s="4">
        <v>6</v>
      </c>
      <c r="AK1679" s="4">
        <v>9</v>
      </c>
      <c r="AL1679" s="4">
        <v>14</v>
      </c>
      <c r="AM1679" s="4">
        <v>20</v>
      </c>
      <c r="AN1679" s="4">
        <v>0</v>
      </c>
      <c r="AO1679" s="4">
        <v>0</v>
      </c>
      <c r="AP1679" s="4">
        <v>6</v>
      </c>
      <c r="AQ1679" s="4">
        <v>10</v>
      </c>
      <c r="AR1679" s="3" t="s">
        <v>64</v>
      </c>
      <c r="AS1679" s="3" t="s">
        <v>64</v>
      </c>
      <c r="AT1679" s="3" t="s">
        <v>64</v>
      </c>
      <c r="AV1679" s="6" t="str">
        <f>HYPERLINK("http://mcgill.on.worldcat.org/oclc/59772635","Catalog Record")</f>
        <v>Catalog Record</v>
      </c>
      <c r="AW1679" s="6" t="str">
        <f>HYPERLINK("http://www.worldcat.org/oclc/59772635","WorldCat Record")</f>
        <v>WorldCat Record</v>
      </c>
      <c r="AX1679" s="3" t="s">
        <v>17468</v>
      </c>
      <c r="AY1679" s="3" t="s">
        <v>17469</v>
      </c>
      <c r="AZ1679" s="3" t="s">
        <v>17470</v>
      </c>
      <c r="BA1679" s="3" t="s">
        <v>17470</v>
      </c>
      <c r="BB1679" s="3" t="s">
        <v>17471</v>
      </c>
      <c r="BC1679" s="3" t="s">
        <v>78</v>
      </c>
      <c r="BD1679" s="3" t="s">
        <v>79</v>
      </c>
      <c r="BE1679" s="3" t="s">
        <v>17472</v>
      </c>
      <c r="BF1679" s="3" t="s">
        <v>17471</v>
      </c>
      <c r="BG1679" s="3" t="s">
        <v>17473</v>
      </c>
    </row>
    <row r="1680" spans="1:59" ht="58" x14ac:dyDescent="0.35">
      <c r="A1680" s="2" t="s">
        <v>59</v>
      </c>
      <c r="B1680" s="2" t="s">
        <v>94</v>
      </c>
      <c r="C1680" s="2" t="s">
        <v>17474</v>
      </c>
      <c r="D1680" s="2" t="s">
        <v>17475</v>
      </c>
      <c r="E1680" s="2" t="s">
        <v>17476</v>
      </c>
      <c r="G1680" s="3" t="s">
        <v>64</v>
      </c>
      <c r="I1680" s="3" t="s">
        <v>64</v>
      </c>
      <c r="J1680" s="3" t="s">
        <v>64</v>
      </c>
      <c r="K1680" s="3" t="s">
        <v>65</v>
      </c>
      <c r="L1680" s="2" t="s">
        <v>17477</v>
      </c>
      <c r="M1680" s="2" t="s">
        <v>17478</v>
      </c>
      <c r="N1680" s="3" t="s">
        <v>689</v>
      </c>
      <c r="O1680" s="2" t="s">
        <v>677</v>
      </c>
      <c r="P1680" s="3" t="s">
        <v>69</v>
      </c>
      <c r="R1680" s="3" t="s">
        <v>16939</v>
      </c>
      <c r="S1680" s="4">
        <v>29</v>
      </c>
      <c r="T1680" s="4">
        <v>29</v>
      </c>
      <c r="U1680" s="5" t="s">
        <v>17479</v>
      </c>
      <c r="V1680" s="5" t="s">
        <v>17479</v>
      </c>
      <c r="W1680" s="5" t="s">
        <v>72</v>
      </c>
      <c r="X1680" s="5" t="s">
        <v>72</v>
      </c>
      <c r="Y1680" s="4">
        <v>909</v>
      </c>
      <c r="Z1680" s="4">
        <v>17</v>
      </c>
      <c r="AA1680" s="4">
        <v>23</v>
      </c>
      <c r="AB1680" s="4">
        <v>2</v>
      </c>
      <c r="AC1680" s="4">
        <v>4</v>
      </c>
      <c r="AD1680" s="4">
        <v>87</v>
      </c>
      <c r="AE1680" s="4">
        <v>99</v>
      </c>
      <c r="AF1680" s="4">
        <v>0</v>
      </c>
      <c r="AG1680" s="4">
        <v>2</v>
      </c>
      <c r="AH1680" s="4">
        <v>81</v>
      </c>
      <c r="AI1680" s="4">
        <v>88</v>
      </c>
      <c r="AJ1680" s="4">
        <v>7</v>
      </c>
      <c r="AK1680" s="4">
        <v>11</v>
      </c>
      <c r="AL1680" s="4">
        <v>43</v>
      </c>
      <c r="AM1680" s="4">
        <v>48</v>
      </c>
      <c r="AN1680" s="4">
        <v>0</v>
      </c>
      <c r="AO1680" s="4">
        <v>0</v>
      </c>
      <c r="AP1680" s="4">
        <v>8</v>
      </c>
      <c r="AQ1680" s="4">
        <v>13</v>
      </c>
      <c r="AR1680" s="3" t="s">
        <v>64</v>
      </c>
      <c r="AS1680" s="3" t="s">
        <v>64</v>
      </c>
      <c r="AT1680" s="3" t="s">
        <v>64</v>
      </c>
      <c r="AV1680" s="6" t="str">
        <f>HYPERLINK("http://mcgill.on.worldcat.org/oclc/22542367","Catalog Record")</f>
        <v>Catalog Record</v>
      </c>
      <c r="AW1680" s="6" t="str">
        <f>HYPERLINK("http://www.worldcat.org/oclc/22542367","WorldCat Record")</f>
        <v>WorldCat Record</v>
      </c>
      <c r="AX1680" s="3" t="s">
        <v>17480</v>
      </c>
      <c r="AY1680" s="3" t="s">
        <v>17481</v>
      </c>
      <c r="AZ1680" s="3" t="s">
        <v>17482</v>
      </c>
      <c r="BA1680" s="3" t="s">
        <v>17482</v>
      </c>
      <c r="BB1680" s="3" t="s">
        <v>17483</v>
      </c>
      <c r="BC1680" s="3" t="s">
        <v>78</v>
      </c>
      <c r="BD1680" s="3" t="s">
        <v>79</v>
      </c>
      <c r="BE1680" s="3" t="s">
        <v>17484</v>
      </c>
      <c r="BF1680" s="3" t="s">
        <v>17483</v>
      </c>
      <c r="BG1680" s="3" t="s">
        <v>17485</v>
      </c>
    </row>
    <row r="1681" spans="1:59" ht="72.5" x14ac:dyDescent="0.35">
      <c r="A1681" s="2" t="s">
        <v>59</v>
      </c>
      <c r="B1681" s="2" t="s">
        <v>94</v>
      </c>
      <c r="C1681" s="2" t="s">
        <v>17486</v>
      </c>
      <c r="D1681" s="2" t="s">
        <v>17487</v>
      </c>
      <c r="E1681" s="2" t="s">
        <v>17488</v>
      </c>
      <c r="G1681" s="3" t="s">
        <v>64</v>
      </c>
      <c r="I1681" s="3" t="s">
        <v>64</v>
      </c>
      <c r="J1681" s="3" t="s">
        <v>64</v>
      </c>
      <c r="K1681" s="3" t="s">
        <v>65</v>
      </c>
      <c r="L1681" s="2" t="s">
        <v>17489</v>
      </c>
      <c r="M1681" s="2" t="s">
        <v>5772</v>
      </c>
      <c r="N1681" s="3" t="s">
        <v>226</v>
      </c>
      <c r="P1681" s="3" t="s">
        <v>69</v>
      </c>
      <c r="R1681" s="3" t="s">
        <v>16939</v>
      </c>
      <c r="S1681" s="4">
        <v>7</v>
      </c>
      <c r="T1681" s="4">
        <v>7</v>
      </c>
      <c r="U1681" s="5" t="s">
        <v>423</v>
      </c>
      <c r="V1681" s="5" t="s">
        <v>423</v>
      </c>
      <c r="W1681" s="5" t="s">
        <v>72</v>
      </c>
      <c r="X1681" s="5" t="s">
        <v>72</v>
      </c>
      <c r="Y1681" s="4">
        <v>173</v>
      </c>
      <c r="Z1681" s="4">
        <v>12</v>
      </c>
      <c r="AA1681" s="4">
        <v>16</v>
      </c>
      <c r="AB1681" s="4">
        <v>1</v>
      </c>
      <c r="AC1681" s="4">
        <v>4</v>
      </c>
      <c r="AD1681" s="4">
        <v>76</v>
      </c>
      <c r="AE1681" s="4">
        <v>79</v>
      </c>
      <c r="AF1681" s="4">
        <v>0</v>
      </c>
      <c r="AG1681" s="4">
        <v>0</v>
      </c>
      <c r="AH1681" s="4">
        <v>73</v>
      </c>
      <c r="AI1681" s="4">
        <v>75</v>
      </c>
      <c r="AJ1681" s="4">
        <v>6</v>
      </c>
      <c r="AK1681" s="4">
        <v>7</v>
      </c>
      <c r="AL1681" s="4">
        <v>42</v>
      </c>
      <c r="AM1681" s="4">
        <v>43</v>
      </c>
      <c r="AN1681" s="4">
        <v>0</v>
      </c>
      <c r="AO1681" s="4">
        <v>0</v>
      </c>
      <c r="AP1681" s="4">
        <v>7</v>
      </c>
      <c r="AQ1681" s="4">
        <v>8</v>
      </c>
      <c r="AR1681" s="3" t="s">
        <v>64</v>
      </c>
      <c r="AS1681" s="3" t="s">
        <v>64</v>
      </c>
      <c r="AT1681" s="3" t="s">
        <v>64</v>
      </c>
      <c r="AV1681" s="6" t="str">
        <f>HYPERLINK("http://mcgill.on.worldcat.org/oclc/36566036","Catalog Record")</f>
        <v>Catalog Record</v>
      </c>
      <c r="AW1681" s="6" t="str">
        <f>HYPERLINK("http://www.worldcat.org/oclc/36566036","WorldCat Record")</f>
        <v>WorldCat Record</v>
      </c>
      <c r="AX1681" s="3" t="s">
        <v>17490</v>
      </c>
      <c r="AY1681" s="3" t="s">
        <v>17491</v>
      </c>
      <c r="AZ1681" s="3" t="s">
        <v>17492</v>
      </c>
      <c r="BA1681" s="3" t="s">
        <v>17492</v>
      </c>
      <c r="BB1681" s="3" t="s">
        <v>17493</v>
      </c>
      <c r="BC1681" s="3" t="s">
        <v>78</v>
      </c>
      <c r="BD1681" s="3" t="s">
        <v>79</v>
      </c>
      <c r="BE1681" s="3" t="s">
        <v>17494</v>
      </c>
      <c r="BF1681" s="3" t="s">
        <v>17493</v>
      </c>
      <c r="BG1681" s="3" t="s">
        <v>17495</v>
      </c>
    </row>
    <row r="1682" spans="1:59" ht="72.5" x14ac:dyDescent="0.35">
      <c r="A1682" s="2" t="s">
        <v>59</v>
      </c>
      <c r="B1682" s="2" t="s">
        <v>94</v>
      </c>
      <c r="C1682" s="2" t="s">
        <v>17496</v>
      </c>
      <c r="D1682" s="2" t="s">
        <v>17497</v>
      </c>
      <c r="E1682" s="2" t="s">
        <v>17498</v>
      </c>
      <c r="G1682" s="3" t="s">
        <v>64</v>
      </c>
      <c r="I1682" s="3" t="s">
        <v>64</v>
      </c>
      <c r="J1682" s="3" t="s">
        <v>64</v>
      </c>
      <c r="K1682" s="3" t="s">
        <v>65</v>
      </c>
      <c r="L1682" s="2" t="s">
        <v>17499</v>
      </c>
      <c r="M1682" s="2" t="s">
        <v>17500</v>
      </c>
      <c r="N1682" s="3" t="s">
        <v>328</v>
      </c>
      <c r="P1682" s="3" t="s">
        <v>69</v>
      </c>
      <c r="R1682" s="3" t="s">
        <v>16939</v>
      </c>
      <c r="S1682" s="4">
        <v>4</v>
      </c>
      <c r="T1682" s="4">
        <v>4</v>
      </c>
      <c r="U1682" s="5" t="s">
        <v>17501</v>
      </c>
      <c r="V1682" s="5" t="s">
        <v>17501</v>
      </c>
      <c r="W1682" s="5" t="s">
        <v>72</v>
      </c>
      <c r="X1682" s="5" t="s">
        <v>72</v>
      </c>
      <c r="Y1682" s="4">
        <v>77</v>
      </c>
      <c r="Z1682" s="4">
        <v>1</v>
      </c>
      <c r="AA1682" s="4">
        <v>5</v>
      </c>
      <c r="AB1682" s="4">
        <v>1</v>
      </c>
      <c r="AC1682" s="4">
        <v>1</v>
      </c>
      <c r="AD1682" s="4">
        <v>23</v>
      </c>
      <c r="AE1682" s="4">
        <v>34</v>
      </c>
      <c r="AF1682" s="4">
        <v>0</v>
      </c>
      <c r="AG1682" s="4">
        <v>0</v>
      </c>
      <c r="AH1682" s="4">
        <v>22</v>
      </c>
      <c r="AI1682" s="4">
        <v>33</v>
      </c>
      <c r="AJ1682" s="4">
        <v>0</v>
      </c>
      <c r="AK1682" s="4">
        <v>3</v>
      </c>
      <c r="AL1682" s="4">
        <v>16</v>
      </c>
      <c r="AM1682" s="4">
        <v>23</v>
      </c>
      <c r="AN1682" s="4">
        <v>0</v>
      </c>
      <c r="AO1682" s="4">
        <v>0</v>
      </c>
      <c r="AP1682" s="4">
        <v>0</v>
      </c>
      <c r="AQ1682" s="4">
        <v>3</v>
      </c>
      <c r="AR1682" s="3" t="s">
        <v>64</v>
      </c>
      <c r="AS1682" s="3" t="s">
        <v>64</v>
      </c>
      <c r="AT1682" s="3" t="s">
        <v>64</v>
      </c>
      <c r="AV1682" s="6" t="str">
        <f>HYPERLINK("http://mcgill.on.worldcat.org/oclc/747099838","Catalog Record")</f>
        <v>Catalog Record</v>
      </c>
      <c r="AW1682" s="6" t="str">
        <f>HYPERLINK("http://www.worldcat.org/oclc/747099838","WorldCat Record")</f>
        <v>WorldCat Record</v>
      </c>
      <c r="AX1682" s="3" t="s">
        <v>17502</v>
      </c>
      <c r="AY1682" s="3" t="s">
        <v>17503</v>
      </c>
      <c r="AZ1682" s="3" t="s">
        <v>17504</v>
      </c>
      <c r="BA1682" s="3" t="s">
        <v>17504</v>
      </c>
      <c r="BB1682" s="3" t="s">
        <v>17505</v>
      </c>
      <c r="BC1682" s="3" t="s">
        <v>78</v>
      </c>
      <c r="BD1682" s="3" t="s">
        <v>79</v>
      </c>
      <c r="BE1682" s="3" t="s">
        <v>17506</v>
      </c>
      <c r="BF1682" s="3" t="s">
        <v>17505</v>
      </c>
      <c r="BG1682" s="3" t="s">
        <v>17507</v>
      </c>
    </row>
    <row r="1683" spans="1:59" ht="58" x14ac:dyDescent="0.35">
      <c r="A1683" s="2" t="s">
        <v>59</v>
      </c>
      <c r="B1683" s="2" t="s">
        <v>94</v>
      </c>
      <c r="C1683" s="2" t="s">
        <v>17508</v>
      </c>
      <c r="D1683" s="2" t="s">
        <v>17509</v>
      </c>
      <c r="E1683" s="2" t="s">
        <v>17510</v>
      </c>
      <c r="G1683" s="3" t="s">
        <v>64</v>
      </c>
      <c r="I1683" s="3" t="s">
        <v>64</v>
      </c>
      <c r="J1683" s="3" t="s">
        <v>64</v>
      </c>
      <c r="K1683" s="3" t="s">
        <v>65</v>
      </c>
      <c r="L1683" s="2" t="s">
        <v>17511</v>
      </c>
      <c r="M1683" s="2" t="s">
        <v>17512</v>
      </c>
      <c r="N1683" s="3" t="s">
        <v>473</v>
      </c>
      <c r="P1683" s="3" t="s">
        <v>69</v>
      </c>
      <c r="R1683" s="3" t="s">
        <v>16939</v>
      </c>
      <c r="S1683" s="4">
        <v>26</v>
      </c>
      <c r="T1683" s="4">
        <v>26</v>
      </c>
      <c r="U1683" s="5" t="s">
        <v>17479</v>
      </c>
      <c r="V1683" s="5" t="s">
        <v>17479</v>
      </c>
      <c r="W1683" s="5" t="s">
        <v>72</v>
      </c>
      <c r="X1683" s="5" t="s">
        <v>72</v>
      </c>
      <c r="Y1683" s="4">
        <v>1143</v>
      </c>
      <c r="Z1683" s="4">
        <v>33</v>
      </c>
      <c r="AA1683" s="4">
        <v>41</v>
      </c>
      <c r="AB1683" s="4">
        <v>1</v>
      </c>
      <c r="AC1683" s="4">
        <v>3</v>
      </c>
      <c r="AD1683" s="4">
        <v>105</v>
      </c>
      <c r="AE1683" s="4">
        <v>113</v>
      </c>
      <c r="AF1683" s="4">
        <v>0</v>
      </c>
      <c r="AG1683" s="4">
        <v>2</v>
      </c>
      <c r="AH1683" s="4">
        <v>94</v>
      </c>
      <c r="AI1683" s="4">
        <v>98</v>
      </c>
      <c r="AJ1683" s="4">
        <v>9</v>
      </c>
      <c r="AK1683" s="4">
        <v>11</v>
      </c>
      <c r="AL1683" s="4">
        <v>57</v>
      </c>
      <c r="AM1683" s="4">
        <v>58</v>
      </c>
      <c r="AN1683" s="4">
        <v>0</v>
      </c>
      <c r="AO1683" s="4">
        <v>0</v>
      </c>
      <c r="AP1683" s="4">
        <v>12</v>
      </c>
      <c r="AQ1683" s="4">
        <v>14</v>
      </c>
      <c r="AR1683" s="3" t="s">
        <v>64</v>
      </c>
      <c r="AS1683" s="3" t="s">
        <v>64</v>
      </c>
      <c r="AT1683" s="3" t="s">
        <v>64</v>
      </c>
      <c r="AV1683" s="6" t="str">
        <f>HYPERLINK("http://mcgill.on.worldcat.org/oclc/21335492","Catalog Record")</f>
        <v>Catalog Record</v>
      </c>
      <c r="AW1683" s="6" t="str">
        <f>HYPERLINK("http://www.worldcat.org/oclc/21335492","WorldCat Record")</f>
        <v>WorldCat Record</v>
      </c>
      <c r="AX1683" s="3" t="s">
        <v>17513</v>
      </c>
      <c r="AY1683" s="3" t="s">
        <v>17514</v>
      </c>
      <c r="AZ1683" s="3" t="s">
        <v>17515</v>
      </c>
      <c r="BA1683" s="3" t="s">
        <v>17515</v>
      </c>
      <c r="BB1683" s="3" t="s">
        <v>17516</v>
      </c>
      <c r="BC1683" s="3" t="s">
        <v>78</v>
      </c>
      <c r="BD1683" s="3" t="s">
        <v>79</v>
      </c>
      <c r="BE1683" s="3" t="s">
        <v>17517</v>
      </c>
      <c r="BF1683" s="3" t="s">
        <v>17516</v>
      </c>
      <c r="BG1683" s="3" t="s">
        <v>17518</v>
      </c>
    </row>
    <row r="1684" spans="1:59" ht="58" x14ac:dyDescent="0.35">
      <c r="A1684" s="2" t="s">
        <v>59</v>
      </c>
      <c r="B1684" s="2" t="s">
        <v>94</v>
      </c>
      <c r="C1684" s="2" t="s">
        <v>17519</v>
      </c>
      <c r="D1684" s="2" t="s">
        <v>17520</v>
      </c>
      <c r="E1684" s="2" t="s">
        <v>17521</v>
      </c>
      <c r="G1684" s="3" t="s">
        <v>64</v>
      </c>
      <c r="I1684" s="3" t="s">
        <v>64</v>
      </c>
      <c r="J1684" s="3" t="s">
        <v>64</v>
      </c>
      <c r="K1684" s="3" t="s">
        <v>65</v>
      </c>
      <c r="L1684" s="2" t="s">
        <v>17522</v>
      </c>
      <c r="M1684" s="2" t="s">
        <v>14751</v>
      </c>
      <c r="N1684" s="3" t="s">
        <v>1064</v>
      </c>
      <c r="O1684" s="2" t="s">
        <v>1294</v>
      </c>
      <c r="P1684" s="3" t="s">
        <v>69</v>
      </c>
      <c r="R1684" s="3" t="s">
        <v>16939</v>
      </c>
      <c r="S1684" s="4">
        <v>29</v>
      </c>
      <c r="T1684" s="4">
        <v>29</v>
      </c>
      <c r="U1684" s="5" t="s">
        <v>17523</v>
      </c>
      <c r="V1684" s="5" t="s">
        <v>17523</v>
      </c>
      <c r="W1684" s="5" t="s">
        <v>72</v>
      </c>
      <c r="X1684" s="5" t="s">
        <v>72</v>
      </c>
      <c r="Y1684" s="4">
        <v>641</v>
      </c>
      <c r="Z1684" s="4">
        <v>28</v>
      </c>
      <c r="AA1684" s="4">
        <v>49</v>
      </c>
      <c r="AB1684" s="4">
        <v>2</v>
      </c>
      <c r="AC1684" s="4">
        <v>3</v>
      </c>
      <c r="AD1684" s="4">
        <v>85</v>
      </c>
      <c r="AE1684" s="4">
        <v>107</v>
      </c>
      <c r="AF1684" s="4">
        <v>0</v>
      </c>
      <c r="AG1684" s="4">
        <v>0</v>
      </c>
      <c r="AH1684" s="4">
        <v>78</v>
      </c>
      <c r="AI1684" s="4">
        <v>97</v>
      </c>
      <c r="AJ1684" s="4">
        <v>7</v>
      </c>
      <c r="AK1684" s="4">
        <v>10</v>
      </c>
      <c r="AL1684" s="4">
        <v>44</v>
      </c>
      <c r="AM1684" s="4">
        <v>54</v>
      </c>
      <c r="AN1684" s="4">
        <v>0</v>
      </c>
      <c r="AO1684" s="4">
        <v>0</v>
      </c>
      <c r="AP1684" s="4">
        <v>7</v>
      </c>
      <c r="AQ1684" s="4">
        <v>11</v>
      </c>
      <c r="AR1684" s="3" t="s">
        <v>64</v>
      </c>
      <c r="AS1684" s="3" t="s">
        <v>64</v>
      </c>
      <c r="AT1684" s="3" t="s">
        <v>64</v>
      </c>
      <c r="AV1684" s="6" t="str">
        <f>HYPERLINK("http://mcgill.on.worldcat.org/oclc/40359471","Catalog Record")</f>
        <v>Catalog Record</v>
      </c>
      <c r="AW1684" s="6" t="str">
        <f>HYPERLINK("http://www.worldcat.org/oclc/40359471","WorldCat Record")</f>
        <v>WorldCat Record</v>
      </c>
      <c r="AX1684" s="3" t="s">
        <v>17524</v>
      </c>
      <c r="AY1684" s="3" t="s">
        <v>17525</v>
      </c>
      <c r="AZ1684" s="3" t="s">
        <v>17526</v>
      </c>
      <c r="BA1684" s="3" t="s">
        <v>17526</v>
      </c>
      <c r="BB1684" s="3" t="s">
        <v>17527</v>
      </c>
      <c r="BC1684" s="3" t="s">
        <v>78</v>
      </c>
      <c r="BD1684" s="3" t="s">
        <v>79</v>
      </c>
      <c r="BE1684" s="3" t="s">
        <v>17528</v>
      </c>
      <c r="BF1684" s="3" t="s">
        <v>17527</v>
      </c>
      <c r="BG1684" s="3" t="s">
        <v>17529</v>
      </c>
    </row>
    <row r="1685" spans="1:59" ht="58" x14ac:dyDescent="0.35">
      <c r="A1685" s="2" t="s">
        <v>59</v>
      </c>
      <c r="B1685" s="2" t="s">
        <v>94</v>
      </c>
      <c r="C1685" s="2" t="s">
        <v>17530</v>
      </c>
      <c r="D1685" s="2" t="s">
        <v>17531</v>
      </c>
      <c r="E1685" s="2" t="s">
        <v>17532</v>
      </c>
      <c r="G1685" s="3" t="s">
        <v>64</v>
      </c>
      <c r="I1685" s="3" t="s">
        <v>64</v>
      </c>
      <c r="J1685" s="3" t="s">
        <v>64</v>
      </c>
      <c r="K1685" s="3" t="s">
        <v>65</v>
      </c>
      <c r="L1685" s="2" t="s">
        <v>17533</v>
      </c>
      <c r="M1685" s="2" t="s">
        <v>2794</v>
      </c>
      <c r="N1685" s="3" t="s">
        <v>340</v>
      </c>
      <c r="P1685" s="3" t="s">
        <v>69</v>
      </c>
      <c r="R1685" s="3" t="s">
        <v>16939</v>
      </c>
      <c r="S1685" s="4">
        <v>6</v>
      </c>
      <c r="T1685" s="4">
        <v>6</v>
      </c>
      <c r="U1685" s="5" t="s">
        <v>2312</v>
      </c>
      <c r="V1685" s="5" t="s">
        <v>2312</v>
      </c>
      <c r="W1685" s="5" t="s">
        <v>72</v>
      </c>
      <c r="X1685" s="5" t="s">
        <v>72</v>
      </c>
      <c r="Y1685" s="4">
        <v>19</v>
      </c>
      <c r="Z1685" s="4">
        <v>6</v>
      </c>
      <c r="AA1685" s="4">
        <v>29</v>
      </c>
      <c r="AB1685" s="4">
        <v>1</v>
      </c>
      <c r="AC1685" s="4">
        <v>3</v>
      </c>
      <c r="AD1685" s="4">
        <v>6</v>
      </c>
      <c r="AE1685" s="4">
        <v>102</v>
      </c>
      <c r="AF1685" s="4">
        <v>0</v>
      </c>
      <c r="AG1685" s="4">
        <v>0</v>
      </c>
      <c r="AH1685" s="4">
        <v>5</v>
      </c>
      <c r="AI1685" s="4">
        <v>90</v>
      </c>
      <c r="AJ1685" s="4">
        <v>3</v>
      </c>
      <c r="AK1685" s="4">
        <v>17</v>
      </c>
      <c r="AL1685" s="4">
        <v>1</v>
      </c>
      <c r="AM1685" s="4">
        <v>50</v>
      </c>
      <c r="AN1685" s="4">
        <v>0</v>
      </c>
      <c r="AO1685" s="4">
        <v>0</v>
      </c>
      <c r="AP1685" s="4">
        <v>4</v>
      </c>
      <c r="AQ1685" s="4">
        <v>22</v>
      </c>
      <c r="AR1685" s="3" t="s">
        <v>64</v>
      </c>
      <c r="AS1685" s="3" t="s">
        <v>64</v>
      </c>
      <c r="AT1685" s="3" t="s">
        <v>64</v>
      </c>
      <c r="AV1685" s="6" t="str">
        <f>HYPERLINK("http://mcgill.on.worldcat.org/oclc/426472659","Catalog Record")</f>
        <v>Catalog Record</v>
      </c>
      <c r="AW1685" s="6" t="str">
        <f>HYPERLINK("http://www.worldcat.org/oclc/426472659","WorldCat Record")</f>
        <v>WorldCat Record</v>
      </c>
      <c r="AX1685" s="3" t="s">
        <v>17534</v>
      </c>
      <c r="AY1685" s="3" t="s">
        <v>17535</v>
      </c>
      <c r="AZ1685" s="3" t="s">
        <v>17536</v>
      </c>
      <c r="BA1685" s="3" t="s">
        <v>17536</v>
      </c>
      <c r="BB1685" s="3" t="s">
        <v>17537</v>
      </c>
      <c r="BC1685" s="3" t="s">
        <v>78</v>
      </c>
      <c r="BD1685" s="3" t="s">
        <v>414</v>
      </c>
      <c r="BE1685" s="3" t="s">
        <v>17538</v>
      </c>
      <c r="BF1685" s="3" t="s">
        <v>17537</v>
      </c>
      <c r="BG1685" s="3" t="s">
        <v>17539</v>
      </c>
    </row>
    <row r="1686" spans="1:59" ht="58" x14ac:dyDescent="0.35">
      <c r="A1686" s="2" t="s">
        <v>59</v>
      </c>
      <c r="B1686" s="2" t="s">
        <v>94</v>
      </c>
      <c r="C1686" s="2" t="s">
        <v>17540</v>
      </c>
      <c r="D1686" s="2" t="s">
        <v>17541</v>
      </c>
      <c r="E1686" s="2" t="s">
        <v>17542</v>
      </c>
      <c r="G1686" s="3" t="s">
        <v>64</v>
      </c>
      <c r="I1686" s="3" t="s">
        <v>64</v>
      </c>
      <c r="J1686" s="3" t="s">
        <v>64</v>
      </c>
      <c r="K1686" s="3" t="s">
        <v>65</v>
      </c>
      <c r="L1686" s="2" t="s">
        <v>17543</v>
      </c>
      <c r="M1686" s="2" t="s">
        <v>17544</v>
      </c>
      <c r="N1686" s="3" t="s">
        <v>136</v>
      </c>
      <c r="P1686" s="3" t="s">
        <v>69</v>
      </c>
      <c r="Q1686" s="2" t="s">
        <v>17545</v>
      </c>
      <c r="R1686" s="3" t="s">
        <v>16939</v>
      </c>
      <c r="S1686" s="4">
        <v>3</v>
      </c>
      <c r="T1686" s="4">
        <v>3</v>
      </c>
      <c r="U1686" s="5" t="s">
        <v>17546</v>
      </c>
      <c r="V1686" s="5" t="s">
        <v>17546</v>
      </c>
      <c r="W1686" s="5" t="s">
        <v>72</v>
      </c>
      <c r="X1686" s="5" t="s">
        <v>72</v>
      </c>
      <c r="Y1686" s="4">
        <v>157</v>
      </c>
      <c r="Z1686" s="4">
        <v>5</v>
      </c>
      <c r="AA1686" s="4">
        <v>10</v>
      </c>
      <c r="AB1686" s="4">
        <v>1</v>
      </c>
      <c r="AC1686" s="4">
        <v>2</v>
      </c>
      <c r="AD1686" s="4">
        <v>67</v>
      </c>
      <c r="AE1686" s="4">
        <v>72</v>
      </c>
      <c r="AF1686" s="4">
        <v>0</v>
      </c>
      <c r="AG1686" s="4">
        <v>1</v>
      </c>
      <c r="AH1686" s="4">
        <v>64</v>
      </c>
      <c r="AI1686" s="4">
        <v>65</v>
      </c>
      <c r="AJ1686" s="4">
        <v>3</v>
      </c>
      <c r="AK1686" s="4">
        <v>8</v>
      </c>
      <c r="AL1686" s="4">
        <v>39</v>
      </c>
      <c r="AM1686" s="4">
        <v>39</v>
      </c>
      <c r="AN1686" s="4">
        <v>0</v>
      </c>
      <c r="AO1686" s="4">
        <v>0</v>
      </c>
      <c r="AP1686" s="4">
        <v>3</v>
      </c>
      <c r="AQ1686" s="4">
        <v>7</v>
      </c>
      <c r="AR1686" s="3" t="s">
        <v>64</v>
      </c>
      <c r="AS1686" s="3" t="s">
        <v>64</v>
      </c>
      <c r="AT1686" s="3" t="s">
        <v>64</v>
      </c>
      <c r="AV1686" s="6" t="str">
        <f>HYPERLINK("http://mcgill.on.worldcat.org/oclc/41404655","Catalog Record")</f>
        <v>Catalog Record</v>
      </c>
      <c r="AW1686" s="6" t="str">
        <f>HYPERLINK("http://www.worldcat.org/oclc/41404655","WorldCat Record")</f>
        <v>WorldCat Record</v>
      </c>
      <c r="AX1686" s="3" t="s">
        <v>17547</v>
      </c>
      <c r="AY1686" s="3" t="s">
        <v>17548</v>
      </c>
      <c r="AZ1686" s="3" t="s">
        <v>17549</v>
      </c>
      <c r="BA1686" s="3" t="s">
        <v>17549</v>
      </c>
      <c r="BB1686" s="3" t="s">
        <v>17550</v>
      </c>
      <c r="BC1686" s="3" t="s">
        <v>78</v>
      </c>
      <c r="BD1686" s="3" t="s">
        <v>79</v>
      </c>
      <c r="BE1686" s="3" t="s">
        <v>17551</v>
      </c>
      <c r="BF1686" s="3" t="s">
        <v>17550</v>
      </c>
      <c r="BG1686" s="3" t="s">
        <v>17552</v>
      </c>
    </row>
    <row r="1687" spans="1:59" ht="58" x14ac:dyDescent="0.35">
      <c r="A1687" s="2" t="s">
        <v>59</v>
      </c>
      <c r="B1687" s="2" t="s">
        <v>94</v>
      </c>
      <c r="C1687" s="2" t="s">
        <v>17553</v>
      </c>
      <c r="D1687" s="2" t="s">
        <v>17554</v>
      </c>
      <c r="E1687" s="2" t="s">
        <v>17555</v>
      </c>
      <c r="G1687" s="3" t="s">
        <v>64</v>
      </c>
      <c r="I1687" s="3" t="s">
        <v>64</v>
      </c>
      <c r="J1687" s="3" t="s">
        <v>64</v>
      </c>
      <c r="K1687" s="3" t="s">
        <v>65</v>
      </c>
      <c r="L1687" s="2" t="s">
        <v>17373</v>
      </c>
      <c r="M1687" s="2" t="s">
        <v>17556</v>
      </c>
      <c r="N1687" s="3" t="s">
        <v>365</v>
      </c>
      <c r="P1687" s="3" t="s">
        <v>69</v>
      </c>
      <c r="R1687" s="3" t="s">
        <v>16939</v>
      </c>
      <c r="S1687" s="4">
        <v>10</v>
      </c>
      <c r="T1687" s="4">
        <v>10</v>
      </c>
      <c r="U1687" s="5" t="s">
        <v>17557</v>
      </c>
      <c r="V1687" s="5" t="s">
        <v>17557</v>
      </c>
      <c r="W1687" s="5" t="s">
        <v>72</v>
      </c>
      <c r="X1687" s="5" t="s">
        <v>72</v>
      </c>
      <c r="Y1687" s="4">
        <v>637</v>
      </c>
      <c r="Z1687" s="4">
        <v>33</v>
      </c>
      <c r="AA1687" s="4">
        <v>36</v>
      </c>
      <c r="AB1687" s="4">
        <v>3</v>
      </c>
      <c r="AC1687" s="4">
        <v>5</v>
      </c>
      <c r="AD1687" s="4">
        <v>117</v>
      </c>
      <c r="AE1687" s="4">
        <v>120</v>
      </c>
      <c r="AF1687" s="4">
        <v>1</v>
      </c>
      <c r="AG1687" s="4">
        <v>3</v>
      </c>
      <c r="AH1687" s="4">
        <v>100</v>
      </c>
      <c r="AI1687" s="4">
        <v>101</v>
      </c>
      <c r="AJ1687" s="4">
        <v>18</v>
      </c>
      <c r="AK1687" s="4">
        <v>20</v>
      </c>
      <c r="AL1687" s="4">
        <v>54</v>
      </c>
      <c r="AM1687" s="4">
        <v>54</v>
      </c>
      <c r="AN1687" s="4">
        <v>0</v>
      </c>
      <c r="AO1687" s="4">
        <v>0</v>
      </c>
      <c r="AP1687" s="4">
        <v>23</v>
      </c>
      <c r="AQ1687" s="4">
        <v>25</v>
      </c>
      <c r="AR1687" s="3" t="s">
        <v>64</v>
      </c>
      <c r="AS1687" s="3" t="s">
        <v>64</v>
      </c>
      <c r="AT1687" s="3" t="s">
        <v>73</v>
      </c>
      <c r="AU1687" s="6" t="str">
        <f>HYPERLINK("http://catalog.hathitrust.org/Record/000581119","HathiTrust Record")</f>
        <v>HathiTrust Record</v>
      </c>
      <c r="AV1687" s="6" t="str">
        <f>HYPERLINK("http://mcgill.on.worldcat.org/oclc/11842512","Catalog Record")</f>
        <v>Catalog Record</v>
      </c>
      <c r="AW1687" s="6" t="str">
        <f>HYPERLINK("http://www.worldcat.org/oclc/11842512","WorldCat Record")</f>
        <v>WorldCat Record</v>
      </c>
      <c r="AX1687" s="3" t="s">
        <v>17558</v>
      </c>
      <c r="AY1687" s="3" t="s">
        <v>17559</v>
      </c>
      <c r="AZ1687" s="3" t="s">
        <v>17560</v>
      </c>
      <c r="BA1687" s="3" t="s">
        <v>17560</v>
      </c>
      <c r="BB1687" s="3" t="s">
        <v>17561</v>
      </c>
      <c r="BC1687" s="3" t="s">
        <v>78</v>
      </c>
      <c r="BD1687" s="3" t="s">
        <v>414</v>
      </c>
      <c r="BE1687" s="3" t="s">
        <v>17562</v>
      </c>
      <c r="BF1687" s="3" t="s">
        <v>17561</v>
      </c>
      <c r="BG1687" s="3" t="s">
        <v>17563</v>
      </c>
    </row>
    <row r="1688" spans="1:59" ht="58" x14ac:dyDescent="0.35">
      <c r="A1688" s="2" t="s">
        <v>59</v>
      </c>
      <c r="B1688" s="2" t="s">
        <v>94</v>
      </c>
      <c r="C1688" s="2" t="s">
        <v>17564</v>
      </c>
      <c r="D1688" s="2" t="s">
        <v>17565</v>
      </c>
      <c r="E1688" s="2" t="s">
        <v>17566</v>
      </c>
      <c r="G1688" s="3" t="s">
        <v>64</v>
      </c>
      <c r="I1688" s="3" t="s">
        <v>64</v>
      </c>
      <c r="J1688" s="3" t="s">
        <v>64</v>
      </c>
      <c r="K1688" s="3" t="s">
        <v>65</v>
      </c>
      <c r="L1688" s="2" t="s">
        <v>6809</v>
      </c>
      <c r="M1688" s="2" t="s">
        <v>17567</v>
      </c>
      <c r="N1688" s="3" t="s">
        <v>719</v>
      </c>
      <c r="P1688" s="3" t="s">
        <v>69</v>
      </c>
      <c r="R1688" s="3" t="s">
        <v>16939</v>
      </c>
      <c r="S1688" s="4">
        <v>6</v>
      </c>
      <c r="T1688" s="4">
        <v>6</v>
      </c>
      <c r="U1688" s="5" t="s">
        <v>17557</v>
      </c>
      <c r="V1688" s="5" t="s">
        <v>17557</v>
      </c>
      <c r="W1688" s="5" t="s">
        <v>72</v>
      </c>
      <c r="X1688" s="5" t="s">
        <v>72</v>
      </c>
      <c r="Y1688" s="4">
        <v>726</v>
      </c>
      <c r="Z1688" s="4">
        <v>36</v>
      </c>
      <c r="AA1688" s="4">
        <v>38</v>
      </c>
      <c r="AB1688" s="4">
        <v>5</v>
      </c>
      <c r="AC1688" s="4">
        <v>6</v>
      </c>
      <c r="AD1688" s="4">
        <v>118</v>
      </c>
      <c r="AE1688" s="4">
        <v>125</v>
      </c>
      <c r="AF1688" s="4">
        <v>2</v>
      </c>
      <c r="AG1688" s="4">
        <v>3</v>
      </c>
      <c r="AH1688" s="4">
        <v>101</v>
      </c>
      <c r="AI1688" s="4">
        <v>106</v>
      </c>
      <c r="AJ1688" s="4">
        <v>19</v>
      </c>
      <c r="AK1688" s="4">
        <v>21</v>
      </c>
      <c r="AL1688" s="4">
        <v>53</v>
      </c>
      <c r="AM1688" s="4">
        <v>56</v>
      </c>
      <c r="AN1688" s="4">
        <v>0</v>
      </c>
      <c r="AO1688" s="4">
        <v>0</v>
      </c>
      <c r="AP1688" s="4">
        <v>25</v>
      </c>
      <c r="AQ1688" s="4">
        <v>27</v>
      </c>
      <c r="AR1688" s="3" t="s">
        <v>64</v>
      </c>
      <c r="AS1688" s="3" t="s">
        <v>64</v>
      </c>
      <c r="AT1688" s="3" t="s">
        <v>73</v>
      </c>
      <c r="AU1688" s="6" t="str">
        <f>HYPERLINK("http://catalog.hathitrust.org/Record/000323518","HathiTrust Record")</f>
        <v>HathiTrust Record</v>
      </c>
      <c r="AV1688" s="6" t="str">
        <f>HYPERLINK("http://mcgill.on.worldcat.org/oclc/10432530","Catalog Record")</f>
        <v>Catalog Record</v>
      </c>
      <c r="AW1688" s="6" t="str">
        <f>HYPERLINK("http://www.worldcat.org/oclc/10432530","WorldCat Record")</f>
        <v>WorldCat Record</v>
      </c>
      <c r="AX1688" s="3" t="s">
        <v>17568</v>
      </c>
      <c r="AY1688" s="3" t="s">
        <v>17569</v>
      </c>
      <c r="AZ1688" s="3" t="s">
        <v>17570</v>
      </c>
      <c r="BA1688" s="3" t="s">
        <v>17570</v>
      </c>
      <c r="BB1688" s="3" t="s">
        <v>17571</v>
      </c>
      <c r="BC1688" s="3" t="s">
        <v>78</v>
      </c>
      <c r="BD1688" s="3" t="s">
        <v>414</v>
      </c>
      <c r="BE1688" s="3" t="s">
        <v>17572</v>
      </c>
      <c r="BF1688" s="3" t="s">
        <v>17571</v>
      </c>
      <c r="BG1688" s="3" t="s">
        <v>17573</v>
      </c>
    </row>
    <row r="1689" spans="1:59" ht="101.5" x14ac:dyDescent="0.35">
      <c r="A1689" s="2" t="s">
        <v>59</v>
      </c>
      <c r="B1689" s="2" t="s">
        <v>94</v>
      </c>
      <c r="C1689" s="2" t="s">
        <v>17574</v>
      </c>
      <c r="D1689" s="2" t="s">
        <v>17575</v>
      </c>
      <c r="E1689" s="2" t="s">
        <v>17576</v>
      </c>
      <c r="G1689" s="3" t="s">
        <v>64</v>
      </c>
      <c r="I1689" s="3" t="s">
        <v>64</v>
      </c>
      <c r="J1689" s="3" t="s">
        <v>64</v>
      </c>
      <c r="K1689" s="3" t="s">
        <v>65</v>
      </c>
      <c r="L1689" s="2" t="s">
        <v>17577</v>
      </c>
      <c r="M1689" s="2" t="s">
        <v>17009</v>
      </c>
      <c r="N1689" s="3" t="s">
        <v>524</v>
      </c>
      <c r="P1689" s="3" t="s">
        <v>69</v>
      </c>
      <c r="R1689" s="3" t="s">
        <v>16939</v>
      </c>
      <c r="S1689" s="4">
        <v>0</v>
      </c>
      <c r="T1689" s="4">
        <v>0</v>
      </c>
      <c r="W1689" s="5" t="s">
        <v>72</v>
      </c>
      <c r="X1689" s="5" t="s">
        <v>72</v>
      </c>
      <c r="Y1689" s="4">
        <v>67</v>
      </c>
      <c r="Z1689" s="4">
        <v>4</v>
      </c>
      <c r="AA1689" s="4">
        <v>32</v>
      </c>
      <c r="AB1689" s="4">
        <v>1</v>
      </c>
      <c r="AC1689" s="4">
        <v>6</v>
      </c>
      <c r="AD1689" s="4">
        <v>42</v>
      </c>
      <c r="AE1689" s="4">
        <v>92</v>
      </c>
      <c r="AF1689" s="4">
        <v>0</v>
      </c>
      <c r="AG1689" s="4">
        <v>2</v>
      </c>
      <c r="AH1689" s="4">
        <v>41</v>
      </c>
      <c r="AI1689" s="4">
        <v>75</v>
      </c>
      <c r="AJ1689" s="4">
        <v>3</v>
      </c>
      <c r="AK1689" s="4">
        <v>13</v>
      </c>
      <c r="AL1689" s="4">
        <v>22</v>
      </c>
      <c r="AM1689" s="4">
        <v>40</v>
      </c>
      <c r="AN1689" s="4">
        <v>0</v>
      </c>
      <c r="AO1689" s="4">
        <v>0</v>
      </c>
      <c r="AP1689" s="4">
        <v>3</v>
      </c>
      <c r="AQ1689" s="4">
        <v>23</v>
      </c>
      <c r="AR1689" s="3" t="s">
        <v>64</v>
      </c>
      <c r="AS1689" s="3" t="s">
        <v>64</v>
      </c>
      <c r="AT1689" s="3" t="s">
        <v>64</v>
      </c>
      <c r="AV1689" s="6" t="str">
        <f>HYPERLINK("http://mcgill.on.worldcat.org/oclc/855043626","Catalog Record")</f>
        <v>Catalog Record</v>
      </c>
      <c r="AW1689" s="6" t="str">
        <f>HYPERLINK("http://www.worldcat.org/oclc/855043626","WorldCat Record")</f>
        <v>WorldCat Record</v>
      </c>
      <c r="AX1689" s="3" t="s">
        <v>17578</v>
      </c>
      <c r="AY1689" s="3" t="s">
        <v>17579</v>
      </c>
      <c r="AZ1689" s="3" t="s">
        <v>17580</v>
      </c>
      <c r="BA1689" s="3" t="s">
        <v>17580</v>
      </c>
      <c r="BB1689" s="3" t="s">
        <v>17581</v>
      </c>
      <c r="BC1689" s="3" t="s">
        <v>78</v>
      </c>
      <c r="BD1689" s="3" t="s">
        <v>79</v>
      </c>
      <c r="BE1689" s="3" t="s">
        <v>17582</v>
      </c>
      <c r="BF1689" s="3" t="s">
        <v>17581</v>
      </c>
      <c r="BG1689" s="3" t="s">
        <v>17583</v>
      </c>
    </row>
    <row r="1690" spans="1:59" ht="58" x14ac:dyDescent="0.35">
      <c r="A1690" s="2" t="s">
        <v>59</v>
      </c>
      <c r="B1690" s="2" t="s">
        <v>94</v>
      </c>
      <c r="C1690" s="2" t="s">
        <v>17584</v>
      </c>
      <c r="D1690" s="2" t="s">
        <v>17585</v>
      </c>
      <c r="E1690" s="2" t="s">
        <v>17586</v>
      </c>
      <c r="G1690" s="3" t="s">
        <v>64</v>
      </c>
      <c r="I1690" s="3" t="s">
        <v>64</v>
      </c>
      <c r="J1690" s="3" t="s">
        <v>64</v>
      </c>
      <c r="K1690" s="3" t="s">
        <v>65</v>
      </c>
      <c r="L1690" s="2" t="s">
        <v>6852</v>
      </c>
      <c r="M1690" s="2" t="s">
        <v>17587</v>
      </c>
      <c r="N1690" s="3" t="s">
        <v>377</v>
      </c>
      <c r="P1690" s="3" t="s">
        <v>69</v>
      </c>
      <c r="Q1690" s="2" t="s">
        <v>17588</v>
      </c>
      <c r="R1690" s="3" t="s">
        <v>16939</v>
      </c>
      <c r="S1690" s="4">
        <v>1</v>
      </c>
      <c r="T1690" s="4">
        <v>1</v>
      </c>
      <c r="U1690" s="5" t="s">
        <v>17589</v>
      </c>
      <c r="V1690" s="5" t="s">
        <v>17589</v>
      </c>
      <c r="W1690" s="5" t="s">
        <v>72</v>
      </c>
      <c r="X1690" s="5" t="s">
        <v>72</v>
      </c>
      <c r="Y1690" s="4">
        <v>72</v>
      </c>
      <c r="Z1690" s="4">
        <v>6</v>
      </c>
      <c r="AA1690" s="4">
        <v>6</v>
      </c>
      <c r="AB1690" s="4">
        <v>1</v>
      </c>
      <c r="AC1690" s="4">
        <v>1</v>
      </c>
      <c r="AD1690" s="4">
        <v>40</v>
      </c>
      <c r="AE1690" s="4">
        <v>43</v>
      </c>
      <c r="AF1690" s="4">
        <v>0</v>
      </c>
      <c r="AG1690" s="4">
        <v>0</v>
      </c>
      <c r="AH1690" s="4">
        <v>39</v>
      </c>
      <c r="AI1690" s="4">
        <v>42</v>
      </c>
      <c r="AJ1690" s="4">
        <v>4</v>
      </c>
      <c r="AK1690" s="4">
        <v>4</v>
      </c>
      <c r="AL1690" s="4">
        <v>22</v>
      </c>
      <c r="AM1690" s="4">
        <v>22</v>
      </c>
      <c r="AN1690" s="4">
        <v>0</v>
      </c>
      <c r="AO1690" s="4">
        <v>0</v>
      </c>
      <c r="AP1690" s="4">
        <v>4</v>
      </c>
      <c r="AQ1690" s="4">
        <v>4</v>
      </c>
      <c r="AR1690" s="3" t="s">
        <v>64</v>
      </c>
      <c r="AS1690" s="3" t="s">
        <v>64</v>
      </c>
      <c r="AT1690" s="3" t="s">
        <v>64</v>
      </c>
      <c r="AV1690" s="6" t="str">
        <f>HYPERLINK("http://mcgill.on.worldcat.org/oclc/805056670","Catalog Record")</f>
        <v>Catalog Record</v>
      </c>
      <c r="AW1690" s="6" t="str">
        <f>HYPERLINK("http://www.worldcat.org/oclc/805056670","WorldCat Record")</f>
        <v>WorldCat Record</v>
      </c>
      <c r="AX1690" s="3" t="s">
        <v>17590</v>
      </c>
      <c r="AY1690" s="3" t="s">
        <v>17591</v>
      </c>
      <c r="AZ1690" s="3" t="s">
        <v>17592</v>
      </c>
      <c r="BA1690" s="3" t="s">
        <v>17592</v>
      </c>
      <c r="BB1690" s="3" t="s">
        <v>17593</v>
      </c>
      <c r="BC1690" s="3" t="s">
        <v>78</v>
      </c>
      <c r="BD1690" s="3" t="s">
        <v>79</v>
      </c>
      <c r="BE1690" s="3" t="s">
        <v>17594</v>
      </c>
      <c r="BF1690" s="3" t="s">
        <v>17593</v>
      </c>
      <c r="BG1690" s="3" t="s">
        <v>17595</v>
      </c>
    </row>
    <row r="1691" spans="1:59" ht="58" x14ac:dyDescent="0.35">
      <c r="A1691" s="2" t="s">
        <v>59</v>
      </c>
      <c r="B1691" s="2" t="s">
        <v>94</v>
      </c>
      <c r="C1691" s="2" t="s">
        <v>17596</v>
      </c>
      <c r="D1691" s="2" t="s">
        <v>17597</v>
      </c>
      <c r="E1691" s="2" t="s">
        <v>17598</v>
      </c>
      <c r="G1691" s="3" t="s">
        <v>64</v>
      </c>
      <c r="I1691" s="3" t="s">
        <v>64</v>
      </c>
      <c r="J1691" s="3" t="s">
        <v>64</v>
      </c>
      <c r="K1691" s="3" t="s">
        <v>65</v>
      </c>
      <c r="M1691" s="2" t="s">
        <v>17599</v>
      </c>
      <c r="N1691" s="3" t="s">
        <v>328</v>
      </c>
      <c r="P1691" s="3" t="s">
        <v>69</v>
      </c>
      <c r="Q1691" s="2" t="s">
        <v>17600</v>
      </c>
      <c r="R1691" s="3" t="s">
        <v>16939</v>
      </c>
      <c r="S1691" s="4">
        <v>0</v>
      </c>
      <c r="T1691" s="4">
        <v>0</v>
      </c>
      <c r="W1691" s="5" t="s">
        <v>72</v>
      </c>
      <c r="X1691" s="5" t="s">
        <v>72</v>
      </c>
      <c r="Y1691" s="4">
        <v>97</v>
      </c>
      <c r="Z1691" s="4">
        <v>5</v>
      </c>
      <c r="AA1691" s="4">
        <v>98</v>
      </c>
      <c r="AB1691" s="4">
        <v>1</v>
      </c>
      <c r="AC1691" s="4">
        <v>20</v>
      </c>
      <c r="AD1691" s="4">
        <v>50</v>
      </c>
      <c r="AE1691" s="4">
        <v>131</v>
      </c>
      <c r="AF1691" s="4">
        <v>0</v>
      </c>
      <c r="AG1691" s="4">
        <v>8</v>
      </c>
      <c r="AH1691" s="4">
        <v>48</v>
      </c>
      <c r="AI1691" s="4">
        <v>92</v>
      </c>
      <c r="AJ1691" s="4">
        <v>3</v>
      </c>
      <c r="AK1691" s="4">
        <v>21</v>
      </c>
      <c r="AL1691" s="4">
        <v>28</v>
      </c>
      <c r="AM1691" s="4">
        <v>50</v>
      </c>
      <c r="AN1691" s="4">
        <v>0</v>
      </c>
      <c r="AO1691" s="4">
        <v>0</v>
      </c>
      <c r="AP1691" s="4">
        <v>3</v>
      </c>
      <c r="AQ1691" s="4">
        <v>43</v>
      </c>
      <c r="AR1691" s="3" t="s">
        <v>64</v>
      </c>
      <c r="AS1691" s="3" t="s">
        <v>64</v>
      </c>
      <c r="AT1691" s="3" t="s">
        <v>64</v>
      </c>
      <c r="AV1691" s="6" t="str">
        <f>HYPERLINK("http://mcgill.on.worldcat.org/oclc/729347944","Catalog Record")</f>
        <v>Catalog Record</v>
      </c>
      <c r="AW1691" s="6" t="str">
        <f>HYPERLINK("http://www.worldcat.org/oclc/729347944","WorldCat Record")</f>
        <v>WorldCat Record</v>
      </c>
      <c r="AX1691" s="3" t="s">
        <v>17601</v>
      </c>
      <c r="AY1691" s="3" t="s">
        <v>17602</v>
      </c>
      <c r="AZ1691" s="3" t="s">
        <v>17603</v>
      </c>
      <c r="BA1691" s="3" t="s">
        <v>17603</v>
      </c>
      <c r="BB1691" s="3" t="s">
        <v>17604</v>
      </c>
      <c r="BC1691" s="3" t="s">
        <v>78</v>
      </c>
      <c r="BD1691" s="3" t="s">
        <v>79</v>
      </c>
      <c r="BE1691" s="3" t="s">
        <v>17605</v>
      </c>
      <c r="BF1691" s="3" t="s">
        <v>17604</v>
      </c>
      <c r="BG1691" s="3" t="s">
        <v>17606</v>
      </c>
    </row>
    <row r="1692" spans="1:59" ht="58" x14ac:dyDescent="0.35">
      <c r="A1692" s="2" t="s">
        <v>59</v>
      </c>
      <c r="B1692" s="2" t="s">
        <v>94</v>
      </c>
      <c r="C1692" s="2" t="s">
        <v>17607</v>
      </c>
      <c r="D1692" s="2" t="s">
        <v>17608</v>
      </c>
      <c r="E1692" s="2" t="s">
        <v>17609</v>
      </c>
      <c r="G1692" s="3" t="s">
        <v>64</v>
      </c>
      <c r="I1692" s="3" t="s">
        <v>64</v>
      </c>
      <c r="J1692" s="3" t="s">
        <v>73</v>
      </c>
      <c r="K1692" s="3" t="s">
        <v>65</v>
      </c>
      <c r="L1692" s="2" t="s">
        <v>17610</v>
      </c>
      <c r="M1692" s="2" t="s">
        <v>17611</v>
      </c>
      <c r="N1692" s="3" t="s">
        <v>274</v>
      </c>
      <c r="P1692" s="3" t="s">
        <v>69</v>
      </c>
      <c r="R1692" s="3" t="s">
        <v>16939</v>
      </c>
      <c r="S1692" s="4">
        <v>18</v>
      </c>
      <c r="T1692" s="4">
        <v>18</v>
      </c>
      <c r="U1692" s="5" t="s">
        <v>17612</v>
      </c>
      <c r="V1692" s="5" t="s">
        <v>17612</v>
      </c>
      <c r="W1692" s="5" t="s">
        <v>72</v>
      </c>
      <c r="X1692" s="5" t="s">
        <v>72</v>
      </c>
      <c r="Y1692" s="4">
        <v>168</v>
      </c>
      <c r="Z1692" s="4">
        <v>4</v>
      </c>
      <c r="AA1692" s="4">
        <v>77</v>
      </c>
      <c r="AB1692" s="4">
        <v>1</v>
      </c>
      <c r="AC1692" s="4">
        <v>9</v>
      </c>
      <c r="AD1692" s="4">
        <v>16</v>
      </c>
      <c r="AE1692" s="4">
        <v>147</v>
      </c>
      <c r="AF1692" s="4">
        <v>0</v>
      </c>
      <c r="AG1692" s="4">
        <v>3</v>
      </c>
      <c r="AH1692" s="4">
        <v>15</v>
      </c>
      <c r="AI1692" s="4">
        <v>110</v>
      </c>
      <c r="AJ1692" s="4">
        <v>0</v>
      </c>
      <c r="AK1692" s="4">
        <v>20</v>
      </c>
      <c r="AL1692" s="4">
        <v>8</v>
      </c>
      <c r="AM1692" s="4">
        <v>60</v>
      </c>
      <c r="AN1692" s="4">
        <v>0</v>
      </c>
      <c r="AO1692" s="4">
        <v>0</v>
      </c>
      <c r="AP1692" s="4">
        <v>1</v>
      </c>
      <c r="AQ1692" s="4">
        <v>39</v>
      </c>
      <c r="AR1692" s="3" t="s">
        <v>64</v>
      </c>
      <c r="AS1692" s="3" t="s">
        <v>64</v>
      </c>
      <c r="AT1692" s="3" t="s">
        <v>64</v>
      </c>
      <c r="AV1692" s="6" t="str">
        <f>HYPERLINK("http://mcgill.on.worldcat.org/oclc/18405275","Catalog Record")</f>
        <v>Catalog Record</v>
      </c>
      <c r="AW1692" s="6" t="str">
        <f>HYPERLINK("http://www.worldcat.org/oclc/18405275","WorldCat Record")</f>
        <v>WorldCat Record</v>
      </c>
      <c r="AX1692" s="3" t="s">
        <v>17613</v>
      </c>
      <c r="AY1692" s="3" t="s">
        <v>17614</v>
      </c>
      <c r="AZ1692" s="3" t="s">
        <v>17615</v>
      </c>
      <c r="BA1692" s="3" t="s">
        <v>17615</v>
      </c>
      <c r="BB1692" s="3" t="s">
        <v>17616</v>
      </c>
      <c r="BC1692" s="3" t="s">
        <v>78</v>
      </c>
      <c r="BD1692" s="3" t="s">
        <v>79</v>
      </c>
      <c r="BE1692" s="3" t="s">
        <v>17617</v>
      </c>
      <c r="BF1692" s="3" t="s">
        <v>17616</v>
      </c>
      <c r="BG1692" s="3" t="s">
        <v>17618</v>
      </c>
    </row>
    <row r="1693" spans="1:59" ht="58" x14ac:dyDescent="0.35">
      <c r="A1693" s="2" t="s">
        <v>59</v>
      </c>
      <c r="B1693" s="2" t="s">
        <v>94</v>
      </c>
      <c r="C1693" s="2" t="s">
        <v>17619</v>
      </c>
      <c r="D1693" s="2" t="s">
        <v>17620</v>
      </c>
      <c r="E1693" s="2" t="s">
        <v>17621</v>
      </c>
      <c r="G1693" s="3" t="s">
        <v>64</v>
      </c>
      <c r="I1693" s="3" t="s">
        <v>64</v>
      </c>
      <c r="J1693" s="3" t="s">
        <v>64</v>
      </c>
      <c r="K1693" s="3" t="s">
        <v>65</v>
      </c>
      <c r="L1693" s="2" t="s">
        <v>17622</v>
      </c>
      <c r="M1693" s="2" t="s">
        <v>17623</v>
      </c>
      <c r="N1693" s="3" t="s">
        <v>87</v>
      </c>
      <c r="P1693" s="3" t="s">
        <v>69</v>
      </c>
      <c r="R1693" s="3" t="s">
        <v>16939</v>
      </c>
      <c r="S1693" s="4">
        <v>1</v>
      </c>
      <c r="T1693" s="4">
        <v>1</v>
      </c>
      <c r="U1693" s="5" t="s">
        <v>665</v>
      </c>
      <c r="V1693" s="5" t="s">
        <v>665</v>
      </c>
      <c r="W1693" s="5" t="s">
        <v>72</v>
      </c>
      <c r="X1693" s="5" t="s">
        <v>72</v>
      </c>
      <c r="Y1693" s="4">
        <v>186</v>
      </c>
      <c r="Z1693" s="4">
        <v>10</v>
      </c>
      <c r="AA1693" s="4">
        <v>10</v>
      </c>
      <c r="AB1693" s="4">
        <v>1</v>
      </c>
      <c r="AC1693" s="4">
        <v>1</v>
      </c>
      <c r="AD1693" s="4">
        <v>18</v>
      </c>
      <c r="AE1693" s="4">
        <v>18</v>
      </c>
      <c r="AF1693" s="4">
        <v>0</v>
      </c>
      <c r="AG1693" s="4">
        <v>0</v>
      </c>
      <c r="AH1693" s="4">
        <v>15</v>
      </c>
      <c r="AI1693" s="4">
        <v>15</v>
      </c>
      <c r="AJ1693" s="4">
        <v>0</v>
      </c>
      <c r="AK1693" s="4">
        <v>0</v>
      </c>
      <c r="AL1693" s="4">
        <v>14</v>
      </c>
      <c r="AM1693" s="4">
        <v>14</v>
      </c>
      <c r="AN1693" s="4">
        <v>0</v>
      </c>
      <c r="AO1693" s="4">
        <v>0</v>
      </c>
      <c r="AP1693" s="4">
        <v>1</v>
      </c>
      <c r="AQ1693" s="4">
        <v>1</v>
      </c>
      <c r="AR1693" s="3" t="s">
        <v>64</v>
      </c>
      <c r="AS1693" s="3" t="s">
        <v>64</v>
      </c>
      <c r="AT1693" s="3" t="s">
        <v>64</v>
      </c>
      <c r="AV1693" s="6" t="str">
        <f>HYPERLINK("http://mcgill.on.worldcat.org/oclc/912238357","Catalog Record")</f>
        <v>Catalog Record</v>
      </c>
      <c r="AW1693" s="6" t="str">
        <f>HYPERLINK("http://www.worldcat.org/oclc/912238357","WorldCat Record")</f>
        <v>WorldCat Record</v>
      </c>
      <c r="AX1693" s="3" t="s">
        <v>17624</v>
      </c>
      <c r="AY1693" s="3" t="s">
        <v>17625</v>
      </c>
      <c r="AZ1693" s="3" t="s">
        <v>17626</v>
      </c>
      <c r="BA1693" s="3" t="s">
        <v>17626</v>
      </c>
      <c r="BB1693" s="3" t="s">
        <v>17627</v>
      </c>
      <c r="BC1693" s="3" t="s">
        <v>78</v>
      </c>
      <c r="BD1693" s="3" t="s">
        <v>79</v>
      </c>
      <c r="BE1693" s="3" t="s">
        <v>17628</v>
      </c>
      <c r="BF1693" s="3" t="s">
        <v>17627</v>
      </c>
      <c r="BG1693" s="3" t="s">
        <v>17629</v>
      </c>
    </row>
    <row r="1694" spans="1:59" ht="58" x14ac:dyDescent="0.35">
      <c r="A1694" s="2" t="s">
        <v>59</v>
      </c>
      <c r="B1694" s="2" t="s">
        <v>94</v>
      </c>
      <c r="C1694" s="2" t="s">
        <v>17630</v>
      </c>
      <c r="D1694" s="2" t="s">
        <v>17631</v>
      </c>
      <c r="E1694" s="2" t="s">
        <v>17632</v>
      </c>
      <c r="G1694" s="3" t="s">
        <v>64</v>
      </c>
      <c r="I1694" s="3" t="s">
        <v>64</v>
      </c>
      <c r="J1694" s="3" t="s">
        <v>64</v>
      </c>
      <c r="K1694" s="3" t="s">
        <v>65</v>
      </c>
      <c r="L1694" s="2" t="s">
        <v>17633</v>
      </c>
      <c r="M1694" s="2" t="s">
        <v>17634</v>
      </c>
      <c r="N1694" s="3" t="s">
        <v>449</v>
      </c>
      <c r="O1694" s="2" t="s">
        <v>1294</v>
      </c>
      <c r="P1694" s="3" t="s">
        <v>69</v>
      </c>
      <c r="Q1694" s="2" t="s">
        <v>17635</v>
      </c>
      <c r="R1694" s="3" t="s">
        <v>16939</v>
      </c>
      <c r="S1694" s="4">
        <v>9</v>
      </c>
      <c r="T1694" s="4">
        <v>9</v>
      </c>
      <c r="U1694" s="5" t="s">
        <v>10207</v>
      </c>
      <c r="V1694" s="5" t="s">
        <v>10207</v>
      </c>
      <c r="W1694" s="5" t="s">
        <v>72</v>
      </c>
      <c r="X1694" s="5" t="s">
        <v>72</v>
      </c>
      <c r="Y1694" s="4">
        <v>1275</v>
      </c>
      <c r="Z1694" s="4">
        <v>29</v>
      </c>
      <c r="AA1694" s="4">
        <v>38</v>
      </c>
      <c r="AB1694" s="4">
        <v>3</v>
      </c>
      <c r="AC1694" s="4">
        <v>5</v>
      </c>
      <c r="AD1694" s="4">
        <v>93</v>
      </c>
      <c r="AE1694" s="4">
        <v>99</v>
      </c>
      <c r="AF1694" s="4">
        <v>0</v>
      </c>
      <c r="AG1694" s="4">
        <v>0</v>
      </c>
      <c r="AH1694" s="4">
        <v>84</v>
      </c>
      <c r="AI1694" s="4">
        <v>89</v>
      </c>
      <c r="AJ1694" s="4">
        <v>11</v>
      </c>
      <c r="AK1694" s="4">
        <v>12</v>
      </c>
      <c r="AL1694" s="4">
        <v>47</v>
      </c>
      <c r="AM1694" s="4">
        <v>49</v>
      </c>
      <c r="AN1694" s="4">
        <v>0</v>
      </c>
      <c r="AO1694" s="4">
        <v>0</v>
      </c>
      <c r="AP1694" s="4">
        <v>11</v>
      </c>
      <c r="AQ1694" s="4">
        <v>14</v>
      </c>
      <c r="AR1694" s="3" t="s">
        <v>64</v>
      </c>
      <c r="AS1694" s="3" t="s">
        <v>64</v>
      </c>
      <c r="AT1694" s="3" t="s">
        <v>64</v>
      </c>
      <c r="AV1694" s="6" t="str">
        <f>HYPERLINK("http://mcgill.on.worldcat.org/oclc/229309155","Catalog Record")</f>
        <v>Catalog Record</v>
      </c>
      <c r="AW1694" s="6" t="str">
        <f>HYPERLINK("http://www.worldcat.org/oclc/229309155","WorldCat Record")</f>
        <v>WorldCat Record</v>
      </c>
      <c r="AX1694" s="3" t="s">
        <v>17636</v>
      </c>
      <c r="AY1694" s="3" t="s">
        <v>17637</v>
      </c>
      <c r="AZ1694" s="3" t="s">
        <v>17638</v>
      </c>
      <c r="BA1694" s="3" t="s">
        <v>17638</v>
      </c>
      <c r="BB1694" s="3" t="s">
        <v>17639</v>
      </c>
      <c r="BC1694" s="3" t="s">
        <v>78</v>
      </c>
      <c r="BD1694" s="3" t="s">
        <v>79</v>
      </c>
      <c r="BE1694" s="3" t="s">
        <v>17640</v>
      </c>
      <c r="BF1694" s="3" t="s">
        <v>17639</v>
      </c>
      <c r="BG1694" s="3" t="s">
        <v>17641</v>
      </c>
    </row>
    <row r="1695" spans="1:59" ht="58" x14ac:dyDescent="0.35">
      <c r="A1695" s="2" t="s">
        <v>59</v>
      </c>
      <c r="B1695" s="2" t="s">
        <v>94</v>
      </c>
      <c r="C1695" s="2" t="s">
        <v>17642</v>
      </c>
      <c r="D1695" s="2" t="s">
        <v>17643</v>
      </c>
      <c r="E1695" s="2" t="s">
        <v>17644</v>
      </c>
      <c r="G1695" s="3" t="s">
        <v>64</v>
      </c>
      <c r="I1695" s="3" t="s">
        <v>64</v>
      </c>
      <c r="J1695" s="3" t="s">
        <v>64</v>
      </c>
      <c r="K1695" s="3" t="s">
        <v>65</v>
      </c>
      <c r="L1695" s="2" t="s">
        <v>17645</v>
      </c>
      <c r="M1695" s="2" t="s">
        <v>17646</v>
      </c>
      <c r="N1695" s="3" t="s">
        <v>1813</v>
      </c>
      <c r="P1695" s="3" t="s">
        <v>69</v>
      </c>
      <c r="R1695" s="3" t="s">
        <v>16939</v>
      </c>
      <c r="S1695" s="4">
        <v>1</v>
      </c>
      <c r="T1695" s="4">
        <v>1</v>
      </c>
      <c r="W1695" s="5" t="s">
        <v>72</v>
      </c>
      <c r="X1695" s="5" t="s">
        <v>72</v>
      </c>
      <c r="Y1695" s="4">
        <v>1070</v>
      </c>
      <c r="Z1695" s="4">
        <v>20</v>
      </c>
      <c r="AA1695" s="4">
        <v>22</v>
      </c>
      <c r="AB1695" s="4">
        <v>2</v>
      </c>
      <c r="AC1695" s="4">
        <v>4</v>
      </c>
      <c r="AD1695" s="4">
        <v>61</v>
      </c>
      <c r="AE1695" s="4">
        <v>62</v>
      </c>
      <c r="AF1695" s="4">
        <v>0</v>
      </c>
      <c r="AG1695" s="4">
        <v>0</v>
      </c>
      <c r="AH1695" s="4">
        <v>58</v>
      </c>
      <c r="AI1695" s="4">
        <v>59</v>
      </c>
      <c r="AJ1695" s="4">
        <v>3</v>
      </c>
      <c r="AK1695" s="4">
        <v>3</v>
      </c>
      <c r="AL1695" s="4">
        <v>36</v>
      </c>
      <c r="AM1695" s="4">
        <v>37</v>
      </c>
      <c r="AN1695" s="4">
        <v>0</v>
      </c>
      <c r="AO1695" s="4">
        <v>0</v>
      </c>
      <c r="AP1695" s="4">
        <v>3</v>
      </c>
      <c r="AQ1695" s="4">
        <v>3</v>
      </c>
      <c r="AR1695" s="3" t="s">
        <v>64</v>
      </c>
      <c r="AS1695" s="3" t="s">
        <v>64</v>
      </c>
      <c r="AT1695" s="3" t="s">
        <v>64</v>
      </c>
      <c r="AV1695" s="6" t="str">
        <f>HYPERLINK("http://mcgill.on.worldcat.org/oclc/922630824","Catalog Record")</f>
        <v>Catalog Record</v>
      </c>
      <c r="AW1695" s="6" t="str">
        <f>HYPERLINK("http://www.worldcat.org/oclc/922630824","WorldCat Record")</f>
        <v>WorldCat Record</v>
      </c>
      <c r="AX1695" s="3" t="s">
        <v>17647</v>
      </c>
      <c r="AY1695" s="3" t="s">
        <v>17648</v>
      </c>
      <c r="AZ1695" s="3" t="s">
        <v>17649</v>
      </c>
      <c r="BA1695" s="3" t="s">
        <v>17649</v>
      </c>
      <c r="BB1695" s="3" t="s">
        <v>17650</v>
      </c>
      <c r="BC1695" s="3" t="s">
        <v>78</v>
      </c>
      <c r="BD1695" s="3" t="s">
        <v>414</v>
      </c>
      <c r="BE1695" s="3" t="s">
        <v>17651</v>
      </c>
      <c r="BF1695" s="3" t="s">
        <v>17650</v>
      </c>
      <c r="BG1695" s="3" t="s">
        <v>17652</v>
      </c>
    </row>
    <row r="1696" spans="1:59" ht="58" x14ac:dyDescent="0.35">
      <c r="A1696" s="2" t="s">
        <v>59</v>
      </c>
      <c r="B1696" s="2" t="s">
        <v>94</v>
      </c>
      <c r="C1696" s="2" t="s">
        <v>17653</v>
      </c>
      <c r="D1696" s="2" t="s">
        <v>17654</v>
      </c>
      <c r="E1696" s="2" t="s">
        <v>17655</v>
      </c>
      <c r="G1696" s="3" t="s">
        <v>64</v>
      </c>
      <c r="I1696" s="3" t="s">
        <v>64</v>
      </c>
      <c r="J1696" s="3" t="s">
        <v>64</v>
      </c>
      <c r="K1696" s="3" t="s">
        <v>65</v>
      </c>
      <c r="L1696" s="2" t="s">
        <v>17656</v>
      </c>
      <c r="M1696" s="2" t="s">
        <v>17657</v>
      </c>
      <c r="N1696" s="3" t="s">
        <v>538</v>
      </c>
      <c r="O1696" s="2" t="s">
        <v>17658</v>
      </c>
      <c r="P1696" s="3" t="s">
        <v>69</v>
      </c>
      <c r="R1696" s="3" t="s">
        <v>16939</v>
      </c>
      <c r="S1696" s="4">
        <v>2</v>
      </c>
      <c r="T1696" s="4">
        <v>2</v>
      </c>
      <c r="U1696" s="5" t="s">
        <v>17659</v>
      </c>
      <c r="V1696" s="5" t="s">
        <v>17659</v>
      </c>
      <c r="W1696" s="5" t="s">
        <v>72</v>
      </c>
      <c r="X1696" s="5" t="s">
        <v>72</v>
      </c>
      <c r="Y1696" s="4">
        <v>424</v>
      </c>
      <c r="Z1696" s="4">
        <v>19</v>
      </c>
      <c r="AA1696" s="4">
        <v>132</v>
      </c>
      <c r="AB1696" s="4">
        <v>1</v>
      </c>
      <c r="AC1696" s="4">
        <v>16</v>
      </c>
      <c r="AD1696" s="4">
        <v>91</v>
      </c>
      <c r="AE1696" s="4">
        <v>168</v>
      </c>
      <c r="AF1696" s="4">
        <v>0</v>
      </c>
      <c r="AG1696" s="4">
        <v>9</v>
      </c>
      <c r="AH1696" s="4">
        <v>80</v>
      </c>
      <c r="AI1696" s="4">
        <v>117</v>
      </c>
      <c r="AJ1696" s="4">
        <v>11</v>
      </c>
      <c r="AK1696" s="4">
        <v>28</v>
      </c>
      <c r="AL1696" s="4">
        <v>46</v>
      </c>
      <c r="AM1696" s="4">
        <v>65</v>
      </c>
      <c r="AN1696" s="4">
        <v>0</v>
      </c>
      <c r="AO1696" s="4">
        <v>0</v>
      </c>
      <c r="AP1696" s="4">
        <v>12</v>
      </c>
      <c r="AQ1696" s="4">
        <v>56</v>
      </c>
      <c r="AR1696" s="3" t="s">
        <v>64</v>
      </c>
      <c r="AS1696" s="3" t="s">
        <v>64</v>
      </c>
      <c r="AT1696" s="3" t="s">
        <v>64</v>
      </c>
      <c r="AV1696" s="6" t="str">
        <f>HYPERLINK("http://mcgill.on.worldcat.org/oclc/74915665","Catalog Record")</f>
        <v>Catalog Record</v>
      </c>
      <c r="AW1696" s="6" t="str">
        <f>HYPERLINK("http://www.worldcat.org/oclc/74915665","WorldCat Record")</f>
        <v>WorldCat Record</v>
      </c>
      <c r="AX1696" s="3" t="s">
        <v>17660</v>
      </c>
      <c r="AY1696" s="3" t="s">
        <v>17661</v>
      </c>
      <c r="AZ1696" s="3" t="s">
        <v>17662</v>
      </c>
      <c r="BA1696" s="3" t="s">
        <v>17662</v>
      </c>
      <c r="BB1696" s="3" t="s">
        <v>17663</v>
      </c>
      <c r="BC1696" s="3" t="s">
        <v>78</v>
      </c>
      <c r="BD1696" s="3" t="s">
        <v>79</v>
      </c>
      <c r="BE1696" s="3" t="s">
        <v>17664</v>
      </c>
      <c r="BF1696" s="3" t="s">
        <v>17663</v>
      </c>
      <c r="BG1696" s="3" t="s">
        <v>17665</v>
      </c>
    </row>
    <row r="1697" spans="1:59" ht="58" x14ac:dyDescent="0.35">
      <c r="A1697" s="2" t="s">
        <v>59</v>
      </c>
      <c r="B1697" s="2" t="s">
        <v>94</v>
      </c>
      <c r="C1697" s="2" t="s">
        <v>17666</v>
      </c>
      <c r="D1697" s="2" t="s">
        <v>17667</v>
      </c>
      <c r="E1697" s="2" t="s">
        <v>17668</v>
      </c>
      <c r="G1697" s="3" t="s">
        <v>64</v>
      </c>
      <c r="I1697" s="3" t="s">
        <v>64</v>
      </c>
      <c r="J1697" s="3" t="s">
        <v>64</v>
      </c>
      <c r="K1697" s="3" t="s">
        <v>65</v>
      </c>
      <c r="L1697" s="2" t="s">
        <v>17669</v>
      </c>
      <c r="M1697" s="2" t="s">
        <v>17102</v>
      </c>
      <c r="N1697" s="3" t="s">
        <v>175</v>
      </c>
      <c r="P1697" s="3" t="s">
        <v>69</v>
      </c>
      <c r="Q1697" s="2" t="s">
        <v>17670</v>
      </c>
      <c r="R1697" s="3" t="s">
        <v>16939</v>
      </c>
      <c r="S1697" s="4">
        <v>0</v>
      </c>
      <c r="T1697" s="4">
        <v>0</v>
      </c>
      <c r="W1697" s="5" t="s">
        <v>72</v>
      </c>
      <c r="X1697" s="5" t="s">
        <v>72</v>
      </c>
      <c r="Y1697" s="4">
        <v>62</v>
      </c>
      <c r="Z1697" s="4">
        <v>2</v>
      </c>
      <c r="AA1697" s="4">
        <v>104</v>
      </c>
      <c r="AB1697" s="4">
        <v>1</v>
      </c>
      <c r="AC1697" s="4">
        <v>17</v>
      </c>
      <c r="AD1697" s="4">
        <v>39</v>
      </c>
      <c r="AE1697" s="4">
        <v>128</v>
      </c>
      <c r="AF1697" s="4">
        <v>0</v>
      </c>
      <c r="AG1697" s="4">
        <v>8</v>
      </c>
      <c r="AH1697" s="4">
        <v>38</v>
      </c>
      <c r="AI1697" s="4">
        <v>88</v>
      </c>
      <c r="AJ1697" s="4">
        <v>1</v>
      </c>
      <c r="AK1697" s="4">
        <v>21</v>
      </c>
      <c r="AL1697" s="4">
        <v>23</v>
      </c>
      <c r="AM1697" s="4">
        <v>47</v>
      </c>
      <c r="AN1697" s="4">
        <v>0</v>
      </c>
      <c r="AO1697" s="4">
        <v>0</v>
      </c>
      <c r="AP1697" s="4">
        <v>1</v>
      </c>
      <c r="AQ1697" s="4">
        <v>44</v>
      </c>
      <c r="AR1697" s="3" t="s">
        <v>64</v>
      </c>
      <c r="AS1697" s="3" t="s">
        <v>64</v>
      </c>
      <c r="AT1697" s="3" t="s">
        <v>64</v>
      </c>
      <c r="AV1697" s="6" t="str">
        <f>HYPERLINK("http://mcgill.on.worldcat.org/oclc/875037748","Catalog Record")</f>
        <v>Catalog Record</v>
      </c>
      <c r="AW1697" s="6" t="str">
        <f>HYPERLINK("http://www.worldcat.org/oclc/875037748","WorldCat Record")</f>
        <v>WorldCat Record</v>
      </c>
      <c r="AX1697" s="3" t="s">
        <v>17671</v>
      </c>
      <c r="AY1697" s="3" t="s">
        <v>17672</v>
      </c>
      <c r="AZ1697" s="3" t="s">
        <v>17673</v>
      </c>
      <c r="BA1697" s="3" t="s">
        <v>17673</v>
      </c>
      <c r="BB1697" s="3" t="s">
        <v>17674</v>
      </c>
      <c r="BC1697" s="3" t="s">
        <v>78</v>
      </c>
      <c r="BD1697" s="3" t="s">
        <v>79</v>
      </c>
      <c r="BE1697" s="3" t="s">
        <v>17675</v>
      </c>
      <c r="BF1697" s="3" t="s">
        <v>17674</v>
      </c>
      <c r="BG1697" s="3" t="s">
        <v>17676</v>
      </c>
    </row>
    <row r="1698" spans="1:59" ht="58" x14ac:dyDescent="0.35">
      <c r="A1698" s="2" t="s">
        <v>59</v>
      </c>
      <c r="B1698" s="2" t="s">
        <v>94</v>
      </c>
      <c r="C1698" s="2" t="s">
        <v>17677</v>
      </c>
      <c r="D1698" s="2" t="s">
        <v>17678</v>
      </c>
      <c r="E1698" s="2" t="s">
        <v>17679</v>
      </c>
      <c r="G1698" s="3" t="s">
        <v>64</v>
      </c>
      <c r="I1698" s="3" t="s">
        <v>64</v>
      </c>
      <c r="J1698" s="3" t="s">
        <v>64</v>
      </c>
      <c r="K1698" s="3" t="s">
        <v>65</v>
      </c>
      <c r="L1698" s="2" t="s">
        <v>17680</v>
      </c>
      <c r="M1698" s="2" t="s">
        <v>17681</v>
      </c>
      <c r="N1698" s="3" t="s">
        <v>4535</v>
      </c>
      <c r="P1698" s="3" t="s">
        <v>69</v>
      </c>
      <c r="R1698" s="3" t="s">
        <v>16939</v>
      </c>
      <c r="S1698" s="4">
        <v>5</v>
      </c>
      <c r="T1698" s="4">
        <v>5</v>
      </c>
      <c r="U1698" s="5" t="s">
        <v>17682</v>
      </c>
      <c r="V1698" s="5" t="s">
        <v>17682</v>
      </c>
      <c r="W1698" s="5" t="s">
        <v>72</v>
      </c>
      <c r="X1698" s="5" t="s">
        <v>72</v>
      </c>
      <c r="Y1698" s="4">
        <v>55</v>
      </c>
      <c r="Z1698" s="4">
        <v>8</v>
      </c>
      <c r="AA1698" s="4">
        <v>26</v>
      </c>
      <c r="AB1698" s="4">
        <v>1</v>
      </c>
      <c r="AC1698" s="4">
        <v>8</v>
      </c>
      <c r="AD1698" s="4">
        <v>20</v>
      </c>
      <c r="AE1698" s="4">
        <v>85</v>
      </c>
      <c r="AF1698" s="4">
        <v>0</v>
      </c>
      <c r="AG1698" s="4">
        <v>3</v>
      </c>
      <c r="AH1698" s="4">
        <v>19</v>
      </c>
      <c r="AI1698" s="4">
        <v>72</v>
      </c>
      <c r="AJ1698" s="4">
        <v>5</v>
      </c>
      <c r="AK1698" s="4">
        <v>11</v>
      </c>
      <c r="AL1698" s="4">
        <v>9</v>
      </c>
      <c r="AM1698" s="4">
        <v>44</v>
      </c>
      <c r="AN1698" s="4">
        <v>0</v>
      </c>
      <c r="AO1698" s="4">
        <v>0</v>
      </c>
      <c r="AP1698" s="4">
        <v>6</v>
      </c>
      <c r="AQ1698" s="4">
        <v>17</v>
      </c>
      <c r="AR1698" s="3" t="s">
        <v>64</v>
      </c>
      <c r="AS1698" s="3" t="s">
        <v>64</v>
      </c>
      <c r="AT1698" s="3" t="s">
        <v>64</v>
      </c>
      <c r="AV1698" s="6" t="str">
        <f>HYPERLINK("http://mcgill.on.worldcat.org/oclc/1045423265","Catalog Record")</f>
        <v>Catalog Record</v>
      </c>
      <c r="AW1698" s="6" t="str">
        <f>HYPERLINK("http://www.worldcat.org/oclc/1045423265","WorldCat Record")</f>
        <v>WorldCat Record</v>
      </c>
      <c r="AX1698" s="3" t="s">
        <v>17683</v>
      </c>
      <c r="AY1698" s="3" t="s">
        <v>17684</v>
      </c>
      <c r="AZ1698" s="3" t="s">
        <v>17685</v>
      </c>
      <c r="BA1698" s="3" t="s">
        <v>17685</v>
      </c>
      <c r="BB1698" s="3" t="s">
        <v>17686</v>
      </c>
      <c r="BC1698" s="3" t="s">
        <v>78</v>
      </c>
      <c r="BD1698" s="3" t="s">
        <v>414</v>
      </c>
      <c r="BE1698" s="3" t="s">
        <v>17687</v>
      </c>
      <c r="BF1698" s="3" t="s">
        <v>17686</v>
      </c>
      <c r="BG1698" s="3" t="s">
        <v>17688</v>
      </c>
    </row>
    <row r="1699" spans="1:59" ht="58" x14ac:dyDescent="0.35">
      <c r="A1699" s="2" t="s">
        <v>59</v>
      </c>
      <c r="B1699" s="2" t="s">
        <v>94</v>
      </c>
      <c r="C1699" s="2" t="s">
        <v>17689</v>
      </c>
      <c r="D1699" s="2" t="s">
        <v>17690</v>
      </c>
      <c r="E1699" s="2" t="s">
        <v>17691</v>
      </c>
      <c r="G1699" s="3" t="s">
        <v>64</v>
      </c>
      <c r="I1699" s="3" t="s">
        <v>64</v>
      </c>
      <c r="J1699" s="3" t="s">
        <v>64</v>
      </c>
      <c r="K1699" s="3" t="s">
        <v>65</v>
      </c>
      <c r="L1699" s="2" t="s">
        <v>17692</v>
      </c>
      <c r="M1699" s="2" t="s">
        <v>17693</v>
      </c>
      <c r="N1699" s="3" t="s">
        <v>2466</v>
      </c>
      <c r="O1699" s="2" t="s">
        <v>6770</v>
      </c>
      <c r="P1699" s="3" t="s">
        <v>69</v>
      </c>
      <c r="R1699" s="3" t="s">
        <v>16939</v>
      </c>
      <c r="S1699" s="4">
        <v>30</v>
      </c>
      <c r="T1699" s="4">
        <v>30</v>
      </c>
      <c r="U1699" s="5" t="s">
        <v>17694</v>
      </c>
      <c r="V1699" s="5" t="s">
        <v>17694</v>
      </c>
      <c r="W1699" s="5" t="s">
        <v>72</v>
      </c>
      <c r="X1699" s="5" t="s">
        <v>72</v>
      </c>
      <c r="Y1699" s="4">
        <v>1313</v>
      </c>
      <c r="Z1699" s="4">
        <v>46</v>
      </c>
      <c r="AA1699" s="4">
        <v>63</v>
      </c>
      <c r="AB1699" s="4">
        <v>6</v>
      </c>
      <c r="AC1699" s="4">
        <v>12</v>
      </c>
      <c r="AD1699" s="4">
        <v>125</v>
      </c>
      <c r="AE1699" s="4">
        <v>137</v>
      </c>
      <c r="AF1699" s="4">
        <v>2</v>
      </c>
      <c r="AG1699" s="4">
        <v>4</v>
      </c>
      <c r="AH1699" s="4">
        <v>103</v>
      </c>
      <c r="AI1699" s="4">
        <v>108</v>
      </c>
      <c r="AJ1699" s="4">
        <v>22</v>
      </c>
      <c r="AK1699" s="4">
        <v>26</v>
      </c>
      <c r="AL1699" s="4">
        <v>54</v>
      </c>
      <c r="AM1699" s="4">
        <v>58</v>
      </c>
      <c r="AN1699" s="4">
        <v>0</v>
      </c>
      <c r="AO1699" s="4">
        <v>5</v>
      </c>
      <c r="AP1699" s="4">
        <v>30</v>
      </c>
      <c r="AQ1699" s="4">
        <v>36</v>
      </c>
      <c r="AR1699" s="3" t="s">
        <v>64</v>
      </c>
      <c r="AS1699" s="3" t="s">
        <v>64</v>
      </c>
      <c r="AT1699" s="3" t="s">
        <v>64</v>
      </c>
      <c r="AU1699" s="6" t="str">
        <f>HYPERLINK("http://catalog.hathitrust.org/Record/001621113","HathiTrust Record")</f>
        <v>HathiTrust Record</v>
      </c>
      <c r="AV1699" s="6" t="str">
        <f>HYPERLINK("http://mcgill.on.worldcat.org/oclc/570161","Catalog Record")</f>
        <v>Catalog Record</v>
      </c>
      <c r="AW1699" s="6" t="str">
        <f>HYPERLINK("http://www.worldcat.org/oclc/570161","WorldCat Record")</f>
        <v>WorldCat Record</v>
      </c>
      <c r="AX1699" s="3" t="s">
        <v>17695</v>
      </c>
      <c r="AY1699" s="3" t="s">
        <v>17696</v>
      </c>
      <c r="AZ1699" s="3" t="s">
        <v>17697</v>
      </c>
      <c r="BA1699" s="3" t="s">
        <v>17697</v>
      </c>
      <c r="BB1699" s="3" t="s">
        <v>17698</v>
      </c>
      <c r="BC1699" s="3" t="s">
        <v>78</v>
      </c>
      <c r="BD1699" s="3" t="s">
        <v>79</v>
      </c>
      <c r="BF1699" s="3" t="s">
        <v>17698</v>
      </c>
      <c r="BG1699" s="3" t="s">
        <v>17699</v>
      </c>
    </row>
    <row r="1700" spans="1:59" ht="58" x14ac:dyDescent="0.35">
      <c r="A1700" s="2" t="s">
        <v>59</v>
      </c>
      <c r="B1700" s="2" t="s">
        <v>94</v>
      </c>
      <c r="C1700" s="2" t="s">
        <v>17700</v>
      </c>
      <c r="D1700" s="2" t="s">
        <v>17701</v>
      </c>
      <c r="E1700" s="2" t="s">
        <v>17702</v>
      </c>
      <c r="G1700" s="3" t="s">
        <v>64</v>
      </c>
      <c r="I1700" s="3" t="s">
        <v>64</v>
      </c>
      <c r="J1700" s="3" t="s">
        <v>64</v>
      </c>
      <c r="K1700" s="3" t="s">
        <v>65</v>
      </c>
      <c r="L1700" s="2" t="s">
        <v>17703</v>
      </c>
      <c r="M1700" s="2" t="s">
        <v>17704</v>
      </c>
      <c r="N1700" s="3" t="s">
        <v>68</v>
      </c>
      <c r="P1700" s="3" t="s">
        <v>69</v>
      </c>
      <c r="R1700" s="3" t="s">
        <v>16939</v>
      </c>
      <c r="S1700" s="4">
        <v>4</v>
      </c>
      <c r="T1700" s="4">
        <v>4</v>
      </c>
      <c r="U1700" s="5" t="s">
        <v>10207</v>
      </c>
      <c r="V1700" s="5" t="s">
        <v>10207</v>
      </c>
      <c r="W1700" s="5" t="s">
        <v>72</v>
      </c>
      <c r="X1700" s="5" t="s">
        <v>72</v>
      </c>
      <c r="Y1700" s="4">
        <v>20</v>
      </c>
      <c r="Z1700" s="4">
        <v>3</v>
      </c>
      <c r="AA1700" s="4">
        <v>65</v>
      </c>
      <c r="AB1700" s="4">
        <v>1</v>
      </c>
      <c r="AC1700" s="4">
        <v>7</v>
      </c>
      <c r="AD1700" s="4">
        <v>6</v>
      </c>
      <c r="AE1700" s="4">
        <v>100</v>
      </c>
      <c r="AF1700" s="4">
        <v>0</v>
      </c>
      <c r="AG1700" s="4">
        <v>3</v>
      </c>
      <c r="AH1700" s="4">
        <v>5</v>
      </c>
      <c r="AI1700" s="4">
        <v>76</v>
      </c>
      <c r="AJ1700" s="4">
        <v>2</v>
      </c>
      <c r="AK1700" s="4">
        <v>22</v>
      </c>
      <c r="AL1700" s="4">
        <v>3</v>
      </c>
      <c r="AM1700" s="4">
        <v>44</v>
      </c>
      <c r="AN1700" s="4">
        <v>0</v>
      </c>
      <c r="AO1700" s="4">
        <v>0</v>
      </c>
      <c r="AP1700" s="4">
        <v>2</v>
      </c>
      <c r="AQ1700" s="4">
        <v>31</v>
      </c>
      <c r="AR1700" s="3" t="s">
        <v>64</v>
      </c>
      <c r="AS1700" s="3" t="s">
        <v>64</v>
      </c>
      <c r="AT1700" s="3" t="s">
        <v>64</v>
      </c>
      <c r="AV1700" s="6" t="str">
        <f>HYPERLINK("http://mcgill.on.worldcat.org/oclc/76354725","Catalog Record")</f>
        <v>Catalog Record</v>
      </c>
      <c r="AW1700" s="6" t="str">
        <f>HYPERLINK("http://www.worldcat.org/oclc/76354725","WorldCat Record")</f>
        <v>WorldCat Record</v>
      </c>
      <c r="AX1700" s="3" t="s">
        <v>17705</v>
      </c>
      <c r="AY1700" s="3" t="s">
        <v>17706</v>
      </c>
      <c r="AZ1700" s="3" t="s">
        <v>17707</v>
      </c>
      <c r="BA1700" s="3" t="s">
        <v>17707</v>
      </c>
      <c r="BB1700" s="3" t="s">
        <v>17708</v>
      </c>
      <c r="BC1700" s="3" t="s">
        <v>78</v>
      </c>
      <c r="BD1700" s="3" t="s">
        <v>79</v>
      </c>
      <c r="BE1700" s="3" t="s">
        <v>17709</v>
      </c>
      <c r="BF1700" s="3" t="s">
        <v>17708</v>
      </c>
      <c r="BG1700" s="3" t="s">
        <v>17710</v>
      </c>
    </row>
    <row r="1701" spans="1:59" ht="72.5" x14ac:dyDescent="0.35">
      <c r="A1701" s="2" t="s">
        <v>59</v>
      </c>
      <c r="B1701" s="2" t="s">
        <v>94</v>
      </c>
      <c r="C1701" s="2" t="s">
        <v>17711</v>
      </c>
      <c r="D1701" s="2" t="s">
        <v>17712</v>
      </c>
      <c r="E1701" s="2" t="s">
        <v>17713</v>
      </c>
      <c r="G1701" s="3" t="s">
        <v>64</v>
      </c>
      <c r="I1701" s="3" t="s">
        <v>64</v>
      </c>
      <c r="J1701" s="3" t="s">
        <v>64</v>
      </c>
      <c r="K1701" s="3" t="s">
        <v>65</v>
      </c>
      <c r="L1701" s="2" t="s">
        <v>17714</v>
      </c>
      <c r="M1701" s="2" t="s">
        <v>17715</v>
      </c>
      <c r="N1701" s="3" t="s">
        <v>1645</v>
      </c>
      <c r="O1701" s="2" t="s">
        <v>17716</v>
      </c>
      <c r="P1701" s="3" t="s">
        <v>69</v>
      </c>
      <c r="R1701" s="3" t="s">
        <v>16939</v>
      </c>
      <c r="S1701" s="4">
        <v>1</v>
      </c>
      <c r="T1701" s="4">
        <v>1</v>
      </c>
      <c r="U1701" s="5" t="s">
        <v>5786</v>
      </c>
      <c r="V1701" s="5" t="s">
        <v>5786</v>
      </c>
      <c r="W1701" s="5" t="s">
        <v>72</v>
      </c>
      <c r="X1701" s="5" t="s">
        <v>72</v>
      </c>
      <c r="Y1701" s="4">
        <v>580</v>
      </c>
      <c r="Z1701" s="4">
        <v>11</v>
      </c>
      <c r="AA1701" s="4">
        <v>11</v>
      </c>
      <c r="AB1701" s="4">
        <v>3</v>
      </c>
      <c r="AC1701" s="4">
        <v>3</v>
      </c>
      <c r="AD1701" s="4">
        <v>36</v>
      </c>
      <c r="AE1701" s="4">
        <v>36</v>
      </c>
      <c r="AF1701" s="4">
        <v>1</v>
      </c>
      <c r="AG1701" s="4">
        <v>1</v>
      </c>
      <c r="AH1701" s="4">
        <v>33</v>
      </c>
      <c r="AI1701" s="4">
        <v>33</v>
      </c>
      <c r="AJ1701" s="4">
        <v>0</v>
      </c>
      <c r="AK1701" s="4">
        <v>0</v>
      </c>
      <c r="AL1701" s="4">
        <v>25</v>
      </c>
      <c r="AM1701" s="4">
        <v>25</v>
      </c>
      <c r="AN1701" s="4">
        <v>0</v>
      </c>
      <c r="AO1701" s="4">
        <v>0</v>
      </c>
      <c r="AP1701" s="4">
        <v>1</v>
      </c>
      <c r="AQ1701" s="4">
        <v>1</v>
      </c>
      <c r="AR1701" s="3" t="s">
        <v>64</v>
      </c>
      <c r="AS1701" s="3" t="s">
        <v>64</v>
      </c>
      <c r="AT1701" s="3" t="s">
        <v>64</v>
      </c>
      <c r="AV1701" s="6" t="str">
        <f>HYPERLINK("http://mcgill.on.worldcat.org/oclc/951925571","Catalog Record")</f>
        <v>Catalog Record</v>
      </c>
      <c r="AW1701" s="6" t="str">
        <f>HYPERLINK("http://www.worldcat.org/oclc/951925571","WorldCat Record")</f>
        <v>WorldCat Record</v>
      </c>
      <c r="AX1701" s="3" t="s">
        <v>17717</v>
      </c>
      <c r="AY1701" s="3" t="s">
        <v>17718</v>
      </c>
      <c r="AZ1701" s="3" t="s">
        <v>17719</v>
      </c>
      <c r="BA1701" s="3" t="s">
        <v>17719</v>
      </c>
      <c r="BB1701" s="3" t="s">
        <v>17720</v>
      </c>
      <c r="BC1701" s="3" t="s">
        <v>78</v>
      </c>
      <c r="BD1701" s="3" t="s">
        <v>79</v>
      </c>
      <c r="BE1701" s="3" t="s">
        <v>17721</v>
      </c>
      <c r="BF1701" s="3" t="s">
        <v>17720</v>
      </c>
      <c r="BG1701" s="3" t="s">
        <v>17722</v>
      </c>
    </row>
    <row r="1702" spans="1:59" ht="58" x14ac:dyDescent="0.35">
      <c r="A1702" s="2" t="s">
        <v>59</v>
      </c>
      <c r="B1702" s="2" t="s">
        <v>94</v>
      </c>
      <c r="C1702" s="2" t="s">
        <v>17723</v>
      </c>
      <c r="D1702" s="2" t="s">
        <v>17724</v>
      </c>
      <c r="E1702" s="2" t="s">
        <v>17725</v>
      </c>
      <c r="G1702" s="3" t="s">
        <v>64</v>
      </c>
      <c r="I1702" s="3" t="s">
        <v>64</v>
      </c>
      <c r="J1702" s="3" t="s">
        <v>64</v>
      </c>
      <c r="K1702" s="3" t="s">
        <v>65</v>
      </c>
      <c r="L1702" s="2" t="s">
        <v>17726</v>
      </c>
      <c r="M1702" s="2" t="s">
        <v>17727</v>
      </c>
      <c r="N1702" s="3" t="s">
        <v>377</v>
      </c>
      <c r="P1702" s="3" t="s">
        <v>69</v>
      </c>
      <c r="R1702" s="3" t="s">
        <v>16939</v>
      </c>
      <c r="S1702" s="4">
        <v>2</v>
      </c>
      <c r="T1702" s="4">
        <v>2</v>
      </c>
      <c r="U1702" s="5" t="s">
        <v>10207</v>
      </c>
      <c r="V1702" s="5" t="s">
        <v>10207</v>
      </c>
      <c r="W1702" s="5" t="s">
        <v>72</v>
      </c>
      <c r="X1702" s="5" t="s">
        <v>72</v>
      </c>
      <c r="Y1702" s="4">
        <v>414</v>
      </c>
      <c r="Z1702" s="4">
        <v>23</v>
      </c>
      <c r="AA1702" s="4">
        <v>35</v>
      </c>
      <c r="AB1702" s="4">
        <v>2</v>
      </c>
      <c r="AC1702" s="4">
        <v>8</v>
      </c>
      <c r="AD1702" s="4">
        <v>71</v>
      </c>
      <c r="AE1702" s="4">
        <v>94</v>
      </c>
      <c r="AF1702" s="4">
        <v>1</v>
      </c>
      <c r="AG1702" s="4">
        <v>4</v>
      </c>
      <c r="AH1702" s="4">
        <v>61</v>
      </c>
      <c r="AI1702" s="4">
        <v>77</v>
      </c>
      <c r="AJ1702" s="4">
        <v>13</v>
      </c>
      <c r="AK1702" s="4">
        <v>20</v>
      </c>
      <c r="AL1702" s="4">
        <v>38</v>
      </c>
      <c r="AM1702" s="4">
        <v>44</v>
      </c>
      <c r="AN1702" s="4">
        <v>0</v>
      </c>
      <c r="AO1702" s="4">
        <v>0</v>
      </c>
      <c r="AP1702" s="4">
        <v>14</v>
      </c>
      <c r="AQ1702" s="4">
        <v>22</v>
      </c>
      <c r="AR1702" s="3" t="s">
        <v>64</v>
      </c>
      <c r="AS1702" s="3" t="s">
        <v>64</v>
      </c>
      <c r="AT1702" s="3" t="s">
        <v>64</v>
      </c>
      <c r="AV1702" s="6" t="str">
        <f>HYPERLINK("http://mcgill.on.worldcat.org/oclc/761376632","Catalog Record")</f>
        <v>Catalog Record</v>
      </c>
      <c r="AW1702" s="6" t="str">
        <f>HYPERLINK("http://www.worldcat.org/oclc/761376632","WorldCat Record")</f>
        <v>WorldCat Record</v>
      </c>
      <c r="AX1702" s="3" t="s">
        <v>17728</v>
      </c>
      <c r="AY1702" s="3" t="s">
        <v>17729</v>
      </c>
      <c r="AZ1702" s="3" t="s">
        <v>17730</v>
      </c>
      <c r="BA1702" s="3" t="s">
        <v>17730</v>
      </c>
      <c r="BB1702" s="3" t="s">
        <v>17731</v>
      </c>
      <c r="BC1702" s="3" t="s">
        <v>78</v>
      </c>
      <c r="BD1702" s="3" t="s">
        <v>79</v>
      </c>
      <c r="BE1702" s="3" t="s">
        <v>17732</v>
      </c>
      <c r="BF1702" s="3" t="s">
        <v>17731</v>
      </c>
      <c r="BG1702" s="3" t="s">
        <v>17733</v>
      </c>
    </row>
    <row r="1703" spans="1:59" ht="58" x14ac:dyDescent="0.35">
      <c r="A1703" s="2" t="s">
        <v>59</v>
      </c>
      <c r="B1703" s="2" t="s">
        <v>94</v>
      </c>
      <c r="C1703" s="2" t="s">
        <v>17734</v>
      </c>
      <c r="D1703" s="2" t="s">
        <v>17735</v>
      </c>
      <c r="E1703" s="2" t="s">
        <v>17736</v>
      </c>
      <c r="G1703" s="3" t="s">
        <v>64</v>
      </c>
      <c r="I1703" s="3" t="s">
        <v>64</v>
      </c>
      <c r="J1703" s="3" t="s">
        <v>64</v>
      </c>
      <c r="K1703" s="3" t="s">
        <v>65</v>
      </c>
      <c r="L1703" s="2" t="s">
        <v>17737</v>
      </c>
      <c r="M1703" s="2" t="s">
        <v>17738</v>
      </c>
      <c r="N1703" s="3" t="s">
        <v>861</v>
      </c>
      <c r="P1703" s="3" t="s">
        <v>69</v>
      </c>
      <c r="R1703" s="3" t="s">
        <v>16939</v>
      </c>
      <c r="S1703" s="4">
        <v>1</v>
      </c>
      <c r="T1703" s="4">
        <v>1</v>
      </c>
      <c r="U1703" s="5" t="s">
        <v>11974</v>
      </c>
      <c r="V1703" s="5" t="s">
        <v>11974</v>
      </c>
      <c r="W1703" s="5" t="s">
        <v>72</v>
      </c>
      <c r="X1703" s="5" t="s">
        <v>72</v>
      </c>
      <c r="Y1703" s="4">
        <v>358</v>
      </c>
      <c r="Z1703" s="4">
        <v>11</v>
      </c>
      <c r="AA1703" s="4">
        <v>52</v>
      </c>
      <c r="AB1703" s="4">
        <v>1</v>
      </c>
      <c r="AC1703" s="4">
        <v>8</v>
      </c>
      <c r="AD1703" s="4">
        <v>69</v>
      </c>
      <c r="AE1703" s="4">
        <v>88</v>
      </c>
      <c r="AF1703" s="4">
        <v>0</v>
      </c>
      <c r="AG1703" s="4">
        <v>2</v>
      </c>
      <c r="AH1703" s="4">
        <v>64</v>
      </c>
      <c r="AI1703" s="4">
        <v>78</v>
      </c>
      <c r="AJ1703" s="4">
        <v>5</v>
      </c>
      <c r="AK1703" s="4">
        <v>9</v>
      </c>
      <c r="AL1703" s="4">
        <v>36</v>
      </c>
      <c r="AM1703" s="4">
        <v>41</v>
      </c>
      <c r="AN1703" s="4">
        <v>0</v>
      </c>
      <c r="AO1703" s="4">
        <v>0</v>
      </c>
      <c r="AP1703" s="4">
        <v>6</v>
      </c>
      <c r="AQ1703" s="4">
        <v>13</v>
      </c>
      <c r="AR1703" s="3" t="s">
        <v>64</v>
      </c>
      <c r="AS1703" s="3" t="s">
        <v>64</v>
      </c>
      <c r="AT1703" s="3" t="s">
        <v>64</v>
      </c>
      <c r="AV1703" s="6" t="str">
        <f>HYPERLINK("http://mcgill.on.worldcat.org/oclc/54462083","Catalog Record")</f>
        <v>Catalog Record</v>
      </c>
      <c r="AW1703" s="6" t="str">
        <f>HYPERLINK("http://www.worldcat.org/oclc/54462083","WorldCat Record")</f>
        <v>WorldCat Record</v>
      </c>
      <c r="AX1703" s="3" t="s">
        <v>17739</v>
      </c>
      <c r="AY1703" s="3" t="s">
        <v>17740</v>
      </c>
      <c r="AZ1703" s="3" t="s">
        <v>17741</v>
      </c>
      <c r="BA1703" s="3" t="s">
        <v>17741</v>
      </c>
      <c r="BB1703" s="3" t="s">
        <v>17742</v>
      </c>
      <c r="BC1703" s="3" t="s">
        <v>78</v>
      </c>
      <c r="BD1703" s="3" t="s">
        <v>79</v>
      </c>
      <c r="BE1703" s="3" t="s">
        <v>17743</v>
      </c>
      <c r="BF1703" s="3" t="s">
        <v>17742</v>
      </c>
      <c r="BG1703" s="3" t="s">
        <v>17744</v>
      </c>
    </row>
    <row r="1704" spans="1:59" ht="72.5" x14ac:dyDescent="0.35">
      <c r="A1704" s="2" t="s">
        <v>59</v>
      </c>
      <c r="B1704" s="2" t="s">
        <v>94</v>
      </c>
      <c r="C1704" s="2" t="s">
        <v>17745</v>
      </c>
      <c r="D1704" s="2" t="s">
        <v>17746</v>
      </c>
      <c r="E1704" s="2" t="s">
        <v>17747</v>
      </c>
      <c r="G1704" s="3" t="s">
        <v>64</v>
      </c>
      <c r="I1704" s="3" t="s">
        <v>64</v>
      </c>
      <c r="J1704" s="3" t="s">
        <v>64</v>
      </c>
      <c r="K1704" s="3" t="s">
        <v>65</v>
      </c>
      <c r="M1704" s="2" t="s">
        <v>17748</v>
      </c>
      <c r="N1704" s="3" t="s">
        <v>136</v>
      </c>
      <c r="P1704" s="3" t="s">
        <v>69</v>
      </c>
      <c r="Q1704" s="2" t="s">
        <v>17233</v>
      </c>
      <c r="R1704" s="3" t="s">
        <v>16939</v>
      </c>
      <c r="S1704" s="4">
        <v>7</v>
      </c>
      <c r="T1704" s="4">
        <v>7</v>
      </c>
      <c r="U1704" s="5" t="s">
        <v>14613</v>
      </c>
      <c r="V1704" s="5" t="s">
        <v>14613</v>
      </c>
      <c r="W1704" s="5" t="s">
        <v>72</v>
      </c>
      <c r="X1704" s="5" t="s">
        <v>72</v>
      </c>
      <c r="Y1704" s="4">
        <v>203</v>
      </c>
      <c r="Z1704" s="4">
        <v>9</v>
      </c>
      <c r="AA1704" s="4">
        <v>12</v>
      </c>
      <c r="AB1704" s="4">
        <v>1</v>
      </c>
      <c r="AC1704" s="4">
        <v>3</v>
      </c>
      <c r="AD1704" s="4">
        <v>62</v>
      </c>
      <c r="AE1704" s="4">
        <v>64</v>
      </c>
      <c r="AF1704" s="4">
        <v>0</v>
      </c>
      <c r="AG1704" s="4">
        <v>0</v>
      </c>
      <c r="AH1704" s="4">
        <v>58</v>
      </c>
      <c r="AI1704" s="4">
        <v>59</v>
      </c>
      <c r="AJ1704" s="4">
        <v>5</v>
      </c>
      <c r="AK1704" s="4">
        <v>6</v>
      </c>
      <c r="AL1704" s="4">
        <v>36</v>
      </c>
      <c r="AM1704" s="4">
        <v>36</v>
      </c>
      <c r="AN1704" s="4">
        <v>0</v>
      </c>
      <c r="AO1704" s="4">
        <v>0</v>
      </c>
      <c r="AP1704" s="4">
        <v>6</v>
      </c>
      <c r="AQ1704" s="4">
        <v>7</v>
      </c>
      <c r="AR1704" s="3" t="s">
        <v>64</v>
      </c>
      <c r="AS1704" s="3" t="s">
        <v>64</v>
      </c>
      <c r="AT1704" s="3" t="s">
        <v>64</v>
      </c>
      <c r="AV1704" s="6" t="str">
        <f>HYPERLINK("http://mcgill.on.worldcat.org/oclc/44634327","Catalog Record")</f>
        <v>Catalog Record</v>
      </c>
      <c r="AW1704" s="6" t="str">
        <f>HYPERLINK("http://www.worldcat.org/oclc/44634327","WorldCat Record")</f>
        <v>WorldCat Record</v>
      </c>
      <c r="AX1704" s="3" t="s">
        <v>17749</v>
      </c>
      <c r="AY1704" s="3" t="s">
        <v>17750</v>
      </c>
      <c r="AZ1704" s="3" t="s">
        <v>17751</v>
      </c>
      <c r="BA1704" s="3" t="s">
        <v>17751</v>
      </c>
      <c r="BB1704" s="3" t="s">
        <v>17752</v>
      </c>
      <c r="BC1704" s="3" t="s">
        <v>78</v>
      </c>
      <c r="BD1704" s="3" t="s">
        <v>79</v>
      </c>
      <c r="BE1704" s="3" t="s">
        <v>17753</v>
      </c>
      <c r="BF1704" s="3" t="s">
        <v>17752</v>
      </c>
      <c r="BG1704" s="3" t="s">
        <v>17754</v>
      </c>
    </row>
    <row r="1705" spans="1:59" ht="58" x14ac:dyDescent="0.35">
      <c r="A1705" s="2" t="s">
        <v>59</v>
      </c>
      <c r="B1705" s="2" t="s">
        <v>94</v>
      </c>
      <c r="C1705" s="2" t="s">
        <v>17755</v>
      </c>
      <c r="D1705" s="2" t="s">
        <v>17756</v>
      </c>
      <c r="E1705" s="2" t="s">
        <v>17757</v>
      </c>
      <c r="G1705" s="3" t="s">
        <v>64</v>
      </c>
      <c r="I1705" s="3" t="s">
        <v>64</v>
      </c>
      <c r="J1705" s="3" t="s">
        <v>64</v>
      </c>
      <c r="K1705" s="3" t="s">
        <v>65</v>
      </c>
      <c r="L1705" s="2" t="s">
        <v>17758</v>
      </c>
      <c r="M1705" s="2" t="s">
        <v>17759</v>
      </c>
      <c r="N1705" s="3" t="s">
        <v>214</v>
      </c>
      <c r="P1705" s="3" t="s">
        <v>69</v>
      </c>
      <c r="R1705" s="3" t="s">
        <v>16939</v>
      </c>
      <c r="S1705" s="4">
        <v>5</v>
      </c>
      <c r="T1705" s="4">
        <v>5</v>
      </c>
      <c r="U1705" s="5" t="s">
        <v>8415</v>
      </c>
      <c r="V1705" s="5" t="s">
        <v>8415</v>
      </c>
      <c r="W1705" s="5" t="s">
        <v>72</v>
      </c>
      <c r="X1705" s="5" t="s">
        <v>72</v>
      </c>
      <c r="Y1705" s="4">
        <v>44</v>
      </c>
      <c r="Z1705" s="4">
        <v>33</v>
      </c>
      <c r="AA1705" s="4">
        <v>37</v>
      </c>
      <c r="AB1705" s="4">
        <v>1</v>
      </c>
      <c r="AC1705" s="4">
        <v>2</v>
      </c>
      <c r="AD1705" s="4">
        <v>17</v>
      </c>
      <c r="AE1705" s="4">
        <v>18</v>
      </c>
      <c r="AF1705" s="4">
        <v>0</v>
      </c>
      <c r="AG1705" s="4">
        <v>1</v>
      </c>
      <c r="AH1705" s="4">
        <v>9</v>
      </c>
      <c r="AI1705" s="4">
        <v>9</v>
      </c>
      <c r="AJ1705" s="4">
        <v>12</v>
      </c>
      <c r="AK1705" s="4">
        <v>12</v>
      </c>
      <c r="AL1705" s="4">
        <v>2</v>
      </c>
      <c r="AM1705" s="4">
        <v>2</v>
      </c>
      <c r="AN1705" s="4">
        <v>0</v>
      </c>
      <c r="AO1705" s="4">
        <v>0</v>
      </c>
      <c r="AP1705" s="4">
        <v>12</v>
      </c>
      <c r="AQ1705" s="4">
        <v>13</v>
      </c>
      <c r="AR1705" s="3" t="s">
        <v>73</v>
      </c>
      <c r="AS1705" s="3" t="s">
        <v>64</v>
      </c>
      <c r="AT1705" s="3" t="s">
        <v>64</v>
      </c>
      <c r="AV1705" s="6" t="str">
        <f>HYPERLINK("http://mcgill.on.worldcat.org/oclc/480911435","Catalog Record")</f>
        <v>Catalog Record</v>
      </c>
      <c r="AW1705" s="6" t="str">
        <f>HYPERLINK("http://www.worldcat.org/oclc/480911435","WorldCat Record")</f>
        <v>WorldCat Record</v>
      </c>
      <c r="AX1705" s="3" t="s">
        <v>17760</v>
      </c>
      <c r="AY1705" s="3" t="s">
        <v>17761</v>
      </c>
      <c r="AZ1705" s="3" t="s">
        <v>17762</v>
      </c>
      <c r="BA1705" s="3" t="s">
        <v>17762</v>
      </c>
      <c r="BB1705" s="3" t="s">
        <v>17763</v>
      </c>
      <c r="BC1705" s="3" t="s">
        <v>78</v>
      </c>
      <c r="BD1705" s="3" t="s">
        <v>79</v>
      </c>
      <c r="BE1705" s="3" t="s">
        <v>17764</v>
      </c>
      <c r="BF1705" s="3" t="s">
        <v>17763</v>
      </c>
      <c r="BG1705" s="3" t="s">
        <v>17765</v>
      </c>
    </row>
    <row r="1706" spans="1:59" ht="58" x14ac:dyDescent="0.35">
      <c r="A1706" s="2" t="s">
        <v>59</v>
      </c>
      <c r="B1706" s="2" t="s">
        <v>94</v>
      </c>
      <c r="C1706" s="2" t="s">
        <v>17766</v>
      </c>
      <c r="D1706" s="2" t="s">
        <v>17767</v>
      </c>
      <c r="E1706" s="2" t="s">
        <v>17768</v>
      </c>
      <c r="G1706" s="3" t="s">
        <v>64</v>
      </c>
      <c r="I1706" s="3" t="s">
        <v>64</v>
      </c>
      <c r="J1706" s="3" t="s">
        <v>64</v>
      </c>
      <c r="K1706" s="3" t="s">
        <v>65</v>
      </c>
      <c r="L1706" s="2" t="s">
        <v>17769</v>
      </c>
      <c r="M1706" s="2" t="s">
        <v>17770</v>
      </c>
      <c r="N1706" s="3" t="s">
        <v>1530</v>
      </c>
      <c r="P1706" s="3" t="s">
        <v>69</v>
      </c>
      <c r="R1706" s="3" t="s">
        <v>16939</v>
      </c>
      <c r="S1706" s="4">
        <v>10</v>
      </c>
      <c r="T1706" s="4">
        <v>10</v>
      </c>
      <c r="U1706" s="5" t="s">
        <v>8415</v>
      </c>
      <c r="V1706" s="5" t="s">
        <v>8415</v>
      </c>
      <c r="W1706" s="5" t="s">
        <v>72</v>
      </c>
      <c r="X1706" s="5" t="s">
        <v>72</v>
      </c>
      <c r="Y1706" s="4">
        <v>86</v>
      </c>
      <c r="Z1706" s="4">
        <v>72</v>
      </c>
      <c r="AA1706" s="4">
        <v>79</v>
      </c>
      <c r="AB1706" s="4">
        <v>2</v>
      </c>
      <c r="AC1706" s="4">
        <v>6</v>
      </c>
      <c r="AD1706" s="4">
        <v>28</v>
      </c>
      <c r="AE1706" s="4">
        <v>30</v>
      </c>
      <c r="AF1706" s="4">
        <v>0</v>
      </c>
      <c r="AG1706" s="4">
        <v>2</v>
      </c>
      <c r="AH1706" s="4">
        <v>12</v>
      </c>
      <c r="AI1706" s="4">
        <v>13</v>
      </c>
      <c r="AJ1706" s="4">
        <v>17</v>
      </c>
      <c r="AK1706" s="4">
        <v>19</v>
      </c>
      <c r="AL1706" s="4">
        <v>4</v>
      </c>
      <c r="AM1706" s="4">
        <v>4</v>
      </c>
      <c r="AN1706" s="4">
        <v>0</v>
      </c>
      <c r="AO1706" s="4">
        <v>0</v>
      </c>
      <c r="AP1706" s="4">
        <v>22</v>
      </c>
      <c r="AQ1706" s="4">
        <v>23</v>
      </c>
      <c r="AR1706" s="3" t="s">
        <v>73</v>
      </c>
      <c r="AS1706" s="3" t="s">
        <v>64</v>
      </c>
      <c r="AT1706" s="3" t="s">
        <v>64</v>
      </c>
      <c r="AV1706" s="6" t="str">
        <f>HYPERLINK("http://mcgill.on.worldcat.org/oclc/50022753","Catalog Record")</f>
        <v>Catalog Record</v>
      </c>
      <c r="AW1706" s="6" t="str">
        <f>HYPERLINK("http://www.worldcat.org/oclc/50022753","WorldCat Record")</f>
        <v>WorldCat Record</v>
      </c>
      <c r="AX1706" s="3" t="s">
        <v>17771</v>
      </c>
      <c r="AY1706" s="3" t="s">
        <v>17772</v>
      </c>
      <c r="AZ1706" s="3" t="s">
        <v>17773</v>
      </c>
      <c r="BA1706" s="3" t="s">
        <v>17773</v>
      </c>
      <c r="BB1706" s="3" t="s">
        <v>17774</v>
      </c>
      <c r="BC1706" s="3" t="s">
        <v>78</v>
      </c>
      <c r="BD1706" s="3" t="s">
        <v>79</v>
      </c>
      <c r="BE1706" s="3" t="s">
        <v>17775</v>
      </c>
      <c r="BF1706" s="3" t="s">
        <v>17774</v>
      </c>
      <c r="BG1706" s="3" t="s">
        <v>17776</v>
      </c>
    </row>
    <row r="1707" spans="1:59" ht="58" x14ac:dyDescent="0.35">
      <c r="A1707" s="2" t="s">
        <v>59</v>
      </c>
      <c r="B1707" s="2" t="s">
        <v>94</v>
      </c>
      <c r="C1707" s="2" t="s">
        <v>17777</v>
      </c>
      <c r="D1707" s="2" t="s">
        <v>17778</v>
      </c>
      <c r="E1707" s="2" t="s">
        <v>17779</v>
      </c>
      <c r="G1707" s="3" t="s">
        <v>64</v>
      </c>
      <c r="I1707" s="3" t="s">
        <v>64</v>
      </c>
      <c r="J1707" s="3" t="s">
        <v>64</v>
      </c>
      <c r="K1707" s="3" t="s">
        <v>65</v>
      </c>
      <c r="L1707" s="2" t="s">
        <v>17780</v>
      </c>
      <c r="M1707" s="2" t="s">
        <v>17781</v>
      </c>
      <c r="N1707" s="3" t="s">
        <v>1320</v>
      </c>
      <c r="P1707" s="3" t="s">
        <v>69</v>
      </c>
      <c r="R1707" s="3" t="s">
        <v>16939</v>
      </c>
      <c r="S1707" s="4">
        <v>16</v>
      </c>
      <c r="T1707" s="4">
        <v>16</v>
      </c>
      <c r="U1707" s="5" t="s">
        <v>11974</v>
      </c>
      <c r="V1707" s="5" t="s">
        <v>11974</v>
      </c>
      <c r="W1707" s="5" t="s">
        <v>72</v>
      </c>
      <c r="X1707" s="5" t="s">
        <v>72</v>
      </c>
      <c r="Y1707" s="4">
        <v>51</v>
      </c>
      <c r="Z1707" s="4">
        <v>27</v>
      </c>
      <c r="AA1707" s="4">
        <v>31</v>
      </c>
      <c r="AB1707" s="4">
        <v>1</v>
      </c>
      <c r="AC1707" s="4">
        <v>3</v>
      </c>
      <c r="AD1707" s="4">
        <v>28</v>
      </c>
      <c r="AE1707" s="4">
        <v>30</v>
      </c>
      <c r="AF1707" s="4">
        <v>0</v>
      </c>
      <c r="AG1707" s="4">
        <v>1</v>
      </c>
      <c r="AH1707" s="4">
        <v>18</v>
      </c>
      <c r="AI1707" s="4">
        <v>19</v>
      </c>
      <c r="AJ1707" s="4">
        <v>15</v>
      </c>
      <c r="AK1707" s="4">
        <v>16</v>
      </c>
      <c r="AL1707" s="4">
        <v>7</v>
      </c>
      <c r="AM1707" s="4">
        <v>7</v>
      </c>
      <c r="AN1707" s="4">
        <v>0</v>
      </c>
      <c r="AO1707" s="4">
        <v>0</v>
      </c>
      <c r="AP1707" s="4">
        <v>17</v>
      </c>
      <c r="AQ1707" s="4">
        <v>19</v>
      </c>
      <c r="AR1707" s="3" t="s">
        <v>73</v>
      </c>
      <c r="AS1707" s="3" t="s">
        <v>64</v>
      </c>
      <c r="AT1707" s="3" t="s">
        <v>64</v>
      </c>
      <c r="AV1707" s="6" t="str">
        <f>HYPERLINK("http://mcgill.on.worldcat.org/oclc/34181175","Catalog Record")</f>
        <v>Catalog Record</v>
      </c>
      <c r="AW1707" s="6" t="str">
        <f>HYPERLINK("http://www.worldcat.org/oclc/34181175","WorldCat Record")</f>
        <v>WorldCat Record</v>
      </c>
      <c r="AX1707" s="3" t="s">
        <v>17782</v>
      </c>
      <c r="AY1707" s="3" t="s">
        <v>17783</v>
      </c>
      <c r="AZ1707" s="3" t="s">
        <v>17784</v>
      </c>
      <c r="BA1707" s="3" t="s">
        <v>17784</v>
      </c>
      <c r="BB1707" s="3" t="s">
        <v>17785</v>
      </c>
      <c r="BC1707" s="3" t="s">
        <v>78</v>
      </c>
      <c r="BD1707" s="3" t="s">
        <v>79</v>
      </c>
      <c r="BE1707" s="3" t="s">
        <v>17786</v>
      </c>
      <c r="BF1707" s="3" t="s">
        <v>17785</v>
      </c>
      <c r="BG1707" s="3" t="s">
        <v>17787</v>
      </c>
    </row>
    <row r="1708" spans="1:59" ht="58" x14ac:dyDescent="0.35">
      <c r="A1708" s="2" t="s">
        <v>59</v>
      </c>
      <c r="B1708" s="2" t="s">
        <v>94</v>
      </c>
      <c r="C1708" s="2" t="s">
        <v>17788</v>
      </c>
      <c r="D1708" s="2" t="s">
        <v>17789</v>
      </c>
      <c r="E1708" s="2" t="s">
        <v>17790</v>
      </c>
      <c r="G1708" s="3" t="s">
        <v>64</v>
      </c>
      <c r="I1708" s="3" t="s">
        <v>64</v>
      </c>
      <c r="J1708" s="3" t="s">
        <v>64</v>
      </c>
      <c r="K1708" s="3" t="s">
        <v>65</v>
      </c>
      <c r="L1708" s="2" t="s">
        <v>17791</v>
      </c>
      <c r="M1708" s="2" t="s">
        <v>17792</v>
      </c>
      <c r="N1708" s="3" t="s">
        <v>328</v>
      </c>
      <c r="P1708" s="3" t="s">
        <v>69</v>
      </c>
      <c r="R1708" s="3" t="s">
        <v>16939</v>
      </c>
      <c r="S1708" s="4">
        <v>1</v>
      </c>
      <c r="T1708" s="4">
        <v>1</v>
      </c>
      <c r="U1708" s="5" t="s">
        <v>2384</v>
      </c>
      <c r="V1708" s="5" t="s">
        <v>2384</v>
      </c>
      <c r="W1708" s="5" t="s">
        <v>72</v>
      </c>
      <c r="X1708" s="5" t="s">
        <v>72</v>
      </c>
      <c r="Y1708" s="4">
        <v>766</v>
      </c>
      <c r="Z1708" s="4">
        <v>23</v>
      </c>
      <c r="AA1708" s="4">
        <v>25</v>
      </c>
      <c r="AB1708" s="4">
        <v>3</v>
      </c>
      <c r="AC1708" s="4">
        <v>5</v>
      </c>
      <c r="AD1708" s="4">
        <v>60</v>
      </c>
      <c r="AE1708" s="4">
        <v>64</v>
      </c>
      <c r="AF1708" s="4">
        <v>0</v>
      </c>
      <c r="AG1708" s="4">
        <v>0</v>
      </c>
      <c r="AH1708" s="4">
        <v>52</v>
      </c>
      <c r="AI1708" s="4">
        <v>56</v>
      </c>
      <c r="AJ1708" s="4">
        <v>6</v>
      </c>
      <c r="AK1708" s="4">
        <v>6</v>
      </c>
      <c r="AL1708" s="4">
        <v>36</v>
      </c>
      <c r="AM1708" s="4">
        <v>38</v>
      </c>
      <c r="AN1708" s="4">
        <v>0</v>
      </c>
      <c r="AO1708" s="4">
        <v>0</v>
      </c>
      <c r="AP1708" s="4">
        <v>6</v>
      </c>
      <c r="AQ1708" s="4">
        <v>6</v>
      </c>
      <c r="AR1708" s="3" t="s">
        <v>64</v>
      </c>
      <c r="AS1708" s="3" t="s">
        <v>64</v>
      </c>
      <c r="AT1708" s="3" t="s">
        <v>64</v>
      </c>
      <c r="AV1708" s="6" t="str">
        <f>HYPERLINK("http://mcgill.on.worldcat.org/oclc/651912251","Catalog Record")</f>
        <v>Catalog Record</v>
      </c>
      <c r="AW1708" s="6" t="str">
        <f>HYPERLINK("http://www.worldcat.org/oclc/651912251","WorldCat Record")</f>
        <v>WorldCat Record</v>
      </c>
      <c r="AX1708" s="3" t="s">
        <v>17793</v>
      </c>
      <c r="AY1708" s="3" t="s">
        <v>17794</v>
      </c>
      <c r="AZ1708" s="3" t="s">
        <v>17795</v>
      </c>
      <c r="BA1708" s="3" t="s">
        <v>17795</v>
      </c>
      <c r="BB1708" s="3" t="s">
        <v>17796</v>
      </c>
      <c r="BC1708" s="3" t="s">
        <v>78</v>
      </c>
      <c r="BD1708" s="3" t="s">
        <v>79</v>
      </c>
      <c r="BE1708" s="3" t="s">
        <v>17797</v>
      </c>
      <c r="BF1708" s="3" t="s">
        <v>17796</v>
      </c>
      <c r="BG1708" s="3" t="s">
        <v>17798</v>
      </c>
    </row>
    <row r="1709" spans="1:59" ht="58" x14ac:dyDescent="0.35">
      <c r="A1709" s="2" t="s">
        <v>59</v>
      </c>
      <c r="B1709" s="2" t="s">
        <v>94</v>
      </c>
      <c r="C1709" s="2" t="s">
        <v>17799</v>
      </c>
      <c r="D1709" s="2" t="s">
        <v>17800</v>
      </c>
      <c r="E1709" s="2" t="s">
        <v>17801</v>
      </c>
      <c r="G1709" s="3" t="s">
        <v>64</v>
      </c>
      <c r="I1709" s="3" t="s">
        <v>64</v>
      </c>
      <c r="J1709" s="3" t="s">
        <v>64</v>
      </c>
      <c r="K1709" s="3" t="s">
        <v>65</v>
      </c>
      <c r="L1709" s="2" t="s">
        <v>17802</v>
      </c>
      <c r="M1709" s="2" t="s">
        <v>17803</v>
      </c>
      <c r="N1709" s="3" t="s">
        <v>175</v>
      </c>
      <c r="O1709" s="2" t="s">
        <v>17804</v>
      </c>
      <c r="P1709" s="3" t="s">
        <v>69</v>
      </c>
      <c r="R1709" s="3" t="s">
        <v>16939</v>
      </c>
      <c r="S1709" s="4">
        <v>0</v>
      </c>
      <c r="T1709" s="4">
        <v>0</v>
      </c>
      <c r="W1709" s="5" t="s">
        <v>72</v>
      </c>
      <c r="X1709" s="5" t="s">
        <v>72</v>
      </c>
      <c r="Y1709" s="4">
        <v>67</v>
      </c>
      <c r="Z1709" s="4">
        <v>5</v>
      </c>
      <c r="AA1709" s="4">
        <v>5</v>
      </c>
      <c r="AB1709" s="4">
        <v>1</v>
      </c>
      <c r="AC1709" s="4">
        <v>1</v>
      </c>
      <c r="AD1709" s="4">
        <v>25</v>
      </c>
      <c r="AE1709" s="4">
        <v>25</v>
      </c>
      <c r="AF1709" s="4">
        <v>0</v>
      </c>
      <c r="AG1709" s="4">
        <v>0</v>
      </c>
      <c r="AH1709" s="4">
        <v>25</v>
      </c>
      <c r="AI1709" s="4">
        <v>25</v>
      </c>
      <c r="AJ1709" s="4">
        <v>2</v>
      </c>
      <c r="AK1709" s="4">
        <v>2</v>
      </c>
      <c r="AL1709" s="4">
        <v>18</v>
      </c>
      <c r="AM1709" s="4">
        <v>18</v>
      </c>
      <c r="AN1709" s="4">
        <v>0</v>
      </c>
      <c r="AO1709" s="4">
        <v>0</v>
      </c>
      <c r="AP1709" s="4">
        <v>2</v>
      </c>
      <c r="AQ1709" s="4">
        <v>2</v>
      </c>
      <c r="AR1709" s="3" t="s">
        <v>64</v>
      </c>
      <c r="AS1709" s="3" t="s">
        <v>64</v>
      </c>
      <c r="AT1709" s="3" t="s">
        <v>64</v>
      </c>
      <c r="AV1709" s="6" t="str">
        <f>HYPERLINK("http://mcgill.on.worldcat.org/oclc/871062873","Catalog Record")</f>
        <v>Catalog Record</v>
      </c>
      <c r="AW1709" s="6" t="str">
        <f>HYPERLINK("http://www.worldcat.org/oclc/871062873","WorldCat Record")</f>
        <v>WorldCat Record</v>
      </c>
      <c r="AX1709" s="3" t="s">
        <v>17805</v>
      </c>
      <c r="AY1709" s="3" t="s">
        <v>17806</v>
      </c>
      <c r="AZ1709" s="3" t="s">
        <v>17807</v>
      </c>
      <c r="BA1709" s="3" t="s">
        <v>17807</v>
      </c>
      <c r="BB1709" s="3" t="s">
        <v>17808</v>
      </c>
      <c r="BC1709" s="3" t="s">
        <v>78</v>
      </c>
      <c r="BD1709" s="3" t="s">
        <v>79</v>
      </c>
      <c r="BE1709" s="3" t="s">
        <v>17809</v>
      </c>
      <c r="BF1709" s="3" t="s">
        <v>17808</v>
      </c>
      <c r="BG1709" s="3" t="s">
        <v>17810</v>
      </c>
    </row>
    <row r="1710" spans="1:59" ht="72.5" x14ac:dyDescent="0.35">
      <c r="A1710" s="2" t="s">
        <v>59</v>
      </c>
      <c r="B1710" s="2" t="s">
        <v>94</v>
      </c>
      <c r="C1710" s="2" t="s">
        <v>17811</v>
      </c>
      <c r="D1710" s="2" t="s">
        <v>17812</v>
      </c>
      <c r="E1710" s="2" t="s">
        <v>17813</v>
      </c>
      <c r="G1710" s="3" t="s">
        <v>64</v>
      </c>
      <c r="I1710" s="3" t="s">
        <v>64</v>
      </c>
      <c r="J1710" s="3" t="s">
        <v>64</v>
      </c>
      <c r="K1710" s="3" t="s">
        <v>65</v>
      </c>
      <c r="L1710" s="2" t="s">
        <v>17814</v>
      </c>
      <c r="M1710" s="2" t="s">
        <v>17815</v>
      </c>
      <c r="N1710" s="3" t="s">
        <v>2214</v>
      </c>
      <c r="P1710" s="3" t="s">
        <v>69</v>
      </c>
      <c r="R1710" s="3" t="s">
        <v>16939</v>
      </c>
      <c r="S1710" s="4">
        <v>7</v>
      </c>
      <c r="T1710" s="4">
        <v>7</v>
      </c>
      <c r="U1710" s="5" t="s">
        <v>6578</v>
      </c>
      <c r="V1710" s="5" t="s">
        <v>6578</v>
      </c>
      <c r="W1710" s="5" t="s">
        <v>72</v>
      </c>
      <c r="X1710" s="5" t="s">
        <v>72</v>
      </c>
      <c r="Y1710" s="4">
        <v>164</v>
      </c>
      <c r="Z1710" s="4">
        <v>18</v>
      </c>
      <c r="AA1710" s="4">
        <v>28</v>
      </c>
      <c r="AB1710" s="4">
        <v>1</v>
      </c>
      <c r="AC1710" s="4">
        <v>1</v>
      </c>
      <c r="AD1710" s="4">
        <v>33</v>
      </c>
      <c r="AE1710" s="4">
        <v>93</v>
      </c>
      <c r="AF1710" s="4">
        <v>0</v>
      </c>
      <c r="AG1710" s="4">
        <v>0</v>
      </c>
      <c r="AH1710" s="4">
        <v>29</v>
      </c>
      <c r="AI1710" s="4">
        <v>83</v>
      </c>
      <c r="AJ1710" s="4">
        <v>10</v>
      </c>
      <c r="AK1710" s="4">
        <v>15</v>
      </c>
      <c r="AL1710" s="4">
        <v>15</v>
      </c>
      <c r="AM1710" s="4">
        <v>45</v>
      </c>
      <c r="AN1710" s="4">
        <v>0</v>
      </c>
      <c r="AO1710" s="4">
        <v>4</v>
      </c>
      <c r="AP1710" s="4">
        <v>11</v>
      </c>
      <c r="AQ1710" s="4">
        <v>18</v>
      </c>
      <c r="AR1710" s="3" t="s">
        <v>64</v>
      </c>
      <c r="AS1710" s="3" t="s">
        <v>64</v>
      </c>
      <c r="AT1710" s="3" t="s">
        <v>73</v>
      </c>
      <c r="AU1710" s="6" t="str">
        <f>HYPERLINK("http://catalog.hathitrust.org/Record/001621132","HathiTrust Record")</f>
        <v>HathiTrust Record</v>
      </c>
      <c r="AV1710" s="6" t="str">
        <f>HYPERLINK("http://mcgill.on.worldcat.org/oclc/1183018","Catalog Record")</f>
        <v>Catalog Record</v>
      </c>
      <c r="AW1710" s="6" t="str">
        <f>HYPERLINK("http://www.worldcat.org/oclc/1183018","WorldCat Record")</f>
        <v>WorldCat Record</v>
      </c>
      <c r="AX1710" s="3" t="s">
        <v>17816</v>
      </c>
      <c r="AY1710" s="3" t="s">
        <v>17817</v>
      </c>
      <c r="AZ1710" s="3" t="s">
        <v>17818</v>
      </c>
      <c r="BA1710" s="3" t="s">
        <v>17818</v>
      </c>
      <c r="BB1710" s="3" t="s">
        <v>17819</v>
      </c>
      <c r="BC1710" s="3" t="s">
        <v>78</v>
      </c>
      <c r="BD1710" s="3" t="s">
        <v>79</v>
      </c>
      <c r="BE1710" s="3" t="s">
        <v>17820</v>
      </c>
      <c r="BF1710" s="3" t="s">
        <v>17819</v>
      </c>
      <c r="BG1710" s="3" t="s">
        <v>17821</v>
      </c>
    </row>
    <row r="1711" spans="1:59" ht="58" x14ac:dyDescent="0.35">
      <c r="A1711" s="2" t="s">
        <v>59</v>
      </c>
      <c r="B1711" s="2" t="s">
        <v>94</v>
      </c>
      <c r="C1711" s="2" t="s">
        <v>17822</v>
      </c>
      <c r="D1711" s="2" t="s">
        <v>17823</v>
      </c>
      <c r="E1711" s="2" t="s">
        <v>17824</v>
      </c>
      <c r="G1711" s="3" t="s">
        <v>64</v>
      </c>
      <c r="I1711" s="3" t="s">
        <v>64</v>
      </c>
      <c r="J1711" s="3" t="s">
        <v>64</v>
      </c>
      <c r="K1711" s="3" t="s">
        <v>65</v>
      </c>
      <c r="M1711" s="2" t="s">
        <v>17825</v>
      </c>
      <c r="N1711" s="3" t="s">
        <v>214</v>
      </c>
      <c r="P1711" s="3" t="s">
        <v>69</v>
      </c>
      <c r="R1711" s="3" t="s">
        <v>16939</v>
      </c>
      <c r="S1711" s="4">
        <v>1</v>
      </c>
      <c r="T1711" s="4">
        <v>1</v>
      </c>
      <c r="U1711" s="5" t="s">
        <v>17826</v>
      </c>
      <c r="V1711" s="5" t="s">
        <v>17826</v>
      </c>
      <c r="W1711" s="5" t="s">
        <v>72</v>
      </c>
      <c r="X1711" s="5" t="s">
        <v>72</v>
      </c>
      <c r="Y1711" s="4">
        <v>30</v>
      </c>
      <c r="Z1711" s="4">
        <v>3</v>
      </c>
      <c r="AA1711" s="4">
        <v>20</v>
      </c>
      <c r="AB1711" s="4">
        <v>1</v>
      </c>
      <c r="AC1711" s="4">
        <v>2</v>
      </c>
      <c r="AD1711" s="4">
        <v>11</v>
      </c>
      <c r="AE1711" s="4">
        <v>49</v>
      </c>
      <c r="AF1711" s="4">
        <v>0</v>
      </c>
      <c r="AG1711" s="4">
        <v>0</v>
      </c>
      <c r="AH1711" s="4">
        <v>10</v>
      </c>
      <c r="AI1711" s="4">
        <v>40</v>
      </c>
      <c r="AJ1711" s="4">
        <v>2</v>
      </c>
      <c r="AK1711" s="4">
        <v>7</v>
      </c>
      <c r="AL1711" s="4">
        <v>7</v>
      </c>
      <c r="AM1711" s="4">
        <v>22</v>
      </c>
      <c r="AN1711" s="4">
        <v>0</v>
      </c>
      <c r="AO1711" s="4">
        <v>0</v>
      </c>
      <c r="AP1711" s="4">
        <v>2</v>
      </c>
      <c r="AQ1711" s="4">
        <v>13</v>
      </c>
      <c r="AR1711" s="3" t="s">
        <v>64</v>
      </c>
      <c r="AS1711" s="3" t="s">
        <v>64</v>
      </c>
      <c r="AT1711" s="3" t="s">
        <v>64</v>
      </c>
      <c r="AV1711" s="6" t="str">
        <f>HYPERLINK("http://mcgill.on.worldcat.org/oclc/696113651","Catalog Record")</f>
        <v>Catalog Record</v>
      </c>
      <c r="AW1711" s="6" t="str">
        <f>HYPERLINK("http://www.worldcat.org/oclc/696113651","WorldCat Record")</f>
        <v>WorldCat Record</v>
      </c>
      <c r="AX1711" s="3" t="s">
        <v>17827</v>
      </c>
      <c r="AY1711" s="3" t="s">
        <v>17828</v>
      </c>
      <c r="AZ1711" s="3" t="s">
        <v>17829</v>
      </c>
      <c r="BA1711" s="3" t="s">
        <v>17829</v>
      </c>
      <c r="BB1711" s="3" t="s">
        <v>17830</v>
      </c>
      <c r="BC1711" s="3" t="s">
        <v>78</v>
      </c>
      <c r="BD1711" s="3" t="s">
        <v>79</v>
      </c>
      <c r="BE1711" s="3" t="s">
        <v>17831</v>
      </c>
      <c r="BF1711" s="3" t="s">
        <v>17830</v>
      </c>
      <c r="BG1711" s="3" t="s">
        <v>17832</v>
      </c>
    </row>
    <row r="1712" spans="1:59" ht="58" x14ac:dyDescent="0.35">
      <c r="A1712" s="2" t="s">
        <v>59</v>
      </c>
      <c r="B1712" s="2" t="s">
        <v>94</v>
      </c>
      <c r="C1712" s="2" t="s">
        <v>17833</v>
      </c>
      <c r="D1712" s="2" t="s">
        <v>17834</v>
      </c>
      <c r="E1712" s="2" t="s">
        <v>17835</v>
      </c>
      <c r="G1712" s="3" t="s">
        <v>64</v>
      </c>
      <c r="I1712" s="3" t="s">
        <v>64</v>
      </c>
      <c r="J1712" s="3" t="s">
        <v>64</v>
      </c>
      <c r="K1712" s="3" t="s">
        <v>65</v>
      </c>
      <c r="M1712" s="2" t="s">
        <v>12342</v>
      </c>
      <c r="N1712" s="3" t="s">
        <v>214</v>
      </c>
      <c r="P1712" s="3" t="s">
        <v>69</v>
      </c>
      <c r="Q1712" s="2" t="s">
        <v>17200</v>
      </c>
      <c r="R1712" s="3" t="s">
        <v>16939</v>
      </c>
      <c r="S1712" s="4">
        <v>2</v>
      </c>
      <c r="T1712" s="4">
        <v>2</v>
      </c>
      <c r="U1712" s="5" t="s">
        <v>17836</v>
      </c>
      <c r="V1712" s="5" t="s">
        <v>17836</v>
      </c>
      <c r="W1712" s="5" t="s">
        <v>72</v>
      </c>
      <c r="X1712" s="5" t="s">
        <v>72</v>
      </c>
      <c r="Y1712" s="4">
        <v>111</v>
      </c>
      <c r="Z1712" s="4">
        <v>8</v>
      </c>
      <c r="AA1712" s="4">
        <v>12</v>
      </c>
      <c r="AB1712" s="4">
        <v>2</v>
      </c>
      <c r="AC1712" s="4">
        <v>5</v>
      </c>
      <c r="AD1712" s="4">
        <v>44</v>
      </c>
      <c r="AE1712" s="4">
        <v>50</v>
      </c>
      <c r="AF1712" s="4">
        <v>0</v>
      </c>
      <c r="AG1712" s="4">
        <v>0</v>
      </c>
      <c r="AH1712" s="4">
        <v>40</v>
      </c>
      <c r="AI1712" s="4">
        <v>46</v>
      </c>
      <c r="AJ1712" s="4">
        <v>4</v>
      </c>
      <c r="AK1712" s="4">
        <v>5</v>
      </c>
      <c r="AL1712" s="4">
        <v>28</v>
      </c>
      <c r="AM1712" s="4">
        <v>31</v>
      </c>
      <c r="AN1712" s="4">
        <v>0</v>
      </c>
      <c r="AO1712" s="4">
        <v>0</v>
      </c>
      <c r="AP1712" s="4">
        <v>5</v>
      </c>
      <c r="AQ1712" s="4">
        <v>6</v>
      </c>
      <c r="AR1712" s="3" t="s">
        <v>64</v>
      </c>
      <c r="AS1712" s="3" t="s">
        <v>64</v>
      </c>
      <c r="AT1712" s="3" t="s">
        <v>64</v>
      </c>
      <c r="AV1712" s="6" t="str">
        <f>HYPERLINK("http://mcgill.on.worldcat.org/oclc/295000735","Catalog Record")</f>
        <v>Catalog Record</v>
      </c>
      <c r="AW1712" s="6" t="str">
        <f>HYPERLINK("http://www.worldcat.org/oclc/295000735","WorldCat Record")</f>
        <v>WorldCat Record</v>
      </c>
      <c r="AX1712" s="3" t="s">
        <v>17837</v>
      </c>
      <c r="AY1712" s="3" t="s">
        <v>17838</v>
      </c>
      <c r="AZ1712" s="3" t="s">
        <v>17839</v>
      </c>
      <c r="BA1712" s="3" t="s">
        <v>17839</v>
      </c>
      <c r="BB1712" s="3" t="s">
        <v>17840</v>
      </c>
      <c r="BC1712" s="3" t="s">
        <v>78</v>
      </c>
      <c r="BD1712" s="3" t="s">
        <v>79</v>
      </c>
      <c r="BE1712" s="3" t="s">
        <v>17841</v>
      </c>
      <c r="BF1712" s="3" t="s">
        <v>17840</v>
      </c>
      <c r="BG1712" s="3" t="s">
        <v>17842</v>
      </c>
    </row>
    <row r="1713" spans="1:59" ht="58" x14ac:dyDescent="0.35">
      <c r="A1713" s="2" t="s">
        <v>59</v>
      </c>
      <c r="B1713" s="2" t="s">
        <v>94</v>
      </c>
      <c r="C1713" s="2" t="s">
        <v>17843</v>
      </c>
      <c r="D1713" s="2" t="s">
        <v>17844</v>
      </c>
      <c r="E1713" s="2" t="s">
        <v>17845</v>
      </c>
      <c r="G1713" s="3" t="s">
        <v>64</v>
      </c>
      <c r="I1713" s="3" t="s">
        <v>64</v>
      </c>
      <c r="J1713" s="3" t="s">
        <v>64</v>
      </c>
      <c r="K1713" s="3" t="s">
        <v>65</v>
      </c>
      <c r="L1713" s="2" t="s">
        <v>17846</v>
      </c>
      <c r="M1713" s="2" t="s">
        <v>17847</v>
      </c>
      <c r="N1713" s="3" t="s">
        <v>4535</v>
      </c>
      <c r="O1713" s="2" t="s">
        <v>525</v>
      </c>
      <c r="P1713" s="3" t="s">
        <v>69</v>
      </c>
      <c r="R1713" s="3" t="s">
        <v>16939</v>
      </c>
      <c r="S1713" s="4">
        <v>1</v>
      </c>
      <c r="T1713" s="4">
        <v>1</v>
      </c>
      <c r="U1713" s="5" t="s">
        <v>17848</v>
      </c>
      <c r="V1713" s="5" t="s">
        <v>17848</v>
      </c>
      <c r="W1713" s="5" t="s">
        <v>72</v>
      </c>
      <c r="X1713" s="5" t="s">
        <v>72</v>
      </c>
      <c r="Y1713" s="4">
        <v>116</v>
      </c>
      <c r="Z1713" s="4">
        <v>6</v>
      </c>
      <c r="AA1713" s="4">
        <v>10</v>
      </c>
      <c r="AB1713" s="4">
        <v>1</v>
      </c>
      <c r="AC1713" s="4">
        <v>3</v>
      </c>
      <c r="AD1713" s="4">
        <v>46</v>
      </c>
      <c r="AE1713" s="4">
        <v>49</v>
      </c>
      <c r="AF1713" s="4">
        <v>0</v>
      </c>
      <c r="AG1713" s="4">
        <v>0</v>
      </c>
      <c r="AH1713" s="4">
        <v>43</v>
      </c>
      <c r="AI1713" s="4">
        <v>46</v>
      </c>
      <c r="AJ1713" s="4">
        <v>1</v>
      </c>
      <c r="AK1713" s="4">
        <v>3</v>
      </c>
      <c r="AL1713" s="4">
        <v>29</v>
      </c>
      <c r="AM1713" s="4">
        <v>30</v>
      </c>
      <c r="AN1713" s="4">
        <v>0</v>
      </c>
      <c r="AO1713" s="4">
        <v>0</v>
      </c>
      <c r="AP1713" s="4">
        <v>4</v>
      </c>
      <c r="AQ1713" s="4">
        <v>6</v>
      </c>
      <c r="AR1713" s="3" t="s">
        <v>64</v>
      </c>
      <c r="AS1713" s="3" t="s">
        <v>64</v>
      </c>
      <c r="AT1713" s="3" t="s">
        <v>64</v>
      </c>
      <c r="AV1713" s="6" t="str">
        <f>HYPERLINK("http://mcgill.on.worldcat.org/oclc/1012500208","Catalog Record")</f>
        <v>Catalog Record</v>
      </c>
      <c r="AW1713" s="6" t="str">
        <f>HYPERLINK("http://www.worldcat.org/oclc/1012500208","WorldCat Record")</f>
        <v>WorldCat Record</v>
      </c>
      <c r="AX1713" s="3" t="s">
        <v>17849</v>
      </c>
      <c r="AY1713" s="3" t="s">
        <v>17850</v>
      </c>
      <c r="AZ1713" s="3" t="s">
        <v>17851</v>
      </c>
      <c r="BA1713" s="3" t="s">
        <v>17851</v>
      </c>
      <c r="BB1713" s="3" t="s">
        <v>17852</v>
      </c>
      <c r="BC1713" s="3" t="s">
        <v>78</v>
      </c>
      <c r="BD1713" s="3" t="s">
        <v>79</v>
      </c>
      <c r="BE1713" s="3" t="s">
        <v>17853</v>
      </c>
      <c r="BF1713" s="3" t="s">
        <v>17852</v>
      </c>
      <c r="BG1713" s="3" t="s">
        <v>17854</v>
      </c>
    </row>
    <row r="1714" spans="1:59" ht="58" x14ac:dyDescent="0.35">
      <c r="A1714" s="2" t="s">
        <v>59</v>
      </c>
      <c r="B1714" s="2" t="s">
        <v>94</v>
      </c>
      <c r="C1714" s="2" t="s">
        <v>17855</v>
      </c>
      <c r="D1714" s="2" t="s">
        <v>17856</v>
      </c>
      <c r="E1714" s="2" t="s">
        <v>17857</v>
      </c>
      <c r="G1714" s="3" t="s">
        <v>64</v>
      </c>
      <c r="I1714" s="3" t="s">
        <v>64</v>
      </c>
      <c r="J1714" s="3" t="s">
        <v>64</v>
      </c>
      <c r="K1714" s="3" t="s">
        <v>65</v>
      </c>
      <c r="L1714" s="2" t="s">
        <v>17858</v>
      </c>
      <c r="M1714" s="2" t="s">
        <v>17859</v>
      </c>
      <c r="N1714" s="3" t="s">
        <v>328</v>
      </c>
      <c r="P1714" s="3" t="s">
        <v>69</v>
      </c>
      <c r="R1714" s="3" t="s">
        <v>16939</v>
      </c>
      <c r="S1714" s="4">
        <v>2</v>
      </c>
      <c r="T1714" s="4">
        <v>2</v>
      </c>
      <c r="U1714" s="5" t="s">
        <v>17860</v>
      </c>
      <c r="V1714" s="5" t="s">
        <v>17860</v>
      </c>
      <c r="W1714" s="5" t="s">
        <v>72</v>
      </c>
      <c r="X1714" s="5" t="s">
        <v>72</v>
      </c>
      <c r="Y1714" s="4">
        <v>192</v>
      </c>
      <c r="Z1714" s="4">
        <v>22</v>
      </c>
      <c r="AA1714" s="4">
        <v>27</v>
      </c>
      <c r="AB1714" s="4">
        <v>2</v>
      </c>
      <c r="AC1714" s="4">
        <v>3</v>
      </c>
      <c r="AD1714" s="4">
        <v>40</v>
      </c>
      <c r="AE1714" s="4">
        <v>64</v>
      </c>
      <c r="AF1714" s="4">
        <v>0</v>
      </c>
      <c r="AG1714" s="4">
        <v>0</v>
      </c>
      <c r="AH1714" s="4">
        <v>34</v>
      </c>
      <c r="AI1714" s="4">
        <v>57</v>
      </c>
      <c r="AJ1714" s="4">
        <v>13</v>
      </c>
      <c r="AK1714" s="4">
        <v>13</v>
      </c>
      <c r="AL1714" s="4">
        <v>22</v>
      </c>
      <c r="AM1714" s="4">
        <v>34</v>
      </c>
      <c r="AN1714" s="4">
        <v>0</v>
      </c>
      <c r="AO1714" s="4">
        <v>0</v>
      </c>
      <c r="AP1714" s="4">
        <v>13</v>
      </c>
      <c r="AQ1714" s="4">
        <v>14</v>
      </c>
      <c r="AR1714" s="3" t="s">
        <v>64</v>
      </c>
      <c r="AS1714" s="3" t="s">
        <v>64</v>
      </c>
      <c r="AT1714" s="3" t="s">
        <v>64</v>
      </c>
      <c r="AV1714" s="6" t="str">
        <f>HYPERLINK("http://mcgill.on.worldcat.org/oclc/720546120","Catalog Record")</f>
        <v>Catalog Record</v>
      </c>
      <c r="AW1714" s="6" t="str">
        <f>HYPERLINK("http://www.worldcat.org/oclc/720546120","WorldCat Record")</f>
        <v>WorldCat Record</v>
      </c>
      <c r="AX1714" s="3" t="s">
        <v>17861</v>
      </c>
      <c r="AY1714" s="3" t="s">
        <v>17862</v>
      </c>
      <c r="AZ1714" s="3" t="s">
        <v>17863</v>
      </c>
      <c r="BA1714" s="3" t="s">
        <v>17863</v>
      </c>
      <c r="BB1714" s="3" t="s">
        <v>17864</v>
      </c>
      <c r="BC1714" s="3" t="s">
        <v>78</v>
      </c>
      <c r="BD1714" s="3" t="s">
        <v>79</v>
      </c>
      <c r="BE1714" s="3" t="s">
        <v>17865</v>
      </c>
      <c r="BF1714" s="3" t="s">
        <v>17864</v>
      </c>
      <c r="BG1714" s="3" t="s">
        <v>17866</v>
      </c>
    </row>
    <row r="1715" spans="1:59" ht="58" x14ac:dyDescent="0.35">
      <c r="A1715" s="2" t="s">
        <v>59</v>
      </c>
      <c r="B1715" s="2" t="s">
        <v>94</v>
      </c>
      <c r="C1715" s="2" t="s">
        <v>17867</v>
      </c>
      <c r="D1715" s="2" t="s">
        <v>17868</v>
      </c>
      <c r="E1715" s="2" t="s">
        <v>17869</v>
      </c>
      <c r="G1715" s="3" t="s">
        <v>64</v>
      </c>
      <c r="I1715" s="3" t="s">
        <v>64</v>
      </c>
      <c r="J1715" s="3" t="s">
        <v>64</v>
      </c>
      <c r="K1715" s="3" t="s">
        <v>65</v>
      </c>
      <c r="L1715" s="2" t="s">
        <v>17870</v>
      </c>
      <c r="M1715" s="2" t="s">
        <v>17871</v>
      </c>
      <c r="N1715" s="3" t="s">
        <v>499</v>
      </c>
      <c r="P1715" s="3" t="s">
        <v>69</v>
      </c>
      <c r="R1715" s="3" t="s">
        <v>16939</v>
      </c>
      <c r="S1715" s="4">
        <v>2</v>
      </c>
      <c r="T1715" s="4">
        <v>2</v>
      </c>
      <c r="U1715" s="5" t="s">
        <v>934</v>
      </c>
      <c r="V1715" s="5" t="s">
        <v>934</v>
      </c>
      <c r="W1715" s="5" t="s">
        <v>72</v>
      </c>
      <c r="X1715" s="5" t="s">
        <v>72</v>
      </c>
      <c r="Y1715" s="4">
        <v>59</v>
      </c>
      <c r="Z1715" s="4">
        <v>1</v>
      </c>
      <c r="AA1715" s="4">
        <v>4</v>
      </c>
      <c r="AB1715" s="4">
        <v>1</v>
      </c>
      <c r="AC1715" s="4">
        <v>1</v>
      </c>
      <c r="AD1715" s="4">
        <v>2</v>
      </c>
      <c r="AE1715" s="4">
        <v>36</v>
      </c>
      <c r="AF1715" s="4">
        <v>0</v>
      </c>
      <c r="AG1715" s="4">
        <v>0</v>
      </c>
      <c r="AH1715" s="4">
        <v>2</v>
      </c>
      <c r="AI1715" s="4">
        <v>34</v>
      </c>
      <c r="AJ1715" s="4">
        <v>0</v>
      </c>
      <c r="AK1715" s="4">
        <v>2</v>
      </c>
      <c r="AL1715" s="4">
        <v>1</v>
      </c>
      <c r="AM1715" s="4">
        <v>24</v>
      </c>
      <c r="AN1715" s="4">
        <v>0</v>
      </c>
      <c r="AO1715" s="4">
        <v>0</v>
      </c>
      <c r="AP1715" s="4">
        <v>0</v>
      </c>
      <c r="AQ1715" s="4">
        <v>2</v>
      </c>
      <c r="AR1715" s="3" t="s">
        <v>64</v>
      </c>
      <c r="AS1715" s="3" t="s">
        <v>64</v>
      </c>
      <c r="AT1715" s="3" t="s">
        <v>73</v>
      </c>
      <c r="AU1715" s="6" t="str">
        <f>HYPERLINK("http://catalog.hathitrust.org/Record/005031589","HathiTrust Record")</f>
        <v>HathiTrust Record</v>
      </c>
      <c r="AV1715" s="6" t="str">
        <f>HYPERLINK("http://mcgill.on.worldcat.org/oclc/64082844","Catalog Record")</f>
        <v>Catalog Record</v>
      </c>
      <c r="AW1715" s="6" t="str">
        <f>HYPERLINK("http://www.worldcat.org/oclc/64082844","WorldCat Record")</f>
        <v>WorldCat Record</v>
      </c>
      <c r="AX1715" s="3" t="s">
        <v>17872</v>
      </c>
      <c r="AY1715" s="3" t="s">
        <v>17873</v>
      </c>
      <c r="AZ1715" s="3" t="s">
        <v>17874</v>
      </c>
      <c r="BA1715" s="3" t="s">
        <v>17874</v>
      </c>
      <c r="BB1715" s="3" t="s">
        <v>17875</v>
      </c>
      <c r="BC1715" s="3" t="s">
        <v>78</v>
      </c>
      <c r="BD1715" s="3" t="s">
        <v>79</v>
      </c>
      <c r="BE1715" s="3" t="s">
        <v>17876</v>
      </c>
      <c r="BF1715" s="3" t="s">
        <v>17875</v>
      </c>
      <c r="BG1715" s="3" t="s">
        <v>17877</v>
      </c>
    </row>
    <row r="1716" spans="1:59" ht="58" x14ac:dyDescent="0.35">
      <c r="A1716" s="2" t="s">
        <v>59</v>
      </c>
      <c r="B1716" s="2" t="s">
        <v>94</v>
      </c>
      <c r="C1716" s="2" t="s">
        <v>17878</v>
      </c>
      <c r="D1716" s="2" t="s">
        <v>17879</v>
      </c>
      <c r="E1716" s="2" t="s">
        <v>17880</v>
      </c>
      <c r="G1716" s="3" t="s">
        <v>64</v>
      </c>
      <c r="I1716" s="3" t="s">
        <v>64</v>
      </c>
      <c r="J1716" s="3" t="s">
        <v>64</v>
      </c>
      <c r="K1716" s="3" t="s">
        <v>65</v>
      </c>
      <c r="L1716" s="2" t="s">
        <v>17881</v>
      </c>
      <c r="M1716" s="2" t="s">
        <v>17882</v>
      </c>
      <c r="N1716" s="3" t="s">
        <v>524</v>
      </c>
      <c r="P1716" s="3" t="s">
        <v>69</v>
      </c>
      <c r="R1716" s="3" t="s">
        <v>16939</v>
      </c>
      <c r="S1716" s="4">
        <v>1</v>
      </c>
      <c r="T1716" s="4">
        <v>1</v>
      </c>
      <c r="U1716" s="5" t="s">
        <v>17883</v>
      </c>
      <c r="V1716" s="5" t="s">
        <v>17883</v>
      </c>
      <c r="W1716" s="5" t="s">
        <v>72</v>
      </c>
      <c r="X1716" s="5" t="s">
        <v>72</v>
      </c>
      <c r="Y1716" s="4">
        <v>213</v>
      </c>
      <c r="Z1716" s="4">
        <v>6</v>
      </c>
      <c r="AA1716" s="4">
        <v>6</v>
      </c>
      <c r="AB1716" s="4">
        <v>1</v>
      </c>
      <c r="AC1716" s="4">
        <v>1</v>
      </c>
      <c r="AD1716" s="4">
        <v>26</v>
      </c>
      <c r="AE1716" s="4">
        <v>26</v>
      </c>
      <c r="AF1716" s="4">
        <v>0</v>
      </c>
      <c r="AG1716" s="4">
        <v>0</v>
      </c>
      <c r="AH1716" s="4">
        <v>24</v>
      </c>
      <c r="AI1716" s="4">
        <v>24</v>
      </c>
      <c r="AJ1716" s="4">
        <v>3</v>
      </c>
      <c r="AK1716" s="4">
        <v>3</v>
      </c>
      <c r="AL1716" s="4">
        <v>20</v>
      </c>
      <c r="AM1716" s="4">
        <v>20</v>
      </c>
      <c r="AN1716" s="4">
        <v>0</v>
      </c>
      <c r="AO1716" s="4">
        <v>0</v>
      </c>
      <c r="AP1716" s="4">
        <v>3</v>
      </c>
      <c r="AQ1716" s="4">
        <v>3</v>
      </c>
      <c r="AR1716" s="3" t="s">
        <v>64</v>
      </c>
      <c r="AS1716" s="3" t="s">
        <v>64</v>
      </c>
      <c r="AT1716" s="3" t="s">
        <v>64</v>
      </c>
      <c r="AV1716" s="6" t="str">
        <f>HYPERLINK("http://mcgill.on.worldcat.org/oclc/841672518","Catalog Record")</f>
        <v>Catalog Record</v>
      </c>
      <c r="AW1716" s="6" t="str">
        <f>HYPERLINK("http://www.worldcat.org/oclc/841672518","WorldCat Record")</f>
        <v>WorldCat Record</v>
      </c>
      <c r="AX1716" s="3" t="s">
        <v>17884</v>
      </c>
      <c r="AY1716" s="3" t="s">
        <v>17885</v>
      </c>
      <c r="AZ1716" s="3" t="s">
        <v>17886</v>
      </c>
      <c r="BA1716" s="3" t="s">
        <v>17886</v>
      </c>
      <c r="BB1716" s="3" t="s">
        <v>17887</v>
      </c>
      <c r="BC1716" s="3" t="s">
        <v>78</v>
      </c>
      <c r="BD1716" s="3" t="s">
        <v>79</v>
      </c>
      <c r="BE1716" s="3" t="s">
        <v>17888</v>
      </c>
      <c r="BF1716" s="3" t="s">
        <v>17887</v>
      </c>
      <c r="BG1716" s="3" t="s">
        <v>17889</v>
      </c>
    </row>
    <row r="1717" spans="1:59" ht="58" x14ac:dyDescent="0.35">
      <c r="A1717" s="2" t="s">
        <v>59</v>
      </c>
      <c r="B1717" s="2" t="s">
        <v>94</v>
      </c>
      <c r="C1717" s="2" t="s">
        <v>17890</v>
      </c>
      <c r="D1717" s="2" t="s">
        <v>17891</v>
      </c>
      <c r="E1717" s="2" t="s">
        <v>17892</v>
      </c>
      <c r="F1717" s="3" t="s">
        <v>17893</v>
      </c>
      <c r="G1717" s="3" t="s">
        <v>73</v>
      </c>
      <c r="I1717" s="3" t="s">
        <v>64</v>
      </c>
      <c r="J1717" s="3" t="s">
        <v>64</v>
      </c>
      <c r="K1717" s="3" t="s">
        <v>65</v>
      </c>
      <c r="L1717" s="2" t="s">
        <v>17894</v>
      </c>
      <c r="M1717" s="2" t="s">
        <v>17895</v>
      </c>
      <c r="N1717" s="3" t="s">
        <v>214</v>
      </c>
      <c r="P1717" s="3" t="s">
        <v>69</v>
      </c>
      <c r="R1717" s="3" t="s">
        <v>16939</v>
      </c>
      <c r="S1717" s="4">
        <v>1</v>
      </c>
      <c r="T1717" s="4">
        <v>1</v>
      </c>
      <c r="U1717" s="5" t="s">
        <v>17896</v>
      </c>
      <c r="V1717" s="5" t="s">
        <v>17896</v>
      </c>
      <c r="W1717" s="5" t="s">
        <v>72</v>
      </c>
      <c r="X1717" s="5" t="s">
        <v>72</v>
      </c>
      <c r="Y1717" s="4">
        <v>42</v>
      </c>
      <c r="Z1717" s="4">
        <v>5</v>
      </c>
      <c r="AA1717" s="4">
        <v>5</v>
      </c>
      <c r="AB1717" s="4">
        <v>1</v>
      </c>
      <c r="AC1717" s="4">
        <v>1</v>
      </c>
      <c r="AD1717" s="4">
        <v>21</v>
      </c>
      <c r="AE1717" s="4">
        <v>21</v>
      </c>
      <c r="AF1717" s="4">
        <v>0</v>
      </c>
      <c r="AG1717" s="4">
        <v>0</v>
      </c>
      <c r="AH1717" s="4">
        <v>20</v>
      </c>
      <c r="AI1717" s="4">
        <v>20</v>
      </c>
      <c r="AJ1717" s="4">
        <v>3</v>
      </c>
      <c r="AK1717" s="4">
        <v>3</v>
      </c>
      <c r="AL1717" s="4">
        <v>14</v>
      </c>
      <c r="AM1717" s="4">
        <v>14</v>
      </c>
      <c r="AN1717" s="4">
        <v>0</v>
      </c>
      <c r="AO1717" s="4">
        <v>0</v>
      </c>
      <c r="AP1717" s="4">
        <v>3</v>
      </c>
      <c r="AQ1717" s="4">
        <v>3</v>
      </c>
      <c r="AR1717" s="3" t="s">
        <v>64</v>
      </c>
      <c r="AS1717" s="3" t="s">
        <v>64</v>
      </c>
      <c r="AT1717" s="3" t="s">
        <v>64</v>
      </c>
      <c r="AV1717" s="6" t="str">
        <f>HYPERLINK("http://mcgill.on.worldcat.org/oclc/664360239","Catalog Record")</f>
        <v>Catalog Record</v>
      </c>
      <c r="AW1717" s="6" t="str">
        <f>HYPERLINK("http://www.worldcat.org/oclc/664360239","WorldCat Record")</f>
        <v>WorldCat Record</v>
      </c>
      <c r="AX1717" s="3" t="s">
        <v>17897</v>
      </c>
      <c r="AY1717" s="3" t="s">
        <v>17898</v>
      </c>
      <c r="AZ1717" s="3" t="s">
        <v>17899</v>
      </c>
      <c r="BA1717" s="3" t="s">
        <v>17899</v>
      </c>
      <c r="BB1717" s="3" t="s">
        <v>17900</v>
      </c>
      <c r="BC1717" s="3" t="s">
        <v>78</v>
      </c>
      <c r="BD1717" s="3" t="s">
        <v>79</v>
      </c>
      <c r="BE1717" s="3" t="s">
        <v>17901</v>
      </c>
      <c r="BF1717" s="3" t="s">
        <v>17900</v>
      </c>
      <c r="BG1717" s="3" t="s">
        <v>17902</v>
      </c>
    </row>
    <row r="1718" spans="1:59" ht="58" x14ac:dyDescent="0.35">
      <c r="A1718" s="2" t="s">
        <v>59</v>
      </c>
      <c r="B1718" s="2" t="s">
        <v>94</v>
      </c>
      <c r="C1718" s="2" t="s">
        <v>17903</v>
      </c>
      <c r="D1718" s="2" t="s">
        <v>17904</v>
      </c>
      <c r="E1718" s="2" t="s">
        <v>17905</v>
      </c>
      <c r="G1718" s="3" t="s">
        <v>64</v>
      </c>
      <c r="I1718" s="3" t="s">
        <v>64</v>
      </c>
      <c r="J1718" s="3" t="s">
        <v>64</v>
      </c>
      <c r="K1718" s="3" t="s">
        <v>65</v>
      </c>
      <c r="L1718" s="2" t="s">
        <v>17456</v>
      </c>
      <c r="M1718" s="2" t="s">
        <v>17906</v>
      </c>
      <c r="N1718" s="3" t="s">
        <v>733</v>
      </c>
      <c r="O1718" s="2" t="s">
        <v>677</v>
      </c>
      <c r="P1718" s="3" t="s">
        <v>69</v>
      </c>
      <c r="R1718" s="3" t="s">
        <v>16939</v>
      </c>
      <c r="S1718" s="4">
        <v>8</v>
      </c>
      <c r="T1718" s="4">
        <v>8</v>
      </c>
      <c r="U1718" s="5" t="s">
        <v>17907</v>
      </c>
      <c r="V1718" s="5" t="s">
        <v>17907</v>
      </c>
      <c r="W1718" s="5" t="s">
        <v>72</v>
      </c>
      <c r="X1718" s="5" t="s">
        <v>72</v>
      </c>
      <c r="Y1718" s="4">
        <v>530</v>
      </c>
      <c r="Z1718" s="4">
        <v>16</v>
      </c>
      <c r="AA1718" s="4">
        <v>33</v>
      </c>
      <c r="AB1718" s="4">
        <v>1</v>
      </c>
      <c r="AC1718" s="4">
        <v>3</v>
      </c>
      <c r="AD1718" s="4">
        <v>70</v>
      </c>
      <c r="AE1718" s="4">
        <v>107</v>
      </c>
      <c r="AF1718" s="4">
        <v>0</v>
      </c>
      <c r="AG1718" s="4">
        <v>1</v>
      </c>
      <c r="AH1718" s="4">
        <v>64</v>
      </c>
      <c r="AI1718" s="4">
        <v>93</v>
      </c>
      <c r="AJ1718" s="4">
        <v>8</v>
      </c>
      <c r="AK1718" s="4">
        <v>16</v>
      </c>
      <c r="AL1718" s="4">
        <v>33</v>
      </c>
      <c r="AM1718" s="4">
        <v>51</v>
      </c>
      <c r="AN1718" s="4">
        <v>0</v>
      </c>
      <c r="AO1718" s="4">
        <v>0</v>
      </c>
      <c r="AP1718" s="4">
        <v>9</v>
      </c>
      <c r="AQ1718" s="4">
        <v>19</v>
      </c>
      <c r="AR1718" s="3" t="s">
        <v>64</v>
      </c>
      <c r="AS1718" s="3" t="s">
        <v>64</v>
      </c>
      <c r="AT1718" s="3" t="s">
        <v>73</v>
      </c>
      <c r="AU1718" s="6" t="str">
        <f>HYPERLINK("http://catalog.hathitrust.org/Record/000611402","HathiTrust Record")</f>
        <v>HathiTrust Record</v>
      </c>
      <c r="AV1718" s="6" t="str">
        <f>HYPERLINK("http://mcgill.on.worldcat.org/oclc/10948460","Catalog Record")</f>
        <v>Catalog Record</v>
      </c>
      <c r="AW1718" s="6" t="str">
        <f>HYPERLINK("http://www.worldcat.org/oclc/10948460","WorldCat Record")</f>
        <v>WorldCat Record</v>
      </c>
      <c r="AX1718" s="3" t="s">
        <v>17908</v>
      </c>
      <c r="AY1718" s="3" t="s">
        <v>17909</v>
      </c>
      <c r="AZ1718" s="3" t="s">
        <v>17910</v>
      </c>
      <c r="BA1718" s="3" t="s">
        <v>17910</v>
      </c>
      <c r="BB1718" s="3" t="s">
        <v>17911</v>
      </c>
      <c r="BC1718" s="3" t="s">
        <v>78</v>
      </c>
      <c r="BD1718" s="3" t="s">
        <v>79</v>
      </c>
      <c r="BE1718" s="3" t="s">
        <v>17912</v>
      </c>
      <c r="BF1718" s="3" t="s">
        <v>17911</v>
      </c>
      <c r="BG1718" s="3" t="s">
        <v>17913</v>
      </c>
    </row>
    <row r="1719" spans="1:59" ht="58" x14ac:dyDescent="0.35">
      <c r="A1719" s="2" t="s">
        <v>59</v>
      </c>
      <c r="B1719" s="2" t="s">
        <v>94</v>
      </c>
      <c r="C1719" s="2" t="s">
        <v>17914</v>
      </c>
      <c r="D1719" s="2" t="s">
        <v>17915</v>
      </c>
      <c r="E1719" s="2" t="s">
        <v>17916</v>
      </c>
      <c r="G1719" s="3" t="s">
        <v>64</v>
      </c>
      <c r="I1719" s="3" t="s">
        <v>64</v>
      </c>
      <c r="J1719" s="3" t="s">
        <v>64</v>
      </c>
      <c r="K1719" s="3" t="s">
        <v>65</v>
      </c>
      <c r="L1719" s="2" t="s">
        <v>17917</v>
      </c>
      <c r="M1719" s="2" t="s">
        <v>17918</v>
      </c>
      <c r="N1719" s="3" t="s">
        <v>68</v>
      </c>
      <c r="O1719" s="2" t="s">
        <v>17919</v>
      </c>
      <c r="P1719" s="3" t="s">
        <v>69</v>
      </c>
      <c r="R1719" s="3" t="s">
        <v>16939</v>
      </c>
      <c r="S1719" s="4">
        <v>4</v>
      </c>
      <c r="T1719" s="4">
        <v>4</v>
      </c>
      <c r="U1719" s="5" t="s">
        <v>8061</v>
      </c>
      <c r="V1719" s="5" t="s">
        <v>8061</v>
      </c>
      <c r="W1719" s="5" t="s">
        <v>72</v>
      </c>
      <c r="X1719" s="5" t="s">
        <v>72</v>
      </c>
      <c r="Y1719" s="4">
        <v>74</v>
      </c>
      <c r="Z1719" s="4">
        <v>6</v>
      </c>
      <c r="AA1719" s="4">
        <v>38</v>
      </c>
      <c r="AB1719" s="4">
        <v>1</v>
      </c>
      <c r="AC1719" s="4">
        <v>5</v>
      </c>
      <c r="AD1719" s="4">
        <v>3</v>
      </c>
      <c r="AE1719" s="4">
        <v>89</v>
      </c>
      <c r="AF1719" s="4">
        <v>0</v>
      </c>
      <c r="AG1719" s="4">
        <v>0</v>
      </c>
      <c r="AH1719" s="4">
        <v>1</v>
      </c>
      <c r="AI1719" s="4">
        <v>80</v>
      </c>
      <c r="AJ1719" s="4">
        <v>1</v>
      </c>
      <c r="AK1719" s="4">
        <v>7</v>
      </c>
      <c r="AL1719" s="4">
        <v>0</v>
      </c>
      <c r="AM1719" s="4">
        <v>44</v>
      </c>
      <c r="AN1719" s="4">
        <v>0</v>
      </c>
      <c r="AO1719" s="4">
        <v>0</v>
      </c>
      <c r="AP1719" s="4">
        <v>3</v>
      </c>
      <c r="AQ1719" s="4">
        <v>12</v>
      </c>
      <c r="AR1719" s="3" t="s">
        <v>64</v>
      </c>
      <c r="AS1719" s="3" t="s">
        <v>64</v>
      </c>
      <c r="AT1719" s="3" t="s">
        <v>64</v>
      </c>
      <c r="AV1719" s="6" t="str">
        <f>HYPERLINK("http://mcgill.on.worldcat.org/oclc/70398230","Catalog Record")</f>
        <v>Catalog Record</v>
      </c>
      <c r="AW1719" s="6" t="str">
        <f>HYPERLINK("http://www.worldcat.org/oclc/70398230","WorldCat Record")</f>
        <v>WorldCat Record</v>
      </c>
      <c r="AX1719" s="3" t="s">
        <v>17920</v>
      </c>
      <c r="AY1719" s="3" t="s">
        <v>17921</v>
      </c>
      <c r="AZ1719" s="3" t="s">
        <v>17922</v>
      </c>
      <c r="BA1719" s="3" t="s">
        <v>17922</v>
      </c>
      <c r="BB1719" s="3" t="s">
        <v>17923</v>
      </c>
      <c r="BC1719" s="3" t="s">
        <v>78</v>
      </c>
      <c r="BD1719" s="3" t="s">
        <v>79</v>
      </c>
      <c r="BE1719" s="3" t="s">
        <v>17924</v>
      </c>
      <c r="BF1719" s="3" t="s">
        <v>17923</v>
      </c>
      <c r="BG1719" s="3" t="s">
        <v>17925</v>
      </c>
    </row>
    <row r="1720" spans="1:59" ht="58" x14ac:dyDescent="0.35">
      <c r="A1720" s="2" t="s">
        <v>59</v>
      </c>
      <c r="B1720" s="2" t="s">
        <v>94</v>
      </c>
      <c r="C1720" s="2" t="s">
        <v>17926</v>
      </c>
      <c r="D1720" s="2" t="s">
        <v>17927</v>
      </c>
      <c r="E1720" s="2" t="s">
        <v>17928</v>
      </c>
      <c r="G1720" s="3" t="s">
        <v>64</v>
      </c>
      <c r="I1720" s="3" t="s">
        <v>64</v>
      </c>
      <c r="J1720" s="3" t="s">
        <v>64</v>
      </c>
      <c r="K1720" s="3" t="s">
        <v>65</v>
      </c>
      <c r="L1720" s="2" t="s">
        <v>17929</v>
      </c>
      <c r="M1720" s="2" t="s">
        <v>17930</v>
      </c>
      <c r="N1720" s="3" t="s">
        <v>214</v>
      </c>
      <c r="P1720" s="3" t="s">
        <v>69</v>
      </c>
      <c r="R1720" s="3" t="s">
        <v>16939</v>
      </c>
      <c r="S1720" s="4">
        <v>0</v>
      </c>
      <c r="T1720" s="4">
        <v>0</v>
      </c>
      <c r="W1720" s="5" t="s">
        <v>72</v>
      </c>
      <c r="X1720" s="5" t="s">
        <v>72</v>
      </c>
      <c r="Y1720" s="4">
        <v>108</v>
      </c>
      <c r="Z1720" s="4">
        <v>16</v>
      </c>
      <c r="AA1720" s="4">
        <v>17</v>
      </c>
      <c r="AB1720" s="4">
        <v>4</v>
      </c>
      <c r="AC1720" s="4">
        <v>4</v>
      </c>
      <c r="AD1720" s="4">
        <v>48</v>
      </c>
      <c r="AE1720" s="4">
        <v>48</v>
      </c>
      <c r="AF1720" s="4">
        <v>0</v>
      </c>
      <c r="AG1720" s="4">
        <v>0</v>
      </c>
      <c r="AH1720" s="4">
        <v>45</v>
      </c>
      <c r="AI1720" s="4">
        <v>45</v>
      </c>
      <c r="AJ1720" s="4">
        <v>5</v>
      </c>
      <c r="AK1720" s="4">
        <v>5</v>
      </c>
      <c r="AL1720" s="4">
        <v>27</v>
      </c>
      <c r="AM1720" s="4">
        <v>27</v>
      </c>
      <c r="AN1720" s="4">
        <v>0</v>
      </c>
      <c r="AO1720" s="4">
        <v>0</v>
      </c>
      <c r="AP1720" s="4">
        <v>4</v>
      </c>
      <c r="AQ1720" s="4">
        <v>4</v>
      </c>
      <c r="AR1720" s="3" t="s">
        <v>64</v>
      </c>
      <c r="AS1720" s="3" t="s">
        <v>64</v>
      </c>
      <c r="AT1720" s="3" t="s">
        <v>64</v>
      </c>
      <c r="AV1720" s="6" t="str">
        <f>HYPERLINK("http://mcgill.on.worldcat.org/oclc/402541557","Catalog Record")</f>
        <v>Catalog Record</v>
      </c>
      <c r="AW1720" s="6" t="str">
        <f>HYPERLINK("http://www.worldcat.org/oclc/402541557","WorldCat Record")</f>
        <v>WorldCat Record</v>
      </c>
      <c r="AX1720" s="3" t="s">
        <v>17931</v>
      </c>
      <c r="AY1720" s="3" t="s">
        <v>17932</v>
      </c>
      <c r="AZ1720" s="3" t="s">
        <v>17933</v>
      </c>
      <c r="BA1720" s="3" t="s">
        <v>17933</v>
      </c>
      <c r="BB1720" s="3" t="s">
        <v>17934</v>
      </c>
      <c r="BC1720" s="3" t="s">
        <v>78</v>
      </c>
      <c r="BD1720" s="3" t="s">
        <v>79</v>
      </c>
      <c r="BE1720" s="3" t="s">
        <v>17935</v>
      </c>
      <c r="BF1720" s="3" t="s">
        <v>17934</v>
      </c>
      <c r="BG1720" s="3" t="s">
        <v>17936</v>
      </c>
    </row>
    <row r="1721" spans="1:59" ht="58" x14ac:dyDescent="0.35">
      <c r="A1721" s="2" t="s">
        <v>59</v>
      </c>
      <c r="B1721" s="2" t="s">
        <v>94</v>
      </c>
      <c r="C1721" s="2" t="s">
        <v>17937</v>
      </c>
      <c r="D1721" s="2" t="s">
        <v>17938</v>
      </c>
      <c r="E1721" s="2" t="s">
        <v>17939</v>
      </c>
      <c r="G1721" s="3" t="s">
        <v>64</v>
      </c>
      <c r="I1721" s="3" t="s">
        <v>64</v>
      </c>
      <c r="J1721" s="3" t="s">
        <v>64</v>
      </c>
      <c r="K1721" s="3" t="s">
        <v>65</v>
      </c>
      <c r="L1721" s="2" t="s">
        <v>17940</v>
      </c>
      <c r="M1721" s="2" t="s">
        <v>17941</v>
      </c>
      <c r="N1721" s="3" t="s">
        <v>733</v>
      </c>
      <c r="O1721" s="2" t="s">
        <v>1294</v>
      </c>
      <c r="P1721" s="3" t="s">
        <v>69</v>
      </c>
      <c r="R1721" s="3" t="s">
        <v>16939</v>
      </c>
      <c r="S1721" s="4">
        <v>5</v>
      </c>
      <c r="T1721" s="4">
        <v>5</v>
      </c>
      <c r="U1721" s="5" t="s">
        <v>17942</v>
      </c>
      <c r="V1721" s="5" t="s">
        <v>17942</v>
      </c>
      <c r="W1721" s="5" t="s">
        <v>72</v>
      </c>
      <c r="X1721" s="5" t="s">
        <v>72</v>
      </c>
      <c r="Y1721" s="4">
        <v>1127</v>
      </c>
      <c r="Z1721" s="4">
        <v>62</v>
      </c>
      <c r="AA1721" s="4">
        <v>76</v>
      </c>
      <c r="AB1721" s="4">
        <v>3</v>
      </c>
      <c r="AC1721" s="4">
        <v>6</v>
      </c>
      <c r="AD1721" s="4">
        <v>97</v>
      </c>
      <c r="AE1721" s="4">
        <v>110</v>
      </c>
      <c r="AF1721" s="4">
        <v>2</v>
      </c>
      <c r="AG1721" s="4">
        <v>2</v>
      </c>
      <c r="AH1721" s="4">
        <v>75</v>
      </c>
      <c r="AI1721" s="4">
        <v>85</v>
      </c>
      <c r="AJ1721" s="4">
        <v>17</v>
      </c>
      <c r="AK1721" s="4">
        <v>18</v>
      </c>
      <c r="AL1721" s="4">
        <v>38</v>
      </c>
      <c r="AM1721" s="4">
        <v>46</v>
      </c>
      <c r="AN1721" s="4">
        <v>0</v>
      </c>
      <c r="AO1721" s="4">
        <v>0</v>
      </c>
      <c r="AP1721" s="4">
        <v>27</v>
      </c>
      <c r="AQ1721" s="4">
        <v>29</v>
      </c>
      <c r="AR1721" s="3" t="s">
        <v>64</v>
      </c>
      <c r="AS1721" s="3" t="s">
        <v>64</v>
      </c>
      <c r="AT1721" s="3" t="s">
        <v>73</v>
      </c>
      <c r="AU1721" s="6" t="str">
        <f>HYPERLINK("http://catalog.hathitrust.org/Record/004447099","HathiTrust Record")</f>
        <v>HathiTrust Record</v>
      </c>
      <c r="AV1721" s="6" t="str">
        <f>HYPERLINK("http://mcgill.on.worldcat.org/oclc/9684862","Catalog Record")</f>
        <v>Catalog Record</v>
      </c>
      <c r="AW1721" s="6" t="str">
        <f>HYPERLINK("http://www.worldcat.org/oclc/9684862","WorldCat Record")</f>
        <v>WorldCat Record</v>
      </c>
      <c r="AX1721" s="3" t="s">
        <v>17943</v>
      </c>
      <c r="AY1721" s="3" t="s">
        <v>17944</v>
      </c>
      <c r="AZ1721" s="3" t="s">
        <v>17945</v>
      </c>
      <c r="BA1721" s="3" t="s">
        <v>17945</v>
      </c>
      <c r="BB1721" s="3" t="s">
        <v>17946</v>
      </c>
      <c r="BC1721" s="3" t="s">
        <v>78</v>
      </c>
      <c r="BD1721" s="3" t="s">
        <v>79</v>
      </c>
      <c r="BE1721" s="3" t="s">
        <v>17947</v>
      </c>
      <c r="BF1721" s="3" t="s">
        <v>17946</v>
      </c>
      <c r="BG1721" s="3" t="s">
        <v>17948</v>
      </c>
    </row>
    <row r="1722" spans="1:59" ht="58" x14ac:dyDescent="0.35">
      <c r="A1722" s="2" t="s">
        <v>59</v>
      </c>
      <c r="B1722" s="2" t="s">
        <v>94</v>
      </c>
      <c r="C1722" s="2" t="s">
        <v>17949</v>
      </c>
      <c r="D1722" s="2" t="s">
        <v>17950</v>
      </c>
      <c r="E1722" s="2" t="s">
        <v>17951</v>
      </c>
      <c r="G1722" s="3" t="s">
        <v>64</v>
      </c>
      <c r="I1722" s="3" t="s">
        <v>64</v>
      </c>
      <c r="J1722" s="3" t="s">
        <v>64</v>
      </c>
      <c r="K1722" s="3" t="s">
        <v>65</v>
      </c>
      <c r="L1722" s="2" t="s">
        <v>17952</v>
      </c>
      <c r="M1722" s="2" t="s">
        <v>17953</v>
      </c>
      <c r="N1722" s="3" t="s">
        <v>861</v>
      </c>
      <c r="P1722" s="3" t="s">
        <v>69</v>
      </c>
      <c r="R1722" s="3" t="s">
        <v>16939</v>
      </c>
      <c r="S1722" s="4">
        <v>8</v>
      </c>
      <c r="T1722" s="4">
        <v>8</v>
      </c>
      <c r="U1722" s="5" t="s">
        <v>1065</v>
      </c>
      <c r="V1722" s="5" t="s">
        <v>1065</v>
      </c>
      <c r="W1722" s="5" t="s">
        <v>72</v>
      </c>
      <c r="X1722" s="5" t="s">
        <v>72</v>
      </c>
      <c r="Y1722" s="4">
        <v>23</v>
      </c>
      <c r="Z1722" s="4">
        <v>2</v>
      </c>
      <c r="AA1722" s="4">
        <v>12</v>
      </c>
      <c r="AB1722" s="4">
        <v>1</v>
      </c>
      <c r="AC1722" s="4">
        <v>1</v>
      </c>
      <c r="AD1722" s="4">
        <v>1</v>
      </c>
      <c r="AE1722" s="4">
        <v>53</v>
      </c>
      <c r="AF1722" s="4">
        <v>0</v>
      </c>
      <c r="AG1722" s="4">
        <v>0</v>
      </c>
      <c r="AH1722" s="4">
        <v>1</v>
      </c>
      <c r="AI1722" s="4">
        <v>49</v>
      </c>
      <c r="AJ1722" s="4">
        <v>0</v>
      </c>
      <c r="AK1722" s="4">
        <v>8</v>
      </c>
      <c r="AL1722" s="4">
        <v>0</v>
      </c>
      <c r="AM1722" s="4">
        <v>29</v>
      </c>
      <c r="AN1722" s="4">
        <v>0</v>
      </c>
      <c r="AO1722" s="4">
        <v>0</v>
      </c>
      <c r="AP1722" s="4">
        <v>0</v>
      </c>
      <c r="AQ1722" s="4">
        <v>8</v>
      </c>
      <c r="AR1722" s="3" t="s">
        <v>64</v>
      </c>
      <c r="AS1722" s="3" t="s">
        <v>64</v>
      </c>
      <c r="AT1722" s="3" t="s">
        <v>64</v>
      </c>
      <c r="AV1722" s="6" t="str">
        <f>HYPERLINK("http://mcgill.on.worldcat.org/oclc/53192383","Catalog Record")</f>
        <v>Catalog Record</v>
      </c>
      <c r="AW1722" s="6" t="str">
        <f>HYPERLINK("http://www.worldcat.org/oclc/53192383","WorldCat Record")</f>
        <v>WorldCat Record</v>
      </c>
      <c r="AX1722" s="3" t="s">
        <v>17954</v>
      </c>
      <c r="AY1722" s="3" t="s">
        <v>17955</v>
      </c>
      <c r="AZ1722" s="3" t="s">
        <v>17956</v>
      </c>
      <c r="BA1722" s="3" t="s">
        <v>17956</v>
      </c>
      <c r="BB1722" s="3" t="s">
        <v>17957</v>
      </c>
      <c r="BC1722" s="3" t="s">
        <v>78</v>
      </c>
      <c r="BD1722" s="3" t="s">
        <v>79</v>
      </c>
      <c r="BE1722" s="3" t="s">
        <v>17958</v>
      </c>
      <c r="BF1722" s="3" t="s">
        <v>17957</v>
      </c>
      <c r="BG1722" s="3" t="s">
        <v>17959</v>
      </c>
    </row>
    <row r="1723" spans="1:59" ht="72.5" x14ac:dyDescent="0.35">
      <c r="A1723" s="2" t="s">
        <v>59</v>
      </c>
      <c r="B1723" s="2" t="s">
        <v>94</v>
      </c>
      <c r="C1723" s="2" t="s">
        <v>17960</v>
      </c>
      <c r="D1723" s="2" t="s">
        <v>17961</v>
      </c>
      <c r="E1723" s="2" t="s">
        <v>17962</v>
      </c>
      <c r="G1723" s="3" t="s">
        <v>64</v>
      </c>
      <c r="I1723" s="3" t="s">
        <v>64</v>
      </c>
      <c r="J1723" s="3" t="s">
        <v>64</v>
      </c>
      <c r="K1723" s="3" t="s">
        <v>65</v>
      </c>
      <c r="L1723" s="2" t="s">
        <v>17456</v>
      </c>
      <c r="M1723" s="2" t="s">
        <v>17963</v>
      </c>
      <c r="N1723" s="3" t="s">
        <v>1764</v>
      </c>
      <c r="P1723" s="3" t="s">
        <v>69</v>
      </c>
      <c r="R1723" s="3" t="s">
        <v>16939</v>
      </c>
      <c r="S1723" s="4">
        <v>3</v>
      </c>
      <c r="T1723" s="4">
        <v>3</v>
      </c>
      <c r="U1723" s="5" t="s">
        <v>17896</v>
      </c>
      <c r="V1723" s="5" t="s">
        <v>17896</v>
      </c>
      <c r="W1723" s="5" t="s">
        <v>72</v>
      </c>
      <c r="X1723" s="5" t="s">
        <v>72</v>
      </c>
      <c r="Y1723" s="4">
        <v>433</v>
      </c>
      <c r="Z1723" s="4">
        <v>23</v>
      </c>
      <c r="AA1723" s="4">
        <v>49</v>
      </c>
      <c r="AB1723" s="4">
        <v>1</v>
      </c>
      <c r="AC1723" s="4">
        <v>5</v>
      </c>
      <c r="AD1723" s="4">
        <v>58</v>
      </c>
      <c r="AE1723" s="4">
        <v>104</v>
      </c>
      <c r="AF1723" s="4">
        <v>0</v>
      </c>
      <c r="AG1723" s="4">
        <v>3</v>
      </c>
      <c r="AH1723" s="4">
        <v>49</v>
      </c>
      <c r="AI1723" s="4">
        <v>82</v>
      </c>
      <c r="AJ1723" s="4">
        <v>6</v>
      </c>
      <c r="AK1723" s="4">
        <v>17</v>
      </c>
      <c r="AL1723" s="4">
        <v>22</v>
      </c>
      <c r="AM1723" s="4">
        <v>41</v>
      </c>
      <c r="AN1723" s="4">
        <v>0</v>
      </c>
      <c r="AO1723" s="4">
        <v>0</v>
      </c>
      <c r="AP1723" s="4">
        <v>12</v>
      </c>
      <c r="AQ1723" s="4">
        <v>28</v>
      </c>
      <c r="AR1723" s="3" t="s">
        <v>64</v>
      </c>
      <c r="AS1723" s="3" t="s">
        <v>64</v>
      </c>
      <c r="AT1723" s="3" t="s">
        <v>64</v>
      </c>
      <c r="AV1723" s="6" t="str">
        <f>HYPERLINK("http://mcgill.on.worldcat.org/oclc/8280545","Catalog Record")</f>
        <v>Catalog Record</v>
      </c>
      <c r="AW1723" s="6" t="str">
        <f>HYPERLINK("http://www.worldcat.org/oclc/8280545","WorldCat Record")</f>
        <v>WorldCat Record</v>
      </c>
      <c r="AX1723" s="3" t="s">
        <v>17964</v>
      </c>
      <c r="AY1723" s="3" t="s">
        <v>17965</v>
      </c>
      <c r="AZ1723" s="3" t="s">
        <v>17966</v>
      </c>
      <c r="BA1723" s="3" t="s">
        <v>17966</v>
      </c>
      <c r="BB1723" s="3" t="s">
        <v>17967</v>
      </c>
      <c r="BC1723" s="3" t="s">
        <v>78</v>
      </c>
      <c r="BD1723" s="3" t="s">
        <v>79</v>
      </c>
      <c r="BE1723" s="3" t="s">
        <v>17968</v>
      </c>
      <c r="BF1723" s="3" t="s">
        <v>17967</v>
      </c>
      <c r="BG1723" s="3" t="s">
        <v>17969</v>
      </c>
    </row>
    <row r="1724" spans="1:59" ht="72.5" x14ac:dyDescent="0.35">
      <c r="A1724" s="2" t="s">
        <v>59</v>
      </c>
      <c r="B1724" s="2" t="s">
        <v>94</v>
      </c>
      <c r="C1724" s="2" t="s">
        <v>17970</v>
      </c>
      <c r="D1724" s="2" t="s">
        <v>17971</v>
      </c>
      <c r="E1724" s="2" t="s">
        <v>17972</v>
      </c>
      <c r="G1724" s="3" t="s">
        <v>64</v>
      </c>
      <c r="I1724" s="3" t="s">
        <v>64</v>
      </c>
      <c r="J1724" s="3" t="s">
        <v>64</v>
      </c>
      <c r="K1724" s="3" t="s">
        <v>65</v>
      </c>
      <c r="L1724" s="2" t="s">
        <v>17973</v>
      </c>
      <c r="M1724" s="2" t="s">
        <v>17974</v>
      </c>
      <c r="N1724" s="3" t="s">
        <v>315</v>
      </c>
      <c r="P1724" s="3" t="s">
        <v>69</v>
      </c>
      <c r="R1724" s="3" t="s">
        <v>16939</v>
      </c>
      <c r="S1724" s="4">
        <v>18</v>
      </c>
      <c r="T1724" s="4">
        <v>18</v>
      </c>
      <c r="U1724" s="5" t="s">
        <v>11175</v>
      </c>
      <c r="V1724" s="5" t="s">
        <v>11175</v>
      </c>
      <c r="W1724" s="5" t="s">
        <v>72</v>
      </c>
      <c r="X1724" s="5" t="s">
        <v>72</v>
      </c>
      <c r="Y1724" s="4">
        <v>87</v>
      </c>
      <c r="Z1724" s="4">
        <v>66</v>
      </c>
      <c r="AA1724" s="4">
        <v>103</v>
      </c>
      <c r="AB1724" s="4">
        <v>3</v>
      </c>
      <c r="AC1724" s="4">
        <v>11</v>
      </c>
      <c r="AD1724" s="4">
        <v>21</v>
      </c>
      <c r="AE1724" s="4">
        <v>135</v>
      </c>
      <c r="AF1724" s="4">
        <v>0</v>
      </c>
      <c r="AG1724" s="4">
        <v>3</v>
      </c>
      <c r="AH1724" s="4">
        <v>10</v>
      </c>
      <c r="AI1724" s="4">
        <v>108</v>
      </c>
      <c r="AJ1724" s="4">
        <v>15</v>
      </c>
      <c r="AK1724" s="4">
        <v>22</v>
      </c>
      <c r="AL1724" s="4">
        <v>2</v>
      </c>
      <c r="AM1724" s="4">
        <v>56</v>
      </c>
      <c r="AN1724" s="4">
        <v>0</v>
      </c>
      <c r="AO1724" s="4">
        <v>2</v>
      </c>
      <c r="AP1724" s="4">
        <v>18</v>
      </c>
      <c r="AQ1724" s="4">
        <v>35</v>
      </c>
      <c r="AR1724" s="3" t="s">
        <v>73</v>
      </c>
      <c r="AS1724" s="3" t="s">
        <v>64</v>
      </c>
      <c r="AT1724" s="3" t="s">
        <v>64</v>
      </c>
      <c r="AV1724" s="6" t="str">
        <f>HYPERLINK("http://mcgill.on.worldcat.org/oclc/16708881","Catalog Record")</f>
        <v>Catalog Record</v>
      </c>
      <c r="AW1724" s="6" t="str">
        <f>HYPERLINK("http://www.worldcat.org/oclc/16708881","WorldCat Record")</f>
        <v>WorldCat Record</v>
      </c>
      <c r="AX1724" s="3" t="s">
        <v>17975</v>
      </c>
      <c r="AY1724" s="3" t="s">
        <v>17976</v>
      </c>
      <c r="AZ1724" s="3" t="s">
        <v>17977</v>
      </c>
      <c r="BA1724" s="3" t="s">
        <v>17977</v>
      </c>
      <c r="BB1724" s="3" t="s">
        <v>17978</v>
      </c>
      <c r="BC1724" s="3" t="s">
        <v>78</v>
      </c>
      <c r="BD1724" s="3" t="s">
        <v>79</v>
      </c>
      <c r="BE1724" s="3" t="s">
        <v>17979</v>
      </c>
      <c r="BF1724" s="3" t="s">
        <v>17978</v>
      </c>
      <c r="BG1724" s="3" t="s">
        <v>17980</v>
      </c>
    </row>
    <row r="1725" spans="1:59" ht="58" x14ac:dyDescent="0.35">
      <c r="A1725" s="2" t="s">
        <v>59</v>
      </c>
      <c r="B1725" s="2" t="s">
        <v>94</v>
      </c>
      <c r="C1725" s="2" t="s">
        <v>17981</v>
      </c>
      <c r="D1725" s="2" t="s">
        <v>17982</v>
      </c>
      <c r="E1725" s="2" t="s">
        <v>17983</v>
      </c>
      <c r="G1725" s="3" t="s">
        <v>64</v>
      </c>
      <c r="I1725" s="3" t="s">
        <v>73</v>
      </c>
      <c r="J1725" s="3" t="s">
        <v>64</v>
      </c>
      <c r="K1725" s="3" t="s">
        <v>65</v>
      </c>
      <c r="L1725" s="2" t="s">
        <v>17984</v>
      </c>
      <c r="M1725" s="2" t="s">
        <v>17985</v>
      </c>
      <c r="N1725" s="3" t="s">
        <v>872</v>
      </c>
      <c r="O1725" s="2" t="s">
        <v>1294</v>
      </c>
      <c r="P1725" s="3" t="s">
        <v>69</v>
      </c>
      <c r="R1725" s="3" t="s">
        <v>16939</v>
      </c>
      <c r="S1725" s="4">
        <v>12</v>
      </c>
      <c r="T1725" s="4">
        <v>12</v>
      </c>
      <c r="U1725" s="5" t="s">
        <v>17986</v>
      </c>
      <c r="V1725" s="5" t="s">
        <v>17986</v>
      </c>
      <c r="W1725" s="5" t="s">
        <v>72</v>
      </c>
      <c r="X1725" s="5" t="s">
        <v>72</v>
      </c>
      <c r="Y1725" s="4">
        <v>720</v>
      </c>
      <c r="Z1725" s="4">
        <v>16</v>
      </c>
      <c r="AA1725" s="4">
        <v>16</v>
      </c>
      <c r="AB1725" s="4">
        <v>1</v>
      </c>
      <c r="AC1725" s="4">
        <v>1</v>
      </c>
      <c r="AD1725" s="4">
        <v>86</v>
      </c>
      <c r="AE1725" s="4">
        <v>86</v>
      </c>
      <c r="AF1725" s="4">
        <v>0</v>
      </c>
      <c r="AG1725" s="4">
        <v>0</v>
      </c>
      <c r="AH1725" s="4">
        <v>78</v>
      </c>
      <c r="AI1725" s="4">
        <v>78</v>
      </c>
      <c r="AJ1725" s="4">
        <v>9</v>
      </c>
      <c r="AK1725" s="4">
        <v>9</v>
      </c>
      <c r="AL1725" s="4">
        <v>45</v>
      </c>
      <c r="AM1725" s="4">
        <v>45</v>
      </c>
      <c r="AN1725" s="4">
        <v>0</v>
      </c>
      <c r="AO1725" s="4">
        <v>0</v>
      </c>
      <c r="AP1725" s="4">
        <v>11</v>
      </c>
      <c r="AQ1725" s="4">
        <v>11</v>
      </c>
      <c r="AR1725" s="3" t="s">
        <v>64</v>
      </c>
      <c r="AS1725" s="3" t="s">
        <v>64</v>
      </c>
      <c r="AT1725" s="3" t="s">
        <v>73</v>
      </c>
      <c r="AU1725" s="6" t="str">
        <f>HYPERLINK("http://catalog.hathitrust.org/Record/001292226","HathiTrust Record")</f>
        <v>HathiTrust Record</v>
      </c>
      <c r="AV1725" s="6" t="str">
        <f>HYPERLINK("http://mcgill.on.worldcat.org/oclc/18835427","Catalog Record")</f>
        <v>Catalog Record</v>
      </c>
      <c r="AW1725" s="6" t="str">
        <f>HYPERLINK("http://www.worldcat.org/oclc/18835427","WorldCat Record")</f>
        <v>WorldCat Record</v>
      </c>
      <c r="AX1725" s="3" t="s">
        <v>17987</v>
      </c>
      <c r="AY1725" s="3" t="s">
        <v>17988</v>
      </c>
      <c r="AZ1725" s="3" t="s">
        <v>17989</v>
      </c>
      <c r="BA1725" s="3" t="s">
        <v>17989</v>
      </c>
      <c r="BB1725" s="3" t="s">
        <v>17990</v>
      </c>
      <c r="BC1725" s="3" t="s">
        <v>78</v>
      </c>
      <c r="BD1725" s="3" t="s">
        <v>79</v>
      </c>
      <c r="BE1725" s="3" t="s">
        <v>17991</v>
      </c>
      <c r="BF1725" s="3" t="s">
        <v>17990</v>
      </c>
      <c r="BG1725" s="3" t="s">
        <v>17992</v>
      </c>
    </row>
    <row r="1726" spans="1:59" ht="58" x14ac:dyDescent="0.35">
      <c r="A1726" s="2" t="s">
        <v>59</v>
      </c>
      <c r="B1726" s="2" t="s">
        <v>94</v>
      </c>
      <c r="C1726" s="2" t="s">
        <v>17993</v>
      </c>
      <c r="D1726" s="2" t="s">
        <v>17994</v>
      </c>
      <c r="E1726" s="2" t="s">
        <v>17995</v>
      </c>
      <c r="G1726" s="3" t="s">
        <v>64</v>
      </c>
      <c r="I1726" s="3" t="s">
        <v>64</v>
      </c>
      <c r="J1726" s="3" t="s">
        <v>64</v>
      </c>
      <c r="K1726" s="3" t="s">
        <v>65</v>
      </c>
      <c r="L1726" s="2" t="s">
        <v>17996</v>
      </c>
      <c r="M1726" s="2" t="s">
        <v>17997</v>
      </c>
      <c r="N1726" s="3" t="s">
        <v>315</v>
      </c>
      <c r="P1726" s="3" t="s">
        <v>69</v>
      </c>
      <c r="R1726" s="3" t="s">
        <v>16939</v>
      </c>
      <c r="S1726" s="4">
        <v>28</v>
      </c>
      <c r="T1726" s="4">
        <v>28</v>
      </c>
      <c r="U1726" s="5" t="s">
        <v>17998</v>
      </c>
      <c r="V1726" s="5" t="s">
        <v>17998</v>
      </c>
      <c r="W1726" s="5" t="s">
        <v>72</v>
      </c>
      <c r="X1726" s="5" t="s">
        <v>72</v>
      </c>
      <c r="Y1726" s="4">
        <v>421</v>
      </c>
      <c r="Z1726" s="4">
        <v>19</v>
      </c>
      <c r="AA1726" s="4">
        <v>20</v>
      </c>
      <c r="AB1726" s="4">
        <v>1</v>
      </c>
      <c r="AC1726" s="4">
        <v>2</v>
      </c>
      <c r="AD1726" s="4">
        <v>88</v>
      </c>
      <c r="AE1726" s="4">
        <v>89</v>
      </c>
      <c r="AF1726" s="4">
        <v>0</v>
      </c>
      <c r="AG1726" s="4">
        <v>1</v>
      </c>
      <c r="AH1726" s="4">
        <v>81</v>
      </c>
      <c r="AI1726" s="4">
        <v>81</v>
      </c>
      <c r="AJ1726" s="4">
        <v>8</v>
      </c>
      <c r="AK1726" s="4">
        <v>9</v>
      </c>
      <c r="AL1726" s="4">
        <v>48</v>
      </c>
      <c r="AM1726" s="4">
        <v>48</v>
      </c>
      <c r="AN1726" s="4">
        <v>0</v>
      </c>
      <c r="AO1726" s="4">
        <v>0</v>
      </c>
      <c r="AP1726" s="4">
        <v>12</v>
      </c>
      <c r="AQ1726" s="4">
        <v>12</v>
      </c>
      <c r="AR1726" s="3" t="s">
        <v>64</v>
      </c>
      <c r="AS1726" s="3" t="s">
        <v>64</v>
      </c>
      <c r="AT1726" s="3" t="s">
        <v>73</v>
      </c>
      <c r="AU1726" s="6" t="str">
        <f>HYPERLINK("http://catalog.hathitrust.org/Record/000868153","HathiTrust Record")</f>
        <v>HathiTrust Record</v>
      </c>
      <c r="AV1726" s="6" t="str">
        <f>HYPERLINK("http://mcgill.on.worldcat.org/oclc/16712161","Catalog Record")</f>
        <v>Catalog Record</v>
      </c>
      <c r="AW1726" s="6" t="str">
        <f>HYPERLINK("http://www.worldcat.org/oclc/16712161","WorldCat Record")</f>
        <v>WorldCat Record</v>
      </c>
      <c r="AX1726" s="3" t="s">
        <v>17999</v>
      </c>
      <c r="AY1726" s="3" t="s">
        <v>18000</v>
      </c>
      <c r="AZ1726" s="3" t="s">
        <v>18001</v>
      </c>
      <c r="BA1726" s="3" t="s">
        <v>18001</v>
      </c>
      <c r="BB1726" s="3" t="s">
        <v>18002</v>
      </c>
      <c r="BC1726" s="3" t="s">
        <v>78</v>
      </c>
      <c r="BD1726" s="3" t="s">
        <v>79</v>
      </c>
      <c r="BE1726" s="3" t="s">
        <v>18003</v>
      </c>
      <c r="BF1726" s="3" t="s">
        <v>18002</v>
      </c>
      <c r="BG1726" s="3" t="s">
        <v>18004</v>
      </c>
    </row>
    <row r="1727" spans="1:59" ht="58" x14ac:dyDescent="0.35">
      <c r="A1727" s="2" t="s">
        <v>59</v>
      </c>
      <c r="B1727" s="2" t="s">
        <v>94</v>
      </c>
      <c r="C1727" s="2" t="s">
        <v>18005</v>
      </c>
      <c r="D1727" s="2" t="s">
        <v>18006</v>
      </c>
      <c r="E1727" s="2" t="s">
        <v>18007</v>
      </c>
      <c r="G1727" s="3" t="s">
        <v>64</v>
      </c>
      <c r="I1727" s="3" t="s">
        <v>64</v>
      </c>
      <c r="J1727" s="3" t="s">
        <v>64</v>
      </c>
      <c r="K1727" s="3" t="s">
        <v>65</v>
      </c>
      <c r="L1727" s="2" t="s">
        <v>18008</v>
      </c>
      <c r="M1727" s="2" t="s">
        <v>18009</v>
      </c>
      <c r="N1727" s="3" t="s">
        <v>226</v>
      </c>
      <c r="O1727" s="2" t="s">
        <v>1294</v>
      </c>
      <c r="P1727" s="3" t="s">
        <v>69</v>
      </c>
      <c r="R1727" s="3" t="s">
        <v>16939</v>
      </c>
      <c r="S1727" s="4">
        <v>8</v>
      </c>
      <c r="T1727" s="4">
        <v>8</v>
      </c>
      <c r="U1727" s="5" t="s">
        <v>18010</v>
      </c>
      <c r="V1727" s="5" t="s">
        <v>18010</v>
      </c>
      <c r="W1727" s="5" t="s">
        <v>72</v>
      </c>
      <c r="X1727" s="5" t="s">
        <v>72</v>
      </c>
      <c r="Y1727" s="4">
        <v>647</v>
      </c>
      <c r="Z1727" s="4">
        <v>18</v>
      </c>
      <c r="AA1727" s="4">
        <v>18</v>
      </c>
      <c r="AB1727" s="4">
        <v>2</v>
      </c>
      <c r="AC1727" s="4">
        <v>2</v>
      </c>
      <c r="AD1727" s="4">
        <v>94</v>
      </c>
      <c r="AE1727" s="4">
        <v>94</v>
      </c>
      <c r="AF1727" s="4">
        <v>0</v>
      </c>
      <c r="AG1727" s="4">
        <v>0</v>
      </c>
      <c r="AH1727" s="4">
        <v>87</v>
      </c>
      <c r="AI1727" s="4">
        <v>87</v>
      </c>
      <c r="AJ1727" s="4">
        <v>6</v>
      </c>
      <c r="AK1727" s="4">
        <v>6</v>
      </c>
      <c r="AL1727" s="4">
        <v>51</v>
      </c>
      <c r="AM1727" s="4">
        <v>51</v>
      </c>
      <c r="AN1727" s="4">
        <v>0</v>
      </c>
      <c r="AO1727" s="4">
        <v>0</v>
      </c>
      <c r="AP1727" s="4">
        <v>9</v>
      </c>
      <c r="AQ1727" s="4">
        <v>9</v>
      </c>
      <c r="AR1727" s="3" t="s">
        <v>64</v>
      </c>
      <c r="AS1727" s="3" t="s">
        <v>64</v>
      </c>
      <c r="AT1727" s="3" t="s">
        <v>73</v>
      </c>
      <c r="AU1727" s="6" t="str">
        <f>HYPERLINK("http://catalog.hathitrust.org/Record/003945244","HathiTrust Record")</f>
        <v>HathiTrust Record</v>
      </c>
      <c r="AV1727" s="6" t="str">
        <f>HYPERLINK("http://mcgill.on.worldcat.org/oclc/38126209","Catalog Record")</f>
        <v>Catalog Record</v>
      </c>
      <c r="AW1727" s="6" t="str">
        <f>HYPERLINK("http://www.worldcat.org/oclc/38126209","WorldCat Record")</f>
        <v>WorldCat Record</v>
      </c>
      <c r="AX1727" s="3" t="s">
        <v>18011</v>
      </c>
      <c r="AY1727" s="3" t="s">
        <v>18012</v>
      </c>
      <c r="AZ1727" s="3" t="s">
        <v>18013</v>
      </c>
      <c r="BA1727" s="3" t="s">
        <v>18013</v>
      </c>
      <c r="BB1727" s="3" t="s">
        <v>18014</v>
      </c>
      <c r="BC1727" s="3" t="s">
        <v>78</v>
      </c>
      <c r="BD1727" s="3" t="s">
        <v>79</v>
      </c>
      <c r="BE1727" s="3" t="s">
        <v>18015</v>
      </c>
      <c r="BF1727" s="3" t="s">
        <v>18014</v>
      </c>
      <c r="BG1727" s="3" t="s">
        <v>18016</v>
      </c>
    </row>
    <row r="1728" spans="1:59" ht="58" x14ac:dyDescent="0.35">
      <c r="A1728" s="2" t="s">
        <v>59</v>
      </c>
      <c r="B1728" s="2" t="s">
        <v>94</v>
      </c>
      <c r="C1728" s="2" t="s">
        <v>18017</v>
      </c>
      <c r="D1728" s="2" t="s">
        <v>18018</v>
      </c>
      <c r="E1728" s="2" t="s">
        <v>18019</v>
      </c>
      <c r="G1728" s="3" t="s">
        <v>64</v>
      </c>
      <c r="I1728" s="3" t="s">
        <v>64</v>
      </c>
      <c r="J1728" s="3" t="s">
        <v>64</v>
      </c>
      <c r="K1728" s="3" t="s">
        <v>65</v>
      </c>
      <c r="L1728" s="2" t="s">
        <v>18020</v>
      </c>
      <c r="M1728" s="2" t="s">
        <v>18021</v>
      </c>
      <c r="N1728" s="3" t="s">
        <v>87</v>
      </c>
      <c r="P1728" s="3" t="s">
        <v>69</v>
      </c>
      <c r="R1728" s="3" t="s">
        <v>16939</v>
      </c>
      <c r="S1728" s="4">
        <v>1</v>
      </c>
      <c r="T1728" s="4">
        <v>1</v>
      </c>
      <c r="U1728" s="5" t="s">
        <v>18022</v>
      </c>
      <c r="V1728" s="5" t="s">
        <v>18022</v>
      </c>
      <c r="W1728" s="5" t="s">
        <v>72</v>
      </c>
      <c r="X1728" s="5" t="s">
        <v>72</v>
      </c>
      <c r="Y1728" s="4">
        <v>99</v>
      </c>
      <c r="Z1728" s="4">
        <v>7</v>
      </c>
      <c r="AA1728" s="4">
        <v>94</v>
      </c>
      <c r="AB1728" s="4">
        <v>1</v>
      </c>
      <c r="AC1728" s="4">
        <v>14</v>
      </c>
      <c r="AD1728" s="4">
        <v>34</v>
      </c>
      <c r="AE1728" s="4">
        <v>97</v>
      </c>
      <c r="AF1728" s="4">
        <v>0</v>
      </c>
      <c r="AG1728" s="4">
        <v>8</v>
      </c>
      <c r="AH1728" s="4">
        <v>31</v>
      </c>
      <c r="AI1728" s="4">
        <v>64</v>
      </c>
      <c r="AJ1728" s="4">
        <v>3</v>
      </c>
      <c r="AK1728" s="4">
        <v>17</v>
      </c>
      <c r="AL1728" s="4">
        <v>20</v>
      </c>
      <c r="AM1728" s="4">
        <v>35</v>
      </c>
      <c r="AN1728" s="4">
        <v>0</v>
      </c>
      <c r="AO1728" s="4">
        <v>0</v>
      </c>
      <c r="AP1728" s="4">
        <v>3</v>
      </c>
      <c r="AQ1728" s="4">
        <v>38</v>
      </c>
      <c r="AR1728" s="3" t="s">
        <v>64</v>
      </c>
      <c r="AS1728" s="3" t="s">
        <v>64</v>
      </c>
      <c r="AT1728" s="3" t="s">
        <v>64</v>
      </c>
      <c r="AV1728" s="6" t="str">
        <f>HYPERLINK("http://mcgill.on.worldcat.org/oclc/922688957","Catalog Record")</f>
        <v>Catalog Record</v>
      </c>
      <c r="AW1728" s="6" t="str">
        <f>HYPERLINK("http://www.worldcat.org/oclc/922688957","WorldCat Record")</f>
        <v>WorldCat Record</v>
      </c>
      <c r="AX1728" s="3" t="s">
        <v>18023</v>
      </c>
      <c r="AY1728" s="3" t="s">
        <v>18024</v>
      </c>
      <c r="AZ1728" s="3" t="s">
        <v>18025</v>
      </c>
      <c r="BA1728" s="3" t="s">
        <v>18025</v>
      </c>
      <c r="BB1728" s="3" t="s">
        <v>18026</v>
      </c>
      <c r="BC1728" s="3" t="s">
        <v>78</v>
      </c>
      <c r="BD1728" s="3" t="s">
        <v>79</v>
      </c>
      <c r="BE1728" s="3" t="s">
        <v>18027</v>
      </c>
      <c r="BF1728" s="3" t="s">
        <v>18026</v>
      </c>
      <c r="BG1728" s="3" t="s">
        <v>18028</v>
      </c>
    </row>
    <row r="1729" spans="1:59" ht="58" x14ac:dyDescent="0.35">
      <c r="A1729" s="2" t="s">
        <v>59</v>
      </c>
      <c r="B1729" s="2" t="s">
        <v>94</v>
      </c>
      <c r="C1729" s="2" t="s">
        <v>18029</v>
      </c>
      <c r="D1729" s="2" t="s">
        <v>18030</v>
      </c>
      <c r="E1729" s="2" t="s">
        <v>18031</v>
      </c>
      <c r="G1729" s="3" t="s">
        <v>64</v>
      </c>
      <c r="I1729" s="3" t="s">
        <v>64</v>
      </c>
      <c r="J1729" s="3" t="s">
        <v>64</v>
      </c>
      <c r="K1729" s="3" t="s">
        <v>65</v>
      </c>
      <c r="L1729" s="2" t="s">
        <v>18032</v>
      </c>
      <c r="M1729" s="2" t="s">
        <v>18033</v>
      </c>
      <c r="N1729" s="3" t="s">
        <v>390</v>
      </c>
      <c r="P1729" s="3" t="s">
        <v>69</v>
      </c>
      <c r="R1729" s="3" t="s">
        <v>16939</v>
      </c>
      <c r="S1729" s="4">
        <v>10</v>
      </c>
      <c r="T1729" s="4">
        <v>10</v>
      </c>
      <c r="U1729" s="5" t="s">
        <v>18034</v>
      </c>
      <c r="V1729" s="5" t="s">
        <v>18034</v>
      </c>
      <c r="W1729" s="5" t="s">
        <v>72</v>
      </c>
      <c r="X1729" s="5" t="s">
        <v>72</v>
      </c>
      <c r="Y1729" s="4">
        <v>310</v>
      </c>
      <c r="Z1729" s="4">
        <v>22</v>
      </c>
      <c r="AA1729" s="4">
        <v>25</v>
      </c>
      <c r="AB1729" s="4">
        <v>1</v>
      </c>
      <c r="AC1729" s="4">
        <v>2</v>
      </c>
      <c r="AD1729" s="4">
        <v>66</v>
      </c>
      <c r="AE1729" s="4">
        <v>76</v>
      </c>
      <c r="AF1729" s="4">
        <v>0</v>
      </c>
      <c r="AG1729" s="4">
        <v>1</v>
      </c>
      <c r="AH1729" s="4">
        <v>55</v>
      </c>
      <c r="AI1729" s="4">
        <v>64</v>
      </c>
      <c r="AJ1729" s="4">
        <v>15</v>
      </c>
      <c r="AK1729" s="4">
        <v>16</v>
      </c>
      <c r="AL1729" s="4">
        <v>33</v>
      </c>
      <c r="AM1729" s="4">
        <v>38</v>
      </c>
      <c r="AN1729" s="4">
        <v>0</v>
      </c>
      <c r="AO1729" s="4">
        <v>0</v>
      </c>
      <c r="AP1729" s="4">
        <v>18</v>
      </c>
      <c r="AQ1729" s="4">
        <v>20</v>
      </c>
      <c r="AR1729" s="3" t="s">
        <v>64</v>
      </c>
      <c r="AS1729" s="3" t="s">
        <v>64</v>
      </c>
      <c r="AT1729" s="3" t="s">
        <v>73</v>
      </c>
      <c r="AU1729" s="6" t="str">
        <f>HYPERLINK("http://catalog.hathitrust.org/Record/000022324","HathiTrust Record")</f>
        <v>HathiTrust Record</v>
      </c>
      <c r="AV1729" s="6" t="str">
        <f>HYPERLINK("http://mcgill.on.worldcat.org/oclc/5789825","Catalog Record")</f>
        <v>Catalog Record</v>
      </c>
      <c r="AW1729" s="6" t="str">
        <f>HYPERLINK("http://www.worldcat.org/oclc/5789825","WorldCat Record")</f>
        <v>WorldCat Record</v>
      </c>
      <c r="AX1729" s="3" t="s">
        <v>18035</v>
      </c>
      <c r="AY1729" s="3" t="s">
        <v>18036</v>
      </c>
      <c r="AZ1729" s="3" t="s">
        <v>18037</v>
      </c>
      <c r="BA1729" s="3" t="s">
        <v>18037</v>
      </c>
      <c r="BB1729" s="3" t="s">
        <v>18038</v>
      </c>
      <c r="BC1729" s="3" t="s">
        <v>78</v>
      </c>
      <c r="BD1729" s="3" t="s">
        <v>79</v>
      </c>
      <c r="BE1729" s="3" t="s">
        <v>18039</v>
      </c>
      <c r="BF1729" s="3" t="s">
        <v>18038</v>
      </c>
      <c r="BG1729" s="3" t="s">
        <v>18040</v>
      </c>
    </row>
    <row r="1730" spans="1:59" ht="58" x14ac:dyDescent="0.35">
      <c r="A1730" s="2" t="s">
        <v>59</v>
      </c>
      <c r="B1730" s="2" t="s">
        <v>94</v>
      </c>
      <c r="C1730" s="2" t="s">
        <v>18041</v>
      </c>
      <c r="D1730" s="2" t="s">
        <v>18042</v>
      </c>
      <c r="E1730" s="2" t="s">
        <v>18043</v>
      </c>
      <c r="G1730" s="3" t="s">
        <v>64</v>
      </c>
      <c r="I1730" s="3" t="s">
        <v>64</v>
      </c>
      <c r="J1730" s="3" t="s">
        <v>64</v>
      </c>
      <c r="K1730" s="3" t="s">
        <v>65</v>
      </c>
      <c r="L1730" s="2" t="s">
        <v>18044</v>
      </c>
      <c r="M1730" s="2" t="s">
        <v>18045</v>
      </c>
      <c r="N1730" s="3" t="s">
        <v>315</v>
      </c>
      <c r="P1730" s="3" t="s">
        <v>69</v>
      </c>
      <c r="R1730" s="3" t="s">
        <v>16939</v>
      </c>
      <c r="S1730" s="4">
        <v>13</v>
      </c>
      <c r="T1730" s="4">
        <v>13</v>
      </c>
      <c r="U1730" s="5" t="s">
        <v>11175</v>
      </c>
      <c r="V1730" s="5" t="s">
        <v>11175</v>
      </c>
      <c r="W1730" s="5" t="s">
        <v>72</v>
      </c>
      <c r="X1730" s="5" t="s">
        <v>72</v>
      </c>
      <c r="Y1730" s="4">
        <v>166</v>
      </c>
      <c r="Z1730" s="4">
        <v>20</v>
      </c>
      <c r="AA1730" s="4">
        <v>29</v>
      </c>
      <c r="AB1730" s="4">
        <v>2</v>
      </c>
      <c r="AC1730" s="4">
        <v>2</v>
      </c>
      <c r="AD1730" s="4">
        <v>68</v>
      </c>
      <c r="AE1730" s="4">
        <v>98</v>
      </c>
      <c r="AF1730" s="4">
        <v>0</v>
      </c>
      <c r="AG1730" s="4">
        <v>0</v>
      </c>
      <c r="AH1730" s="4">
        <v>60</v>
      </c>
      <c r="AI1730" s="4">
        <v>87</v>
      </c>
      <c r="AJ1730" s="4">
        <v>13</v>
      </c>
      <c r="AK1730" s="4">
        <v>15</v>
      </c>
      <c r="AL1730" s="4">
        <v>36</v>
      </c>
      <c r="AM1730" s="4">
        <v>48</v>
      </c>
      <c r="AN1730" s="4">
        <v>0</v>
      </c>
      <c r="AO1730" s="4">
        <v>0</v>
      </c>
      <c r="AP1730" s="4">
        <v>14</v>
      </c>
      <c r="AQ1730" s="4">
        <v>19</v>
      </c>
      <c r="AR1730" s="3" t="s">
        <v>64</v>
      </c>
      <c r="AS1730" s="3" t="s">
        <v>64</v>
      </c>
      <c r="AT1730" s="3" t="s">
        <v>73</v>
      </c>
      <c r="AU1730" s="6" t="str">
        <f>HYPERLINK("http://catalog.hathitrust.org/Record/000823185","HathiTrust Record")</f>
        <v>HathiTrust Record</v>
      </c>
      <c r="AV1730" s="6" t="str">
        <f>HYPERLINK("http://mcgill.on.worldcat.org/oclc/59207103","Catalog Record")</f>
        <v>Catalog Record</v>
      </c>
      <c r="AW1730" s="6" t="str">
        <f>HYPERLINK("http://www.worldcat.org/oclc/59207103","WorldCat Record")</f>
        <v>WorldCat Record</v>
      </c>
      <c r="AX1730" s="3" t="s">
        <v>18046</v>
      </c>
      <c r="AY1730" s="3" t="s">
        <v>18047</v>
      </c>
      <c r="AZ1730" s="3" t="s">
        <v>18048</v>
      </c>
      <c r="BA1730" s="3" t="s">
        <v>18048</v>
      </c>
      <c r="BB1730" s="3" t="s">
        <v>18049</v>
      </c>
      <c r="BC1730" s="3" t="s">
        <v>78</v>
      </c>
      <c r="BD1730" s="3" t="s">
        <v>79</v>
      </c>
      <c r="BE1730" s="3" t="s">
        <v>18050</v>
      </c>
      <c r="BF1730" s="3" t="s">
        <v>18049</v>
      </c>
      <c r="BG1730" s="3" t="s">
        <v>18051</v>
      </c>
    </row>
    <row r="1731" spans="1:59" ht="58" x14ac:dyDescent="0.35">
      <c r="A1731" s="2" t="s">
        <v>59</v>
      </c>
      <c r="B1731" s="2" t="s">
        <v>94</v>
      </c>
      <c r="C1731" s="2" t="s">
        <v>18052</v>
      </c>
      <c r="D1731" s="2" t="s">
        <v>18053</v>
      </c>
      <c r="E1731" s="2" t="s">
        <v>18054</v>
      </c>
      <c r="G1731" s="3" t="s">
        <v>64</v>
      </c>
      <c r="I1731" s="3" t="s">
        <v>64</v>
      </c>
      <c r="J1731" s="3" t="s">
        <v>64</v>
      </c>
      <c r="K1731" s="3" t="s">
        <v>65</v>
      </c>
      <c r="L1731" s="2" t="s">
        <v>18055</v>
      </c>
      <c r="M1731" s="2" t="s">
        <v>18056</v>
      </c>
      <c r="N1731" s="3" t="s">
        <v>377</v>
      </c>
      <c r="O1731" s="2" t="s">
        <v>18057</v>
      </c>
      <c r="P1731" s="3" t="s">
        <v>69</v>
      </c>
      <c r="R1731" s="3" t="s">
        <v>16939</v>
      </c>
      <c r="S1731" s="4">
        <v>3</v>
      </c>
      <c r="T1731" s="4">
        <v>3</v>
      </c>
      <c r="U1731" s="5" t="s">
        <v>3785</v>
      </c>
      <c r="V1731" s="5" t="s">
        <v>3785</v>
      </c>
      <c r="W1731" s="5" t="s">
        <v>72</v>
      </c>
      <c r="X1731" s="5" t="s">
        <v>72</v>
      </c>
      <c r="Y1731" s="4">
        <v>200</v>
      </c>
      <c r="Z1731" s="4">
        <v>9</v>
      </c>
      <c r="AA1731" s="4">
        <v>10</v>
      </c>
      <c r="AB1731" s="4">
        <v>1</v>
      </c>
      <c r="AC1731" s="4">
        <v>2</v>
      </c>
      <c r="AD1731" s="4">
        <v>16</v>
      </c>
      <c r="AE1731" s="4">
        <v>17</v>
      </c>
      <c r="AF1731" s="4">
        <v>0</v>
      </c>
      <c r="AG1731" s="4">
        <v>1</v>
      </c>
      <c r="AH1731" s="4">
        <v>13</v>
      </c>
      <c r="AI1731" s="4">
        <v>13</v>
      </c>
      <c r="AJ1731" s="4">
        <v>2</v>
      </c>
      <c r="AK1731" s="4">
        <v>3</v>
      </c>
      <c r="AL1731" s="4">
        <v>10</v>
      </c>
      <c r="AM1731" s="4">
        <v>10</v>
      </c>
      <c r="AN1731" s="4">
        <v>0</v>
      </c>
      <c r="AO1731" s="4">
        <v>0</v>
      </c>
      <c r="AP1731" s="4">
        <v>2</v>
      </c>
      <c r="AQ1731" s="4">
        <v>3</v>
      </c>
      <c r="AR1731" s="3" t="s">
        <v>64</v>
      </c>
      <c r="AS1731" s="3" t="s">
        <v>64</v>
      </c>
      <c r="AT1731" s="3" t="s">
        <v>64</v>
      </c>
      <c r="AV1731" s="6" t="str">
        <f>HYPERLINK("http://mcgill.on.worldcat.org/oclc/761850069","Catalog Record")</f>
        <v>Catalog Record</v>
      </c>
      <c r="AW1731" s="6" t="str">
        <f>HYPERLINK("http://www.worldcat.org/oclc/761850069","WorldCat Record")</f>
        <v>WorldCat Record</v>
      </c>
      <c r="AX1731" s="3" t="s">
        <v>18058</v>
      </c>
      <c r="AY1731" s="3" t="s">
        <v>18059</v>
      </c>
      <c r="AZ1731" s="3" t="s">
        <v>18060</v>
      </c>
      <c r="BA1731" s="3" t="s">
        <v>18060</v>
      </c>
      <c r="BB1731" s="3" t="s">
        <v>18061</v>
      </c>
      <c r="BC1731" s="3" t="s">
        <v>78</v>
      </c>
      <c r="BD1731" s="3" t="s">
        <v>79</v>
      </c>
      <c r="BE1731" s="3" t="s">
        <v>18062</v>
      </c>
      <c r="BF1731" s="3" t="s">
        <v>18061</v>
      </c>
      <c r="BG1731" s="3" t="s">
        <v>18063</v>
      </c>
    </row>
    <row r="1732" spans="1:59" ht="58" x14ac:dyDescent="0.35">
      <c r="A1732" s="2" t="s">
        <v>59</v>
      </c>
      <c r="B1732" s="2" t="s">
        <v>94</v>
      </c>
      <c r="C1732" s="2" t="s">
        <v>18064</v>
      </c>
      <c r="D1732" s="2" t="s">
        <v>18065</v>
      </c>
      <c r="E1732" s="2" t="s">
        <v>18066</v>
      </c>
      <c r="G1732" s="3" t="s">
        <v>64</v>
      </c>
      <c r="I1732" s="3" t="s">
        <v>73</v>
      </c>
      <c r="J1732" s="3" t="s">
        <v>64</v>
      </c>
      <c r="K1732" s="3" t="s">
        <v>65</v>
      </c>
      <c r="L1732" s="2" t="s">
        <v>18067</v>
      </c>
      <c r="M1732" s="2" t="s">
        <v>2322</v>
      </c>
      <c r="N1732" s="3" t="s">
        <v>68</v>
      </c>
      <c r="P1732" s="3" t="s">
        <v>69</v>
      </c>
      <c r="Q1732" s="2" t="s">
        <v>18068</v>
      </c>
      <c r="R1732" s="3" t="s">
        <v>16939</v>
      </c>
      <c r="S1732" s="4">
        <v>3</v>
      </c>
      <c r="T1732" s="4">
        <v>5</v>
      </c>
      <c r="U1732" s="5" t="s">
        <v>18069</v>
      </c>
      <c r="V1732" s="5" t="s">
        <v>18010</v>
      </c>
      <c r="W1732" s="5" t="s">
        <v>72</v>
      </c>
      <c r="X1732" s="5" t="s">
        <v>72</v>
      </c>
      <c r="Y1732" s="4">
        <v>691</v>
      </c>
      <c r="Z1732" s="4">
        <v>29</v>
      </c>
      <c r="AA1732" s="4">
        <v>34</v>
      </c>
      <c r="AB1732" s="4">
        <v>1</v>
      </c>
      <c r="AC1732" s="4">
        <v>5</v>
      </c>
      <c r="AD1732" s="4">
        <v>102</v>
      </c>
      <c r="AE1732" s="4">
        <v>106</v>
      </c>
      <c r="AF1732" s="4">
        <v>0</v>
      </c>
      <c r="AG1732" s="4">
        <v>2</v>
      </c>
      <c r="AH1732" s="4">
        <v>89</v>
      </c>
      <c r="AI1732" s="4">
        <v>92</v>
      </c>
      <c r="AJ1732" s="4">
        <v>14</v>
      </c>
      <c r="AK1732" s="4">
        <v>16</v>
      </c>
      <c r="AL1732" s="4">
        <v>51</v>
      </c>
      <c r="AM1732" s="4">
        <v>52</v>
      </c>
      <c r="AN1732" s="4">
        <v>0</v>
      </c>
      <c r="AO1732" s="4">
        <v>0</v>
      </c>
      <c r="AP1732" s="4">
        <v>18</v>
      </c>
      <c r="AQ1732" s="4">
        <v>19</v>
      </c>
      <c r="AR1732" s="3" t="s">
        <v>64</v>
      </c>
      <c r="AS1732" s="3" t="s">
        <v>64</v>
      </c>
      <c r="AT1732" s="3" t="s">
        <v>64</v>
      </c>
      <c r="AV1732" s="6" t="str">
        <f>HYPERLINK("http://mcgill.on.worldcat.org/oclc/63171119","Catalog Record")</f>
        <v>Catalog Record</v>
      </c>
      <c r="AW1732" s="6" t="str">
        <f>HYPERLINK("http://www.worldcat.org/oclc/63171119","WorldCat Record")</f>
        <v>WorldCat Record</v>
      </c>
      <c r="AX1732" s="3" t="s">
        <v>18070</v>
      </c>
      <c r="AY1732" s="3" t="s">
        <v>18071</v>
      </c>
      <c r="AZ1732" s="3" t="s">
        <v>18072</v>
      </c>
      <c r="BA1732" s="3" t="s">
        <v>18072</v>
      </c>
      <c r="BB1732" s="3" t="s">
        <v>18073</v>
      </c>
      <c r="BC1732" s="3" t="s">
        <v>78</v>
      </c>
      <c r="BD1732" s="3" t="s">
        <v>79</v>
      </c>
      <c r="BE1732" s="3" t="s">
        <v>18074</v>
      </c>
      <c r="BF1732" s="3" t="s">
        <v>18073</v>
      </c>
      <c r="BG1732" s="3" t="s">
        <v>18075</v>
      </c>
    </row>
    <row r="1733" spans="1:59" ht="58" x14ac:dyDescent="0.35">
      <c r="A1733" s="2" t="s">
        <v>59</v>
      </c>
      <c r="B1733" s="2" t="s">
        <v>94</v>
      </c>
      <c r="C1733" s="2" t="s">
        <v>18064</v>
      </c>
      <c r="D1733" s="2" t="s">
        <v>18065</v>
      </c>
      <c r="E1733" s="2" t="s">
        <v>18066</v>
      </c>
      <c r="G1733" s="3" t="s">
        <v>64</v>
      </c>
      <c r="I1733" s="3" t="s">
        <v>73</v>
      </c>
      <c r="J1733" s="3" t="s">
        <v>64</v>
      </c>
      <c r="K1733" s="3" t="s">
        <v>65</v>
      </c>
      <c r="L1733" s="2" t="s">
        <v>18067</v>
      </c>
      <c r="M1733" s="2" t="s">
        <v>2322</v>
      </c>
      <c r="N1733" s="3" t="s">
        <v>68</v>
      </c>
      <c r="P1733" s="3" t="s">
        <v>69</v>
      </c>
      <c r="Q1733" s="2" t="s">
        <v>18068</v>
      </c>
      <c r="R1733" s="3" t="s">
        <v>16939</v>
      </c>
      <c r="S1733" s="4">
        <v>2</v>
      </c>
      <c r="T1733" s="4">
        <v>5</v>
      </c>
      <c r="U1733" s="5" t="s">
        <v>18010</v>
      </c>
      <c r="V1733" s="5" t="s">
        <v>18010</v>
      </c>
      <c r="W1733" s="5" t="s">
        <v>72</v>
      </c>
      <c r="X1733" s="5" t="s">
        <v>72</v>
      </c>
      <c r="Y1733" s="4">
        <v>691</v>
      </c>
      <c r="Z1733" s="4">
        <v>29</v>
      </c>
      <c r="AA1733" s="4">
        <v>34</v>
      </c>
      <c r="AB1733" s="4">
        <v>1</v>
      </c>
      <c r="AC1733" s="4">
        <v>5</v>
      </c>
      <c r="AD1733" s="4">
        <v>102</v>
      </c>
      <c r="AE1733" s="4">
        <v>106</v>
      </c>
      <c r="AF1733" s="4">
        <v>0</v>
      </c>
      <c r="AG1733" s="4">
        <v>2</v>
      </c>
      <c r="AH1733" s="4">
        <v>89</v>
      </c>
      <c r="AI1733" s="4">
        <v>92</v>
      </c>
      <c r="AJ1733" s="4">
        <v>14</v>
      </c>
      <c r="AK1733" s="4">
        <v>16</v>
      </c>
      <c r="AL1733" s="4">
        <v>51</v>
      </c>
      <c r="AM1733" s="4">
        <v>52</v>
      </c>
      <c r="AN1733" s="4">
        <v>0</v>
      </c>
      <c r="AO1733" s="4">
        <v>0</v>
      </c>
      <c r="AP1733" s="4">
        <v>18</v>
      </c>
      <c r="AQ1733" s="4">
        <v>19</v>
      </c>
      <c r="AR1733" s="3" t="s">
        <v>64</v>
      </c>
      <c r="AS1733" s="3" t="s">
        <v>64</v>
      </c>
      <c r="AT1733" s="3" t="s">
        <v>64</v>
      </c>
      <c r="AV1733" s="6" t="str">
        <f>HYPERLINK("http://mcgill.on.worldcat.org/oclc/63171119","Catalog Record")</f>
        <v>Catalog Record</v>
      </c>
      <c r="AW1733" s="6" t="str">
        <f>HYPERLINK("http://www.worldcat.org/oclc/63171119","WorldCat Record")</f>
        <v>WorldCat Record</v>
      </c>
      <c r="AX1733" s="3" t="s">
        <v>18070</v>
      </c>
      <c r="AY1733" s="3" t="s">
        <v>18071</v>
      </c>
      <c r="AZ1733" s="3" t="s">
        <v>18072</v>
      </c>
      <c r="BA1733" s="3" t="s">
        <v>18072</v>
      </c>
      <c r="BB1733" s="3" t="s">
        <v>18076</v>
      </c>
      <c r="BC1733" s="3" t="s">
        <v>78</v>
      </c>
      <c r="BD1733" s="3" t="s">
        <v>79</v>
      </c>
      <c r="BE1733" s="3" t="s">
        <v>18074</v>
      </c>
      <c r="BF1733" s="3" t="s">
        <v>18076</v>
      </c>
      <c r="BG1733" s="3" t="s">
        <v>18077</v>
      </c>
    </row>
    <row r="1734" spans="1:59" ht="58" x14ac:dyDescent="0.35">
      <c r="A1734" s="2" t="s">
        <v>59</v>
      </c>
      <c r="B1734" s="2" t="s">
        <v>94</v>
      </c>
      <c r="C1734" s="2" t="s">
        <v>18078</v>
      </c>
      <c r="D1734" s="2" t="s">
        <v>18079</v>
      </c>
      <c r="E1734" s="2" t="s">
        <v>18080</v>
      </c>
      <c r="G1734" s="3" t="s">
        <v>64</v>
      </c>
      <c r="I1734" s="3" t="s">
        <v>64</v>
      </c>
      <c r="J1734" s="3" t="s">
        <v>64</v>
      </c>
      <c r="K1734" s="3" t="s">
        <v>65</v>
      </c>
      <c r="L1734" s="2" t="s">
        <v>18081</v>
      </c>
      <c r="M1734" s="2" t="s">
        <v>18082</v>
      </c>
      <c r="N1734" s="3" t="s">
        <v>1029</v>
      </c>
      <c r="P1734" s="3" t="s">
        <v>69</v>
      </c>
      <c r="R1734" s="3" t="s">
        <v>16939</v>
      </c>
      <c r="S1734" s="4">
        <v>5</v>
      </c>
      <c r="T1734" s="4">
        <v>5</v>
      </c>
      <c r="U1734" s="5" t="s">
        <v>512</v>
      </c>
      <c r="V1734" s="5" t="s">
        <v>512</v>
      </c>
      <c r="W1734" s="5" t="s">
        <v>72</v>
      </c>
      <c r="X1734" s="5" t="s">
        <v>72</v>
      </c>
      <c r="Y1734" s="4">
        <v>950</v>
      </c>
      <c r="Z1734" s="4">
        <v>27</v>
      </c>
      <c r="AA1734" s="4">
        <v>43</v>
      </c>
      <c r="AB1734" s="4">
        <v>2</v>
      </c>
      <c r="AC1734" s="4">
        <v>6</v>
      </c>
      <c r="AD1734" s="4">
        <v>97</v>
      </c>
      <c r="AE1734" s="4">
        <v>119</v>
      </c>
      <c r="AF1734" s="4">
        <v>0</v>
      </c>
      <c r="AG1734" s="4">
        <v>1</v>
      </c>
      <c r="AH1734" s="4">
        <v>84</v>
      </c>
      <c r="AI1734" s="4">
        <v>101</v>
      </c>
      <c r="AJ1734" s="4">
        <v>14</v>
      </c>
      <c r="AK1734" s="4">
        <v>18</v>
      </c>
      <c r="AL1734" s="4">
        <v>47</v>
      </c>
      <c r="AM1734" s="4">
        <v>53</v>
      </c>
      <c r="AN1734" s="4">
        <v>0</v>
      </c>
      <c r="AO1734" s="4">
        <v>0</v>
      </c>
      <c r="AP1734" s="4">
        <v>16</v>
      </c>
      <c r="AQ1734" s="4">
        <v>25</v>
      </c>
      <c r="AR1734" s="3" t="s">
        <v>64</v>
      </c>
      <c r="AS1734" s="3" t="s">
        <v>64</v>
      </c>
      <c r="AT1734" s="3" t="s">
        <v>64</v>
      </c>
      <c r="AV1734" s="6" t="str">
        <f>HYPERLINK("http://mcgill.on.worldcat.org/oclc/262432345","Catalog Record")</f>
        <v>Catalog Record</v>
      </c>
      <c r="AW1734" s="6" t="str">
        <f>HYPERLINK("http://www.worldcat.org/oclc/262432345","WorldCat Record")</f>
        <v>WorldCat Record</v>
      </c>
      <c r="AX1734" s="3" t="s">
        <v>18083</v>
      </c>
      <c r="AY1734" s="3" t="s">
        <v>18084</v>
      </c>
      <c r="AZ1734" s="3" t="s">
        <v>18085</v>
      </c>
      <c r="BA1734" s="3" t="s">
        <v>18085</v>
      </c>
      <c r="BB1734" s="3" t="s">
        <v>18086</v>
      </c>
      <c r="BC1734" s="3" t="s">
        <v>78</v>
      </c>
      <c r="BD1734" s="3" t="s">
        <v>79</v>
      </c>
      <c r="BE1734" s="3" t="s">
        <v>18087</v>
      </c>
      <c r="BF1734" s="3" t="s">
        <v>18086</v>
      </c>
      <c r="BG1734" s="3" t="s">
        <v>18088</v>
      </c>
    </row>
    <row r="1735" spans="1:59" ht="58" x14ac:dyDescent="0.35">
      <c r="A1735" s="2" t="s">
        <v>59</v>
      </c>
      <c r="B1735" s="2" t="s">
        <v>94</v>
      </c>
      <c r="C1735" s="2" t="s">
        <v>18089</v>
      </c>
      <c r="D1735" s="2" t="s">
        <v>18090</v>
      </c>
      <c r="E1735" s="2" t="s">
        <v>18091</v>
      </c>
      <c r="G1735" s="3" t="s">
        <v>64</v>
      </c>
      <c r="I1735" s="3" t="s">
        <v>73</v>
      </c>
      <c r="J1735" s="3" t="s">
        <v>64</v>
      </c>
      <c r="K1735" s="3" t="s">
        <v>65</v>
      </c>
      <c r="L1735" s="2" t="s">
        <v>18092</v>
      </c>
      <c r="M1735" s="2" t="s">
        <v>18093</v>
      </c>
      <c r="N1735" s="3" t="s">
        <v>486</v>
      </c>
      <c r="P1735" s="3" t="s">
        <v>69</v>
      </c>
      <c r="R1735" s="3" t="s">
        <v>16939</v>
      </c>
      <c r="S1735" s="4">
        <v>10</v>
      </c>
      <c r="T1735" s="4">
        <v>33</v>
      </c>
      <c r="U1735" s="5" t="s">
        <v>18010</v>
      </c>
      <c r="V1735" s="5" t="s">
        <v>18010</v>
      </c>
      <c r="W1735" s="5" t="s">
        <v>72</v>
      </c>
      <c r="X1735" s="5" t="s">
        <v>72</v>
      </c>
      <c r="Y1735" s="4">
        <v>172</v>
      </c>
      <c r="Z1735" s="4">
        <v>32</v>
      </c>
      <c r="AA1735" s="4">
        <v>46</v>
      </c>
      <c r="AB1735" s="4">
        <v>2</v>
      </c>
      <c r="AC1735" s="4">
        <v>2</v>
      </c>
      <c r="AD1735" s="4">
        <v>43</v>
      </c>
      <c r="AE1735" s="4">
        <v>95</v>
      </c>
      <c r="AF1735" s="4">
        <v>1</v>
      </c>
      <c r="AG1735" s="4">
        <v>1</v>
      </c>
      <c r="AH1735" s="4">
        <v>35</v>
      </c>
      <c r="AI1735" s="4">
        <v>76</v>
      </c>
      <c r="AJ1735" s="4">
        <v>16</v>
      </c>
      <c r="AK1735" s="4">
        <v>18</v>
      </c>
      <c r="AL1735" s="4">
        <v>17</v>
      </c>
      <c r="AM1735" s="4">
        <v>41</v>
      </c>
      <c r="AN1735" s="4">
        <v>0</v>
      </c>
      <c r="AO1735" s="4">
        <v>4</v>
      </c>
      <c r="AP1735" s="4">
        <v>17</v>
      </c>
      <c r="AQ1735" s="4">
        <v>25</v>
      </c>
      <c r="AR1735" s="3" t="s">
        <v>64</v>
      </c>
      <c r="AS1735" s="3" t="s">
        <v>64</v>
      </c>
      <c r="AT1735" s="3" t="s">
        <v>73</v>
      </c>
      <c r="AU1735" s="6" t="str">
        <f>HYPERLINK("http://catalog.hathitrust.org/Record/000763763","HathiTrust Record")</f>
        <v>HathiTrust Record</v>
      </c>
      <c r="AV1735" s="6" t="str">
        <f>HYPERLINK("http://mcgill.on.worldcat.org/oclc/6759283","Catalog Record")</f>
        <v>Catalog Record</v>
      </c>
      <c r="AW1735" s="6" t="str">
        <f>HYPERLINK("http://www.worldcat.org/oclc/6759283","WorldCat Record")</f>
        <v>WorldCat Record</v>
      </c>
      <c r="AX1735" s="3" t="s">
        <v>18094</v>
      </c>
      <c r="AY1735" s="3" t="s">
        <v>18095</v>
      </c>
      <c r="AZ1735" s="3" t="s">
        <v>18096</v>
      </c>
      <c r="BA1735" s="3" t="s">
        <v>18096</v>
      </c>
      <c r="BB1735" s="3" t="s">
        <v>18097</v>
      </c>
      <c r="BC1735" s="3" t="s">
        <v>78</v>
      </c>
      <c r="BD1735" s="3" t="s">
        <v>79</v>
      </c>
      <c r="BE1735" s="3" t="s">
        <v>18098</v>
      </c>
      <c r="BF1735" s="3" t="s">
        <v>18097</v>
      </c>
      <c r="BG1735" s="3" t="s">
        <v>18099</v>
      </c>
    </row>
    <row r="1736" spans="1:59" ht="58" x14ac:dyDescent="0.35">
      <c r="A1736" s="2" t="s">
        <v>59</v>
      </c>
      <c r="B1736" s="2" t="s">
        <v>94</v>
      </c>
      <c r="C1736" s="2" t="s">
        <v>18089</v>
      </c>
      <c r="D1736" s="2" t="s">
        <v>18090</v>
      </c>
      <c r="E1736" s="2" t="s">
        <v>18091</v>
      </c>
      <c r="G1736" s="3" t="s">
        <v>64</v>
      </c>
      <c r="I1736" s="3" t="s">
        <v>73</v>
      </c>
      <c r="J1736" s="3" t="s">
        <v>64</v>
      </c>
      <c r="K1736" s="3" t="s">
        <v>65</v>
      </c>
      <c r="L1736" s="2" t="s">
        <v>18092</v>
      </c>
      <c r="M1736" s="2" t="s">
        <v>18093</v>
      </c>
      <c r="N1736" s="3" t="s">
        <v>486</v>
      </c>
      <c r="P1736" s="3" t="s">
        <v>69</v>
      </c>
      <c r="R1736" s="3" t="s">
        <v>16939</v>
      </c>
      <c r="S1736" s="4">
        <v>23</v>
      </c>
      <c r="T1736" s="4">
        <v>33</v>
      </c>
      <c r="U1736" s="5" t="s">
        <v>18100</v>
      </c>
      <c r="V1736" s="5" t="s">
        <v>18010</v>
      </c>
      <c r="W1736" s="5" t="s">
        <v>72</v>
      </c>
      <c r="X1736" s="5" t="s">
        <v>72</v>
      </c>
      <c r="Y1736" s="4">
        <v>172</v>
      </c>
      <c r="Z1736" s="4">
        <v>32</v>
      </c>
      <c r="AA1736" s="4">
        <v>46</v>
      </c>
      <c r="AB1736" s="4">
        <v>2</v>
      </c>
      <c r="AC1736" s="4">
        <v>2</v>
      </c>
      <c r="AD1736" s="4">
        <v>43</v>
      </c>
      <c r="AE1736" s="4">
        <v>95</v>
      </c>
      <c r="AF1736" s="4">
        <v>1</v>
      </c>
      <c r="AG1736" s="4">
        <v>1</v>
      </c>
      <c r="AH1736" s="4">
        <v>35</v>
      </c>
      <c r="AI1736" s="4">
        <v>76</v>
      </c>
      <c r="AJ1736" s="4">
        <v>16</v>
      </c>
      <c r="AK1736" s="4">
        <v>18</v>
      </c>
      <c r="AL1736" s="4">
        <v>17</v>
      </c>
      <c r="AM1736" s="4">
        <v>41</v>
      </c>
      <c r="AN1736" s="4">
        <v>0</v>
      </c>
      <c r="AO1736" s="4">
        <v>4</v>
      </c>
      <c r="AP1736" s="4">
        <v>17</v>
      </c>
      <c r="AQ1736" s="4">
        <v>25</v>
      </c>
      <c r="AR1736" s="3" t="s">
        <v>64</v>
      </c>
      <c r="AS1736" s="3" t="s">
        <v>64</v>
      </c>
      <c r="AT1736" s="3" t="s">
        <v>73</v>
      </c>
      <c r="AU1736" s="6" t="str">
        <f>HYPERLINK("http://catalog.hathitrust.org/Record/000763763","HathiTrust Record")</f>
        <v>HathiTrust Record</v>
      </c>
      <c r="AV1736" s="6" t="str">
        <f>HYPERLINK("http://mcgill.on.worldcat.org/oclc/6759283","Catalog Record")</f>
        <v>Catalog Record</v>
      </c>
      <c r="AW1736" s="6" t="str">
        <f>HYPERLINK("http://www.worldcat.org/oclc/6759283","WorldCat Record")</f>
        <v>WorldCat Record</v>
      </c>
      <c r="AX1736" s="3" t="s">
        <v>18094</v>
      </c>
      <c r="AY1736" s="3" t="s">
        <v>18095</v>
      </c>
      <c r="AZ1736" s="3" t="s">
        <v>18096</v>
      </c>
      <c r="BA1736" s="3" t="s">
        <v>18096</v>
      </c>
      <c r="BB1736" s="3" t="s">
        <v>18101</v>
      </c>
      <c r="BC1736" s="3" t="s">
        <v>78</v>
      </c>
      <c r="BD1736" s="3" t="s">
        <v>79</v>
      </c>
      <c r="BE1736" s="3" t="s">
        <v>18098</v>
      </c>
      <c r="BF1736" s="3" t="s">
        <v>18101</v>
      </c>
      <c r="BG1736" s="3" t="s">
        <v>18102</v>
      </c>
    </row>
    <row r="1737" spans="1:59" ht="58" x14ac:dyDescent="0.35">
      <c r="A1737" s="2" t="s">
        <v>59</v>
      </c>
      <c r="B1737" s="2" t="s">
        <v>94</v>
      </c>
      <c r="C1737" s="2" t="s">
        <v>18103</v>
      </c>
      <c r="D1737" s="2" t="s">
        <v>18104</v>
      </c>
      <c r="E1737" s="2" t="s">
        <v>18105</v>
      </c>
      <c r="G1737" s="3" t="s">
        <v>64</v>
      </c>
      <c r="I1737" s="3" t="s">
        <v>64</v>
      </c>
      <c r="J1737" s="3" t="s">
        <v>64</v>
      </c>
      <c r="K1737" s="3" t="s">
        <v>65</v>
      </c>
      <c r="L1737" s="2" t="s">
        <v>18106</v>
      </c>
      <c r="M1737" s="2" t="s">
        <v>18107</v>
      </c>
      <c r="N1737" s="3" t="s">
        <v>1530</v>
      </c>
      <c r="P1737" s="3" t="s">
        <v>69</v>
      </c>
      <c r="Q1737" s="2" t="s">
        <v>18108</v>
      </c>
      <c r="R1737" s="3" t="s">
        <v>16939</v>
      </c>
      <c r="S1737" s="4">
        <v>8</v>
      </c>
      <c r="T1737" s="4">
        <v>8</v>
      </c>
      <c r="U1737" s="5" t="s">
        <v>18109</v>
      </c>
      <c r="V1737" s="5" t="s">
        <v>18109</v>
      </c>
      <c r="W1737" s="5" t="s">
        <v>72</v>
      </c>
      <c r="X1737" s="5" t="s">
        <v>72</v>
      </c>
      <c r="Y1737" s="4">
        <v>236</v>
      </c>
      <c r="Z1737" s="4">
        <v>20</v>
      </c>
      <c r="AA1737" s="4">
        <v>24</v>
      </c>
      <c r="AB1737" s="4">
        <v>1</v>
      </c>
      <c r="AC1737" s="4">
        <v>4</v>
      </c>
      <c r="AD1737" s="4">
        <v>85</v>
      </c>
      <c r="AE1737" s="4">
        <v>89</v>
      </c>
      <c r="AF1737" s="4">
        <v>0</v>
      </c>
      <c r="AG1737" s="4">
        <v>0</v>
      </c>
      <c r="AH1737" s="4">
        <v>75</v>
      </c>
      <c r="AI1737" s="4">
        <v>79</v>
      </c>
      <c r="AJ1737" s="4">
        <v>11</v>
      </c>
      <c r="AK1737" s="4">
        <v>12</v>
      </c>
      <c r="AL1737" s="4">
        <v>41</v>
      </c>
      <c r="AM1737" s="4">
        <v>42</v>
      </c>
      <c r="AN1737" s="4">
        <v>0</v>
      </c>
      <c r="AO1737" s="4">
        <v>0</v>
      </c>
      <c r="AP1737" s="4">
        <v>15</v>
      </c>
      <c r="AQ1737" s="4">
        <v>16</v>
      </c>
      <c r="AR1737" s="3" t="s">
        <v>64</v>
      </c>
      <c r="AS1737" s="3" t="s">
        <v>64</v>
      </c>
      <c r="AT1737" s="3" t="s">
        <v>64</v>
      </c>
      <c r="AV1737" s="6" t="str">
        <f>HYPERLINK("http://mcgill.on.worldcat.org/oclc/49902060","Catalog Record")</f>
        <v>Catalog Record</v>
      </c>
      <c r="AW1737" s="6" t="str">
        <f>HYPERLINK("http://www.worldcat.org/oclc/49902060","WorldCat Record")</f>
        <v>WorldCat Record</v>
      </c>
      <c r="AX1737" s="3" t="s">
        <v>18110</v>
      </c>
      <c r="AY1737" s="3" t="s">
        <v>18111</v>
      </c>
      <c r="AZ1737" s="3" t="s">
        <v>18112</v>
      </c>
      <c r="BA1737" s="3" t="s">
        <v>18112</v>
      </c>
      <c r="BB1737" s="3" t="s">
        <v>18113</v>
      </c>
      <c r="BC1737" s="3" t="s">
        <v>78</v>
      </c>
      <c r="BD1737" s="3" t="s">
        <v>79</v>
      </c>
      <c r="BE1737" s="3" t="s">
        <v>18114</v>
      </c>
      <c r="BF1737" s="3" t="s">
        <v>18113</v>
      </c>
      <c r="BG1737" s="3" t="s">
        <v>18115</v>
      </c>
    </row>
    <row r="1738" spans="1:59" ht="58" x14ac:dyDescent="0.35">
      <c r="A1738" s="2" t="s">
        <v>59</v>
      </c>
      <c r="B1738" s="2" t="s">
        <v>94</v>
      </c>
      <c r="C1738" s="2" t="s">
        <v>18116</v>
      </c>
      <c r="D1738" s="2" t="s">
        <v>18117</v>
      </c>
      <c r="E1738" s="2" t="s">
        <v>18118</v>
      </c>
      <c r="G1738" s="3" t="s">
        <v>64</v>
      </c>
      <c r="I1738" s="3" t="s">
        <v>64</v>
      </c>
      <c r="J1738" s="3" t="s">
        <v>64</v>
      </c>
      <c r="K1738" s="3" t="s">
        <v>65</v>
      </c>
      <c r="L1738" s="2" t="s">
        <v>18119</v>
      </c>
      <c r="M1738" s="2" t="s">
        <v>18120</v>
      </c>
      <c r="N1738" s="3" t="s">
        <v>689</v>
      </c>
      <c r="P1738" s="3" t="s">
        <v>69</v>
      </c>
      <c r="R1738" s="3" t="s">
        <v>16939</v>
      </c>
      <c r="S1738" s="4">
        <v>22</v>
      </c>
      <c r="T1738" s="4">
        <v>22</v>
      </c>
      <c r="U1738" s="5" t="s">
        <v>18121</v>
      </c>
      <c r="V1738" s="5" t="s">
        <v>18121</v>
      </c>
      <c r="W1738" s="5" t="s">
        <v>72</v>
      </c>
      <c r="X1738" s="5" t="s">
        <v>72</v>
      </c>
      <c r="Y1738" s="4">
        <v>550</v>
      </c>
      <c r="Z1738" s="4">
        <v>26</v>
      </c>
      <c r="AA1738" s="4">
        <v>27</v>
      </c>
      <c r="AB1738" s="4">
        <v>1</v>
      </c>
      <c r="AC1738" s="4">
        <v>2</v>
      </c>
      <c r="AD1738" s="4">
        <v>77</v>
      </c>
      <c r="AE1738" s="4">
        <v>77</v>
      </c>
      <c r="AF1738" s="4">
        <v>0</v>
      </c>
      <c r="AG1738" s="4">
        <v>0</v>
      </c>
      <c r="AH1738" s="4">
        <v>72</v>
      </c>
      <c r="AI1738" s="4">
        <v>72</v>
      </c>
      <c r="AJ1738" s="4">
        <v>9</v>
      </c>
      <c r="AK1738" s="4">
        <v>9</v>
      </c>
      <c r="AL1738" s="4">
        <v>40</v>
      </c>
      <c r="AM1738" s="4">
        <v>40</v>
      </c>
      <c r="AN1738" s="4">
        <v>0</v>
      </c>
      <c r="AO1738" s="4">
        <v>0</v>
      </c>
      <c r="AP1738" s="4">
        <v>11</v>
      </c>
      <c r="AQ1738" s="4">
        <v>11</v>
      </c>
      <c r="AR1738" s="3" t="s">
        <v>64</v>
      </c>
      <c r="AS1738" s="3" t="s">
        <v>64</v>
      </c>
      <c r="AT1738" s="3" t="s">
        <v>64</v>
      </c>
      <c r="AV1738" s="6" t="str">
        <f>HYPERLINK("http://mcgill.on.worldcat.org/oclc/23144527","Catalog Record")</f>
        <v>Catalog Record</v>
      </c>
      <c r="AW1738" s="6" t="str">
        <f>HYPERLINK("http://www.worldcat.org/oclc/23144527","WorldCat Record")</f>
        <v>WorldCat Record</v>
      </c>
      <c r="AX1738" s="3" t="s">
        <v>18122</v>
      </c>
      <c r="AY1738" s="3" t="s">
        <v>18123</v>
      </c>
      <c r="AZ1738" s="3" t="s">
        <v>18124</v>
      </c>
      <c r="BA1738" s="3" t="s">
        <v>18124</v>
      </c>
      <c r="BB1738" s="3" t="s">
        <v>18125</v>
      </c>
      <c r="BC1738" s="3" t="s">
        <v>78</v>
      </c>
      <c r="BD1738" s="3" t="s">
        <v>414</v>
      </c>
      <c r="BE1738" s="3" t="s">
        <v>18126</v>
      </c>
      <c r="BF1738" s="3" t="s">
        <v>18125</v>
      </c>
      <c r="BG1738" s="3" t="s">
        <v>18127</v>
      </c>
    </row>
    <row r="1739" spans="1:59" ht="58" x14ac:dyDescent="0.35">
      <c r="A1739" s="2" t="s">
        <v>59</v>
      </c>
      <c r="B1739" s="2" t="s">
        <v>94</v>
      </c>
      <c r="C1739" s="2" t="s">
        <v>18128</v>
      </c>
      <c r="D1739" s="2" t="s">
        <v>18129</v>
      </c>
      <c r="E1739" s="2" t="s">
        <v>18130</v>
      </c>
      <c r="G1739" s="3" t="s">
        <v>64</v>
      </c>
      <c r="I1739" s="3" t="s">
        <v>64</v>
      </c>
      <c r="J1739" s="3" t="s">
        <v>64</v>
      </c>
      <c r="K1739" s="3" t="s">
        <v>65</v>
      </c>
      <c r="M1739" s="2" t="s">
        <v>7094</v>
      </c>
      <c r="N1739" s="3" t="s">
        <v>1029</v>
      </c>
      <c r="P1739" s="3" t="s">
        <v>69</v>
      </c>
      <c r="R1739" s="3" t="s">
        <v>16939</v>
      </c>
      <c r="S1739" s="4">
        <v>2</v>
      </c>
      <c r="T1739" s="4">
        <v>2</v>
      </c>
      <c r="U1739" s="5" t="s">
        <v>18131</v>
      </c>
      <c r="V1739" s="5" t="s">
        <v>18131</v>
      </c>
      <c r="W1739" s="5" t="s">
        <v>72</v>
      </c>
      <c r="X1739" s="5" t="s">
        <v>72</v>
      </c>
      <c r="Y1739" s="4">
        <v>186</v>
      </c>
      <c r="Z1739" s="4">
        <v>13</v>
      </c>
      <c r="AA1739" s="4">
        <v>45</v>
      </c>
      <c r="AB1739" s="4">
        <v>2</v>
      </c>
      <c r="AC1739" s="4">
        <v>8</v>
      </c>
      <c r="AD1739" s="4">
        <v>60</v>
      </c>
      <c r="AE1739" s="4">
        <v>75</v>
      </c>
      <c r="AF1739" s="4">
        <v>0</v>
      </c>
      <c r="AG1739" s="4">
        <v>0</v>
      </c>
      <c r="AH1739" s="4">
        <v>56</v>
      </c>
      <c r="AI1739" s="4">
        <v>68</v>
      </c>
      <c r="AJ1739" s="4">
        <v>6</v>
      </c>
      <c r="AK1739" s="4">
        <v>8</v>
      </c>
      <c r="AL1739" s="4">
        <v>35</v>
      </c>
      <c r="AM1739" s="4">
        <v>38</v>
      </c>
      <c r="AN1739" s="4">
        <v>0</v>
      </c>
      <c r="AO1739" s="4">
        <v>0</v>
      </c>
      <c r="AP1739" s="4">
        <v>6</v>
      </c>
      <c r="AQ1739" s="4">
        <v>11</v>
      </c>
      <c r="AR1739" s="3" t="s">
        <v>64</v>
      </c>
      <c r="AS1739" s="3" t="s">
        <v>64</v>
      </c>
      <c r="AT1739" s="3" t="s">
        <v>64</v>
      </c>
      <c r="AV1739" s="6" t="str">
        <f>HYPERLINK("http://mcgill.on.worldcat.org/oclc/315239201","Catalog Record")</f>
        <v>Catalog Record</v>
      </c>
      <c r="AW1739" s="6" t="str">
        <f>HYPERLINK("http://www.worldcat.org/oclc/315239201","WorldCat Record")</f>
        <v>WorldCat Record</v>
      </c>
      <c r="AX1739" s="3" t="s">
        <v>18132</v>
      </c>
      <c r="AY1739" s="3" t="s">
        <v>18133</v>
      </c>
      <c r="AZ1739" s="3" t="s">
        <v>18134</v>
      </c>
      <c r="BA1739" s="3" t="s">
        <v>18134</v>
      </c>
      <c r="BB1739" s="3" t="s">
        <v>18135</v>
      </c>
      <c r="BC1739" s="3" t="s">
        <v>78</v>
      </c>
      <c r="BD1739" s="3" t="s">
        <v>79</v>
      </c>
      <c r="BE1739" s="3" t="s">
        <v>18136</v>
      </c>
      <c r="BF1739" s="3" t="s">
        <v>18135</v>
      </c>
      <c r="BG1739" s="3" t="s">
        <v>18137</v>
      </c>
    </row>
    <row r="1740" spans="1:59" ht="58" x14ac:dyDescent="0.35">
      <c r="A1740" s="2" t="s">
        <v>59</v>
      </c>
      <c r="B1740" s="2" t="s">
        <v>94</v>
      </c>
      <c r="C1740" s="2" t="s">
        <v>18138</v>
      </c>
      <c r="D1740" s="2" t="s">
        <v>18139</v>
      </c>
      <c r="E1740" s="2" t="s">
        <v>18140</v>
      </c>
      <c r="G1740" s="3" t="s">
        <v>64</v>
      </c>
      <c r="I1740" s="3" t="s">
        <v>64</v>
      </c>
      <c r="J1740" s="3" t="s">
        <v>64</v>
      </c>
      <c r="K1740" s="3" t="s">
        <v>65</v>
      </c>
      <c r="L1740" s="2" t="s">
        <v>18141</v>
      </c>
      <c r="M1740" s="2" t="s">
        <v>18142</v>
      </c>
      <c r="N1740" s="3" t="s">
        <v>1064</v>
      </c>
      <c r="O1740" s="2" t="s">
        <v>1294</v>
      </c>
      <c r="P1740" s="3" t="s">
        <v>69</v>
      </c>
      <c r="R1740" s="3" t="s">
        <v>16939</v>
      </c>
      <c r="S1740" s="4">
        <v>13</v>
      </c>
      <c r="T1740" s="4">
        <v>13</v>
      </c>
      <c r="U1740" s="5" t="s">
        <v>512</v>
      </c>
      <c r="V1740" s="5" t="s">
        <v>512</v>
      </c>
      <c r="W1740" s="5" t="s">
        <v>72</v>
      </c>
      <c r="X1740" s="5" t="s">
        <v>72</v>
      </c>
      <c r="Y1740" s="4">
        <v>1194</v>
      </c>
      <c r="Z1740" s="4">
        <v>30</v>
      </c>
      <c r="AA1740" s="4">
        <v>34</v>
      </c>
      <c r="AB1740" s="4">
        <v>1</v>
      </c>
      <c r="AC1740" s="4">
        <v>2</v>
      </c>
      <c r="AD1740" s="4">
        <v>115</v>
      </c>
      <c r="AE1740" s="4">
        <v>120</v>
      </c>
      <c r="AF1740" s="4">
        <v>0</v>
      </c>
      <c r="AG1740" s="4">
        <v>1</v>
      </c>
      <c r="AH1740" s="4">
        <v>101</v>
      </c>
      <c r="AI1740" s="4">
        <v>103</v>
      </c>
      <c r="AJ1740" s="4">
        <v>11</v>
      </c>
      <c r="AK1740" s="4">
        <v>13</v>
      </c>
      <c r="AL1740" s="4">
        <v>57</v>
      </c>
      <c r="AM1740" s="4">
        <v>57</v>
      </c>
      <c r="AN1740" s="4">
        <v>0</v>
      </c>
      <c r="AO1740" s="4">
        <v>0</v>
      </c>
      <c r="AP1740" s="4">
        <v>17</v>
      </c>
      <c r="AQ1740" s="4">
        <v>20</v>
      </c>
      <c r="AR1740" s="3" t="s">
        <v>64</v>
      </c>
      <c r="AS1740" s="3" t="s">
        <v>64</v>
      </c>
      <c r="AT1740" s="3" t="s">
        <v>73</v>
      </c>
      <c r="AU1740" s="6" t="str">
        <f>HYPERLINK("http://catalog.hathitrust.org/Record/004012491","HathiTrust Record")</f>
        <v>HathiTrust Record</v>
      </c>
      <c r="AV1740" s="6" t="str">
        <f>HYPERLINK("http://mcgill.on.worldcat.org/oclc/39051089","Catalog Record")</f>
        <v>Catalog Record</v>
      </c>
      <c r="AW1740" s="6" t="str">
        <f>HYPERLINK("http://www.worldcat.org/oclc/39051089","WorldCat Record")</f>
        <v>WorldCat Record</v>
      </c>
      <c r="AX1740" s="3" t="s">
        <v>18143</v>
      </c>
      <c r="AY1740" s="3" t="s">
        <v>18144</v>
      </c>
      <c r="AZ1740" s="3" t="s">
        <v>18145</v>
      </c>
      <c r="BA1740" s="3" t="s">
        <v>18145</v>
      </c>
      <c r="BB1740" s="3" t="s">
        <v>18146</v>
      </c>
      <c r="BC1740" s="3" t="s">
        <v>78</v>
      </c>
      <c r="BD1740" s="3" t="s">
        <v>79</v>
      </c>
      <c r="BE1740" s="3" t="s">
        <v>18147</v>
      </c>
      <c r="BF1740" s="3" t="s">
        <v>18146</v>
      </c>
      <c r="BG1740" s="3" t="s">
        <v>18148</v>
      </c>
    </row>
    <row r="1741" spans="1:59" ht="58" x14ac:dyDescent="0.35">
      <c r="A1741" s="2" t="s">
        <v>59</v>
      </c>
      <c r="B1741" s="2" t="s">
        <v>94</v>
      </c>
      <c r="C1741" s="2" t="s">
        <v>18149</v>
      </c>
      <c r="D1741" s="2" t="s">
        <v>18150</v>
      </c>
      <c r="E1741" s="2" t="s">
        <v>18151</v>
      </c>
      <c r="G1741" s="3" t="s">
        <v>64</v>
      </c>
      <c r="I1741" s="3" t="s">
        <v>64</v>
      </c>
      <c r="J1741" s="3" t="s">
        <v>64</v>
      </c>
      <c r="K1741" s="3" t="s">
        <v>65</v>
      </c>
      <c r="L1741" s="2" t="s">
        <v>17456</v>
      </c>
      <c r="M1741" s="2" t="s">
        <v>18152</v>
      </c>
      <c r="N1741" s="3" t="s">
        <v>315</v>
      </c>
      <c r="P1741" s="3" t="s">
        <v>69</v>
      </c>
      <c r="R1741" s="3" t="s">
        <v>16939</v>
      </c>
      <c r="S1741" s="4">
        <v>7</v>
      </c>
      <c r="T1741" s="4">
        <v>7</v>
      </c>
      <c r="U1741" s="5" t="s">
        <v>9925</v>
      </c>
      <c r="V1741" s="5" t="s">
        <v>9925</v>
      </c>
      <c r="W1741" s="5" t="s">
        <v>72</v>
      </c>
      <c r="X1741" s="5" t="s">
        <v>72</v>
      </c>
      <c r="Y1741" s="4">
        <v>163</v>
      </c>
      <c r="Z1741" s="4">
        <v>25</v>
      </c>
      <c r="AA1741" s="4">
        <v>27</v>
      </c>
      <c r="AB1741" s="4">
        <v>2</v>
      </c>
      <c r="AC1741" s="4">
        <v>2</v>
      </c>
      <c r="AD1741" s="4">
        <v>52</v>
      </c>
      <c r="AE1741" s="4">
        <v>54</v>
      </c>
      <c r="AF1741" s="4">
        <v>0</v>
      </c>
      <c r="AG1741" s="4">
        <v>0</v>
      </c>
      <c r="AH1741" s="4">
        <v>44</v>
      </c>
      <c r="AI1741" s="4">
        <v>45</v>
      </c>
      <c r="AJ1741" s="4">
        <v>12</v>
      </c>
      <c r="AK1741" s="4">
        <v>13</v>
      </c>
      <c r="AL1741" s="4">
        <v>22</v>
      </c>
      <c r="AM1741" s="4">
        <v>22</v>
      </c>
      <c r="AN1741" s="4">
        <v>0</v>
      </c>
      <c r="AO1741" s="4">
        <v>0</v>
      </c>
      <c r="AP1741" s="4">
        <v>14</v>
      </c>
      <c r="AQ1741" s="4">
        <v>16</v>
      </c>
      <c r="AR1741" s="3" t="s">
        <v>64</v>
      </c>
      <c r="AS1741" s="3" t="s">
        <v>64</v>
      </c>
      <c r="AT1741" s="3" t="s">
        <v>64</v>
      </c>
      <c r="AV1741" s="6" t="str">
        <f>HYPERLINK("http://mcgill.on.worldcat.org/oclc/24429930","Catalog Record")</f>
        <v>Catalog Record</v>
      </c>
      <c r="AW1741" s="6" t="str">
        <f>HYPERLINK("http://www.worldcat.org/oclc/24429930","WorldCat Record")</f>
        <v>WorldCat Record</v>
      </c>
      <c r="AX1741" s="3" t="s">
        <v>18153</v>
      </c>
      <c r="AY1741" s="3" t="s">
        <v>18154</v>
      </c>
      <c r="AZ1741" s="3" t="s">
        <v>18155</v>
      </c>
      <c r="BA1741" s="3" t="s">
        <v>18155</v>
      </c>
      <c r="BB1741" s="3" t="s">
        <v>18156</v>
      </c>
      <c r="BC1741" s="3" t="s">
        <v>78</v>
      </c>
      <c r="BD1741" s="3" t="s">
        <v>79</v>
      </c>
      <c r="BE1741" s="3" t="s">
        <v>18157</v>
      </c>
      <c r="BF1741" s="3" t="s">
        <v>18156</v>
      </c>
      <c r="BG1741" s="3" t="s">
        <v>18158</v>
      </c>
    </row>
    <row r="1742" spans="1:59" ht="58" x14ac:dyDescent="0.35">
      <c r="A1742" s="2" t="s">
        <v>59</v>
      </c>
      <c r="B1742" s="2" t="s">
        <v>94</v>
      </c>
      <c r="C1742" s="2" t="s">
        <v>18159</v>
      </c>
      <c r="D1742" s="2" t="s">
        <v>18160</v>
      </c>
      <c r="E1742" s="2" t="s">
        <v>18161</v>
      </c>
      <c r="G1742" s="3" t="s">
        <v>64</v>
      </c>
      <c r="I1742" s="3" t="s">
        <v>64</v>
      </c>
      <c r="J1742" s="3" t="s">
        <v>64</v>
      </c>
      <c r="K1742" s="3" t="s">
        <v>65</v>
      </c>
      <c r="L1742" s="2" t="s">
        <v>18162</v>
      </c>
      <c r="M1742" s="2" t="s">
        <v>18163</v>
      </c>
      <c r="N1742" s="3" t="s">
        <v>1029</v>
      </c>
      <c r="P1742" s="3" t="s">
        <v>69</v>
      </c>
      <c r="R1742" s="3" t="s">
        <v>16939</v>
      </c>
      <c r="S1742" s="4">
        <v>5</v>
      </c>
      <c r="T1742" s="4">
        <v>5</v>
      </c>
      <c r="U1742" s="5" t="s">
        <v>18164</v>
      </c>
      <c r="V1742" s="5" t="s">
        <v>18164</v>
      </c>
      <c r="W1742" s="5" t="s">
        <v>72</v>
      </c>
      <c r="X1742" s="5" t="s">
        <v>72</v>
      </c>
      <c r="Y1742" s="4">
        <v>111</v>
      </c>
      <c r="Z1742" s="4">
        <v>11</v>
      </c>
      <c r="AA1742" s="4">
        <v>16</v>
      </c>
      <c r="AB1742" s="4">
        <v>2</v>
      </c>
      <c r="AC1742" s="4">
        <v>4</v>
      </c>
      <c r="AD1742" s="4">
        <v>24</v>
      </c>
      <c r="AE1742" s="4">
        <v>62</v>
      </c>
      <c r="AF1742" s="4">
        <v>0</v>
      </c>
      <c r="AG1742" s="4">
        <v>0</v>
      </c>
      <c r="AH1742" s="4">
        <v>22</v>
      </c>
      <c r="AI1742" s="4">
        <v>59</v>
      </c>
      <c r="AJ1742" s="4">
        <v>3</v>
      </c>
      <c r="AK1742" s="4">
        <v>6</v>
      </c>
      <c r="AL1742" s="4">
        <v>16</v>
      </c>
      <c r="AM1742" s="4">
        <v>34</v>
      </c>
      <c r="AN1742" s="4">
        <v>0</v>
      </c>
      <c r="AO1742" s="4">
        <v>5</v>
      </c>
      <c r="AP1742" s="4">
        <v>3</v>
      </c>
      <c r="AQ1742" s="4">
        <v>6</v>
      </c>
      <c r="AR1742" s="3" t="s">
        <v>64</v>
      </c>
      <c r="AS1742" s="3" t="s">
        <v>64</v>
      </c>
      <c r="AT1742" s="3" t="s">
        <v>64</v>
      </c>
      <c r="AV1742" s="6" t="str">
        <f>HYPERLINK("http://mcgill.on.worldcat.org/oclc/426794426","Catalog Record")</f>
        <v>Catalog Record</v>
      </c>
      <c r="AW1742" s="6" t="str">
        <f>HYPERLINK("http://www.worldcat.org/oclc/426794426","WorldCat Record")</f>
        <v>WorldCat Record</v>
      </c>
      <c r="AX1742" s="3" t="s">
        <v>18165</v>
      </c>
      <c r="AY1742" s="3" t="s">
        <v>18166</v>
      </c>
      <c r="AZ1742" s="3" t="s">
        <v>18167</v>
      </c>
      <c r="BA1742" s="3" t="s">
        <v>18167</v>
      </c>
      <c r="BB1742" s="3" t="s">
        <v>18168</v>
      </c>
      <c r="BC1742" s="3" t="s">
        <v>78</v>
      </c>
      <c r="BD1742" s="3" t="s">
        <v>414</v>
      </c>
      <c r="BE1742" s="3" t="s">
        <v>18169</v>
      </c>
      <c r="BF1742" s="3" t="s">
        <v>18168</v>
      </c>
      <c r="BG1742" s="3" t="s">
        <v>18170</v>
      </c>
    </row>
    <row r="1743" spans="1:59" ht="58" x14ac:dyDescent="0.35">
      <c r="A1743" s="2" t="s">
        <v>59</v>
      </c>
      <c r="B1743" s="2" t="s">
        <v>94</v>
      </c>
      <c r="C1743" s="2" t="s">
        <v>18171</v>
      </c>
      <c r="D1743" s="2" t="s">
        <v>18172</v>
      </c>
      <c r="E1743" s="2" t="s">
        <v>18173</v>
      </c>
      <c r="G1743" s="3" t="s">
        <v>64</v>
      </c>
      <c r="I1743" s="3" t="s">
        <v>64</v>
      </c>
      <c r="J1743" s="3" t="s">
        <v>64</v>
      </c>
      <c r="K1743" s="3" t="s">
        <v>65</v>
      </c>
      <c r="L1743" s="2" t="s">
        <v>18174</v>
      </c>
      <c r="M1743" s="2" t="s">
        <v>18175</v>
      </c>
      <c r="N1743" s="3" t="s">
        <v>1813</v>
      </c>
      <c r="P1743" s="3" t="s">
        <v>69</v>
      </c>
      <c r="R1743" s="3" t="s">
        <v>16939</v>
      </c>
      <c r="S1743" s="4">
        <v>2</v>
      </c>
      <c r="T1743" s="4">
        <v>2</v>
      </c>
      <c r="U1743" s="5" t="s">
        <v>18176</v>
      </c>
      <c r="V1743" s="5" t="s">
        <v>18176</v>
      </c>
      <c r="W1743" s="5" t="s">
        <v>72</v>
      </c>
      <c r="X1743" s="5" t="s">
        <v>72</v>
      </c>
      <c r="Y1743" s="4">
        <v>105</v>
      </c>
      <c r="Z1743" s="4">
        <v>8</v>
      </c>
      <c r="AA1743" s="4">
        <v>11</v>
      </c>
      <c r="AB1743" s="4">
        <v>1</v>
      </c>
      <c r="AC1743" s="4">
        <v>3</v>
      </c>
      <c r="AD1743" s="4">
        <v>24</v>
      </c>
      <c r="AE1743" s="4">
        <v>26</v>
      </c>
      <c r="AF1743" s="4">
        <v>0</v>
      </c>
      <c r="AG1743" s="4">
        <v>0</v>
      </c>
      <c r="AH1743" s="4">
        <v>22</v>
      </c>
      <c r="AI1743" s="4">
        <v>23</v>
      </c>
      <c r="AJ1743" s="4">
        <v>3</v>
      </c>
      <c r="AK1743" s="4">
        <v>4</v>
      </c>
      <c r="AL1743" s="4">
        <v>17</v>
      </c>
      <c r="AM1743" s="4">
        <v>18</v>
      </c>
      <c r="AN1743" s="4">
        <v>0</v>
      </c>
      <c r="AO1743" s="4">
        <v>0</v>
      </c>
      <c r="AP1743" s="4">
        <v>3</v>
      </c>
      <c r="AQ1743" s="4">
        <v>4</v>
      </c>
      <c r="AR1743" s="3" t="s">
        <v>64</v>
      </c>
      <c r="AS1743" s="3" t="s">
        <v>64</v>
      </c>
      <c r="AT1743" s="3" t="s">
        <v>64</v>
      </c>
      <c r="AV1743" s="6" t="str">
        <f>HYPERLINK("http://mcgill.on.worldcat.org/oclc/923553744","Catalog Record")</f>
        <v>Catalog Record</v>
      </c>
      <c r="AW1743" s="6" t="str">
        <f>HYPERLINK("http://www.worldcat.org/oclc/923553744","WorldCat Record")</f>
        <v>WorldCat Record</v>
      </c>
      <c r="AX1743" s="3" t="s">
        <v>18177</v>
      </c>
      <c r="AY1743" s="3" t="s">
        <v>18178</v>
      </c>
      <c r="AZ1743" s="3" t="s">
        <v>18179</v>
      </c>
      <c r="BA1743" s="3" t="s">
        <v>18179</v>
      </c>
      <c r="BB1743" s="3" t="s">
        <v>18180</v>
      </c>
      <c r="BC1743" s="3" t="s">
        <v>78</v>
      </c>
      <c r="BD1743" s="3" t="s">
        <v>79</v>
      </c>
      <c r="BE1743" s="3" t="s">
        <v>18181</v>
      </c>
      <c r="BF1743" s="3" t="s">
        <v>18180</v>
      </c>
      <c r="BG1743" s="3" t="s">
        <v>18182</v>
      </c>
    </row>
    <row r="1744" spans="1:59" ht="58" x14ac:dyDescent="0.35">
      <c r="A1744" s="2" t="s">
        <v>59</v>
      </c>
      <c r="B1744" s="2" t="s">
        <v>94</v>
      </c>
      <c r="C1744" s="2" t="s">
        <v>18183</v>
      </c>
      <c r="D1744" s="2" t="s">
        <v>18184</v>
      </c>
      <c r="E1744" s="2" t="s">
        <v>18185</v>
      </c>
      <c r="G1744" s="3" t="s">
        <v>64</v>
      </c>
      <c r="I1744" s="3" t="s">
        <v>64</v>
      </c>
      <c r="J1744" s="3" t="s">
        <v>64</v>
      </c>
      <c r="K1744" s="3" t="s">
        <v>65</v>
      </c>
      <c r="L1744" s="2" t="s">
        <v>18186</v>
      </c>
      <c r="M1744" s="2" t="s">
        <v>18187</v>
      </c>
      <c r="N1744" s="3" t="s">
        <v>1813</v>
      </c>
      <c r="P1744" s="3" t="s">
        <v>69</v>
      </c>
      <c r="R1744" s="3" t="s">
        <v>16939</v>
      </c>
      <c r="S1744" s="4">
        <v>5</v>
      </c>
      <c r="T1744" s="4">
        <v>5</v>
      </c>
      <c r="U1744" s="5" t="s">
        <v>10195</v>
      </c>
      <c r="V1744" s="5" t="s">
        <v>10195</v>
      </c>
      <c r="W1744" s="5" t="s">
        <v>72</v>
      </c>
      <c r="X1744" s="5" t="s">
        <v>72</v>
      </c>
      <c r="Y1744" s="4">
        <v>75</v>
      </c>
      <c r="Z1744" s="4">
        <v>1</v>
      </c>
      <c r="AA1744" s="4">
        <v>10</v>
      </c>
      <c r="AB1744" s="4">
        <v>1</v>
      </c>
      <c r="AC1744" s="4">
        <v>2</v>
      </c>
      <c r="AD1744" s="4">
        <v>1</v>
      </c>
      <c r="AE1744" s="4">
        <v>24</v>
      </c>
      <c r="AF1744" s="4">
        <v>0</v>
      </c>
      <c r="AG1744" s="4">
        <v>0</v>
      </c>
      <c r="AH1744" s="4">
        <v>1</v>
      </c>
      <c r="AI1744" s="4">
        <v>23</v>
      </c>
      <c r="AJ1744" s="4">
        <v>0</v>
      </c>
      <c r="AK1744" s="4">
        <v>3</v>
      </c>
      <c r="AL1744" s="4">
        <v>1</v>
      </c>
      <c r="AM1744" s="4">
        <v>17</v>
      </c>
      <c r="AN1744" s="4">
        <v>0</v>
      </c>
      <c r="AO1744" s="4">
        <v>0</v>
      </c>
      <c r="AP1744" s="4">
        <v>0</v>
      </c>
      <c r="AQ1744" s="4">
        <v>3</v>
      </c>
      <c r="AR1744" s="3" t="s">
        <v>64</v>
      </c>
      <c r="AS1744" s="3" t="s">
        <v>64</v>
      </c>
      <c r="AT1744" s="3" t="s">
        <v>64</v>
      </c>
      <c r="AV1744" s="6" t="str">
        <f>HYPERLINK("http://mcgill.on.worldcat.org/oclc/956553206","Catalog Record")</f>
        <v>Catalog Record</v>
      </c>
      <c r="AW1744" s="6" t="str">
        <f>HYPERLINK("http://www.worldcat.org/oclc/956553206","WorldCat Record")</f>
        <v>WorldCat Record</v>
      </c>
      <c r="AX1744" s="3" t="s">
        <v>18188</v>
      </c>
      <c r="AY1744" s="3" t="s">
        <v>18189</v>
      </c>
      <c r="AZ1744" s="3" t="s">
        <v>18190</v>
      </c>
      <c r="BA1744" s="3" t="s">
        <v>18190</v>
      </c>
      <c r="BB1744" s="3" t="s">
        <v>18191</v>
      </c>
      <c r="BC1744" s="3" t="s">
        <v>78</v>
      </c>
      <c r="BD1744" s="3" t="s">
        <v>79</v>
      </c>
      <c r="BE1744" s="3" t="s">
        <v>18192</v>
      </c>
      <c r="BF1744" s="3" t="s">
        <v>18191</v>
      </c>
      <c r="BG1744" s="3" t="s">
        <v>18193</v>
      </c>
    </row>
    <row r="1745" spans="1:59" ht="58" x14ac:dyDescent="0.35">
      <c r="A1745" s="2" t="s">
        <v>59</v>
      </c>
      <c r="B1745" s="2" t="s">
        <v>94</v>
      </c>
      <c r="C1745" s="2" t="s">
        <v>18194</v>
      </c>
      <c r="D1745" s="2" t="s">
        <v>18195</v>
      </c>
      <c r="E1745" s="2" t="s">
        <v>18196</v>
      </c>
      <c r="G1745" s="3" t="s">
        <v>64</v>
      </c>
      <c r="I1745" s="3" t="s">
        <v>64</v>
      </c>
      <c r="J1745" s="3" t="s">
        <v>64</v>
      </c>
      <c r="K1745" s="3" t="s">
        <v>65</v>
      </c>
      <c r="L1745" s="2" t="s">
        <v>18197</v>
      </c>
      <c r="M1745" s="2" t="s">
        <v>18198</v>
      </c>
      <c r="N1745" s="3" t="s">
        <v>315</v>
      </c>
      <c r="P1745" s="3" t="s">
        <v>69</v>
      </c>
      <c r="R1745" s="3" t="s">
        <v>16939</v>
      </c>
      <c r="S1745" s="4">
        <v>17</v>
      </c>
      <c r="T1745" s="4">
        <v>17</v>
      </c>
      <c r="U1745" s="5" t="s">
        <v>18010</v>
      </c>
      <c r="V1745" s="5" t="s">
        <v>18010</v>
      </c>
      <c r="W1745" s="5" t="s">
        <v>72</v>
      </c>
      <c r="X1745" s="5" t="s">
        <v>72</v>
      </c>
      <c r="Y1745" s="4">
        <v>162</v>
      </c>
      <c r="Z1745" s="4">
        <v>15</v>
      </c>
      <c r="AA1745" s="4">
        <v>20</v>
      </c>
      <c r="AB1745" s="4">
        <v>3</v>
      </c>
      <c r="AC1745" s="4">
        <v>3</v>
      </c>
      <c r="AD1745" s="4">
        <v>50</v>
      </c>
      <c r="AE1745" s="4">
        <v>87</v>
      </c>
      <c r="AF1745" s="4">
        <v>1</v>
      </c>
      <c r="AG1745" s="4">
        <v>1</v>
      </c>
      <c r="AH1745" s="4">
        <v>48</v>
      </c>
      <c r="AI1745" s="4">
        <v>81</v>
      </c>
      <c r="AJ1745" s="4">
        <v>9</v>
      </c>
      <c r="AK1745" s="4">
        <v>11</v>
      </c>
      <c r="AL1745" s="4">
        <v>27</v>
      </c>
      <c r="AM1745" s="4">
        <v>46</v>
      </c>
      <c r="AN1745" s="4">
        <v>0</v>
      </c>
      <c r="AO1745" s="4">
        <v>0</v>
      </c>
      <c r="AP1745" s="4">
        <v>10</v>
      </c>
      <c r="AQ1745" s="4">
        <v>13</v>
      </c>
      <c r="AR1745" s="3" t="s">
        <v>64</v>
      </c>
      <c r="AS1745" s="3" t="s">
        <v>64</v>
      </c>
      <c r="AT1745" s="3" t="s">
        <v>73</v>
      </c>
      <c r="AU1745" s="6" t="str">
        <f>HYPERLINK("http://catalog.hathitrust.org/Record/000858872","HathiTrust Record")</f>
        <v>HathiTrust Record</v>
      </c>
      <c r="AV1745" s="6" t="str">
        <f>HYPERLINK("http://mcgill.on.worldcat.org/oclc/15195592","Catalog Record")</f>
        <v>Catalog Record</v>
      </c>
      <c r="AW1745" s="6" t="str">
        <f>HYPERLINK("http://www.worldcat.org/oclc/15195592","WorldCat Record")</f>
        <v>WorldCat Record</v>
      </c>
      <c r="AX1745" s="3" t="s">
        <v>18199</v>
      </c>
      <c r="AY1745" s="3" t="s">
        <v>18200</v>
      </c>
      <c r="AZ1745" s="3" t="s">
        <v>18201</v>
      </c>
      <c r="BA1745" s="3" t="s">
        <v>18201</v>
      </c>
      <c r="BB1745" s="3" t="s">
        <v>18202</v>
      </c>
      <c r="BC1745" s="3" t="s">
        <v>78</v>
      </c>
      <c r="BD1745" s="3" t="s">
        <v>79</v>
      </c>
      <c r="BE1745" s="3" t="s">
        <v>18203</v>
      </c>
      <c r="BF1745" s="3" t="s">
        <v>18202</v>
      </c>
      <c r="BG1745" s="3" t="s">
        <v>18204</v>
      </c>
    </row>
    <row r="1746" spans="1:59" ht="58" x14ac:dyDescent="0.35">
      <c r="A1746" s="2" t="s">
        <v>59</v>
      </c>
      <c r="B1746" s="2" t="s">
        <v>94</v>
      </c>
      <c r="C1746" s="2" t="s">
        <v>18205</v>
      </c>
      <c r="D1746" s="2" t="s">
        <v>18206</v>
      </c>
      <c r="E1746" s="2" t="s">
        <v>18207</v>
      </c>
      <c r="G1746" s="3" t="s">
        <v>64</v>
      </c>
      <c r="I1746" s="3" t="s">
        <v>64</v>
      </c>
      <c r="J1746" s="3" t="s">
        <v>64</v>
      </c>
      <c r="K1746" s="3" t="s">
        <v>65</v>
      </c>
      <c r="L1746" s="2" t="s">
        <v>18208</v>
      </c>
      <c r="M1746" s="2" t="s">
        <v>18209</v>
      </c>
      <c r="N1746" s="3" t="s">
        <v>377</v>
      </c>
      <c r="P1746" s="3" t="s">
        <v>69</v>
      </c>
      <c r="R1746" s="3" t="s">
        <v>16939</v>
      </c>
      <c r="S1746" s="4">
        <v>2</v>
      </c>
      <c r="T1746" s="4">
        <v>2</v>
      </c>
      <c r="U1746" s="5" t="s">
        <v>18210</v>
      </c>
      <c r="V1746" s="5" t="s">
        <v>18210</v>
      </c>
      <c r="W1746" s="5" t="s">
        <v>72</v>
      </c>
      <c r="X1746" s="5" t="s">
        <v>72</v>
      </c>
      <c r="Y1746" s="4">
        <v>85</v>
      </c>
      <c r="Z1746" s="4">
        <v>11</v>
      </c>
      <c r="AA1746" s="4">
        <v>11</v>
      </c>
      <c r="AB1746" s="4">
        <v>1</v>
      </c>
      <c r="AC1746" s="4">
        <v>1</v>
      </c>
      <c r="AD1746" s="4">
        <v>44</v>
      </c>
      <c r="AE1746" s="4">
        <v>44</v>
      </c>
      <c r="AF1746" s="4">
        <v>0</v>
      </c>
      <c r="AG1746" s="4">
        <v>0</v>
      </c>
      <c r="AH1746" s="4">
        <v>40</v>
      </c>
      <c r="AI1746" s="4">
        <v>40</v>
      </c>
      <c r="AJ1746" s="4">
        <v>8</v>
      </c>
      <c r="AK1746" s="4">
        <v>8</v>
      </c>
      <c r="AL1746" s="4">
        <v>25</v>
      </c>
      <c r="AM1746" s="4">
        <v>25</v>
      </c>
      <c r="AN1746" s="4">
        <v>0</v>
      </c>
      <c r="AO1746" s="4">
        <v>0</v>
      </c>
      <c r="AP1746" s="4">
        <v>9</v>
      </c>
      <c r="AQ1746" s="4">
        <v>9</v>
      </c>
      <c r="AR1746" s="3" t="s">
        <v>64</v>
      </c>
      <c r="AS1746" s="3" t="s">
        <v>64</v>
      </c>
      <c r="AT1746" s="3" t="s">
        <v>64</v>
      </c>
      <c r="AV1746" s="6" t="str">
        <f>HYPERLINK("http://mcgill.on.worldcat.org/oclc/788275506","Catalog Record")</f>
        <v>Catalog Record</v>
      </c>
      <c r="AW1746" s="6" t="str">
        <f>HYPERLINK("http://www.worldcat.org/oclc/788275506","WorldCat Record")</f>
        <v>WorldCat Record</v>
      </c>
      <c r="AX1746" s="3" t="s">
        <v>18211</v>
      </c>
      <c r="AY1746" s="3" t="s">
        <v>18212</v>
      </c>
      <c r="AZ1746" s="3" t="s">
        <v>18213</v>
      </c>
      <c r="BA1746" s="3" t="s">
        <v>18213</v>
      </c>
      <c r="BB1746" s="3" t="s">
        <v>18214</v>
      </c>
      <c r="BC1746" s="3" t="s">
        <v>78</v>
      </c>
      <c r="BD1746" s="3" t="s">
        <v>79</v>
      </c>
      <c r="BE1746" s="3" t="s">
        <v>18215</v>
      </c>
      <c r="BF1746" s="3" t="s">
        <v>18214</v>
      </c>
      <c r="BG1746" s="3" t="s">
        <v>18216</v>
      </c>
    </row>
    <row r="1747" spans="1:59" ht="58" x14ac:dyDescent="0.35">
      <c r="A1747" s="2" t="s">
        <v>59</v>
      </c>
      <c r="B1747" s="2" t="s">
        <v>94</v>
      </c>
      <c r="C1747" s="2" t="s">
        <v>18217</v>
      </c>
      <c r="D1747" s="2" t="s">
        <v>18218</v>
      </c>
      <c r="E1747" s="2" t="s">
        <v>18219</v>
      </c>
      <c r="G1747" s="3" t="s">
        <v>64</v>
      </c>
      <c r="I1747" s="3" t="s">
        <v>64</v>
      </c>
      <c r="J1747" s="3" t="s">
        <v>64</v>
      </c>
      <c r="K1747" s="3" t="s">
        <v>65</v>
      </c>
      <c r="L1747" s="2" t="s">
        <v>18220</v>
      </c>
      <c r="M1747" s="2" t="s">
        <v>18221</v>
      </c>
      <c r="N1747" s="3" t="s">
        <v>524</v>
      </c>
      <c r="P1747" s="3" t="s">
        <v>69</v>
      </c>
      <c r="R1747" s="3" t="s">
        <v>16939</v>
      </c>
      <c r="S1747" s="4">
        <v>0</v>
      </c>
      <c r="T1747" s="4">
        <v>0</v>
      </c>
      <c r="W1747" s="5" t="s">
        <v>72</v>
      </c>
      <c r="X1747" s="5" t="s">
        <v>72</v>
      </c>
      <c r="Y1747" s="4">
        <v>142</v>
      </c>
      <c r="Z1747" s="4">
        <v>5</v>
      </c>
      <c r="AA1747" s="4">
        <v>7</v>
      </c>
      <c r="AB1747" s="4">
        <v>2</v>
      </c>
      <c r="AC1747" s="4">
        <v>3</v>
      </c>
      <c r="AD1747" s="4">
        <v>15</v>
      </c>
      <c r="AE1747" s="4">
        <v>15</v>
      </c>
      <c r="AF1747" s="4">
        <v>1</v>
      </c>
      <c r="AG1747" s="4">
        <v>1</v>
      </c>
      <c r="AH1747" s="4">
        <v>12</v>
      </c>
      <c r="AI1747" s="4">
        <v>12</v>
      </c>
      <c r="AJ1747" s="4">
        <v>2</v>
      </c>
      <c r="AK1747" s="4">
        <v>2</v>
      </c>
      <c r="AL1747" s="4">
        <v>11</v>
      </c>
      <c r="AM1747" s="4">
        <v>11</v>
      </c>
      <c r="AN1747" s="4">
        <v>0</v>
      </c>
      <c r="AO1747" s="4">
        <v>0</v>
      </c>
      <c r="AP1747" s="4">
        <v>3</v>
      </c>
      <c r="AQ1747" s="4">
        <v>3</v>
      </c>
      <c r="AR1747" s="3" t="s">
        <v>64</v>
      </c>
      <c r="AS1747" s="3" t="s">
        <v>64</v>
      </c>
      <c r="AT1747" s="3" t="s">
        <v>64</v>
      </c>
      <c r="AV1747" s="6" t="str">
        <f>HYPERLINK("http://mcgill.on.worldcat.org/oclc/824183213","Catalog Record")</f>
        <v>Catalog Record</v>
      </c>
      <c r="AW1747" s="6" t="str">
        <f>HYPERLINK("http://www.worldcat.org/oclc/824183213","WorldCat Record")</f>
        <v>WorldCat Record</v>
      </c>
      <c r="AX1747" s="3" t="s">
        <v>18222</v>
      </c>
      <c r="AY1747" s="3" t="s">
        <v>18223</v>
      </c>
      <c r="AZ1747" s="3" t="s">
        <v>18224</v>
      </c>
      <c r="BA1747" s="3" t="s">
        <v>18224</v>
      </c>
      <c r="BB1747" s="3" t="s">
        <v>18225</v>
      </c>
      <c r="BC1747" s="3" t="s">
        <v>78</v>
      </c>
      <c r="BD1747" s="3" t="s">
        <v>79</v>
      </c>
      <c r="BE1747" s="3" t="s">
        <v>18226</v>
      </c>
      <c r="BF1747" s="3" t="s">
        <v>18225</v>
      </c>
      <c r="BG1747" s="3" t="s">
        <v>18227</v>
      </c>
    </row>
    <row r="1748" spans="1:59" ht="58" x14ac:dyDescent="0.35">
      <c r="A1748" s="2" t="s">
        <v>59</v>
      </c>
      <c r="B1748" s="2" t="s">
        <v>94</v>
      </c>
      <c r="C1748" s="2" t="s">
        <v>18228</v>
      </c>
      <c r="D1748" s="2" t="s">
        <v>18229</v>
      </c>
      <c r="E1748" s="2" t="s">
        <v>18230</v>
      </c>
      <c r="G1748" s="3" t="s">
        <v>64</v>
      </c>
      <c r="I1748" s="3" t="s">
        <v>64</v>
      </c>
      <c r="J1748" s="3" t="s">
        <v>64</v>
      </c>
      <c r="K1748" s="3" t="s">
        <v>65</v>
      </c>
      <c r="L1748" s="2" t="s">
        <v>18231</v>
      </c>
      <c r="M1748" s="2" t="s">
        <v>18232</v>
      </c>
      <c r="N1748" s="3" t="s">
        <v>651</v>
      </c>
      <c r="P1748" s="3" t="s">
        <v>69</v>
      </c>
      <c r="R1748" s="3" t="s">
        <v>16939</v>
      </c>
      <c r="S1748" s="4">
        <v>3</v>
      </c>
      <c r="T1748" s="4">
        <v>3</v>
      </c>
      <c r="U1748" s="5" t="s">
        <v>2019</v>
      </c>
      <c r="V1748" s="5" t="s">
        <v>2019</v>
      </c>
      <c r="W1748" s="5" t="s">
        <v>72</v>
      </c>
      <c r="X1748" s="5" t="s">
        <v>72</v>
      </c>
      <c r="Y1748" s="4">
        <v>226</v>
      </c>
      <c r="Z1748" s="4">
        <v>10</v>
      </c>
      <c r="AA1748" s="4">
        <v>15</v>
      </c>
      <c r="AB1748" s="4">
        <v>2</v>
      </c>
      <c r="AC1748" s="4">
        <v>4</v>
      </c>
      <c r="AD1748" s="4">
        <v>59</v>
      </c>
      <c r="AE1748" s="4">
        <v>71</v>
      </c>
      <c r="AF1748" s="4">
        <v>0</v>
      </c>
      <c r="AG1748" s="4">
        <v>1</v>
      </c>
      <c r="AH1748" s="4">
        <v>54</v>
      </c>
      <c r="AI1748" s="4">
        <v>64</v>
      </c>
      <c r="AJ1748" s="4">
        <v>4</v>
      </c>
      <c r="AK1748" s="4">
        <v>6</v>
      </c>
      <c r="AL1748" s="4">
        <v>32</v>
      </c>
      <c r="AM1748" s="4">
        <v>36</v>
      </c>
      <c r="AN1748" s="4">
        <v>0</v>
      </c>
      <c r="AO1748" s="4">
        <v>0</v>
      </c>
      <c r="AP1748" s="4">
        <v>5</v>
      </c>
      <c r="AQ1748" s="4">
        <v>7</v>
      </c>
      <c r="AR1748" s="3" t="s">
        <v>64</v>
      </c>
      <c r="AS1748" s="3" t="s">
        <v>64</v>
      </c>
      <c r="AT1748" s="3" t="s">
        <v>73</v>
      </c>
      <c r="AU1748" s="6" t="str">
        <f>HYPERLINK("http://catalog.hathitrust.org/Record/004326872","HathiTrust Record")</f>
        <v>HathiTrust Record</v>
      </c>
      <c r="AV1748" s="6" t="str">
        <f>HYPERLINK("http://mcgill.on.worldcat.org/oclc/52144937","Catalog Record")</f>
        <v>Catalog Record</v>
      </c>
      <c r="AW1748" s="6" t="str">
        <f>HYPERLINK("http://www.worldcat.org/oclc/52144937","WorldCat Record")</f>
        <v>WorldCat Record</v>
      </c>
      <c r="AX1748" s="3" t="s">
        <v>18233</v>
      </c>
      <c r="AY1748" s="3" t="s">
        <v>18234</v>
      </c>
      <c r="AZ1748" s="3" t="s">
        <v>18235</v>
      </c>
      <c r="BA1748" s="3" t="s">
        <v>18235</v>
      </c>
      <c r="BB1748" s="3" t="s">
        <v>18236</v>
      </c>
      <c r="BC1748" s="3" t="s">
        <v>78</v>
      </c>
      <c r="BD1748" s="3" t="s">
        <v>79</v>
      </c>
      <c r="BE1748" s="3" t="s">
        <v>18237</v>
      </c>
      <c r="BF1748" s="3" t="s">
        <v>18236</v>
      </c>
      <c r="BG1748" s="3" t="s">
        <v>18238</v>
      </c>
    </row>
    <row r="1749" spans="1:59" ht="58" x14ac:dyDescent="0.35">
      <c r="A1749" s="2" t="s">
        <v>59</v>
      </c>
      <c r="B1749" s="2" t="s">
        <v>94</v>
      </c>
      <c r="C1749" s="2" t="s">
        <v>18239</v>
      </c>
      <c r="D1749" s="2" t="s">
        <v>18240</v>
      </c>
      <c r="E1749" s="2" t="s">
        <v>18241</v>
      </c>
      <c r="G1749" s="3" t="s">
        <v>64</v>
      </c>
      <c r="I1749" s="3" t="s">
        <v>73</v>
      </c>
      <c r="J1749" s="3" t="s">
        <v>64</v>
      </c>
      <c r="K1749" s="3" t="s">
        <v>65</v>
      </c>
      <c r="L1749" s="2" t="s">
        <v>18242</v>
      </c>
      <c r="M1749" s="2" t="s">
        <v>18243</v>
      </c>
      <c r="N1749" s="3" t="s">
        <v>1267</v>
      </c>
      <c r="P1749" s="3" t="s">
        <v>69</v>
      </c>
      <c r="R1749" s="3" t="s">
        <v>16939</v>
      </c>
      <c r="S1749" s="4">
        <v>5</v>
      </c>
      <c r="T1749" s="4">
        <v>17</v>
      </c>
      <c r="U1749" s="5" t="s">
        <v>18244</v>
      </c>
      <c r="V1749" s="5" t="s">
        <v>1229</v>
      </c>
      <c r="W1749" s="5" t="s">
        <v>72</v>
      </c>
      <c r="X1749" s="5" t="s">
        <v>72</v>
      </c>
      <c r="Y1749" s="4">
        <v>199</v>
      </c>
      <c r="Z1749" s="4">
        <v>27</v>
      </c>
      <c r="AA1749" s="4">
        <v>33</v>
      </c>
      <c r="AB1749" s="4">
        <v>1</v>
      </c>
      <c r="AC1749" s="4">
        <v>2</v>
      </c>
      <c r="AD1749" s="4">
        <v>50</v>
      </c>
      <c r="AE1749" s="4">
        <v>58</v>
      </c>
      <c r="AF1749" s="4">
        <v>0</v>
      </c>
      <c r="AG1749" s="4">
        <v>1</v>
      </c>
      <c r="AH1749" s="4">
        <v>40</v>
      </c>
      <c r="AI1749" s="4">
        <v>45</v>
      </c>
      <c r="AJ1749" s="4">
        <v>14</v>
      </c>
      <c r="AK1749" s="4">
        <v>18</v>
      </c>
      <c r="AL1749" s="4">
        <v>24</v>
      </c>
      <c r="AM1749" s="4">
        <v>27</v>
      </c>
      <c r="AN1749" s="4">
        <v>0</v>
      </c>
      <c r="AO1749" s="4">
        <v>3</v>
      </c>
      <c r="AP1749" s="4">
        <v>15</v>
      </c>
      <c r="AQ1749" s="4">
        <v>18</v>
      </c>
      <c r="AR1749" s="3" t="s">
        <v>64</v>
      </c>
      <c r="AS1749" s="3" t="s">
        <v>64</v>
      </c>
      <c r="AT1749" s="3" t="s">
        <v>64</v>
      </c>
      <c r="AV1749" s="6" t="str">
        <f>HYPERLINK("http://mcgill.on.worldcat.org/oclc/460092","Catalog Record")</f>
        <v>Catalog Record</v>
      </c>
      <c r="AW1749" s="6" t="str">
        <f>HYPERLINK("http://www.worldcat.org/oclc/460092","WorldCat Record")</f>
        <v>WorldCat Record</v>
      </c>
      <c r="AX1749" s="3" t="s">
        <v>18245</v>
      </c>
      <c r="AY1749" s="3" t="s">
        <v>18246</v>
      </c>
      <c r="AZ1749" s="3" t="s">
        <v>18247</v>
      </c>
      <c r="BA1749" s="3" t="s">
        <v>18247</v>
      </c>
      <c r="BB1749" s="3" t="s">
        <v>18248</v>
      </c>
      <c r="BC1749" s="3" t="s">
        <v>78</v>
      </c>
      <c r="BD1749" s="3" t="s">
        <v>79</v>
      </c>
      <c r="BE1749" s="3" t="s">
        <v>18249</v>
      </c>
      <c r="BF1749" s="3" t="s">
        <v>18248</v>
      </c>
      <c r="BG1749" s="3" t="s">
        <v>18250</v>
      </c>
    </row>
    <row r="1750" spans="1:59" ht="58" x14ac:dyDescent="0.35">
      <c r="A1750" s="2" t="s">
        <v>59</v>
      </c>
      <c r="B1750" s="2" t="s">
        <v>94</v>
      </c>
      <c r="C1750" s="2" t="s">
        <v>18239</v>
      </c>
      <c r="D1750" s="2" t="s">
        <v>18240</v>
      </c>
      <c r="E1750" s="2" t="s">
        <v>18241</v>
      </c>
      <c r="G1750" s="3" t="s">
        <v>64</v>
      </c>
      <c r="I1750" s="3" t="s">
        <v>73</v>
      </c>
      <c r="J1750" s="3" t="s">
        <v>64</v>
      </c>
      <c r="K1750" s="3" t="s">
        <v>65</v>
      </c>
      <c r="L1750" s="2" t="s">
        <v>18242</v>
      </c>
      <c r="M1750" s="2" t="s">
        <v>18243</v>
      </c>
      <c r="N1750" s="3" t="s">
        <v>1267</v>
      </c>
      <c r="P1750" s="3" t="s">
        <v>69</v>
      </c>
      <c r="R1750" s="3" t="s">
        <v>16939</v>
      </c>
      <c r="S1750" s="4">
        <v>12</v>
      </c>
      <c r="T1750" s="4">
        <v>17</v>
      </c>
      <c r="U1750" s="5" t="s">
        <v>1229</v>
      </c>
      <c r="V1750" s="5" t="s">
        <v>1229</v>
      </c>
      <c r="W1750" s="5" t="s">
        <v>72</v>
      </c>
      <c r="X1750" s="5" t="s">
        <v>72</v>
      </c>
      <c r="Y1750" s="4">
        <v>199</v>
      </c>
      <c r="Z1750" s="4">
        <v>27</v>
      </c>
      <c r="AA1750" s="4">
        <v>33</v>
      </c>
      <c r="AB1750" s="4">
        <v>1</v>
      </c>
      <c r="AC1750" s="4">
        <v>2</v>
      </c>
      <c r="AD1750" s="4">
        <v>50</v>
      </c>
      <c r="AE1750" s="4">
        <v>58</v>
      </c>
      <c r="AF1750" s="4">
        <v>0</v>
      </c>
      <c r="AG1750" s="4">
        <v>1</v>
      </c>
      <c r="AH1750" s="4">
        <v>40</v>
      </c>
      <c r="AI1750" s="4">
        <v>45</v>
      </c>
      <c r="AJ1750" s="4">
        <v>14</v>
      </c>
      <c r="AK1750" s="4">
        <v>18</v>
      </c>
      <c r="AL1750" s="4">
        <v>24</v>
      </c>
      <c r="AM1750" s="4">
        <v>27</v>
      </c>
      <c r="AN1750" s="4">
        <v>0</v>
      </c>
      <c r="AO1750" s="4">
        <v>3</v>
      </c>
      <c r="AP1750" s="4">
        <v>15</v>
      </c>
      <c r="AQ1750" s="4">
        <v>18</v>
      </c>
      <c r="AR1750" s="3" t="s">
        <v>64</v>
      </c>
      <c r="AS1750" s="3" t="s">
        <v>64</v>
      </c>
      <c r="AT1750" s="3" t="s">
        <v>64</v>
      </c>
      <c r="AV1750" s="6" t="str">
        <f>HYPERLINK("http://mcgill.on.worldcat.org/oclc/460092","Catalog Record")</f>
        <v>Catalog Record</v>
      </c>
      <c r="AW1750" s="6" t="str">
        <f>HYPERLINK("http://www.worldcat.org/oclc/460092","WorldCat Record")</f>
        <v>WorldCat Record</v>
      </c>
      <c r="AX1750" s="3" t="s">
        <v>18245</v>
      </c>
      <c r="AY1750" s="3" t="s">
        <v>18246</v>
      </c>
      <c r="AZ1750" s="3" t="s">
        <v>18247</v>
      </c>
      <c r="BA1750" s="3" t="s">
        <v>18247</v>
      </c>
      <c r="BB1750" s="3" t="s">
        <v>18251</v>
      </c>
      <c r="BC1750" s="3" t="s">
        <v>78</v>
      </c>
      <c r="BD1750" s="3" t="s">
        <v>79</v>
      </c>
      <c r="BE1750" s="3" t="s">
        <v>18249</v>
      </c>
      <c r="BF1750" s="3" t="s">
        <v>18251</v>
      </c>
      <c r="BG1750" s="3" t="s">
        <v>18252</v>
      </c>
    </row>
    <row r="1751" spans="1:59" ht="58" x14ac:dyDescent="0.35">
      <c r="A1751" s="2" t="s">
        <v>59</v>
      </c>
      <c r="B1751" s="2" t="s">
        <v>94</v>
      </c>
      <c r="C1751" s="2" t="s">
        <v>18253</v>
      </c>
      <c r="D1751" s="2" t="s">
        <v>18254</v>
      </c>
      <c r="E1751" s="2" t="s">
        <v>18255</v>
      </c>
      <c r="G1751" s="3" t="s">
        <v>64</v>
      </c>
      <c r="I1751" s="3" t="s">
        <v>64</v>
      </c>
      <c r="J1751" s="3" t="s">
        <v>64</v>
      </c>
      <c r="K1751" s="3" t="s">
        <v>65</v>
      </c>
      <c r="L1751" s="2" t="s">
        <v>18256</v>
      </c>
      <c r="M1751" s="2" t="s">
        <v>18257</v>
      </c>
      <c r="N1751" s="3" t="s">
        <v>1154</v>
      </c>
      <c r="O1751" s="2" t="s">
        <v>677</v>
      </c>
      <c r="P1751" s="3" t="s">
        <v>69</v>
      </c>
      <c r="R1751" s="3" t="s">
        <v>16939</v>
      </c>
      <c r="S1751" s="4">
        <v>8</v>
      </c>
      <c r="T1751" s="4">
        <v>8</v>
      </c>
      <c r="U1751" s="5" t="s">
        <v>18258</v>
      </c>
      <c r="V1751" s="5" t="s">
        <v>18258</v>
      </c>
      <c r="W1751" s="5" t="s">
        <v>72</v>
      </c>
      <c r="X1751" s="5" t="s">
        <v>72</v>
      </c>
      <c r="Y1751" s="4">
        <v>440</v>
      </c>
      <c r="Z1751" s="4">
        <v>24</v>
      </c>
      <c r="AA1751" s="4">
        <v>29</v>
      </c>
      <c r="AB1751" s="4">
        <v>1</v>
      </c>
      <c r="AC1751" s="4">
        <v>2</v>
      </c>
      <c r="AD1751" s="4">
        <v>76</v>
      </c>
      <c r="AE1751" s="4">
        <v>81</v>
      </c>
      <c r="AF1751" s="4">
        <v>0</v>
      </c>
      <c r="AG1751" s="4">
        <v>1</v>
      </c>
      <c r="AH1751" s="4">
        <v>68</v>
      </c>
      <c r="AI1751" s="4">
        <v>70</v>
      </c>
      <c r="AJ1751" s="4">
        <v>9</v>
      </c>
      <c r="AK1751" s="4">
        <v>11</v>
      </c>
      <c r="AL1751" s="4">
        <v>39</v>
      </c>
      <c r="AM1751" s="4">
        <v>40</v>
      </c>
      <c r="AN1751" s="4">
        <v>0</v>
      </c>
      <c r="AO1751" s="4">
        <v>0</v>
      </c>
      <c r="AP1751" s="4">
        <v>13</v>
      </c>
      <c r="AQ1751" s="4">
        <v>15</v>
      </c>
      <c r="AR1751" s="3" t="s">
        <v>64</v>
      </c>
      <c r="AS1751" s="3" t="s">
        <v>64</v>
      </c>
      <c r="AT1751" s="3" t="s">
        <v>64</v>
      </c>
      <c r="AV1751" s="6" t="str">
        <f>HYPERLINK("http://mcgill.on.worldcat.org/oclc/31239531","Catalog Record")</f>
        <v>Catalog Record</v>
      </c>
      <c r="AW1751" s="6" t="str">
        <f>HYPERLINK("http://www.worldcat.org/oclc/31239531","WorldCat Record")</f>
        <v>WorldCat Record</v>
      </c>
      <c r="AX1751" s="3" t="s">
        <v>18259</v>
      </c>
      <c r="AY1751" s="3" t="s">
        <v>18260</v>
      </c>
      <c r="AZ1751" s="3" t="s">
        <v>18261</v>
      </c>
      <c r="BA1751" s="3" t="s">
        <v>18261</v>
      </c>
      <c r="BB1751" s="3" t="s">
        <v>18262</v>
      </c>
      <c r="BC1751" s="3" t="s">
        <v>78</v>
      </c>
      <c r="BD1751" s="3" t="s">
        <v>79</v>
      </c>
      <c r="BE1751" s="3" t="s">
        <v>18263</v>
      </c>
      <c r="BF1751" s="3" t="s">
        <v>18262</v>
      </c>
      <c r="BG1751" s="3" t="s">
        <v>18264</v>
      </c>
    </row>
    <row r="1752" spans="1:59" ht="58" x14ac:dyDescent="0.35">
      <c r="A1752" s="2" t="s">
        <v>59</v>
      </c>
      <c r="B1752" s="2" t="s">
        <v>94</v>
      </c>
      <c r="C1752" s="2" t="s">
        <v>18265</v>
      </c>
      <c r="D1752" s="2" t="s">
        <v>18266</v>
      </c>
      <c r="E1752" s="2" t="s">
        <v>18267</v>
      </c>
      <c r="G1752" s="3" t="s">
        <v>64</v>
      </c>
      <c r="I1752" s="3" t="s">
        <v>64</v>
      </c>
      <c r="J1752" s="3" t="s">
        <v>64</v>
      </c>
      <c r="K1752" s="3" t="s">
        <v>65</v>
      </c>
      <c r="L1752" s="2" t="s">
        <v>18268</v>
      </c>
      <c r="M1752" s="2" t="s">
        <v>18269</v>
      </c>
      <c r="N1752" s="3" t="s">
        <v>1154</v>
      </c>
      <c r="P1752" s="3" t="s">
        <v>69</v>
      </c>
      <c r="R1752" s="3" t="s">
        <v>16939</v>
      </c>
      <c r="S1752" s="4">
        <v>20</v>
      </c>
      <c r="T1752" s="4">
        <v>20</v>
      </c>
      <c r="U1752" s="5" t="s">
        <v>18258</v>
      </c>
      <c r="V1752" s="5" t="s">
        <v>18258</v>
      </c>
      <c r="W1752" s="5" t="s">
        <v>72</v>
      </c>
      <c r="X1752" s="5" t="s">
        <v>72</v>
      </c>
      <c r="Y1752" s="4">
        <v>686</v>
      </c>
      <c r="Z1752" s="4">
        <v>33</v>
      </c>
      <c r="AA1752" s="4">
        <v>36</v>
      </c>
      <c r="AB1752" s="4">
        <v>1</v>
      </c>
      <c r="AC1752" s="4">
        <v>3</v>
      </c>
      <c r="AD1752" s="4">
        <v>98</v>
      </c>
      <c r="AE1752" s="4">
        <v>101</v>
      </c>
      <c r="AF1752" s="4">
        <v>0</v>
      </c>
      <c r="AG1752" s="4">
        <v>1</v>
      </c>
      <c r="AH1752" s="4">
        <v>86</v>
      </c>
      <c r="AI1752" s="4">
        <v>88</v>
      </c>
      <c r="AJ1752" s="4">
        <v>11</v>
      </c>
      <c r="AK1752" s="4">
        <v>13</v>
      </c>
      <c r="AL1752" s="4">
        <v>47</v>
      </c>
      <c r="AM1752" s="4">
        <v>48</v>
      </c>
      <c r="AN1752" s="4">
        <v>0</v>
      </c>
      <c r="AO1752" s="4">
        <v>0</v>
      </c>
      <c r="AP1752" s="4">
        <v>17</v>
      </c>
      <c r="AQ1752" s="4">
        <v>18</v>
      </c>
      <c r="AR1752" s="3" t="s">
        <v>64</v>
      </c>
      <c r="AS1752" s="3" t="s">
        <v>64</v>
      </c>
      <c r="AT1752" s="3" t="s">
        <v>73</v>
      </c>
      <c r="AU1752" s="6" t="str">
        <f>HYPERLINK("http://catalog.hathitrust.org/Record/002934917","HathiTrust Record")</f>
        <v>HathiTrust Record</v>
      </c>
      <c r="AV1752" s="6" t="str">
        <f>HYPERLINK("http://mcgill.on.worldcat.org/oclc/30668092","Catalog Record")</f>
        <v>Catalog Record</v>
      </c>
      <c r="AW1752" s="6" t="str">
        <f>HYPERLINK("http://www.worldcat.org/oclc/30668092","WorldCat Record")</f>
        <v>WorldCat Record</v>
      </c>
      <c r="AX1752" s="3" t="s">
        <v>18270</v>
      </c>
      <c r="AY1752" s="3" t="s">
        <v>18271</v>
      </c>
      <c r="AZ1752" s="3" t="s">
        <v>18272</v>
      </c>
      <c r="BA1752" s="3" t="s">
        <v>18272</v>
      </c>
      <c r="BB1752" s="3" t="s">
        <v>18273</v>
      </c>
      <c r="BC1752" s="3" t="s">
        <v>78</v>
      </c>
      <c r="BD1752" s="3" t="s">
        <v>79</v>
      </c>
      <c r="BE1752" s="3" t="s">
        <v>18274</v>
      </c>
      <c r="BF1752" s="3" t="s">
        <v>18273</v>
      </c>
      <c r="BG1752" s="3" t="s">
        <v>18275</v>
      </c>
    </row>
    <row r="1753" spans="1:59" ht="58" x14ac:dyDescent="0.35">
      <c r="A1753" s="2" t="s">
        <v>59</v>
      </c>
      <c r="B1753" s="2" t="s">
        <v>94</v>
      </c>
      <c r="C1753" s="2" t="s">
        <v>18276</v>
      </c>
      <c r="D1753" s="2" t="s">
        <v>18277</v>
      </c>
      <c r="E1753" s="2" t="s">
        <v>18278</v>
      </c>
      <c r="G1753" s="3" t="s">
        <v>64</v>
      </c>
      <c r="I1753" s="3" t="s">
        <v>64</v>
      </c>
      <c r="J1753" s="3" t="s">
        <v>73</v>
      </c>
      <c r="K1753" s="3" t="s">
        <v>65</v>
      </c>
      <c r="L1753" s="2" t="s">
        <v>18279</v>
      </c>
      <c r="M1753" s="2" t="s">
        <v>18280</v>
      </c>
      <c r="N1753" s="3" t="s">
        <v>175</v>
      </c>
      <c r="P1753" s="3" t="s">
        <v>69</v>
      </c>
      <c r="R1753" s="3" t="s">
        <v>16939</v>
      </c>
      <c r="S1753" s="4">
        <v>8</v>
      </c>
      <c r="T1753" s="4">
        <v>8</v>
      </c>
      <c r="U1753" s="5" t="s">
        <v>1472</v>
      </c>
      <c r="V1753" s="5" t="s">
        <v>1472</v>
      </c>
      <c r="W1753" s="5" t="s">
        <v>72</v>
      </c>
      <c r="X1753" s="5" t="s">
        <v>72</v>
      </c>
      <c r="Y1753" s="4">
        <v>152</v>
      </c>
      <c r="Z1753" s="4">
        <v>5</v>
      </c>
      <c r="AA1753" s="4">
        <v>62</v>
      </c>
      <c r="AB1753" s="4">
        <v>1</v>
      </c>
      <c r="AC1753" s="4">
        <v>8</v>
      </c>
      <c r="AD1753" s="4">
        <v>11</v>
      </c>
      <c r="AE1753" s="4">
        <v>90</v>
      </c>
      <c r="AF1753" s="4">
        <v>0</v>
      </c>
      <c r="AG1753" s="4">
        <v>0</v>
      </c>
      <c r="AH1753" s="4">
        <v>11</v>
      </c>
      <c r="AI1753" s="4">
        <v>78</v>
      </c>
      <c r="AJ1753" s="4">
        <v>2</v>
      </c>
      <c r="AK1753" s="4">
        <v>10</v>
      </c>
      <c r="AL1753" s="4">
        <v>6</v>
      </c>
      <c r="AM1753" s="4">
        <v>46</v>
      </c>
      <c r="AN1753" s="4">
        <v>0</v>
      </c>
      <c r="AO1753" s="4">
        <v>0</v>
      </c>
      <c r="AP1753" s="4">
        <v>2</v>
      </c>
      <c r="AQ1753" s="4">
        <v>11</v>
      </c>
      <c r="AR1753" s="3" t="s">
        <v>64</v>
      </c>
      <c r="AS1753" s="3" t="s">
        <v>64</v>
      </c>
      <c r="AT1753" s="3" t="s">
        <v>64</v>
      </c>
      <c r="AV1753" s="6" t="str">
        <f>HYPERLINK("http://mcgill.on.worldcat.org/oclc/872619762","Catalog Record")</f>
        <v>Catalog Record</v>
      </c>
      <c r="AW1753" s="6" t="str">
        <f>HYPERLINK("http://www.worldcat.org/oclc/872619762","WorldCat Record")</f>
        <v>WorldCat Record</v>
      </c>
      <c r="AX1753" s="3" t="s">
        <v>18281</v>
      </c>
      <c r="AY1753" s="3" t="s">
        <v>18282</v>
      </c>
      <c r="AZ1753" s="3" t="s">
        <v>18283</v>
      </c>
      <c r="BA1753" s="3" t="s">
        <v>18283</v>
      </c>
      <c r="BB1753" s="3" t="s">
        <v>18284</v>
      </c>
      <c r="BC1753" s="3" t="s">
        <v>78</v>
      </c>
      <c r="BD1753" s="3" t="s">
        <v>79</v>
      </c>
      <c r="BE1753" s="3" t="s">
        <v>18285</v>
      </c>
      <c r="BF1753" s="3" t="s">
        <v>18284</v>
      </c>
      <c r="BG1753" s="3" t="s">
        <v>18286</v>
      </c>
    </row>
    <row r="1754" spans="1:59" ht="72.5" x14ac:dyDescent="0.35">
      <c r="A1754" s="2" t="s">
        <v>59</v>
      </c>
      <c r="B1754" s="2" t="s">
        <v>94</v>
      </c>
      <c r="C1754" s="2" t="s">
        <v>18287</v>
      </c>
      <c r="D1754" s="2" t="s">
        <v>18288</v>
      </c>
      <c r="E1754" s="2" t="s">
        <v>18278</v>
      </c>
      <c r="G1754" s="3" t="s">
        <v>64</v>
      </c>
      <c r="I1754" s="3" t="s">
        <v>64</v>
      </c>
      <c r="J1754" s="3" t="s">
        <v>73</v>
      </c>
      <c r="K1754" s="3" t="s">
        <v>65</v>
      </c>
      <c r="L1754" s="2" t="s">
        <v>18279</v>
      </c>
      <c r="M1754" s="2" t="s">
        <v>18289</v>
      </c>
      <c r="N1754" s="3" t="s">
        <v>175</v>
      </c>
      <c r="P1754" s="3" t="s">
        <v>69</v>
      </c>
      <c r="R1754" s="3" t="s">
        <v>16939</v>
      </c>
      <c r="S1754" s="4">
        <v>5</v>
      </c>
      <c r="T1754" s="4">
        <v>5</v>
      </c>
      <c r="U1754" s="5" t="s">
        <v>18121</v>
      </c>
      <c r="V1754" s="5" t="s">
        <v>18121</v>
      </c>
      <c r="W1754" s="5" t="s">
        <v>72</v>
      </c>
      <c r="X1754" s="5" t="s">
        <v>72</v>
      </c>
      <c r="Y1754" s="4">
        <v>46</v>
      </c>
      <c r="Z1754" s="4">
        <v>37</v>
      </c>
      <c r="AA1754" s="4">
        <v>62</v>
      </c>
      <c r="AB1754" s="4">
        <v>4</v>
      </c>
      <c r="AC1754" s="4">
        <v>8</v>
      </c>
      <c r="AD1754" s="4">
        <v>14</v>
      </c>
      <c r="AE1754" s="4">
        <v>90</v>
      </c>
      <c r="AF1754" s="4">
        <v>0</v>
      </c>
      <c r="AG1754" s="4">
        <v>0</v>
      </c>
      <c r="AH1754" s="4">
        <v>8</v>
      </c>
      <c r="AI1754" s="4">
        <v>78</v>
      </c>
      <c r="AJ1754" s="4">
        <v>8</v>
      </c>
      <c r="AK1754" s="4">
        <v>10</v>
      </c>
      <c r="AL1754" s="4">
        <v>5</v>
      </c>
      <c r="AM1754" s="4">
        <v>46</v>
      </c>
      <c r="AN1754" s="4">
        <v>0</v>
      </c>
      <c r="AO1754" s="4">
        <v>0</v>
      </c>
      <c r="AP1754" s="4">
        <v>8</v>
      </c>
      <c r="AQ1754" s="4">
        <v>11</v>
      </c>
      <c r="AR1754" s="3" t="s">
        <v>73</v>
      </c>
      <c r="AS1754" s="3" t="s">
        <v>64</v>
      </c>
      <c r="AT1754" s="3" t="s">
        <v>64</v>
      </c>
      <c r="AV1754" s="6" t="str">
        <f>HYPERLINK("http://mcgill.on.worldcat.org/oclc/883940020","Catalog Record")</f>
        <v>Catalog Record</v>
      </c>
      <c r="AW1754" s="6" t="str">
        <f>HYPERLINK("http://www.worldcat.org/oclc/883940020","WorldCat Record")</f>
        <v>WorldCat Record</v>
      </c>
      <c r="AX1754" s="3" t="s">
        <v>18281</v>
      </c>
      <c r="AY1754" s="3" t="s">
        <v>18290</v>
      </c>
      <c r="AZ1754" s="3" t="s">
        <v>18291</v>
      </c>
      <c r="BA1754" s="3" t="s">
        <v>18291</v>
      </c>
      <c r="BB1754" s="3" t="s">
        <v>18292</v>
      </c>
      <c r="BC1754" s="3" t="s">
        <v>78</v>
      </c>
      <c r="BD1754" s="3" t="s">
        <v>414</v>
      </c>
      <c r="BE1754" s="3" t="s">
        <v>18293</v>
      </c>
      <c r="BF1754" s="3" t="s">
        <v>18292</v>
      </c>
      <c r="BG1754" s="3" t="s">
        <v>18294</v>
      </c>
    </row>
    <row r="1755" spans="1:59" ht="58" x14ac:dyDescent="0.35">
      <c r="A1755" s="2" t="s">
        <v>59</v>
      </c>
      <c r="B1755" s="2" t="s">
        <v>94</v>
      </c>
      <c r="C1755" s="2" t="s">
        <v>18295</v>
      </c>
      <c r="D1755" s="2" t="s">
        <v>18296</v>
      </c>
      <c r="E1755" s="2" t="s">
        <v>18297</v>
      </c>
      <c r="G1755" s="3" t="s">
        <v>64</v>
      </c>
      <c r="I1755" s="3" t="s">
        <v>64</v>
      </c>
      <c r="J1755" s="3" t="s">
        <v>64</v>
      </c>
      <c r="K1755" s="3" t="s">
        <v>65</v>
      </c>
      <c r="L1755" s="2" t="s">
        <v>18298</v>
      </c>
      <c r="M1755" s="2" t="s">
        <v>18299</v>
      </c>
      <c r="N1755" s="3" t="s">
        <v>175</v>
      </c>
      <c r="P1755" s="3" t="s">
        <v>69</v>
      </c>
      <c r="R1755" s="3" t="s">
        <v>16939</v>
      </c>
      <c r="S1755" s="4">
        <v>1</v>
      </c>
      <c r="T1755" s="4">
        <v>1</v>
      </c>
      <c r="U1755" s="5" t="s">
        <v>17860</v>
      </c>
      <c r="V1755" s="5" t="s">
        <v>17860</v>
      </c>
      <c r="W1755" s="5" t="s">
        <v>72</v>
      </c>
      <c r="X1755" s="5" t="s">
        <v>72</v>
      </c>
      <c r="Y1755" s="4">
        <v>156</v>
      </c>
      <c r="Z1755" s="4">
        <v>13</v>
      </c>
      <c r="AA1755" s="4">
        <v>16</v>
      </c>
      <c r="AB1755" s="4">
        <v>1</v>
      </c>
      <c r="AC1755" s="4">
        <v>3</v>
      </c>
      <c r="AD1755" s="4">
        <v>23</v>
      </c>
      <c r="AE1755" s="4">
        <v>26</v>
      </c>
      <c r="AF1755" s="4">
        <v>0</v>
      </c>
      <c r="AG1755" s="4">
        <v>0</v>
      </c>
      <c r="AH1755" s="4">
        <v>20</v>
      </c>
      <c r="AI1755" s="4">
        <v>23</v>
      </c>
      <c r="AJ1755" s="4">
        <v>4</v>
      </c>
      <c r="AK1755" s="4">
        <v>4</v>
      </c>
      <c r="AL1755" s="4">
        <v>16</v>
      </c>
      <c r="AM1755" s="4">
        <v>19</v>
      </c>
      <c r="AN1755" s="4">
        <v>0</v>
      </c>
      <c r="AO1755" s="4">
        <v>0</v>
      </c>
      <c r="AP1755" s="4">
        <v>3</v>
      </c>
      <c r="AQ1755" s="4">
        <v>3</v>
      </c>
      <c r="AR1755" s="3" t="s">
        <v>64</v>
      </c>
      <c r="AS1755" s="3" t="s">
        <v>64</v>
      </c>
      <c r="AT1755" s="3" t="s">
        <v>64</v>
      </c>
      <c r="AV1755" s="6" t="str">
        <f>HYPERLINK("http://mcgill.on.worldcat.org/oclc/869789283","Catalog Record")</f>
        <v>Catalog Record</v>
      </c>
      <c r="AW1755" s="6" t="str">
        <f>HYPERLINK("http://www.worldcat.org/oclc/869789283","WorldCat Record")</f>
        <v>WorldCat Record</v>
      </c>
      <c r="AX1755" s="3" t="s">
        <v>18300</v>
      </c>
      <c r="AY1755" s="3" t="s">
        <v>18301</v>
      </c>
      <c r="AZ1755" s="3" t="s">
        <v>18302</v>
      </c>
      <c r="BA1755" s="3" t="s">
        <v>18302</v>
      </c>
      <c r="BB1755" s="3" t="s">
        <v>18303</v>
      </c>
      <c r="BC1755" s="3" t="s">
        <v>78</v>
      </c>
      <c r="BD1755" s="3" t="s">
        <v>79</v>
      </c>
      <c r="BE1755" s="3" t="s">
        <v>18304</v>
      </c>
      <c r="BF1755" s="3" t="s">
        <v>18303</v>
      </c>
      <c r="BG1755" s="3" t="s">
        <v>18305</v>
      </c>
    </row>
    <row r="1756" spans="1:59" ht="58" x14ac:dyDescent="0.35">
      <c r="A1756" s="2" t="s">
        <v>59</v>
      </c>
      <c r="B1756" s="2" t="s">
        <v>94</v>
      </c>
      <c r="C1756" s="2" t="s">
        <v>18306</v>
      </c>
      <c r="D1756" s="2" t="s">
        <v>18307</v>
      </c>
      <c r="E1756" s="2" t="s">
        <v>18308</v>
      </c>
      <c r="G1756" s="3" t="s">
        <v>64</v>
      </c>
      <c r="I1756" s="3" t="s">
        <v>64</v>
      </c>
      <c r="J1756" s="3" t="s">
        <v>73</v>
      </c>
      <c r="K1756" s="3" t="s">
        <v>65</v>
      </c>
      <c r="L1756" s="2" t="s">
        <v>18309</v>
      </c>
      <c r="M1756" s="2" t="s">
        <v>18310</v>
      </c>
      <c r="N1756" s="3" t="s">
        <v>1267</v>
      </c>
      <c r="P1756" s="3" t="s">
        <v>69</v>
      </c>
      <c r="R1756" s="3" t="s">
        <v>16939</v>
      </c>
      <c r="S1756" s="4">
        <v>8</v>
      </c>
      <c r="T1756" s="4">
        <v>8</v>
      </c>
      <c r="U1756" s="5" t="s">
        <v>18258</v>
      </c>
      <c r="V1756" s="5" t="s">
        <v>18258</v>
      </c>
      <c r="W1756" s="5" t="s">
        <v>72</v>
      </c>
      <c r="X1756" s="5" t="s">
        <v>72</v>
      </c>
      <c r="Y1756" s="4">
        <v>131</v>
      </c>
      <c r="Z1756" s="4">
        <v>9</v>
      </c>
      <c r="AA1756" s="4">
        <v>40</v>
      </c>
      <c r="AB1756" s="4">
        <v>1</v>
      </c>
      <c r="AC1756" s="4">
        <v>3</v>
      </c>
      <c r="AD1756" s="4">
        <v>24</v>
      </c>
      <c r="AE1756" s="4">
        <v>102</v>
      </c>
      <c r="AF1756" s="4">
        <v>0</v>
      </c>
      <c r="AG1756" s="4">
        <v>1</v>
      </c>
      <c r="AH1756" s="4">
        <v>21</v>
      </c>
      <c r="AI1756" s="4">
        <v>86</v>
      </c>
      <c r="AJ1756" s="4">
        <v>7</v>
      </c>
      <c r="AK1756" s="4">
        <v>15</v>
      </c>
      <c r="AL1756" s="4">
        <v>9</v>
      </c>
      <c r="AM1756" s="4">
        <v>47</v>
      </c>
      <c r="AN1756" s="4">
        <v>0</v>
      </c>
      <c r="AO1756" s="4">
        <v>5</v>
      </c>
      <c r="AP1756" s="4">
        <v>8</v>
      </c>
      <c r="AQ1756" s="4">
        <v>21</v>
      </c>
      <c r="AR1756" s="3" t="s">
        <v>64</v>
      </c>
      <c r="AS1756" s="3" t="s">
        <v>64</v>
      </c>
      <c r="AT1756" s="3" t="s">
        <v>64</v>
      </c>
      <c r="AV1756" s="6" t="str">
        <f>HYPERLINK("http://mcgill.on.worldcat.org/oclc/41903","Catalog Record")</f>
        <v>Catalog Record</v>
      </c>
      <c r="AW1756" s="6" t="str">
        <f>HYPERLINK("http://www.worldcat.org/oclc/41903","WorldCat Record")</f>
        <v>WorldCat Record</v>
      </c>
      <c r="AX1756" s="3" t="s">
        <v>18311</v>
      </c>
      <c r="AY1756" s="3" t="s">
        <v>18312</v>
      </c>
      <c r="AZ1756" s="3" t="s">
        <v>18313</v>
      </c>
      <c r="BA1756" s="3" t="s">
        <v>18313</v>
      </c>
      <c r="BB1756" s="3" t="s">
        <v>18314</v>
      </c>
      <c r="BC1756" s="3" t="s">
        <v>78</v>
      </c>
      <c r="BD1756" s="3" t="s">
        <v>79</v>
      </c>
      <c r="BE1756" s="3" t="s">
        <v>18315</v>
      </c>
      <c r="BF1756" s="3" t="s">
        <v>18314</v>
      </c>
      <c r="BG1756" s="3" t="s">
        <v>18316</v>
      </c>
    </row>
    <row r="1757" spans="1:59" ht="58" x14ac:dyDescent="0.35">
      <c r="A1757" s="2" t="s">
        <v>59</v>
      </c>
      <c r="B1757" s="2" t="s">
        <v>94</v>
      </c>
      <c r="C1757" s="2" t="s">
        <v>18317</v>
      </c>
      <c r="D1757" s="2" t="s">
        <v>18318</v>
      </c>
      <c r="E1757" s="2" t="s">
        <v>18319</v>
      </c>
      <c r="G1757" s="3" t="s">
        <v>64</v>
      </c>
      <c r="I1757" s="3" t="s">
        <v>64</v>
      </c>
      <c r="J1757" s="3" t="s">
        <v>64</v>
      </c>
      <c r="K1757" s="3" t="s">
        <v>65</v>
      </c>
      <c r="L1757" s="2" t="s">
        <v>18320</v>
      </c>
      <c r="M1757" s="2" t="s">
        <v>18321</v>
      </c>
      <c r="N1757" s="3" t="s">
        <v>861</v>
      </c>
      <c r="P1757" s="3" t="s">
        <v>69</v>
      </c>
      <c r="R1757" s="3" t="s">
        <v>16939</v>
      </c>
      <c r="S1757" s="4">
        <v>13</v>
      </c>
      <c r="T1757" s="4">
        <v>13</v>
      </c>
      <c r="U1757" s="5" t="s">
        <v>18022</v>
      </c>
      <c r="V1757" s="5" t="s">
        <v>18022</v>
      </c>
      <c r="W1757" s="5" t="s">
        <v>72</v>
      </c>
      <c r="X1757" s="5" t="s">
        <v>72</v>
      </c>
      <c r="Y1757" s="4">
        <v>543</v>
      </c>
      <c r="Z1757" s="4">
        <v>20</v>
      </c>
      <c r="AA1757" s="4">
        <v>69</v>
      </c>
      <c r="AB1757" s="4">
        <v>1</v>
      </c>
      <c r="AC1757" s="4">
        <v>7</v>
      </c>
      <c r="AD1757" s="4">
        <v>91</v>
      </c>
      <c r="AE1757" s="4">
        <v>109</v>
      </c>
      <c r="AF1757" s="4">
        <v>0</v>
      </c>
      <c r="AG1757" s="4">
        <v>0</v>
      </c>
      <c r="AH1757" s="4">
        <v>83</v>
      </c>
      <c r="AI1757" s="4">
        <v>93</v>
      </c>
      <c r="AJ1757" s="4">
        <v>7</v>
      </c>
      <c r="AK1757" s="4">
        <v>11</v>
      </c>
      <c r="AL1757" s="4">
        <v>46</v>
      </c>
      <c r="AM1757" s="4">
        <v>51</v>
      </c>
      <c r="AN1757" s="4">
        <v>0</v>
      </c>
      <c r="AO1757" s="4">
        <v>0</v>
      </c>
      <c r="AP1757" s="4">
        <v>9</v>
      </c>
      <c r="AQ1757" s="4">
        <v>20</v>
      </c>
      <c r="AR1757" s="3" t="s">
        <v>64</v>
      </c>
      <c r="AS1757" s="3" t="s">
        <v>64</v>
      </c>
      <c r="AT1757" s="3" t="s">
        <v>64</v>
      </c>
      <c r="AV1757" s="6" t="str">
        <f>HYPERLINK("http://mcgill.on.worldcat.org/oclc/55615668","Catalog Record")</f>
        <v>Catalog Record</v>
      </c>
      <c r="AW1757" s="6" t="str">
        <f>HYPERLINK("http://www.worldcat.org/oclc/55615668","WorldCat Record")</f>
        <v>WorldCat Record</v>
      </c>
      <c r="AX1757" s="3" t="s">
        <v>18322</v>
      </c>
      <c r="AY1757" s="3" t="s">
        <v>18323</v>
      </c>
      <c r="AZ1757" s="3" t="s">
        <v>18324</v>
      </c>
      <c r="BA1757" s="3" t="s">
        <v>18324</v>
      </c>
      <c r="BB1757" s="3" t="s">
        <v>18325</v>
      </c>
      <c r="BC1757" s="3" t="s">
        <v>78</v>
      </c>
      <c r="BD1757" s="3" t="s">
        <v>79</v>
      </c>
      <c r="BE1757" s="3" t="s">
        <v>18326</v>
      </c>
      <c r="BF1757" s="3" t="s">
        <v>18325</v>
      </c>
      <c r="BG1757" s="3" t="s">
        <v>18327</v>
      </c>
    </row>
    <row r="1758" spans="1:59" ht="58" x14ac:dyDescent="0.35">
      <c r="A1758" s="2" t="s">
        <v>59</v>
      </c>
      <c r="B1758" s="2" t="s">
        <v>94</v>
      </c>
      <c r="C1758" s="2" t="s">
        <v>18328</v>
      </c>
      <c r="D1758" s="2" t="s">
        <v>18329</v>
      </c>
      <c r="E1758" s="2" t="s">
        <v>18330</v>
      </c>
      <c r="G1758" s="3" t="s">
        <v>64</v>
      </c>
      <c r="I1758" s="3" t="s">
        <v>64</v>
      </c>
      <c r="J1758" s="3" t="s">
        <v>64</v>
      </c>
      <c r="K1758" s="3" t="s">
        <v>65</v>
      </c>
      <c r="L1758" s="2" t="s">
        <v>18331</v>
      </c>
      <c r="M1758" s="2" t="s">
        <v>18332</v>
      </c>
      <c r="N1758" s="3" t="s">
        <v>148</v>
      </c>
      <c r="P1758" s="3" t="s">
        <v>69</v>
      </c>
      <c r="R1758" s="3" t="s">
        <v>16939</v>
      </c>
      <c r="S1758" s="4">
        <v>3</v>
      </c>
      <c r="T1758" s="4">
        <v>3</v>
      </c>
      <c r="U1758" s="5" t="s">
        <v>2349</v>
      </c>
      <c r="V1758" s="5" t="s">
        <v>2349</v>
      </c>
      <c r="W1758" s="5" t="s">
        <v>72</v>
      </c>
      <c r="X1758" s="5" t="s">
        <v>72</v>
      </c>
      <c r="Y1758" s="4">
        <v>530</v>
      </c>
      <c r="Z1758" s="4">
        <v>20</v>
      </c>
      <c r="AA1758" s="4">
        <v>30</v>
      </c>
      <c r="AB1758" s="4">
        <v>2</v>
      </c>
      <c r="AC1758" s="4">
        <v>3</v>
      </c>
      <c r="AD1758" s="4">
        <v>106</v>
      </c>
      <c r="AE1758" s="4">
        <v>125</v>
      </c>
      <c r="AF1758" s="4">
        <v>1</v>
      </c>
      <c r="AG1758" s="4">
        <v>2</v>
      </c>
      <c r="AH1758" s="4">
        <v>96</v>
      </c>
      <c r="AI1758" s="4">
        <v>106</v>
      </c>
      <c r="AJ1758" s="4">
        <v>17</v>
      </c>
      <c r="AK1758" s="4">
        <v>22</v>
      </c>
      <c r="AL1758" s="4">
        <v>54</v>
      </c>
      <c r="AM1758" s="4">
        <v>59</v>
      </c>
      <c r="AN1758" s="4">
        <v>0</v>
      </c>
      <c r="AO1758" s="4">
        <v>0</v>
      </c>
      <c r="AP1758" s="4">
        <v>16</v>
      </c>
      <c r="AQ1758" s="4">
        <v>24</v>
      </c>
      <c r="AR1758" s="3" t="s">
        <v>64</v>
      </c>
      <c r="AS1758" s="3" t="s">
        <v>64</v>
      </c>
      <c r="AT1758" s="3" t="s">
        <v>64</v>
      </c>
      <c r="AV1758" s="6" t="str">
        <f>HYPERLINK("http://mcgill.on.worldcat.org/oclc/337274","Catalog Record")</f>
        <v>Catalog Record</v>
      </c>
      <c r="AW1758" s="6" t="str">
        <f>HYPERLINK("http://www.worldcat.org/oclc/337274","WorldCat Record")</f>
        <v>WorldCat Record</v>
      </c>
      <c r="AX1758" s="3" t="s">
        <v>18333</v>
      </c>
      <c r="AY1758" s="3" t="s">
        <v>18334</v>
      </c>
      <c r="AZ1758" s="3" t="s">
        <v>18335</v>
      </c>
      <c r="BA1758" s="3" t="s">
        <v>18335</v>
      </c>
      <c r="BB1758" s="3" t="s">
        <v>18336</v>
      </c>
      <c r="BC1758" s="3" t="s">
        <v>78</v>
      </c>
      <c r="BD1758" s="3" t="s">
        <v>79</v>
      </c>
      <c r="BF1758" s="3" t="s">
        <v>18336</v>
      </c>
      <c r="BG1758" s="3" t="s">
        <v>18337</v>
      </c>
    </row>
    <row r="1759" spans="1:59" ht="72.5" x14ac:dyDescent="0.35">
      <c r="A1759" s="2" t="s">
        <v>59</v>
      </c>
      <c r="B1759" s="2" t="s">
        <v>94</v>
      </c>
      <c r="C1759" s="2" t="s">
        <v>18338</v>
      </c>
      <c r="D1759" s="2" t="s">
        <v>18339</v>
      </c>
      <c r="E1759" s="2" t="s">
        <v>18340</v>
      </c>
      <c r="G1759" s="3" t="s">
        <v>64</v>
      </c>
      <c r="I1759" s="3" t="s">
        <v>64</v>
      </c>
      <c r="J1759" s="3" t="s">
        <v>64</v>
      </c>
      <c r="K1759" s="3" t="s">
        <v>65</v>
      </c>
      <c r="L1759" s="2" t="s">
        <v>18341</v>
      </c>
      <c r="M1759" s="2" t="s">
        <v>18342</v>
      </c>
      <c r="N1759" s="3" t="s">
        <v>365</v>
      </c>
      <c r="P1759" s="3" t="s">
        <v>69</v>
      </c>
      <c r="R1759" s="3" t="s">
        <v>16939</v>
      </c>
      <c r="S1759" s="4">
        <v>10</v>
      </c>
      <c r="T1759" s="4">
        <v>10</v>
      </c>
      <c r="U1759" s="5" t="s">
        <v>13984</v>
      </c>
      <c r="V1759" s="5" t="s">
        <v>13984</v>
      </c>
      <c r="W1759" s="5" t="s">
        <v>72</v>
      </c>
      <c r="X1759" s="5" t="s">
        <v>72</v>
      </c>
      <c r="Y1759" s="4">
        <v>151</v>
      </c>
      <c r="Z1759" s="4">
        <v>7</v>
      </c>
      <c r="AA1759" s="4">
        <v>7</v>
      </c>
      <c r="AB1759" s="4">
        <v>1</v>
      </c>
      <c r="AC1759" s="4">
        <v>1</v>
      </c>
      <c r="AD1759" s="4">
        <v>45</v>
      </c>
      <c r="AE1759" s="4">
        <v>45</v>
      </c>
      <c r="AF1759" s="4">
        <v>0</v>
      </c>
      <c r="AG1759" s="4">
        <v>0</v>
      </c>
      <c r="AH1759" s="4">
        <v>43</v>
      </c>
      <c r="AI1759" s="4">
        <v>43</v>
      </c>
      <c r="AJ1759" s="4">
        <v>5</v>
      </c>
      <c r="AK1759" s="4">
        <v>5</v>
      </c>
      <c r="AL1759" s="4">
        <v>26</v>
      </c>
      <c r="AM1759" s="4">
        <v>26</v>
      </c>
      <c r="AN1759" s="4">
        <v>5</v>
      </c>
      <c r="AO1759" s="4">
        <v>5</v>
      </c>
      <c r="AP1759" s="4">
        <v>5</v>
      </c>
      <c r="AQ1759" s="4">
        <v>5</v>
      </c>
      <c r="AR1759" s="3" t="s">
        <v>64</v>
      </c>
      <c r="AS1759" s="3" t="s">
        <v>64</v>
      </c>
      <c r="AT1759" s="3" t="s">
        <v>73</v>
      </c>
      <c r="AU1759" s="6" t="str">
        <f>HYPERLINK("http://catalog.hathitrust.org/Record/000482254","HathiTrust Record")</f>
        <v>HathiTrust Record</v>
      </c>
      <c r="AV1759" s="6" t="str">
        <f>HYPERLINK("http://mcgill.on.worldcat.org/oclc/14003254","Catalog Record")</f>
        <v>Catalog Record</v>
      </c>
      <c r="AW1759" s="6" t="str">
        <f>HYPERLINK("http://www.worldcat.org/oclc/14003254","WorldCat Record")</f>
        <v>WorldCat Record</v>
      </c>
      <c r="AX1759" s="3" t="s">
        <v>18343</v>
      </c>
      <c r="AY1759" s="3" t="s">
        <v>18344</v>
      </c>
      <c r="AZ1759" s="3" t="s">
        <v>18345</v>
      </c>
      <c r="BA1759" s="3" t="s">
        <v>18345</v>
      </c>
      <c r="BB1759" s="3" t="s">
        <v>18346</v>
      </c>
      <c r="BC1759" s="3" t="s">
        <v>78</v>
      </c>
      <c r="BD1759" s="3" t="s">
        <v>79</v>
      </c>
      <c r="BE1759" s="3" t="s">
        <v>18347</v>
      </c>
      <c r="BF1759" s="3" t="s">
        <v>18346</v>
      </c>
      <c r="BG1759" s="3" t="s">
        <v>18348</v>
      </c>
    </row>
    <row r="1760" spans="1:59" ht="87" x14ac:dyDescent="0.35">
      <c r="A1760" s="2" t="s">
        <v>59</v>
      </c>
      <c r="B1760" s="2" t="s">
        <v>94</v>
      </c>
      <c r="C1760" s="2" t="s">
        <v>18349</v>
      </c>
      <c r="D1760" s="2" t="s">
        <v>18350</v>
      </c>
      <c r="E1760" s="2" t="s">
        <v>18351</v>
      </c>
      <c r="G1760" s="3" t="s">
        <v>64</v>
      </c>
      <c r="I1760" s="3" t="s">
        <v>64</v>
      </c>
      <c r="J1760" s="3" t="s">
        <v>64</v>
      </c>
      <c r="K1760" s="3" t="s">
        <v>65</v>
      </c>
      <c r="L1760" s="2" t="s">
        <v>18352</v>
      </c>
      <c r="M1760" s="2" t="s">
        <v>18353</v>
      </c>
      <c r="N1760" s="3" t="s">
        <v>1154</v>
      </c>
      <c r="O1760" s="2" t="s">
        <v>677</v>
      </c>
      <c r="P1760" s="3" t="s">
        <v>69</v>
      </c>
      <c r="R1760" s="3" t="s">
        <v>16939</v>
      </c>
      <c r="S1760" s="4">
        <v>20</v>
      </c>
      <c r="T1760" s="4">
        <v>20</v>
      </c>
      <c r="U1760" s="5" t="s">
        <v>11175</v>
      </c>
      <c r="V1760" s="5" t="s">
        <v>11175</v>
      </c>
      <c r="W1760" s="5" t="s">
        <v>72</v>
      </c>
      <c r="X1760" s="5" t="s">
        <v>72</v>
      </c>
      <c r="Y1760" s="4">
        <v>200</v>
      </c>
      <c r="Z1760" s="4">
        <v>8</v>
      </c>
      <c r="AA1760" s="4">
        <v>49</v>
      </c>
      <c r="AB1760" s="4">
        <v>1</v>
      </c>
      <c r="AC1760" s="4">
        <v>3</v>
      </c>
      <c r="AD1760" s="4">
        <v>46</v>
      </c>
      <c r="AE1760" s="4">
        <v>100</v>
      </c>
      <c r="AF1760" s="4">
        <v>0</v>
      </c>
      <c r="AG1760" s="4">
        <v>0</v>
      </c>
      <c r="AH1760" s="4">
        <v>41</v>
      </c>
      <c r="AI1760" s="4">
        <v>82</v>
      </c>
      <c r="AJ1760" s="4">
        <v>3</v>
      </c>
      <c r="AK1760" s="4">
        <v>16</v>
      </c>
      <c r="AL1760" s="4">
        <v>22</v>
      </c>
      <c r="AM1760" s="4">
        <v>45</v>
      </c>
      <c r="AN1760" s="4">
        <v>0</v>
      </c>
      <c r="AO1760" s="4">
        <v>0</v>
      </c>
      <c r="AP1760" s="4">
        <v>6</v>
      </c>
      <c r="AQ1760" s="4">
        <v>24</v>
      </c>
      <c r="AR1760" s="3" t="s">
        <v>64</v>
      </c>
      <c r="AS1760" s="3" t="s">
        <v>64</v>
      </c>
      <c r="AT1760" s="3" t="s">
        <v>64</v>
      </c>
      <c r="AV1760" s="6" t="str">
        <f>HYPERLINK("http://mcgill.on.worldcat.org/oclc/32309081","Catalog Record")</f>
        <v>Catalog Record</v>
      </c>
      <c r="AW1760" s="6" t="str">
        <f>HYPERLINK("http://www.worldcat.org/oclc/32309081","WorldCat Record")</f>
        <v>WorldCat Record</v>
      </c>
      <c r="AX1760" s="3" t="s">
        <v>18354</v>
      </c>
      <c r="AY1760" s="3" t="s">
        <v>18355</v>
      </c>
      <c r="AZ1760" s="3" t="s">
        <v>18356</v>
      </c>
      <c r="BA1760" s="3" t="s">
        <v>18356</v>
      </c>
      <c r="BB1760" s="3" t="s">
        <v>18357</v>
      </c>
      <c r="BC1760" s="3" t="s">
        <v>78</v>
      </c>
      <c r="BD1760" s="3" t="s">
        <v>79</v>
      </c>
      <c r="BE1760" s="3" t="s">
        <v>18358</v>
      </c>
      <c r="BF1760" s="3" t="s">
        <v>18357</v>
      </c>
      <c r="BG1760" s="3" t="s">
        <v>18359</v>
      </c>
    </row>
    <row r="1761" spans="1:59" ht="58" x14ac:dyDescent="0.35">
      <c r="A1761" s="2" t="s">
        <v>59</v>
      </c>
      <c r="B1761" s="2" t="s">
        <v>94</v>
      </c>
      <c r="C1761" s="2" t="s">
        <v>18360</v>
      </c>
      <c r="D1761" s="2" t="s">
        <v>18361</v>
      </c>
      <c r="E1761" s="2" t="s">
        <v>18362</v>
      </c>
      <c r="G1761" s="3" t="s">
        <v>64</v>
      </c>
      <c r="I1761" s="3" t="s">
        <v>64</v>
      </c>
      <c r="J1761" s="3" t="s">
        <v>64</v>
      </c>
      <c r="K1761" s="3" t="s">
        <v>65</v>
      </c>
      <c r="L1761" s="2" t="s">
        <v>18363</v>
      </c>
      <c r="M1761" s="2" t="s">
        <v>18364</v>
      </c>
      <c r="N1761" s="3" t="s">
        <v>538</v>
      </c>
      <c r="P1761" s="3" t="s">
        <v>69</v>
      </c>
      <c r="Q1761" s="2" t="s">
        <v>18365</v>
      </c>
      <c r="R1761" s="3" t="s">
        <v>16939</v>
      </c>
      <c r="S1761" s="4">
        <v>5</v>
      </c>
      <c r="T1761" s="4">
        <v>5</v>
      </c>
      <c r="U1761" s="5" t="s">
        <v>18366</v>
      </c>
      <c r="V1761" s="5" t="s">
        <v>18366</v>
      </c>
      <c r="W1761" s="5" t="s">
        <v>72</v>
      </c>
      <c r="X1761" s="5" t="s">
        <v>72</v>
      </c>
      <c r="Y1761" s="4">
        <v>186</v>
      </c>
      <c r="Z1761" s="4">
        <v>15</v>
      </c>
      <c r="AA1761" s="4">
        <v>15</v>
      </c>
      <c r="AB1761" s="4">
        <v>1</v>
      </c>
      <c r="AC1761" s="4">
        <v>1</v>
      </c>
      <c r="AD1761" s="4">
        <v>76</v>
      </c>
      <c r="AE1761" s="4">
        <v>76</v>
      </c>
      <c r="AF1761" s="4">
        <v>0</v>
      </c>
      <c r="AG1761" s="4">
        <v>0</v>
      </c>
      <c r="AH1761" s="4">
        <v>67</v>
      </c>
      <c r="AI1761" s="4">
        <v>67</v>
      </c>
      <c r="AJ1761" s="4">
        <v>9</v>
      </c>
      <c r="AK1761" s="4">
        <v>9</v>
      </c>
      <c r="AL1761" s="4">
        <v>44</v>
      </c>
      <c r="AM1761" s="4">
        <v>44</v>
      </c>
      <c r="AN1761" s="4">
        <v>0</v>
      </c>
      <c r="AO1761" s="4">
        <v>0</v>
      </c>
      <c r="AP1761" s="4">
        <v>10</v>
      </c>
      <c r="AQ1761" s="4">
        <v>10</v>
      </c>
      <c r="AR1761" s="3" t="s">
        <v>64</v>
      </c>
      <c r="AS1761" s="3" t="s">
        <v>64</v>
      </c>
      <c r="AT1761" s="3" t="s">
        <v>64</v>
      </c>
      <c r="AV1761" s="6" t="str">
        <f>HYPERLINK("http://mcgill.on.worldcat.org/oclc/79002457","Catalog Record")</f>
        <v>Catalog Record</v>
      </c>
      <c r="AW1761" s="6" t="str">
        <f>HYPERLINK("http://www.worldcat.org/oclc/79002457","WorldCat Record")</f>
        <v>WorldCat Record</v>
      </c>
      <c r="AX1761" s="3" t="s">
        <v>18367</v>
      </c>
      <c r="AY1761" s="3" t="s">
        <v>18368</v>
      </c>
      <c r="AZ1761" s="3" t="s">
        <v>18369</v>
      </c>
      <c r="BA1761" s="3" t="s">
        <v>18369</v>
      </c>
      <c r="BB1761" s="3" t="s">
        <v>18370</v>
      </c>
      <c r="BC1761" s="3" t="s">
        <v>78</v>
      </c>
      <c r="BD1761" s="3" t="s">
        <v>79</v>
      </c>
      <c r="BE1761" s="3" t="s">
        <v>18371</v>
      </c>
      <c r="BF1761" s="3" t="s">
        <v>18370</v>
      </c>
      <c r="BG1761" s="3" t="s">
        <v>18372</v>
      </c>
    </row>
    <row r="1762" spans="1:59" ht="58" x14ac:dyDescent="0.35">
      <c r="A1762" s="2" t="s">
        <v>59</v>
      </c>
      <c r="B1762" s="2" t="s">
        <v>94</v>
      </c>
      <c r="C1762" s="2" t="s">
        <v>18373</v>
      </c>
      <c r="D1762" s="2" t="s">
        <v>18374</v>
      </c>
      <c r="E1762" s="2" t="s">
        <v>18375</v>
      </c>
      <c r="G1762" s="3" t="s">
        <v>64</v>
      </c>
      <c r="I1762" s="3" t="s">
        <v>64</v>
      </c>
      <c r="J1762" s="3" t="s">
        <v>64</v>
      </c>
      <c r="K1762" s="3" t="s">
        <v>65</v>
      </c>
      <c r="L1762" s="2" t="s">
        <v>18376</v>
      </c>
      <c r="M1762" s="2" t="s">
        <v>18377</v>
      </c>
      <c r="N1762" s="3" t="s">
        <v>68</v>
      </c>
      <c r="O1762" s="2" t="s">
        <v>1294</v>
      </c>
      <c r="P1762" s="3" t="s">
        <v>69</v>
      </c>
      <c r="R1762" s="3" t="s">
        <v>16939</v>
      </c>
      <c r="S1762" s="4">
        <v>4</v>
      </c>
      <c r="T1762" s="4">
        <v>4</v>
      </c>
      <c r="U1762" s="5" t="s">
        <v>9134</v>
      </c>
      <c r="V1762" s="5" t="s">
        <v>9134</v>
      </c>
      <c r="W1762" s="5" t="s">
        <v>72</v>
      </c>
      <c r="X1762" s="5" t="s">
        <v>72</v>
      </c>
      <c r="Y1762" s="4">
        <v>968</v>
      </c>
      <c r="Z1762" s="4">
        <v>31</v>
      </c>
      <c r="AA1762" s="4">
        <v>33</v>
      </c>
      <c r="AB1762" s="4">
        <v>3</v>
      </c>
      <c r="AC1762" s="4">
        <v>5</v>
      </c>
      <c r="AD1762" s="4">
        <v>105</v>
      </c>
      <c r="AE1762" s="4">
        <v>107</v>
      </c>
      <c r="AF1762" s="4">
        <v>1</v>
      </c>
      <c r="AG1762" s="4">
        <v>3</v>
      </c>
      <c r="AH1762" s="4">
        <v>96</v>
      </c>
      <c r="AI1762" s="4">
        <v>97</v>
      </c>
      <c r="AJ1762" s="4">
        <v>14</v>
      </c>
      <c r="AK1762" s="4">
        <v>16</v>
      </c>
      <c r="AL1762" s="4">
        <v>52</v>
      </c>
      <c r="AM1762" s="4">
        <v>52</v>
      </c>
      <c r="AN1762" s="4">
        <v>0</v>
      </c>
      <c r="AO1762" s="4">
        <v>0</v>
      </c>
      <c r="AP1762" s="4">
        <v>14</v>
      </c>
      <c r="AQ1762" s="4">
        <v>15</v>
      </c>
      <c r="AR1762" s="3" t="s">
        <v>64</v>
      </c>
      <c r="AS1762" s="3" t="s">
        <v>64</v>
      </c>
      <c r="AT1762" s="3" t="s">
        <v>64</v>
      </c>
      <c r="AV1762" s="6" t="str">
        <f>HYPERLINK("http://mcgill.on.worldcat.org/oclc/60557325","Catalog Record")</f>
        <v>Catalog Record</v>
      </c>
      <c r="AW1762" s="6" t="str">
        <f>HYPERLINK("http://www.worldcat.org/oclc/60557325","WorldCat Record")</f>
        <v>WorldCat Record</v>
      </c>
      <c r="AX1762" s="3" t="s">
        <v>18378</v>
      </c>
      <c r="AY1762" s="3" t="s">
        <v>18379</v>
      </c>
      <c r="AZ1762" s="3" t="s">
        <v>18380</v>
      </c>
      <c r="BA1762" s="3" t="s">
        <v>18380</v>
      </c>
      <c r="BB1762" s="3" t="s">
        <v>18381</v>
      </c>
      <c r="BC1762" s="3" t="s">
        <v>78</v>
      </c>
      <c r="BD1762" s="3" t="s">
        <v>79</v>
      </c>
      <c r="BE1762" s="3" t="s">
        <v>18382</v>
      </c>
      <c r="BF1762" s="3" t="s">
        <v>18381</v>
      </c>
      <c r="BG1762" s="3" t="s">
        <v>18383</v>
      </c>
    </row>
    <row r="1763" spans="1:59" ht="58" x14ac:dyDescent="0.35">
      <c r="A1763" s="2" t="s">
        <v>59</v>
      </c>
      <c r="B1763" s="2" t="s">
        <v>94</v>
      </c>
      <c r="C1763" s="2" t="s">
        <v>18384</v>
      </c>
      <c r="D1763" s="2" t="s">
        <v>18385</v>
      </c>
      <c r="E1763" s="2" t="s">
        <v>18386</v>
      </c>
      <c r="G1763" s="3" t="s">
        <v>64</v>
      </c>
      <c r="I1763" s="3" t="s">
        <v>64</v>
      </c>
      <c r="J1763" s="3" t="s">
        <v>64</v>
      </c>
      <c r="K1763" s="3" t="s">
        <v>65</v>
      </c>
      <c r="L1763" s="2" t="s">
        <v>18387</v>
      </c>
      <c r="M1763" s="2" t="s">
        <v>6623</v>
      </c>
      <c r="N1763" s="3" t="s">
        <v>651</v>
      </c>
      <c r="P1763" s="3" t="s">
        <v>69</v>
      </c>
      <c r="Q1763" s="2" t="s">
        <v>17233</v>
      </c>
      <c r="R1763" s="3" t="s">
        <v>16939</v>
      </c>
      <c r="S1763" s="4">
        <v>2</v>
      </c>
      <c r="T1763" s="4">
        <v>2</v>
      </c>
      <c r="U1763" s="5" t="s">
        <v>18388</v>
      </c>
      <c r="V1763" s="5" t="s">
        <v>18388</v>
      </c>
      <c r="W1763" s="5" t="s">
        <v>72</v>
      </c>
      <c r="X1763" s="5" t="s">
        <v>72</v>
      </c>
      <c r="Y1763" s="4">
        <v>218</v>
      </c>
      <c r="Z1763" s="4">
        <v>10</v>
      </c>
      <c r="AA1763" s="4">
        <v>73</v>
      </c>
      <c r="AB1763" s="4">
        <v>1</v>
      </c>
      <c r="AC1763" s="4">
        <v>15</v>
      </c>
      <c r="AD1763" s="4">
        <v>71</v>
      </c>
      <c r="AE1763" s="4">
        <v>122</v>
      </c>
      <c r="AF1763" s="4">
        <v>0</v>
      </c>
      <c r="AG1763" s="4">
        <v>8</v>
      </c>
      <c r="AH1763" s="4">
        <v>65</v>
      </c>
      <c r="AI1763" s="4">
        <v>91</v>
      </c>
      <c r="AJ1763" s="4">
        <v>7</v>
      </c>
      <c r="AK1763" s="4">
        <v>22</v>
      </c>
      <c r="AL1763" s="4">
        <v>40</v>
      </c>
      <c r="AM1763" s="4">
        <v>46</v>
      </c>
      <c r="AN1763" s="4">
        <v>0</v>
      </c>
      <c r="AO1763" s="4">
        <v>0</v>
      </c>
      <c r="AP1763" s="4">
        <v>7</v>
      </c>
      <c r="AQ1763" s="4">
        <v>38</v>
      </c>
      <c r="AR1763" s="3" t="s">
        <v>64</v>
      </c>
      <c r="AS1763" s="3" t="s">
        <v>64</v>
      </c>
      <c r="AT1763" s="3" t="s">
        <v>64</v>
      </c>
      <c r="AV1763" s="6" t="str">
        <f>HYPERLINK("http://mcgill.on.worldcat.org/oclc/51655571","Catalog Record")</f>
        <v>Catalog Record</v>
      </c>
      <c r="AW1763" s="6" t="str">
        <f>HYPERLINK("http://www.worldcat.org/oclc/51655571","WorldCat Record")</f>
        <v>WorldCat Record</v>
      </c>
      <c r="AX1763" s="3" t="s">
        <v>18389</v>
      </c>
      <c r="AY1763" s="3" t="s">
        <v>18390</v>
      </c>
      <c r="AZ1763" s="3" t="s">
        <v>18391</v>
      </c>
      <c r="BA1763" s="3" t="s">
        <v>18391</v>
      </c>
      <c r="BB1763" s="3" t="s">
        <v>18392</v>
      </c>
      <c r="BC1763" s="3" t="s">
        <v>78</v>
      </c>
      <c r="BD1763" s="3" t="s">
        <v>79</v>
      </c>
      <c r="BE1763" s="3" t="s">
        <v>18393</v>
      </c>
      <c r="BF1763" s="3" t="s">
        <v>18392</v>
      </c>
      <c r="BG1763" s="3" t="s">
        <v>18394</v>
      </c>
    </row>
    <row r="1764" spans="1:59" ht="87" x14ac:dyDescent="0.35">
      <c r="A1764" s="2" t="s">
        <v>59</v>
      </c>
      <c r="B1764" s="2" t="s">
        <v>94</v>
      </c>
      <c r="C1764" s="2" t="s">
        <v>18395</v>
      </c>
      <c r="D1764" s="2" t="s">
        <v>18396</v>
      </c>
      <c r="E1764" s="2" t="s">
        <v>18397</v>
      </c>
      <c r="G1764" s="3" t="s">
        <v>64</v>
      </c>
      <c r="I1764" s="3" t="s">
        <v>64</v>
      </c>
      <c r="J1764" s="3" t="s">
        <v>64</v>
      </c>
      <c r="K1764" s="3" t="s">
        <v>65</v>
      </c>
      <c r="L1764" s="2" t="s">
        <v>18268</v>
      </c>
      <c r="M1764" s="2" t="s">
        <v>18398</v>
      </c>
      <c r="N1764" s="3" t="s">
        <v>719</v>
      </c>
      <c r="O1764" s="2" t="s">
        <v>2295</v>
      </c>
      <c r="P1764" s="3" t="s">
        <v>69</v>
      </c>
      <c r="R1764" s="3" t="s">
        <v>16939</v>
      </c>
      <c r="S1764" s="4">
        <v>12</v>
      </c>
      <c r="T1764" s="4">
        <v>12</v>
      </c>
      <c r="U1764" s="5" t="s">
        <v>18399</v>
      </c>
      <c r="V1764" s="5" t="s">
        <v>18399</v>
      </c>
      <c r="W1764" s="5" t="s">
        <v>72</v>
      </c>
      <c r="X1764" s="5" t="s">
        <v>72</v>
      </c>
      <c r="Y1764" s="4">
        <v>156</v>
      </c>
      <c r="Z1764" s="4">
        <v>8</v>
      </c>
      <c r="AA1764" s="4">
        <v>30</v>
      </c>
      <c r="AB1764" s="4">
        <v>1</v>
      </c>
      <c r="AC1764" s="4">
        <v>2</v>
      </c>
      <c r="AD1764" s="4">
        <v>25</v>
      </c>
      <c r="AE1764" s="4">
        <v>113</v>
      </c>
      <c r="AF1764" s="4">
        <v>0</v>
      </c>
      <c r="AG1764" s="4">
        <v>1</v>
      </c>
      <c r="AH1764" s="4">
        <v>21</v>
      </c>
      <c r="AI1764" s="4">
        <v>100</v>
      </c>
      <c r="AJ1764" s="4">
        <v>2</v>
      </c>
      <c r="AK1764" s="4">
        <v>12</v>
      </c>
      <c r="AL1764" s="4">
        <v>10</v>
      </c>
      <c r="AM1764" s="4">
        <v>53</v>
      </c>
      <c r="AN1764" s="4">
        <v>0</v>
      </c>
      <c r="AO1764" s="4">
        <v>0</v>
      </c>
      <c r="AP1764" s="4">
        <v>5</v>
      </c>
      <c r="AQ1764" s="4">
        <v>19</v>
      </c>
      <c r="AR1764" s="3" t="s">
        <v>64</v>
      </c>
      <c r="AS1764" s="3" t="s">
        <v>64</v>
      </c>
      <c r="AT1764" s="3" t="s">
        <v>64</v>
      </c>
      <c r="AV1764" s="6" t="str">
        <f>HYPERLINK("http://mcgill.on.worldcat.org/oclc/9971312","Catalog Record")</f>
        <v>Catalog Record</v>
      </c>
      <c r="AW1764" s="6" t="str">
        <f>HYPERLINK("http://www.worldcat.org/oclc/9971312","WorldCat Record")</f>
        <v>WorldCat Record</v>
      </c>
      <c r="AX1764" s="3" t="s">
        <v>18400</v>
      </c>
      <c r="AY1764" s="3" t="s">
        <v>18401</v>
      </c>
      <c r="AZ1764" s="3" t="s">
        <v>18402</v>
      </c>
      <c r="BA1764" s="3" t="s">
        <v>18402</v>
      </c>
      <c r="BB1764" s="3" t="s">
        <v>18403</v>
      </c>
      <c r="BC1764" s="3" t="s">
        <v>78</v>
      </c>
      <c r="BD1764" s="3" t="s">
        <v>79</v>
      </c>
      <c r="BE1764" s="3" t="s">
        <v>18404</v>
      </c>
      <c r="BF1764" s="3" t="s">
        <v>18403</v>
      </c>
      <c r="BG1764" s="3" t="s">
        <v>18405</v>
      </c>
    </row>
    <row r="1765" spans="1:59" ht="58" x14ac:dyDescent="0.35">
      <c r="A1765" s="2" t="s">
        <v>59</v>
      </c>
      <c r="B1765" s="2" t="s">
        <v>94</v>
      </c>
      <c r="C1765" s="2" t="s">
        <v>18406</v>
      </c>
      <c r="D1765" s="2" t="s">
        <v>18407</v>
      </c>
      <c r="E1765" s="2" t="s">
        <v>18408</v>
      </c>
      <c r="G1765" s="3" t="s">
        <v>64</v>
      </c>
      <c r="I1765" s="3" t="s">
        <v>73</v>
      </c>
      <c r="J1765" s="3" t="s">
        <v>64</v>
      </c>
      <c r="K1765" s="3" t="s">
        <v>65</v>
      </c>
      <c r="L1765" s="2" t="s">
        <v>18409</v>
      </c>
      <c r="M1765" s="2" t="s">
        <v>18410</v>
      </c>
      <c r="N1765" s="3" t="s">
        <v>861</v>
      </c>
      <c r="O1765" s="2" t="s">
        <v>1294</v>
      </c>
      <c r="P1765" s="3" t="s">
        <v>69</v>
      </c>
      <c r="Q1765" s="2" t="s">
        <v>18411</v>
      </c>
      <c r="R1765" s="3" t="s">
        <v>16939</v>
      </c>
      <c r="S1765" s="4">
        <v>39</v>
      </c>
      <c r="T1765" s="4">
        <v>156</v>
      </c>
      <c r="U1765" s="5" t="s">
        <v>15369</v>
      </c>
      <c r="V1765" s="5" t="s">
        <v>15369</v>
      </c>
      <c r="W1765" s="5" t="s">
        <v>72</v>
      </c>
      <c r="X1765" s="5" t="s">
        <v>72</v>
      </c>
      <c r="Y1765" s="4">
        <v>1787</v>
      </c>
      <c r="Z1765" s="4">
        <v>67</v>
      </c>
      <c r="AA1765" s="4">
        <v>119</v>
      </c>
      <c r="AB1765" s="4">
        <v>4</v>
      </c>
      <c r="AC1765" s="4">
        <v>14</v>
      </c>
      <c r="AD1765" s="4">
        <v>115</v>
      </c>
      <c r="AE1765" s="4">
        <v>128</v>
      </c>
      <c r="AF1765" s="4">
        <v>0</v>
      </c>
      <c r="AG1765" s="4">
        <v>3</v>
      </c>
      <c r="AH1765" s="4">
        <v>93</v>
      </c>
      <c r="AI1765" s="4">
        <v>99</v>
      </c>
      <c r="AJ1765" s="4">
        <v>15</v>
      </c>
      <c r="AK1765" s="4">
        <v>21</v>
      </c>
      <c r="AL1765" s="4">
        <v>52</v>
      </c>
      <c r="AM1765" s="4">
        <v>54</v>
      </c>
      <c r="AN1765" s="4">
        <v>0</v>
      </c>
      <c r="AO1765" s="4">
        <v>0</v>
      </c>
      <c r="AP1765" s="4">
        <v>27</v>
      </c>
      <c r="AQ1765" s="4">
        <v>35</v>
      </c>
      <c r="AR1765" s="3" t="s">
        <v>64</v>
      </c>
      <c r="AS1765" s="3" t="s">
        <v>64</v>
      </c>
      <c r="AT1765" s="3" t="s">
        <v>64</v>
      </c>
      <c r="AV1765" s="6" t="str">
        <f>HYPERLINK("http://mcgill.on.worldcat.org/oclc/55138900","Catalog Record")</f>
        <v>Catalog Record</v>
      </c>
      <c r="AW1765" s="6" t="str">
        <f>HYPERLINK("http://www.worldcat.org/oclc/55138900","WorldCat Record")</f>
        <v>WorldCat Record</v>
      </c>
      <c r="AX1765" s="3" t="s">
        <v>18412</v>
      </c>
      <c r="AY1765" s="3" t="s">
        <v>18413</v>
      </c>
      <c r="AZ1765" s="3" t="s">
        <v>18414</v>
      </c>
      <c r="BA1765" s="3" t="s">
        <v>18414</v>
      </c>
      <c r="BB1765" s="3" t="s">
        <v>18415</v>
      </c>
      <c r="BC1765" s="3" t="s">
        <v>78</v>
      </c>
      <c r="BD1765" s="3" t="s">
        <v>414</v>
      </c>
      <c r="BE1765" s="3" t="s">
        <v>18416</v>
      </c>
      <c r="BF1765" s="3" t="s">
        <v>18415</v>
      </c>
      <c r="BG1765" s="3" t="s">
        <v>18417</v>
      </c>
    </row>
    <row r="1766" spans="1:59" ht="58" x14ac:dyDescent="0.35">
      <c r="A1766" s="2" t="s">
        <v>59</v>
      </c>
      <c r="B1766" s="2" t="s">
        <v>94</v>
      </c>
      <c r="C1766" s="2" t="s">
        <v>18406</v>
      </c>
      <c r="D1766" s="2" t="s">
        <v>18407</v>
      </c>
      <c r="E1766" s="2" t="s">
        <v>18408</v>
      </c>
      <c r="F1766" s="3" t="s">
        <v>18418</v>
      </c>
      <c r="G1766" s="3" t="s">
        <v>64</v>
      </c>
      <c r="I1766" s="3" t="s">
        <v>73</v>
      </c>
      <c r="J1766" s="3" t="s">
        <v>64</v>
      </c>
      <c r="K1766" s="3" t="s">
        <v>65</v>
      </c>
      <c r="L1766" s="2" t="s">
        <v>18409</v>
      </c>
      <c r="M1766" s="2" t="s">
        <v>18410</v>
      </c>
      <c r="N1766" s="3" t="s">
        <v>861</v>
      </c>
      <c r="O1766" s="2" t="s">
        <v>1294</v>
      </c>
      <c r="P1766" s="3" t="s">
        <v>69</v>
      </c>
      <c r="Q1766" s="2" t="s">
        <v>18411</v>
      </c>
      <c r="R1766" s="3" t="s">
        <v>16939</v>
      </c>
      <c r="S1766" s="4">
        <v>60</v>
      </c>
      <c r="T1766" s="4">
        <v>156</v>
      </c>
      <c r="U1766" s="5" t="s">
        <v>18419</v>
      </c>
      <c r="V1766" s="5" t="s">
        <v>15369</v>
      </c>
      <c r="W1766" s="5" t="s">
        <v>72</v>
      </c>
      <c r="X1766" s="5" t="s">
        <v>72</v>
      </c>
      <c r="Y1766" s="4">
        <v>1787</v>
      </c>
      <c r="Z1766" s="4">
        <v>67</v>
      </c>
      <c r="AA1766" s="4">
        <v>119</v>
      </c>
      <c r="AB1766" s="4">
        <v>4</v>
      </c>
      <c r="AC1766" s="4">
        <v>14</v>
      </c>
      <c r="AD1766" s="4">
        <v>115</v>
      </c>
      <c r="AE1766" s="4">
        <v>128</v>
      </c>
      <c r="AF1766" s="4">
        <v>0</v>
      </c>
      <c r="AG1766" s="4">
        <v>3</v>
      </c>
      <c r="AH1766" s="4">
        <v>93</v>
      </c>
      <c r="AI1766" s="4">
        <v>99</v>
      </c>
      <c r="AJ1766" s="4">
        <v>15</v>
      </c>
      <c r="AK1766" s="4">
        <v>21</v>
      </c>
      <c r="AL1766" s="4">
        <v>52</v>
      </c>
      <c r="AM1766" s="4">
        <v>54</v>
      </c>
      <c r="AN1766" s="4">
        <v>0</v>
      </c>
      <c r="AO1766" s="4">
        <v>0</v>
      </c>
      <c r="AP1766" s="4">
        <v>27</v>
      </c>
      <c r="AQ1766" s="4">
        <v>35</v>
      </c>
      <c r="AR1766" s="3" t="s">
        <v>64</v>
      </c>
      <c r="AS1766" s="3" t="s">
        <v>64</v>
      </c>
      <c r="AT1766" s="3" t="s">
        <v>64</v>
      </c>
      <c r="AV1766" s="6" t="str">
        <f>HYPERLINK("http://mcgill.on.worldcat.org/oclc/55138900","Catalog Record")</f>
        <v>Catalog Record</v>
      </c>
      <c r="AW1766" s="6" t="str">
        <f>HYPERLINK("http://www.worldcat.org/oclc/55138900","WorldCat Record")</f>
        <v>WorldCat Record</v>
      </c>
      <c r="AX1766" s="3" t="s">
        <v>18412</v>
      </c>
      <c r="AY1766" s="3" t="s">
        <v>18413</v>
      </c>
      <c r="AZ1766" s="3" t="s">
        <v>18414</v>
      </c>
      <c r="BA1766" s="3" t="s">
        <v>18414</v>
      </c>
      <c r="BB1766" s="3" t="s">
        <v>18420</v>
      </c>
      <c r="BC1766" s="3" t="s">
        <v>78</v>
      </c>
      <c r="BD1766" s="3" t="s">
        <v>79</v>
      </c>
      <c r="BE1766" s="3" t="s">
        <v>18416</v>
      </c>
      <c r="BF1766" s="3" t="s">
        <v>18420</v>
      </c>
      <c r="BG1766" s="3" t="s">
        <v>18421</v>
      </c>
    </row>
    <row r="1767" spans="1:59" ht="58" x14ac:dyDescent="0.35">
      <c r="A1767" s="2" t="s">
        <v>59</v>
      </c>
      <c r="B1767" s="2" t="s">
        <v>94</v>
      </c>
      <c r="C1767" s="2" t="s">
        <v>18406</v>
      </c>
      <c r="D1767" s="2" t="s">
        <v>18407</v>
      </c>
      <c r="E1767" s="2" t="s">
        <v>18408</v>
      </c>
      <c r="G1767" s="3" t="s">
        <v>64</v>
      </c>
      <c r="I1767" s="3" t="s">
        <v>73</v>
      </c>
      <c r="J1767" s="3" t="s">
        <v>64</v>
      </c>
      <c r="K1767" s="3" t="s">
        <v>65</v>
      </c>
      <c r="L1767" s="2" t="s">
        <v>18409</v>
      </c>
      <c r="M1767" s="2" t="s">
        <v>18410</v>
      </c>
      <c r="N1767" s="3" t="s">
        <v>861</v>
      </c>
      <c r="O1767" s="2" t="s">
        <v>1294</v>
      </c>
      <c r="P1767" s="3" t="s">
        <v>69</v>
      </c>
      <c r="Q1767" s="2" t="s">
        <v>18411</v>
      </c>
      <c r="R1767" s="3" t="s">
        <v>16939</v>
      </c>
      <c r="S1767" s="4">
        <v>57</v>
      </c>
      <c r="T1767" s="4">
        <v>156</v>
      </c>
      <c r="U1767" s="5" t="s">
        <v>18422</v>
      </c>
      <c r="V1767" s="5" t="s">
        <v>15369</v>
      </c>
      <c r="W1767" s="5" t="s">
        <v>72</v>
      </c>
      <c r="X1767" s="5" t="s">
        <v>72</v>
      </c>
      <c r="Y1767" s="4">
        <v>1787</v>
      </c>
      <c r="Z1767" s="4">
        <v>67</v>
      </c>
      <c r="AA1767" s="4">
        <v>119</v>
      </c>
      <c r="AB1767" s="4">
        <v>4</v>
      </c>
      <c r="AC1767" s="4">
        <v>14</v>
      </c>
      <c r="AD1767" s="4">
        <v>115</v>
      </c>
      <c r="AE1767" s="4">
        <v>128</v>
      </c>
      <c r="AF1767" s="4">
        <v>0</v>
      </c>
      <c r="AG1767" s="4">
        <v>3</v>
      </c>
      <c r="AH1767" s="4">
        <v>93</v>
      </c>
      <c r="AI1767" s="4">
        <v>99</v>
      </c>
      <c r="AJ1767" s="4">
        <v>15</v>
      </c>
      <c r="AK1767" s="4">
        <v>21</v>
      </c>
      <c r="AL1767" s="4">
        <v>52</v>
      </c>
      <c r="AM1767" s="4">
        <v>54</v>
      </c>
      <c r="AN1767" s="4">
        <v>0</v>
      </c>
      <c r="AO1767" s="4">
        <v>0</v>
      </c>
      <c r="AP1767" s="4">
        <v>27</v>
      </c>
      <c r="AQ1767" s="4">
        <v>35</v>
      </c>
      <c r="AR1767" s="3" t="s">
        <v>64</v>
      </c>
      <c r="AS1767" s="3" t="s">
        <v>64</v>
      </c>
      <c r="AT1767" s="3" t="s">
        <v>64</v>
      </c>
      <c r="AV1767" s="6" t="str">
        <f>HYPERLINK("http://mcgill.on.worldcat.org/oclc/55138900","Catalog Record")</f>
        <v>Catalog Record</v>
      </c>
      <c r="AW1767" s="6" t="str">
        <f>HYPERLINK("http://www.worldcat.org/oclc/55138900","WorldCat Record")</f>
        <v>WorldCat Record</v>
      </c>
      <c r="AX1767" s="3" t="s">
        <v>18412</v>
      </c>
      <c r="AY1767" s="3" t="s">
        <v>18413</v>
      </c>
      <c r="AZ1767" s="3" t="s">
        <v>18414</v>
      </c>
      <c r="BA1767" s="3" t="s">
        <v>18414</v>
      </c>
      <c r="BB1767" s="3" t="s">
        <v>18423</v>
      </c>
      <c r="BC1767" s="3" t="s">
        <v>78</v>
      </c>
      <c r="BD1767" s="3" t="s">
        <v>79</v>
      </c>
      <c r="BE1767" s="3" t="s">
        <v>18416</v>
      </c>
      <c r="BF1767" s="3" t="s">
        <v>18423</v>
      </c>
      <c r="BG1767" s="3" t="s">
        <v>18424</v>
      </c>
    </row>
    <row r="1768" spans="1:59" ht="58" x14ac:dyDescent="0.35">
      <c r="A1768" s="2" t="s">
        <v>59</v>
      </c>
      <c r="B1768" s="2" t="s">
        <v>94</v>
      </c>
      <c r="C1768" s="2" t="s">
        <v>18425</v>
      </c>
      <c r="D1768" s="2" t="s">
        <v>18426</v>
      </c>
      <c r="E1768" s="2" t="s">
        <v>18427</v>
      </c>
      <c r="G1768" s="3" t="s">
        <v>64</v>
      </c>
      <c r="I1768" s="3" t="s">
        <v>64</v>
      </c>
      <c r="J1768" s="3" t="s">
        <v>64</v>
      </c>
      <c r="K1768" s="3" t="s">
        <v>65</v>
      </c>
      <c r="L1768" s="2" t="s">
        <v>18428</v>
      </c>
      <c r="M1768" s="2" t="s">
        <v>537</v>
      </c>
      <c r="N1768" s="3" t="s">
        <v>538</v>
      </c>
      <c r="P1768" s="3" t="s">
        <v>69</v>
      </c>
      <c r="Q1768" s="2" t="s">
        <v>539</v>
      </c>
      <c r="R1768" s="3" t="s">
        <v>16939</v>
      </c>
      <c r="S1768" s="4">
        <v>8</v>
      </c>
      <c r="T1768" s="4">
        <v>8</v>
      </c>
      <c r="U1768" s="5" t="s">
        <v>18429</v>
      </c>
      <c r="V1768" s="5" t="s">
        <v>18429</v>
      </c>
      <c r="W1768" s="5" t="s">
        <v>72</v>
      </c>
      <c r="X1768" s="5" t="s">
        <v>72</v>
      </c>
      <c r="Y1768" s="4">
        <v>153</v>
      </c>
      <c r="Z1768" s="4">
        <v>15</v>
      </c>
      <c r="AA1768" s="4">
        <v>20</v>
      </c>
      <c r="AB1768" s="4">
        <v>2</v>
      </c>
      <c r="AC1768" s="4">
        <v>6</v>
      </c>
      <c r="AD1768" s="4">
        <v>58</v>
      </c>
      <c r="AE1768" s="4">
        <v>67</v>
      </c>
      <c r="AF1768" s="4">
        <v>1</v>
      </c>
      <c r="AG1768" s="4">
        <v>2</v>
      </c>
      <c r="AH1768" s="4">
        <v>50</v>
      </c>
      <c r="AI1768" s="4">
        <v>57</v>
      </c>
      <c r="AJ1768" s="4">
        <v>10</v>
      </c>
      <c r="AK1768" s="4">
        <v>11</v>
      </c>
      <c r="AL1768" s="4">
        <v>34</v>
      </c>
      <c r="AM1768" s="4">
        <v>36</v>
      </c>
      <c r="AN1768" s="4">
        <v>5</v>
      </c>
      <c r="AO1768" s="4">
        <v>5</v>
      </c>
      <c r="AP1768" s="4">
        <v>11</v>
      </c>
      <c r="AQ1768" s="4">
        <v>13</v>
      </c>
      <c r="AR1768" s="3" t="s">
        <v>64</v>
      </c>
      <c r="AS1768" s="3" t="s">
        <v>64</v>
      </c>
      <c r="AT1768" s="3" t="s">
        <v>73</v>
      </c>
      <c r="AU1768" s="6" t="str">
        <f>HYPERLINK("http://catalog.hathitrust.org/Record/005629338","HathiTrust Record")</f>
        <v>HathiTrust Record</v>
      </c>
      <c r="AV1768" s="6" t="str">
        <f>HYPERLINK("http://mcgill.on.worldcat.org/oclc/70129164","Catalog Record")</f>
        <v>Catalog Record</v>
      </c>
      <c r="AW1768" s="6" t="str">
        <f>HYPERLINK("http://www.worldcat.org/oclc/70129164","WorldCat Record")</f>
        <v>WorldCat Record</v>
      </c>
      <c r="AX1768" s="3" t="s">
        <v>18430</v>
      </c>
      <c r="AY1768" s="3" t="s">
        <v>18431</v>
      </c>
      <c r="AZ1768" s="3" t="s">
        <v>18432</v>
      </c>
      <c r="BA1768" s="3" t="s">
        <v>18432</v>
      </c>
      <c r="BB1768" s="3" t="s">
        <v>18433</v>
      </c>
      <c r="BC1768" s="3" t="s">
        <v>78</v>
      </c>
      <c r="BD1768" s="3" t="s">
        <v>79</v>
      </c>
      <c r="BE1768" s="3" t="s">
        <v>18434</v>
      </c>
      <c r="BF1768" s="3" t="s">
        <v>18433</v>
      </c>
      <c r="BG1768" s="3" t="s">
        <v>18435</v>
      </c>
    </row>
    <row r="1769" spans="1:59" ht="58" x14ac:dyDescent="0.35">
      <c r="A1769" s="2" t="s">
        <v>59</v>
      </c>
      <c r="B1769" s="2" t="s">
        <v>94</v>
      </c>
      <c r="C1769" s="2" t="s">
        <v>18436</v>
      </c>
      <c r="D1769" s="2" t="s">
        <v>18437</v>
      </c>
      <c r="E1769" s="2" t="s">
        <v>18438</v>
      </c>
      <c r="G1769" s="3" t="s">
        <v>64</v>
      </c>
      <c r="I1769" s="3" t="s">
        <v>64</v>
      </c>
      <c r="J1769" s="3" t="s">
        <v>64</v>
      </c>
      <c r="K1769" s="3" t="s">
        <v>65</v>
      </c>
      <c r="L1769" s="2" t="s">
        <v>18439</v>
      </c>
      <c r="M1769" s="2" t="s">
        <v>18440</v>
      </c>
      <c r="N1769" s="3" t="s">
        <v>68</v>
      </c>
      <c r="O1769" s="2" t="s">
        <v>18441</v>
      </c>
      <c r="P1769" s="3" t="s">
        <v>69</v>
      </c>
      <c r="R1769" s="3" t="s">
        <v>16939</v>
      </c>
      <c r="S1769" s="4">
        <v>10</v>
      </c>
      <c r="T1769" s="4">
        <v>10</v>
      </c>
      <c r="U1769" s="5" t="s">
        <v>18442</v>
      </c>
      <c r="V1769" s="5" t="s">
        <v>18442</v>
      </c>
      <c r="W1769" s="5" t="s">
        <v>72</v>
      </c>
      <c r="X1769" s="5" t="s">
        <v>72</v>
      </c>
      <c r="Y1769" s="4">
        <v>510</v>
      </c>
      <c r="Z1769" s="4">
        <v>21</v>
      </c>
      <c r="AA1769" s="4">
        <v>43</v>
      </c>
      <c r="AB1769" s="4">
        <v>1</v>
      </c>
      <c r="AC1769" s="4">
        <v>5</v>
      </c>
      <c r="AD1769" s="4">
        <v>29</v>
      </c>
      <c r="AE1769" s="4">
        <v>49</v>
      </c>
      <c r="AF1769" s="4">
        <v>0</v>
      </c>
      <c r="AG1769" s="4">
        <v>1</v>
      </c>
      <c r="AH1769" s="4">
        <v>29</v>
      </c>
      <c r="AI1769" s="4">
        <v>47</v>
      </c>
      <c r="AJ1769" s="4">
        <v>1</v>
      </c>
      <c r="AK1769" s="4">
        <v>3</v>
      </c>
      <c r="AL1769" s="4">
        <v>18</v>
      </c>
      <c r="AM1769" s="4">
        <v>26</v>
      </c>
      <c r="AN1769" s="4">
        <v>0</v>
      </c>
      <c r="AO1769" s="4">
        <v>0</v>
      </c>
      <c r="AP1769" s="4">
        <v>2</v>
      </c>
      <c r="AQ1769" s="4">
        <v>5</v>
      </c>
      <c r="AR1769" s="3" t="s">
        <v>64</v>
      </c>
      <c r="AS1769" s="3" t="s">
        <v>64</v>
      </c>
      <c r="AT1769" s="3" t="s">
        <v>73</v>
      </c>
      <c r="AU1769" s="6" t="str">
        <f>HYPERLINK("http://catalog.hathitrust.org/Record/012256918","HathiTrust Record")</f>
        <v>HathiTrust Record</v>
      </c>
      <c r="AV1769" s="6" t="str">
        <f>HYPERLINK("http://mcgill.on.worldcat.org/oclc/57475995","Catalog Record")</f>
        <v>Catalog Record</v>
      </c>
      <c r="AW1769" s="6" t="str">
        <f>HYPERLINK("http://www.worldcat.org/oclc/57475995","WorldCat Record")</f>
        <v>WorldCat Record</v>
      </c>
      <c r="AX1769" s="3" t="s">
        <v>18443</v>
      </c>
      <c r="AY1769" s="3" t="s">
        <v>18444</v>
      </c>
      <c r="AZ1769" s="3" t="s">
        <v>18445</v>
      </c>
      <c r="BA1769" s="3" t="s">
        <v>18445</v>
      </c>
      <c r="BB1769" s="3" t="s">
        <v>18446</v>
      </c>
      <c r="BC1769" s="3" t="s">
        <v>78</v>
      </c>
      <c r="BD1769" s="3" t="s">
        <v>79</v>
      </c>
      <c r="BE1769" s="3" t="s">
        <v>18447</v>
      </c>
      <c r="BF1769" s="3" t="s">
        <v>18446</v>
      </c>
      <c r="BG1769" s="3" t="s">
        <v>18448</v>
      </c>
    </row>
    <row r="1770" spans="1:59" ht="58" x14ac:dyDescent="0.35">
      <c r="A1770" s="2" t="s">
        <v>59</v>
      </c>
      <c r="B1770" s="2" t="s">
        <v>94</v>
      </c>
      <c r="C1770" s="2" t="s">
        <v>18449</v>
      </c>
      <c r="D1770" s="2" t="s">
        <v>18450</v>
      </c>
      <c r="E1770" s="2" t="s">
        <v>18451</v>
      </c>
      <c r="G1770" s="3" t="s">
        <v>64</v>
      </c>
      <c r="I1770" s="3" t="s">
        <v>64</v>
      </c>
      <c r="J1770" s="3" t="s">
        <v>64</v>
      </c>
      <c r="K1770" s="3" t="s">
        <v>65</v>
      </c>
      <c r="L1770" s="2" t="s">
        <v>18452</v>
      </c>
      <c r="M1770" s="2" t="s">
        <v>18453</v>
      </c>
      <c r="N1770" s="3" t="s">
        <v>68</v>
      </c>
      <c r="P1770" s="3" t="s">
        <v>69</v>
      </c>
      <c r="R1770" s="3" t="s">
        <v>16939</v>
      </c>
      <c r="S1770" s="4">
        <v>14</v>
      </c>
      <c r="T1770" s="4">
        <v>14</v>
      </c>
      <c r="U1770" s="5" t="s">
        <v>4240</v>
      </c>
      <c r="V1770" s="5" t="s">
        <v>4240</v>
      </c>
      <c r="W1770" s="5" t="s">
        <v>72</v>
      </c>
      <c r="X1770" s="5" t="s">
        <v>72</v>
      </c>
      <c r="Y1770" s="4">
        <v>192</v>
      </c>
      <c r="Z1770" s="4">
        <v>17</v>
      </c>
      <c r="AA1770" s="4">
        <v>17</v>
      </c>
      <c r="AB1770" s="4">
        <v>2</v>
      </c>
      <c r="AC1770" s="4">
        <v>2</v>
      </c>
      <c r="AD1770" s="4">
        <v>75</v>
      </c>
      <c r="AE1770" s="4">
        <v>75</v>
      </c>
      <c r="AF1770" s="4">
        <v>1</v>
      </c>
      <c r="AG1770" s="4">
        <v>1</v>
      </c>
      <c r="AH1770" s="4">
        <v>66</v>
      </c>
      <c r="AI1770" s="4">
        <v>66</v>
      </c>
      <c r="AJ1770" s="4">
        <v>12</v>
      </c>
      <c r="AK1770" s="4">
        <v>12</v>
      </c>
      <c r="AL1770" s="4">
        <v>39</v>
      </c>
      <c r="AM1770" s="4">
        <v>39</v>
      </c>
      <c r="AN1770" s="4">
        <v>0</v>
      </c>
      <c r="AO1770" s="4">
        <v>0</v>
      </c>
      <c r="AP1770" s="4">
        <v>14</v>
      </c>
      <c r="AQ1770" s="4">
        <v>14</v>
      </c>
      <c r="AR1770" s="3" t="s">
        <v>64</v>
      </c>
      <c r="AS1770" s="3" t="s">
        <v>64</v>
      </c>
      <c r="AT1770" s="3" t="s">
        <v>64</v>
      </c>
      <c r="AV1770" s="6" t="str">
        <f>HYPERLINK("http://mcgill.on.worldcat.org/oclc/69671982","Catalog Record")</f>
        <v>Catalog Record</v>
      </c>
      <c r="AW1770" s="6" t="str">
        <f>HYPERLINK("http://www.worldcat.org/oclc/69671982","WorldCat Record")</f>
        <v>WorldCat Record</v>
      </c>
      <c r="AX1770" s="3" t="s">
        <v>18454</v>
      </c>
      <c r="AY1770" s="3" t="s">
        <v>18455</v>
      </c>
      <c r="AZ1770" s="3" t="s">
        <v>18456</v>
      </c>
      <c r="BA1770" s="3" t="s">
        <v>18456</v>
      </c>
      <c r="BB1770" s="3" t="s">
        <v>18457</v>
      </c>
      <c r="BC1770" s="3" t="s">
        <v>78</v>
      </c>
      <c r="BD1770" s="3" t="s">
        <v>79</v>
      </c>
      <c r="BE1770" s="3" t="s">
        <v>18458</v>
      </c>
      <c r="BF1770" s="3" t="s">
        <v>18457</v>
      </c>
      <c r="BG1770" s="3" t="s">
        <v>18459</v>
      </c>
    </row>
    <row r="1771" spans="1:59" ht="58" x14ac:dyDescent="0.35">
      <c r="A1771" s="2" t="s">
        <v>59</v>
      </c>
      <c r="B1771" s="2" t="s">
        <v>94</v>
      </c>
      <c r="C1771" s="2" t="s">
        <v>18460</v>
      </c>
      <c r="D1771" s="2" t="s">
        <v>18461</v>
      </c>
      <c r="E1771" s="2" t="s">
        <v>18462</v>
      </c>
      <c r="G1771" s="3" t="s">
        <v>64</v>
      </c>
      <c r="I1771" s="3" t="s">
        <v>64</v>
      </c>
      <c r="J1771" s="3" t="s">
        <v>64</v>
      </c>
      <c r="K1771" s="3" t="s">
        <v>65</v>
      </c>
      <c r="L1771" s="2" t="s">
        <v>18463</v>
      </c>
      <c r="M1771" s="2" t="s">
        <v>18464</v>
      </c>
      <c r="N1771" s="3" t="s">
        <v>1064</v>
      </c>
      <c r="P1771" s="3" t="s">
        <v>69</v>
      </c>
      <c r="R1771" s="3" t="s">
        <v>16939</v>
      </c>
      <c r="S1771" s="4">
        <v>5</v>
      </c>
      <c r="T1771" s="4">
        <v>5</v>
      </c>
      <c r="U1771" s="5" t="s">
        <v>18465</v>
      </c>
      <c r="V1771" s="5" t="s">
        <v>18465</v>
      </c>
      <c r="W1771" s="5" t="s">
        <v>72</v>
      </c>
      <c r="X1771" s="5" t="s">
        <v>72</v>
      </c>
      <c r="Y1771" s="4">
        <v>214</v>
      </c>
      <c r="Z1771" s="4">
        <v>10</v>
      </c>
      <c r="AA1771" s="4">
        <v>12</v>
      </c>
      <c r="AB1771" s="4">
        <v>2</v>
      </c>
      <c r="AC1771" s="4">
        <v>4</v>
      </c>
      <c r="AD1771" s="4">
        <v>79</v>
      </c>
      <c r="AE1771" s="4">
        <v>80</v>
      </c>
      <c r="AF1771" s="4">
        <v>0</v>
      </c>
      <c r="AG1771" s="4">
        <v>0</v>
      </c>
      <c r="AH1771" s="4">
        <v>74</v>
      </c>
      <c r="AI1771" s="4">
        <v>75</v>
      </c>
      <c r="AJ1771" s="4">
        <v>5</v>
      </c>
      <c r="AK1771" s="4">
        <v>5</v>
      </c>
      <c r="AL1771" s="4">
        <v>41</v>
      </c>
      <c r="AM1771" s="4">
        <v>41</v>
      </c>
      <c r="AN1771" s="4">
        <v>0</v>
      </c>
      <c r="AO1771" s="4">
        <v>0</v>
      </c>
      <c r="AP1771" s="4">
        <v>6</v>
      </c>
      <c r="AQ1771" s="4">
        <v>6</v>
      </c>
      <c r="AR1771" s="3" t="s">
        <v>64</v>
      </c>
      <c r="AS1771" s="3" t="s">
        <v>64</v>
      </c>
      <c r="AT1771" s="3" t="s">
        <v>73</v>
      </c>
      <c r="AU1771" s="6" t="str">
        <f>HYPERLINK("http://catalog.hathitrust.org/Record/004084891","HathiTrust Record")</f>
        <v>HathiTrust Record</v>
      </c>
      <c r="AV1771" s="6" t="str">
        <f>HYPERLINK("http://mcgill.on.worldcat.org/oclc/41142950","Catalog Record")</f>
        <v>Catalog Record</v>
      </c>
      <c r="AW1771" s="6" t="str">
        <f>HYPERLINK("http://www.worldcat.org/oclc/41142950","WorldCat Record")</f>
        <v>WorldCat Record</v>
      </c>
      <c r="AX1771" s="3" t="s">
        <v>18466</v>
      </c>
      <c r="AY1771" s="3" t="s">
        <v>18467</v>
      </c>
      <c r="AZ1771" s="3" t="s">
        <v>18468</v>
      </c>
      <c r="BA1771" s="3" t="s">
        <v>18468</v>
      </c>
      <c r="BB1771" s="3" t="s">
        <v>18469</v>
      </c>
      <c r="BC1771" s="3" t="s">
        <v>78</v>
      </c>
      <c r="BD1771" s="3" t="s">
        <v>79</v>
      </c>
      <c r="BE1771" s="3" t="s">
        <v>18470</v>
      </c>
      <c r="BF1771" s="3" t="s">
        <v>18469</v>
      </c>
      <c r="BG1771" s="3" t="s">
        <v>18471</v>
      </c>
    </row>
    <row r="1772" spans="1:59" ht="58" x14ac:dyDescent="0.35">
      <c r="A1772" s="2" t="s">
        <v>59</v>
      </c>
      <c r="B1772" s="2" t="s">
        <v>94</v>
      </c>
      <c r="C1772" s="2" t="s">
        <v>18472</v>
      </c>
      <c r="D1772" s="2" t="s">
        <v>18473</v>
      </c>
      <c r="E1772" s="2" t="s">
        <v>18474</v>
      </c>
      <c r="G1772" s="3" t="s">
        <v>64</v>
      </c>
      <c r="I1772" s="3" t="s">
        <v>64</v>
      </c>
      <c r="J1772" s="3" t="s">
        <v>64</v>
      </c>
      <c r="K1772" s="3" t="s">
        <v>65</v>
      </c>
      <c r="L1772" s="2" t="s">
        <v>18475</v>
      </c>
      <c r="M1772" s="2" t="s">
        <v>18476</v>
      </c>
      <c r="N1772" s="3" t="s">
        <v>136</v>
      </c>
      <c r="P1772" s="3" t="s">
        <v>69</v>
      </c>
      <c r="R1772" s="3" t="s">
        <v>16939</v>
      </c>
      <c r="S1772" s="4">
        <v>25</v>
      </c>
      <c r="T1772" s="4">
        <v>25</v>
      </c>
      <c r="U1772" s="5" t="s">
        <v>18477</v>
      </c>
      <c r="V1772" s="5" t="s">
        <v>18477</v>
      </c>
      <c r="W1772" s="5" t="s">
        <v>72</v>
      </c>
      <c r="X1772" s="5" t="s">
        <v>72</v>
      </c>
      <c r="Y1772" s="4">
        <v>100</v>
      </c>
      <c r="Z1772" s="4">
        <v>38</v>
      </c>
      <c r="AA1772" s="4">
        <v>60</v>
      </c>
      <c r="AB1772" s="4">
        <v>3</v>
      </c>
      <c r="AC1772" s="4">
        <v>8</v>
      </c>
      <c r="AD1772" s="4">
        <v>27</v>
      </c>
      <c r="AE1772" s="4">
        <v>39</v>
      </c>
      <c r="AF1772" s="4">
        <v>1</v>
      </c>
      <c r="AG1772" s="4">
        <v>3</v>
      </c>
      <c r="AH1772" s="4">
        <v>17</v>
      </c>
      <c r="AI1772" s="4">
        <v>22</v>
      </c>
      <c r="AJ1772" s="4">
        <v>13</v>
      </c>
      <c r="AK1772" s="4">
        <v>16</v>
      </c>
      <c r="AL1772" s="4">
        <v>5</v>
      </c>
      <c r="AM1772" s="4">
        <v>8</v>
      </c>
      <c r="AN1772" s="4">
        <v>0</v>
      </c>
      <c r="AO1772" s="4">
        <v>0</v>
      </c>
      <c r="AP1772" s="4">
        <v>15</v>
      </c>
      <c r="AQ1772" s="4">
        <v>23</v>
      </c>
      <c r="AR1772" s="3" t="s">
        <v>73</v>
      </c>
      <c r="AS1772" s="3" t="s">
        <v>64</v>
      </c>
      <c r="AT1772" s="3" t="s">
        <v>64</v>
      </c>
      <c r="AV1772" s="6" t="str">
        <f>HYPERLINK("http://mcgill.on.worldcat.org/oclc/44620650","Catalog Record")</f>
        <v>Catalog Record</v>
      </c>
      <c r="AW1772" s="6" t="str">
        <f>HYPERLINK("http://www.worldcat.org/oclc/44620650","WorldCat Record")</f>
        <v>WorldCat Record</v>
      </c>
      <c r="AX1772" s="3" t="s">
        <v>18478</v>
      </c>
      <c r="AY1772" s="3" t="s">
        <v>18479</v>
      </c>
      <c r="AZ1772" s="3" t="s">
        <v>18480</v>
      </c>
      <c r="BA1772" s="3" t="s">
        <v>18480</v>
      </c>
      <c r="BB1772" s="3" t="s">
        <v>18481</v>
      </c>
      <c r="BC1772" s="3" t="s">
        <v>78</v>
      </c>
      <c r="BD1772" s="3" t="s">
        <v>79</v>
      </c>
      <c r="BE1772" s="3" t="s">
        <v>18482</v>
      </c>
      <c r="BF1772" s="3" t="s">
        <v>18481</v>
      </c>
      <c r="BG1772" s="3" t="s">
        <v>18483</v>
      </c>
    </row>
    <row r="1773" spans="1:59" ht="58" x14ac:dyDescent="0.35">
      <c r="A1773" s="2" t="s">
        <v>59</v>
      </c>
      <c r="B1773" s="2" t="s">
        <v>94</v>
      </c>
      <c r="C1773" s="2" t="s">
        <v>18484</v>
      </c>
      <c r="D1773" s="2" t="s">
        <v>18485</v>
      </c>
      <c r="E1773" s="2" t="s">
        <v>18486</v>
      </c>
      <c r="G1773" s="3" t="s">
        <v>64</v>
      </c>
      <c r="I1773" s="3" t="s">
        <v>64</v>
      </c>
      <c r="J1773" s="3" t="s">
        <v>64</v>
      </c>
      <c r="K1773" s="3" t="s">
        <v>65</v>
      </c>
      <c r="L1773" s="2" t="s">
        <v>11384</v>
      </c>
      <c r="M1773" s="2" t="s">
        <v>5089</v>
      </c>
      <c r="N1773" s="3" t="s">
        <v>214</v>
      </c>
      <c r="P1773" s="3" t="s">
        <v>69</v>
      </c>
      <c r="Q1773" s="2" t="s">
        <v>18487</v>
      </c>
      <c r="R1773" s="3" t="s">
        <v>16939</v>
      </c>
      <c r="S1773" s="4">
        <v>0</v>
      </c>
      <c r="T1773" s="4">
        <v>0</v>
      </c>
      <c r="W1773" s="5" t="s">
        <v>72</v>
      </c>
      <c r="X1773" s="5" t="s">
        <v>72</v>
      </c>
      <c r="Y1773" s="4">
        <v>96</v>
      </c>
      <c r="Z1773" s="4">
        <v>8</v>
      </c>
      <c r="AA1773" s="4">
        <v>11</v>
      </c>
      <c r="AB1773" s="4">
        <v>1</v>
      </c>
      <c r="AC1773" s="4">
        <v>1</v>
      </c>
      <c r="AD1773" s="4">
        <v>55</v>
      </c>
      <c r="AE1773" s="4">
        <v>59</v>
      </c>
      <c r="AF1773" s="4">
        <v>0</v>
      </c>
      <c r="AG1773" s="4">
        <v>0</v>
      </c>
      <c r="AH1773" s="4">
        <v>53</v>
      </c>
      <c r="AI1773" s="4">
        <v>56</v>
      </c>
      <c r="AJ1773" s="4">
        <v>5</v>
      </c>
      <c r="AK1773" s="4">
        <v>8</v>
      </c>
      <c r="AL1773" s="4">
        <v>28</v>
      </c>
      <c r="AM1773" s="4">
        <v>28</v>
      </c>
      <c r="AN1773" s="4">
        <v>0</v>
      </c>
      <c r="AO1773" s="4">
        <v>0</v>
      </c>
      <c r="AP1773" s="4">
        <v>6</v>
      </c>
      <c r="AQ1773" s="4">
        <v>9</v>
      </c>
      <c r="AR1773" s="3" t="s">
        <v>64</v>
      </c>
      <c r="AS1773" s="3" t="s">
        <v>64</v>
      </c>
      <c r="AT1773" s="3" t="s">
        <v>64</v>
      </c>
      <c r="AV1773" s="6" t="str">
        <f>HYPERLINK("http://mcgill.on.worldcat.org/oclc/692231468","Catalog Record")</f>
        <v>Catalog Record</v>
      </c>
      <c r="AW1773" s="6" t="str">
        <f>HYPERLINK("http://www.worldcat.org/oclc/692231468","WorldCat Record")</f>
        <v>WorldCat Record</v>
      </c>
      <c r="AX1773" s="3" t="s">
        <v>18488</v>
      </c>
      <c r="AY1773" s="3" t="s">
        <v>18489</v>
      </c>
      <c r="AZ1773" s="3" t="s">
        <v>18490</v>
      </c>
      <c r="BA1773" s="3" t="s">
        <v>18490</v>
      </c>
      <c r="BB1773" s="3" t="s">
        <v>18491</v>
      </c>
      <c r="BC1773" s="3" t="s">
        <v>78</v>
      </c>
      <c r="BD1773" s="3" t="s">
        <v>79</v>
      </c>
      <c r="BE1773" s="3" t="s">
        <v>18492</v>
      </c>
      <c r="BF1773" s="3" t="s">
        <v>18491</v>
      </c>
      <c r="BG1773" s="3" t="s">
        <v>18493</v>
      </c>
    </row>
    <row r="1774" spans="1:59" ht="101.5" x14ac:dyDescent="0.35">
      <c r="A1774" s="2" t="s">
        <v>59</v>
      </c>
      <c r="B1774" s="2" t="s">
        <v>94</v>
      </c>
      <c r="C1774" s="2" t="s">
        <v>18494</v>
      </c>
      <c r="D1774" s="2" t="s">
        <v>18495</v>
      </c>
      <c r="E1774" s="2" t="s">
        <v>18496</v>
      </c>
      <c r="G1774" s="3" t="s">
        <v>64</v>
      </c>
      <c r="I1774" s="3" t="s">
        <v>64</v>
      </c>
      <c r="J1774" s="3" t="s">
        <v>64</v>
      </c>
      <c r="K1774" s="3" t="s">
        <v>65</v>
      </c>
      <c r="L1774" s="2" t="s">
        <v>11384</v>
      </c>
      <c r="M1774" s="2" t="s">
        <v>18497</v>
      </c>
      <c r="N1774" s="3" t="s">
        <v>524</v>
      </c>
      <c r="P1774" s="3" t="s">
        <v>69</v>
      </c>
      <c r="Q1774" s="2" t="s">
        <v>18498</v>
      </c>
      <c r="R1774" s="3" t="s">
        <v>16939</v>
      </c>
      <c r="S1774" s="4">
        <v>0</v>
      </c>
      <c r="T1774" s="4">
        <v>0</v>
      </c>
      <c r="W1774" s="5" t="s">
        <v>72</v>
      </c>
      <c r="X1774" s="5" t="s">
        <v>72</v>
      </c>
      <c r="Y1774" s="4">
        <v>71</v>
      </c>
      <c r="Z1774" s="4">
        <v>4</v>
      </c>
      <c r="AA1774" s="4">
        <v>32</v>
      </c>
      <c r="AB1774" s="4">
        <v>1</v>
      </c>
      <c r="AC1774" s="4">
        <v>6</v>
      </c>
      <c r="AD1774" s="4">
        <v>41</v>
      </c>
      <c r="AE1774" s="4">
        <v>92</v>
      </c>
      <c r="AF1774" s="4">
        <v>0</v>
      </c>
      <c r="AG1774" s="4">
        <v>2</v>
      </c>
      <c r="AH1774" s="4">
        <v>40</v>
      </c>
      <c r="AI1774" s="4">
        <v>75</v>
      </c>
      <c r="AJ1774" s="4">
        <v>3</v>
      </c>
      <c r="AK1774" s="4">
        <v>13</v>
      </c>
      <c r="AL1774" s="4">
        <v>21</v>
      </c>
      <c r="AM1774" s="4">
        <v>40</v>
      </c>
      <c r="AN1774" s="4">
        <v>0</v>
      </c>
      <c r="AO1774" s="4">
        <v>0</v>
      </c>
      <c r="AP1774" s="4">
        <v>3</v>
      </c>
      <c r="AQ1774" s="4">
        <v>23</v>
      </c>
      <c r="AR1774" s="3" t="s">
        <v>64</v>
      </c>
      <c r="AS1774" s="3" t="s">
        <v>64</v>
      </c>
      <c r="AT1774" s="3" t="s">
        <v>64</v>
      </c>
      <c r="AV1774" s="6" t="str">
        <f>HYPERLINK("http://mcgill.on.worldcat.org/oclc/853313654","Catalog Record")</f>
        <v>Catalog Record</v>
      </c>
      <c r="AW1774" s="6" t="str">
        <f>HYPERLINK("http://www.worldcat.org/oclc/853313654","WorldCat Record")</f>
        <v>WorldCat Record</v>
      </c>
      <c r="AX1774" s="3" t="s">
        <v>18499</v>
      </c>
      <c r="AY1774" s="3" t="s">
        <v>18500</v>
      </c>
      <c r="AZ1774" s="3" t="s">
        <v>18501</v>
      </c>
      <c r="BA1774" s="3" t="s">
        <v>18501</v>
      </c>
      <c r="BB1774" s="3" t="s">
        <v>18502</v>
      </c>
      <c r="BC1774" s="3" t="s">
        <v>78</v>
      </c>
      <c r="BD1774" s="3" t="s">
        <v>79</v>
      </c>
      <c r="BE1774" s="3" t="s">
        <v>18503</v>
      </c>
      <c r="BF1774" s="3" t="s">
        <v>18502</v>
      </c>
      <c r="BG1774" s="3" t="s">
        <v>18504</v>
      </c>
    </row>
    <row r="1775" spans="1:59" ht="58" x14ac:dyDescent="0.35">
      <c r="A1775" s="2" t="s">
        <v>59</v>
      </c>
      <c r="B1775" s="2" t="s">
        <v>94</v>
      </c>
      <c r="C1775" s="2" t="s">
        <v>18505</v>
      </c>
      <c r="D1775" s="2" t="s">
        <v>18506</v>
      </c>
      <c r="E1775" s="2" t="s">
        <v>18507</v>
      </c>
      <c r="G1775" s="3" t="s">
        <v>64</v>
      </c>
      <c r="I1775" s="3" t="s">
        <v>64</v>
      </c>
      <c r="J1775" s="3" t="s">
        <v>64</v>
      </c>
      <c r="K1775" s="3" t="s">
        <v>65</v>
      </c>
      <c r="L1775" s="2" t="s">
        <v>18508</v>
      </c>
      <c r="M1775" s="2" t="s">
        <v>15258</v>
      </c>
      <c r="N1775" s="3" t="s">
        <v>1029</v>
      </c>
      <c r="P1775" s="3" t="s">
        <v>69</v>
      </c>
      <c r="R1775" s="3" t="s">
        <v>16939</v>
      </c>
      <c r="S1775" s="4">
        <v>2</v>
      </c>
      <c r="T1775" s="4">
        <v>2</v>
      </c>
      <c r="U1775" s="5" t="s">
        <v>1384</v>
      </c>
      <c r="V1775" s="5" t="s">
        <v>1384</v>
      </c>
      <c r="W1775" s="5" t="s">
        <v>72</v>
      </c>
      <c r="X1775" s="5" t="s">
        <v>72</v>
      </c>
      <c r="Y1775" s="4">
        <v>707</v>
      </c>
      <c r="Z1775" s="4">
        <v>20</v>
      </c>
      <c r="AA1775" s="4">
        <v>111</v>
      </c>
      <c r="AB1775" s="4">
        <v>2</v>
      </c>
      <c r="AC1775" s="4">
        <v>19</v>
      </c>
      <c r="AD1775" s="4">
        <v>91</v>
      </c>
      <c r="AE1775" s="4">
        <v>140</v>
      </c>
      <c r="AF1775" s="4">
        <v>0</v>
      </c>
      <c r="AG1775" s="4">
        <v>8</v>
      </c>
      <c r="AH1775" s="4">
        <v>83</v>
      </c>
      <c r="AI1775" s="4">
        <v>104</v>
      </c>
      <c r="AJ1775" s="4">
        <v>12</v>
      </c>
      <c r="AK1775" s="4">
        <v>23</v>
      </c>
      <c r="AL1775" s="4">
        <v>46</v>
      </c>
      <c r="AM1775" s="4">
        <v>55</v>
      </c>
      <c r="AN1775" s="4">
        <v>0</v>
      </c>
      <c r="AO1775" s="4">
        <v>0</v>
      </c>
      <c r="AP1775" s="4">
        <v>14</v>
      </c>
      <c r="AQ1775" s="4">
        <v>45</v>
      </c>
      <c r="AR1775" s="3" t="s">
        <v>64</v>
      </c>
      <c r="AS1775" s="3" t="s">
        <v>64</v>
      </c>
      <c r="AT1775" s="3" t="s">
        <v>64</v>
      </c>
      <c r="AV1775" s="6" t="str">
        <f>HYPERLINK("http://mcgill.on.worldcat.org/oclc/316037930","Catalog Record")</f>
        <v>Catalog Record</v>
      </c>
      <c r="AW1775" s="6" t="str">
        <f>HYPERLINK("http://www.worldcat.org/oclc/316037930","WorldCat Record")</f>
        <v>WorldCat Record</v>
      </c>
      <c r="AX1775" s="3" t="s">
        <v>18509</v>
      </c>
      <c r="AY1775" s="3" t="s">
        <v>18510</v>
      </c>
      <c r="AZ1775" s="3" t="s">
        <v>18511</v>
      </c>
      <c r="BA1775" s="3" t="s">
        <v>18511</v>
      </c>
      <c r="BB1775" s="3" t="s">
        <v>18512</v>
      </c>
      <c r="BC1775" s="3" t="s">
        <v>78</v>
      </c>
      <c r="BD1775" s="3" t="s">
        <v>79</v>
      </c>
      <c r="BE1775" s="3" t="s">
        <v>18513</v>
      </c>
      <c r="BF1775" s="3" t="s">
        <v>18512</v>
      </c>
      <c r="BG1775" s="3" t="s">
        <v>18514</v>
      </c>
    </row>
    <row r="1776" spans="1:59" ht="58" x14ac:dyDescent="0.35">
      <c r="A1776" s="2" t="s">
        <v>59</v>
      </c>
      <c r="B1776" s="2" t="s">
        <v>94</v>
      </c>
      <c r="C1776" s="2" t="s">
        <v>18515</v>
      </c>
      <c r="D1776" s="2" t="s">
        <v>18516</v>
      </c>
      <c r="E1776" s="2" t="s">
        <v>18517</v>
      </c>
      <c r="G1776" s="3" t="s">
        <v>64</v>
      </c>
      <c r="I1776" s="3" t="s">
        <v>64</v>
      </c>
      <c r="J1776" s="3" t="s">
        <v>64</v>
      </c>
      <c r="K1776" s="3" t="s">
        <v>65</v>
      </c>
      <c r="L1776" s="2" t="s">
        <v>18518</v>
      </c>
      <c r="M1776" s="2" t="s">
        <v>461</v>
      </c>
      <c r="N1776" s="3" t="s">
        <v>377</v>
      </c>
      <c r="P1776" s="3" t="s">
        <v>69</v>
      </c>
      <c r="Q1776" s="2" t="s">
        <v>18519</v>
      </c>
      <c r="R1776" s="3" t="s">
        <v>16939</v>
      </c>
      <c r="S1776" s="4">
        <v>1</v>
      </c>
      <c r="T1776" s="4">
        <v>1</v>
      </c>
      <c r="U1776" s="5" t="s">
        <v>1384</v>
      </c>
      <c r="V1776" s="5" t="s">
        <v>1384</v>
      </c>
      <c r="W1776" s="5" t="s">
        <v>72</v>
      </c>
      <c r="X1776" s="5" t="s">
        <v>72</v>
      </c>
      <c r="Y1776" s="4">
        <v>150</v>
      </c>
      <c r="Z1776" s="4">
        <v>8</v>
      </c>
      <c r="AA1776" s="4">
        <v>52</v>
      </c>
      <c r="AB1776" s="4">
        <v>2</v>
      </c>
      <c r="AC1776" s="4">
        <v>7</v>
      </c>
      <c r="AD1776" s="4">
        <v>49</v>
      </c>
      <c r="AE1776" s="4">
        <v>84</v>
      </c>
      <c r="AF1776" s="4">
        <v>1</v>
      </c>
      <c r="AG1776" s="4">
        <v>3</v>
      </c>
      <c r="AH1776" s="4">
        <v>45</v>
      </c>
      <c r="AI1776" s="4">
        <v>65</v>
      </c>
      <c r="AJ1776" s="4">
        <v>5</v>
      </c>
      <c r="AK1776" s="4">
        <v>16</v>
      </c>
      <c r="AL1776" s="4">
        <v>32</v>
      </c>
      <c r="AM1776" s="4">
        <v>39</v>
      </c>
      <c r="AN1776" s="4">
        <v>0</v>
      </c>
      <c r="AO1776" s="4">
        <v>0</v>
      </c>
      <c r="AP1776" s="4">
        <v>6</v>
      </c>
      <c r="AQ1776" s="4">
        <v>27</v>
      </c>
      <c r="AR1776" s="3" t="s">
        <v>64</v>
      </c>
      <c r="AS1776" s="3" t="s">
        <v>64</v>
      </c>
      <c r="AT1776" s="3" t="s">
        <v>64</v>
      </c>
      <c r="AV1776" s="6" t="str">
        <f>HYPERLINK("http://mcgill.on.worldcat.org/oclc/741103475","Catalog Record")</f>
        <v>Catalog Record</v>
      </c>
      <c r="AW1776" s="6" t="str">
        <f>HYPERLINK("http://www.worldcat.org/oclc/741103475","WorldCat Record")</f>
        <v>WorldCat Record</v>
      </c>
      <c r="AX1776" s="3" t="s">
        <v>18520</v>
      </c>
      <c r="AY1776" s="3" t="s">
        <v>18521</v>
      </c>
      <c r="AZ1776" s="3" t="s">
        <v>18522</v>
      </c>
      <c r="BA1776" s="3" t="s">
        <v>18522</v>
      </c>
      <c r="BB1776" s="3" t="s">
        <v>18523</v>
      </c>
      <c r="BC1776" s="3" t="s">
        <v>78</v>
      </c>
      <c r="BD1776" s="3" t="s">
        <v>79</v>
      </c>
      <c r="BE1776" s="3" t="s">
        <v>18524</v>
      </c>
      <c r="BF1776" s="3" t="s">
        <v>18523</v>
      </c>
      <c r="BG1776" s="3" t="s">
        <v>18525</v>
      </c>
    </row>
    <row r="1777" spans="1:59" ht="72.5" x14ac:dyDescent="0.35">
      <c r="A1777" s="2" t="s">
        <v>59</v>
      </c>
      <c r="B1777" s="2" t="s">
        <v>94</v>
      </c>
      <c r="C1777" s="2" t="s">
        <v>18526</v>
      </c>
      <c r="D1777" s="2" t="s">
        <v>18527</v>
      </c>
      <c r="E1777" s="2" t="s">
        <v>18528</v>
      </c>
      <c r="G1777" s="3" t="s">
        <v>64</v>
      </c>
      <c r="I1777" s="3" t="s">
        <v>64</v>
      </c>
      <c r="J1777" s="3" t="s">
        <v>64</v>
      </c>
      <c r="K1777" s="3" t="s">
        <v>65</v>
      </c>
      <c r="L1777" s="2" t="s">
        <v>18529</v>
      </c>
      <c r="M1777" s="2" t="s">
        <v>7296</v>
      </c>
      <c r="N1777" s="3" t="s">
        <v>175</v>
      </c>
      <c r="P1777" s="3" t="s">
        <v>69</v>
      </c>
      <c r="R1777" s="3" t="s">
        <v>16939</v>
      </c>
      <c r="S1777" s="4">
        <v>0</v>
      </c>
      <c r="T1777" s="4">
        <v>0</v>
      </c>
      <c r="W1777" s="5" t="s">
        <v>72</v>
      </c>
      <c r="X1777" s="5" t="s">
        <v>72</v>
      </c>
      <c r="Y1777" s="4">
        <v>63</v>
      </c>
      <c r="Z1777" s="4">
        <v>3</v>
      </c>
      <c r="AA1777" s="4">
        <v>32</v>
      </c>
      <c r="AB1777" s="4">
        <v>1</v>
      </c>
      <c r="AC1777" s="4">
        <v>6</v>
      </c>
      <c r="AD1777" s="4">
        <v>41</v>
      </c>
      <c r="AE1777" s="4">
        <v>92</v>
      </c>
      <c r="AF1777" s="4">
        <v>0</v>
      </c>
      <c r="AG1777" s="4">
        <v>2</v>
      </c>
      <c r="AH1777" s="4">
        <v>40</v>
      </c>
      <c r="AI1777" s="4">
        <v>75</v>
      </c>
      <c r="AJ1777" s="4">
        <v>2</v>
      </c>
      <c r="AK1777" s="4">
        <v>13</v>
      </c>
      <c r="AL1777" s="4">
        <v>23</v>
      </c>
      <c r="AM1777" s="4">
        <v>41</v>
      </c>
      <c r="AN1777" s="4">
        <v>0</v>
      </c>
      <c r="AO1777" s="4">
        <v>0</v>
      </c>
      <c r="AP1777" s="4">
        <v>2</v>
      </c>
      <c r="AQ1777" s="4">
        <v>23</v>
      </c>
      <c r="AR1777" s="3" t="s">
        <v>64</v>
      </c>
      <c r="AS1777" s="3" t="s">
        <v>64</v>
      </c>
      <c r="AT1777" s="3" t="s">
        <v>64</v>
      </c>
      <c r="AV1777" s="6" t="str">
        <f>HYPERLINK("http://mcgill.on.worldcat.org/oclc/867840256","Catalog Record")</f>
        <v>Catalog Record</v>
      </c>
      <c r="AW1777" s="6" t="str">
        <f>HYPERLINK("http://www.worldcat.org/oclc/867840256","WorldCat Record")</f>
        <v>WorldCat Record</v>
      </c>
      <c r="AX1777" s="3" t="s">
        <v>18530</v>
      </c>
      <c r="AY1777" s="3" t="s">
        <v>18531</v>
      </c>
      <c r="AZ1777" s="3" t="s">
        <v>18532</v>
      </c>
      <c r="BA1777" s="3" t="s">
        <v>18532</v>
      </c>
      <c r="BB1777" s="3" t="s">
        <v>18533</v>
      </c>
      <c r="BC1777" s="3" t="s">
        <v>78</v>
      </c>
      <c r="BD1777" s="3" t="s">
        <v>79</v>
      </c>
      <c r="BE1777" s="3" t="s">
        <v>18534</v>
      </c>
      <c r="BF1777" s="3" t="s">
        <v>18533</v>
      </c>
      <c r="BG1777" s="3" t="s">
        <v>18535</v>
      </c>
    </row>
    <row r="1778" spans="1:59" ht="72.5" x14ac:dyDescent="0.35">
      <c r="A1778" s="2" t="s">
        <v>59</v>
      </c>
      <c r="B1778" s="2" t="s">
        <v>94</v>
      </c>
      <c r="C1778" s="2" t="s">
        <v>18536</v>
      </c>
      <c r="D1778" s="2" t="s">
        <v>18537</v>
      </c>
      <c r="E1778" s="2" t="s">
        <v>18538</v>
      </c>
      <c r="G1778" s="3" t="s">
        <v>64</v>
      </c>
      <c r="I1778" s="3" t="s">
        <v>64</v>
      </c>
      <c r="J1778" s="3" t="s">
        <v>64</v>
      </c>
      <c r="K1778" s="3" t="s">
        <v>65</v>
      </c>
      <c r="L1778" s="2" t="s">
        <v>12780</v>
      </c>
      <c r="M1778" s="2" t="s">
        <v>5077</v>
      </c>
      <c r="N1778" s="3" t="s">
        <v>328</v>
      </c>
      <c r="P1778" s="3" t="s">
        <v>69</v>
      </c>
      <c r="Q1778" s="2" t="s">
        <v>5134</v>
      </c>
      <c r="R1778" s="3" t="s">
        <v>16939</v>
      </c>
      <c r="S1778" s="4">
        <v>0</v>
      </c>
      <c r="T1778" s="4">
        <v>0</v>
      </c>
      <c r="W1778" s="5" t="s">
        <v>72</v>
      </c>
      <c r="X1778" s="5" t="s">
        <v>72</v>
      </c>
      <c r="Y1778" s="4">
        <v>93</v>
      </c>
      <c r="Z1778" s="4">
        <v>5</v>
      </c>
      <c r="AA1778" s="4">
        <v>7</v>
      </c>
      <c r="AB1778" s="4">
        <v>1</v>
      </c>
      <c r="AC1778" s="4">
        <v>1</v>
      </c>
      <c r="AD1778" s="4">
        <v>48</v>
      </c>
      <c r="AE1778" s="4">
        <v>54</v>
      </c>
      <c r="AF1778" s="4">
        <v>0</v>
      </c>
      <c r="AG1778" s="4">
        <v>0</v>
      </c>
      <c r="AH1778" s="4">
        <v>47</v>
      </c>
      <c r="AI1778" s="4">
        <v>52</v>
      </c>
      <c r="AJ1778" s="4">
        <v>3</v>
      </c>
      <c r="AK1778" s="4">
        <v>5</v>
      </c>
      <c r="AL1778" s="4">
        <v>26</v>
      </c>
      <c r="AM1778" s="4">
        <v>28</v>
      </c>
      <c r="AN1778" s="4">
        <v>0</v>
      </c>
      <c r="AO1778" s="4">
        <v>0</v>
      </c>
      <c r="AP1778" s="4">
        <v>3</v>
      </c>
      <c r="AQ1778" s="4">
        <v>5</v>
      </c>
      <c r="AR1778" s="3" t="s">
        <v>64</v>
      </c>
      <c r="AS1778" s="3" t="s">
        <v>64</v>
      </c>
      <c r="AT1778" s="3" t="s">
        <v>64</v>
      </c>
      <c r="AV1778" s="6" t="str">
        <f>HYPERLINK("http://mcgill.on.worldcat.org/oclc/715171683","Catalog Record")</f>
        <v>Catalog Record</v>
      </c>
      <c r="AW1778" s="6" t="str">
        <f>HYPERLINK("http://www.worldcat.org/oclc/715171683","WorldCat Record")</f>
        <v>WorldCat Record</v>
      </c>
      <c r="AX1778" s="3" t="s">
        <v>18539</v>
      </c>
      <c r="AY1778" s="3" t="s">
        <v>18540</v>
      </c>
      <c r="AZ1778" s="3" t="s">
        <v>18541</v>
      </c>
      <c r="BA1778" s="3" t="s">
        <v>18541</v>
      </c>
      <c r="BB1778" s="3" t="s">
        <v>18542</v>
      </c>
      <c r="BC1778" s="3" t="s">
        <v>78</v>
      </c>
      <c r="BD1778" s="3" t="s">
        <v>79</v>
      </c>
      <c r="BE1778" s="3" t="s">
        <v>18543</v>
      </c>
      <c r="BF1778" s="3" t="s">
        <v>18542</v>
      </c>
      <c r="BG1778" s="3" t="s">
        <v>18544</v>
      </c>
    </row>
    <row r="1779" spans="1:59" ht="58" x14ac:dyDescent="0.35">
      <c r="A1779" s="2" t="s">
        <v>59</v>
      </c>
      <c r="B1779" s="2" t="s">
        <v>94</v>
      </c>
      <c r="C1779" s="2" t="s">
        <v>18545</v>
      </c>
      <c r="D1779" s="2" t="s">
        <v>18546</v>
      </c>
      <c r="E1779" s="2" t="s">
        <v>18547</v>
      </c>
      <c r="G1779" s="3" t="s">
        <v>64</v>
      </c>
      <c r="I1779" s="3" t="s">
        <v>64</v>
      </c>
      <c r="J1779" s="3" t="s">
        <v>64</v>
      </c>
      <c r="K1779" s="3" t="s">
        <v>65</v>
      </c>
      <c r="L1779" s="2" t="s">
        <v>18548</v>
      </c>
      <c r="M1779" s="2" t="s">
        <v>18549</v>
      </c>
      <c r="N1779" s="3" t="s">
        <v>328</v>
      </c>
      <c r="P1779" s="3" t="s">
        <v>69</v>
      </c>
      <c r="Q1779" s="2" t="s">
        <v>18550</v>
      </c>
      <c r="R1779" s="3" t="s">
        <v>16939</v>
      </c>
      <c r="S1779" s="4">
        <v>0</v>
      </c>
      <c r="T1779" s="4">
        <v>0</v>
      </c>
      <c r="W1779" s="5" t="s">
        <v>72</v>
      </c>
      <c r="X1779" s="5" t="s">
        <v>72</v>
      </c>
      <c r="Y1779" s="4">
        <v>88</v>
      </c>
      <c r="Z1779" s="4">
        <v>7</v>
      </c>
      <c r="AA1779" s="4">
        <v>7</v>
      </c>
      <c r="AB1779" s="4">
        <v>1</v>
      </c>
      <c r="AC1779" s="4">
        <v>1</v>
      </c>
      <c r="AD1779" s="4">
        <v>49</v>
      </c>
      <c r="AE1779" s="4">
        <v>50</v>
      </c>
      <c r="AF1779" s="4">
        <v>0</v>
      </c>
      <c r="AG1779" s="4">
        <v>0</v>
      </c>
      <c r="AH1779" s="4">
        <v>47</v>
      </c>
      <c r="AI1779" s="4">
        <v>48</v>
      </c>
      <c r="AJ1779" s="4">
        <v>4</v>
      </c>
      <c r="AK1779" s="4">
        <v>4</v>
      </c>
      <c r="AL1779" s="4">
        <v>26</v>
      </c>
      <c r="AM1779" s="4">
        <v>26</v>
      </c>
      <c r="AN1779" s="4">
        <v>0</v>
      </c>
      <c r="AO1779" s="4">
        <v>0</v>
      </c>
      <c r="AP1779" s="4">
        <v>5</v>
      </c>
      <c r="AQ1779" s="4">
        <v>5</v>
      </c>
      <c r="AR1779" s="3" t="s">
        <v>64</v>
      </c>
      <c r="AS1779" s="3" t="s">
        <v>64</v>
      </c>
      <c r="AT1779" s="3" t="s">
        <v>64</v>
      </c>
      <c r="AV1779" s="6" t="str">
        <f>HYPERLINK("http://mcgill.on.worldcat.org/oclc/753637167","Catalog Record")</f>
        <v>Catalog Record</v>
      </c>
      <c r="AW1779" s="6" t="str">
        <f>HYPERLINK("http://www.worldcat.org/oclc/753637167","WorldCat Record")</f>
        <v>WorldCat Record</v>
      </c>
      <c r="AX1779" s="3" t="s">
        <v>18551</v>
      </c>
      <c r="AY1779" s="3" t="s">
        <v>18552</v>
      </c>
      <c r="AZ1779" s="3" t="s">
        <v>18553</v>
      </c>
      <c r="BA1779" s="3" t="s">
        <v>18553</v>
      </c>
      <c r="BB1779" s="3" t="s">
        <v>18554</v>
      </c>
      <c r="BC1779" s="3" t="s">
        <v>78</v>
      </c>
      <c r="BD1779" s="3" t="s">
        <v>79</v>
      </c>
      <c r="BE1779" s="3" t="s">
        <v>18555</v>
      </c>
      <c r="BF1779" s="3" t="s">
        <v>18554</v>
      </c>
      <c r="BG1779" s="3" t="s">
        <v>18556</v>
      </c>
    </row>
    <row r="1780" spans="1:59" ht="58" x14ac:dyDescent="0.35">
      <c r="A1780" s="2" t="s">
        <v>59</v>
      </c>
      <c r="B1780" s="2" t="s">
        <v>94</v>
      </c>
      <c r="C1780" s="2" t="s">
        <v>18557</v>
      </c>
      <c r="D1780" s="2" t="s">
        <v>18558</v>
      </c>
      <c r="E1780" s="2" t="s">
        <v>18559</v>
      </c>
      <c r="F1780" s="3" t="s">
        <v>18560</v>
      </c>
      <c r="G1780" s="3" t="s">
        <v>64</v>
      </c>
      <c r="I1780" s="3" t="s">
        <v>64</v>
      </c>
      <c r="J1780" s="3" t="s">
        <v>64</v>
      </c>
      <c r="K1780" s="3" t="s">
        <v>65</v>
      </c>
      <c r="L1780" s="2" t="s">
        <v>18561</v>
      </c>
      <c r="M1780" s="2" t="s">
        <v>18562</v>
      </c>
      <c r="N1780" s="3" t="s">
        <v>68</v>
      </c>
      <c r="P1780" s="3" t="s">
        <v>69</v>
      </c>
      <c r="Q1780" s="2" t="s">
        <v>18563</v>
      </c>
      <c r="R1780" s="3" t="s">
        <v>16939</v>
      </c>
      <c r="S1780" s="4">
        <v>2</v>
      </c>
      <c r="T1780" s="4">
        <v>2</v>
      </c>
      <c r="U1780" s="5" t="s">
        <v>7975</v>
      </c>
      <c r="V1780" s="5" t="s">
        <v>7975</v>
      </c>
      <c r="W1780" s="5" t="s">
        <v>72</v>
      </c>
      <c r="X1780" s="5" t="s">
        <v>72</v>
      </c>
      <c r="Y1780" s="4">
        <v>323</v>
      </c>
      <c r="Z1780" s="4">
        <v>8</v>
      </c>
      <c r="AA1780" s="4">
        <v>111</v>
      </c>
      <c r="AB1780" s="4">
        <v>1</v>
      </c>
      <c r="AC1780" s="4">
        <v>20</v>
      </c>
      <c r="AD1780" s="4">
        <v>92</v>
      </c>
      <c r="AE1780" s="4">
        <v>150</v>
      </c>
      <c r="AF1780" s="4">
        <v>0</v>
      </c>
      <c r="AG1780" s="4">
        <v>8</v>
      </c>
      <c r="AH1780" s="4">
        <v>90</v>
      </c>
      <c r="AI1780" s="4">
        <v>109</v>
      </c>
      <c r="AJ1780" s="4">
        <v>5</v>
      </c>
      <c r="AK1780" s="4">
        <v>22</v>
      </c>
      <c r="AL1780" s="4">
        <v>49</v>
      </c>
      <c r="AM1780" s="4">
        <v>59</v>
      </c>
      <c r="AN1780" s="4">
        <v>0</v>
      </c>
      <c r="AO1780" s="4">
        <v>0</v>
      </c>
      <c r="AP1780" s="4">
        <v>5</v>
      </c>
      <c r="AQ1780" s="4">
        <v>45</v>
      </c>
      <c r="AR1780" s="3" t="s">
        <v>64</v>
      </c>
      <c r="AS1780" s="3" t="s">
        <v>64</v>
      </c>
      <c r="AT1780" s="3" t="s">
        <v>73</v>
      </c>
      <c r="AU1780" s="6" t="str">
        <f>HYPERLINK("http://catalog.hathitrust.org/Record/005234591","HathiTrust Record")</f>
        <v>HathiTrust Record</v>
      </c>
      <c r="AV1780" s="6" t="str">
        <f>HYPERLINK("http://mcgill.on.worldcat.org/oclc/65064676","Catalog Record")</f>
        <v>Catalog Record</v>
      </c>
      <c r="AW1780" s="6" t="str">
        <f>HYPERLINK("http://www.worldcat.org/oclc/65064676","WorldCat Record")</f>
        <v>WorldCat Record</v>
      </c>
      <c r="AX1780" s="3" t="s">
        <v>18564</v>
      </c>
      <c r="AY1780" s="3" t="s">
        <v>18565</v>
      </c>
      <c r="AZ1780" s="3" t="s">
        <v>18566</v>
      </c>
      <c r="BA1780" s="3" t="s">
        <v>18566</v>
      </c>
      <c r="BB1780" s="3" t="s">
        <v>18567</v>
      </c>
      <c r="BC1780" s="3" t="s">
        <v>78</v>
      </c>
      <c r="BD1780" s="3" t="s">
        <v>79</v>
      </c>
      <c r="BE1780" s="3" t="s">
        <v>18568</v>
      </c>
      <c r="BF1780" s="3" t="s">
        <v>18567</v>
      </c>
      <c r="BG1780" s="3" t="s">
        <v>18569</v>
      </c>
    </row>
    <row r="1781" spans="1:59" ht="58" x14ac:dyDescent="0.35">
      <c r="A1781" s="2" t="s">
        <v>59</v>
      </c>
      <c r="B1781" s="2" t="s">
        <v>94</v>
      </c>
      <c r="C1781" s="2" t="s">
        <v>18570</v>
      </c>
      <c r="D1781" s="2" t="s">
        <v>18571</v>
      </c>
      <c r="E1781" s="2" t="s">
        <v>18572</v>
      </c>
      <c r="G1781" s="3" t="s">
        <v>64</v>
      </c>
      <c r="I1781" s="3" t="s">
        <v>64</v>
      </c>
      <c r="J1781" s="3" t="s">
        <v>64</v>
      </c>
      <c r="K1781" s="3" t="s">
        <v>65</v>
      </c>
      <c r="L1781" s="2" t="s">
        <v>18561</v>
      </c>
      <c r="M1781" s="2" t="s">
        <v>18573</v>
      </c>
      <c r="N1781" s="3" t="s">
        <v>175</v>
      </c>
      <c r="P1781" s="3" t="s">
        <v>69</v>
      </c>
      <c r="R1781" s="3" t="s">
        <v>16939</v>
      </c>
      <c r="S1781" s="4">
        <v>0</v>
      </c>
      <c r="T1781" s="4">
        <v>0</v>
      </c>
      <c r="W1781" s="5" t="s">
        <v>72</v>
      </c>
      <c r="X1781" s="5" t="s">
        <v>72</v>
      </c>
      <c r="Y1781" s="4">
        <v>66</v>
      </c>
      <c r="Z1781" s="4">
        <v>3</v>
      </c>
      <c r="AA1781" s="4">
        <v>32</v>
      </c>
      <c r="AB1781" s="4">
        <v>1</v>
      </c>
      <c r="AC1781" s="4">
        <v>6</v>
      </c>
      <c r="AD1781" s="4">
        <v>41</v>
      </c>
      <c r="AE1781" s="4">
        <v>93</v>
      </c>
      <c r="AF1781" s="4">
        <v>0</v>
      </c>
      <c r="AG1781" s="4">
        <v>2</v>
      </c>
      <c r="AH1781" s="4">
        <v>40</v>
      </c>
      <c r="AI1781" s="4">
        <v>76</v>
      </c>
      <c r="AJ1781" s="4">
        <v>2</v>
      </c>
      <c r="AK1781" s="4">
        <v>13</v>
      </c>
      <c r="AL1781" s="4">
        <v>23</v>
      </c>
      <c r="AM1781" s="4">
        <v>41</v>
      </c>
      <c r="AN1781" s="4">
        <v>0</v>
      </c>
      <c r="AO1781" s="4">
        <v>0</v>
      </c>
      <c r="AP1781" s="4">
        <v>2</v>
      </c>
      <c r="AQ1781" s="4">
        <v>23</v>
      </c>
      <c r="AR1781" s="3" t="s">
        <v>64</v>
      </c>
      <c r="AS1781" s="3" t="s">
        <v>64</v>
      </c>
      <c r="AT1781" s="3" t="s">
        <v>64</v>
      </c>
      <c r="AV1781" s="6" t="str">
        <f>HYPERLINK("http://mcgill.on.worldcat.org/oclc/874223156","Catalog Record")</f>
        <v>Catalog Record</v>
      </c>
      <c r="AW1781" s="6" t="str">
        <f>HYPERLINK("http://www.worldcat.org/oclc/874223156","WorldCat Record")</f>
        <v>WorldCat Record</v>
      </c>
      <c r="AX1781" s="3" t="s">
        <v>18574</v>
      </c>
      <c r="AY1781" s="3" t="s">
        <v>18575</v>
      </c>
      <c r="AZ1781" s="3" t="s">
        <v>18576</v>
      </c>
      <c r="BA1781" s="3" t="s">
        <v>18576</v>
      </c>
      <c r="BB1781" s="3" t="s">
        <v>18577</v>
      </c>
      <c r="BC1781" s="3" t="s">
        <v>78</v>
      </c>
      <c r="BD1781" s="3" t="s">
        <v>79</v>
      </c>
      <c r="BE1781" s="3" t="s">
        <v>18578</v>
      </c>
      <c r="BF1781" s="3" t="s">
        <v>18577</v>
      </c>
      <c r="BG1781" s="3" t="s">
        <v>18579</v>
      </c>
    </row>
    <row r="1782" spans="1:59" ht="58" x14ac:dyDescent="0.35">
      <c r="A1782" s="2" t="s">
        <v>59</v>
      </c>
      <c r="B1782" s="2" t="s">
        <v>94</v>
      </c>
      <c r="C1782" s="2" t="s">
        <v>18580</v>
      </c>
      <c r="D1782" s="2" t="s">
        <v>18581</v>
      </c>
      <c r="E1782" s="2" t="s">
        <v>18582</v>
      </c>
      <c r="G1782" s="3" t="s">
        <v>64</v>
      </c>
      <c r="I1782" s="3" t="s">
        <v>64</v>
      </c>
      <c r="J1782" s="3" t="s">
        <v>64</v>
      </c>
      <c r="K1782" s="3" t="s">
        <v>65</v>
      </c>
      <c r="L1782" s="2" t="s">
        <v>18583</v>
      </c>
      <c r="M1782" s="2" t="s">
        <v>18584</v>
      </c>
      <c r="N1782" s="3" t="s">
        <v>1645</v>
      </c>
      <c r="P1782" s="3" t="s">
        <v>69</v>
      </c>
      <c r="Q1782" s="2" t="s">
        <v>18585</v>
      </c>
      <c r="R1782" s="3" t="s">
        <v>16939</v>
      </c>
      <c r="S1782" s="4">
        <v>1</v>
      </c>
      <c r="T1782" s="4">
        <v>1</v>
      </c>
      <c r="U1782" s="5" t="s">
        <v>5946</v>
      </c>
      <c r="V1782" s="5" t="s">
        <v>5946</v>
      </c>
      <c r="W1782" s="5" t="s">
        <v>72</v>
      </c>
      <c r="X1782" s="5" t="s">
        <v>72</v>
      </c>
      <c r="Y1782" s="4">
        <v>48</v>
      </c>
      <c r="Z1782" s="4">
        <v>19</v>
      </c>
      <c r="AA1782" s="4">
        <v>92</v>
      </c>
      <c r="AB1782" s="4">
        <v>1</v>
      </c>
      <c r="AC1782" s="4">
        <v>17</v>
      </c>
      <c r="AD1782" s="4">
        <v>31</v>
      </c>
      <c r="AE1782" s="4">
        <v>99</v>
      </c>
      <c r="AF1782" s="4">
        <v>0</v>
      </c>
      <c r="AG1782" s="4">
        <v>8</v>
      </c>
      <c r="AH1782" s="4">
        <v>20</v>
      </c>
      <c r="AI1782" s="4">
        <v>61</v>
      </c>
      <c r="AJ1782" s="4">
        <v>10</v>
      </c>
      <c r="AK1782" s="4">
        <v>23</v>
      </c>
      <c r="AL1782" s="4">
        <v>12</v>
      </c>
      <c r="AM1782" s="4">
        <v>32</v>
      </c>
      <c r="AN1782" s="4">
        <v>0</v>
      </c>
      <c r="AO1782" s="4">
        <v>0</v>
      </c>
      <c r="AP1782" s="4">
        <v>12</v>
      </c>
      <c r="AQ1782" s="4">
        <v>44</v>
      </c>
      <c r="AR1782" s="3" t="s">
        <v>73</v>
      </c>
      <c r="AS1782" s="3" t="s">
        <v>64</v>
      </c>
      <c r="AT1782" s="3" t="s">
        <v>64</v>
      </c>
      <c r="AV1782" s="6" t="str">
        <f>HYPERLINK("http://mcgill.on.worldcat.org/oclc/962129204","Catalog Record")</f>
        <v>Catalog Record</v>
      </c>
      <c r="AW1782" s="6" t="str">
        <f>HYPERLINK("http://www.worldcat.org/oclc/962129204","WorldCat Record")</f>
        <v>WorldCat Record</v>
      </c>
      <c r="AX1782" s="3" t="s">
        <v>18586</v>
      </c>
      <c r="AY1782" s="3" t="s">
        <v>18587</v>
      </c>
      <c r="AZ1782" s="3" t="s">
        <v>18588</v>
      </c>
      <c r="BA1782" s="3" t="s">
        <v>18588</v>
      </c>
      <c r="BB1782" s="3" t="s">
        <v>18589</v>
      </c>
      <c r="BC1782" s="3" t="s">
        <v>78</v>
      </c>
      <c r="BD1782" s="3" t="s">
        <v>79</v>
      </c>
      <c r="BE1782" s="3" t="s">
        <v>18590</v>
      </c>
      <c r="BF1782" s="3" t="s">
        <v>18589</v>
      </c>
      <c r="BG1782" s="3" t="s">
        <v>18591</v>
      </c>
    </row>
    <row r="1783" spans="1:59" ht="58" x14ac:dyDescent="0.35">
      <c r="A1783" s="2" t="s">
        <v>59</v>
      </c>
      <c r="B1783" s="2" t="s">
        <v>94</v>
      </c>
      <c r="C1783" s="2" t="s">
        <v>18592</v>
      </c>
      <c r="D1783" s="2" t="s">
        <v>18593</v>
      </c>
      <c r="E1783" s="2" t="s">
        <v>18594</v>
      </c>
      <c r="G1783" s="3" t="s">
        <v>64</v>
      </c>
      <c r="I1783" s="3" t="s">
        <v>64</v>
      </c>
      <c r="J1783" s="3" t="s">
        <v>64</v>
      </c>
      <c r="K1783" s="3" t="s">
        <v>65</v>
      </c>
      <c r="M1783" s="2" t="s">
        <v>18595</v>
      </c>
      <c r="N1783" s="3" t="s">
        <v>214</v>
      </c>
      <c r="P1783" s="3" t="s">
        <v>69</v>
      </c>
      <c r="R1783" s="3" t="s">
        <v>16939</v>
      </c>
      <c r="S1783" s="4">
        <v>0</v>
      </c>
      <c r="T1783" s="4">
        <v>0</v>
      </c>
      <c r="W1783" s="5" t="s">
        <v>72</v>
      </c>
      <c r="X1783" s="5" t="s">
        <v>72</v>
      </c>
      <c r="Y1783" s="4">
        <v>70</v>
      </c>
      <c r="Z1783" s="4">
        <v>16</v>
      </c>
      <c r="AA1783" s="4">
        <v>23</v>
      </c>
      <c r="AB1783" s="4">
        <v>1</v>
      </c>
      <c r="AC1783" s="4">
        <v>2</v>
      </c>
      <c r="AD1783" s="4">
        <v>33</v>
      </c>
      <c r="AE1783" s="4">
        <v>48</v>
      </c>
      <c r="AF1783" s="4">
        <v>0</v>
      </c>
      <c r="AG1783" s="4">
        <v>1</v>
      </c>
      <c r="AH1783" s="4">
        <v>28</v>
      </c>
      <c r="AI1783" s="4">
        <v>38</v>
      </c>
      <c r="AJ1783" s="4">
        <v>11</v>
      </c>
      <c r="AK1783" s="4">
        <v>18</v>
      </c>
      <c r="AL1783" s="4">
        <v>16</v>
      </c>
      <c r="AM1783" s="4">
        <v>23</v>
      </c>
      <c r="AN1783" s="4">
        <v>0</v>
      </c>
      <c r="AO1783" s="4">
        <v>0</v>
      </c>
      <c r="AP1783" s="4">
        <v>12</v>
      </c>
      <c r="AQ1783" s="4">
        <v>18</v>
      </c>
      <c r="AR1783" s="3" t="s">
        <v>73</v>
      </c>
      <c r="AS1783" s="3" t="s">
        <v>64</v>
      </c>
      <c r="AT1783" s="3" t="s">
        <v>64</v>
      </c>
      <c r="AV1783" s="6" t="str">
        <f>HYPERLINK("http://mcgill.on.worldcat.org/oclc/630475119","Catalog Record")</f>
        <v>Catalog Record</v>
      </c>
      <c r="AW1783" s="6" t="str">
        <f>HYPERLINK("http://www.worldcat.org/oclc/630475119","WorldCat Record")</f>
        <v>WorldCat Record</v>
      </c>
      <c r="AX1783" s="3" t="s">
        <v>18596</v>
      </c>
      <c r="AY1783" s="3" t="s">
        <v>18597</v>
      </c>
      <c r="AZ1783" s="3" t="s">
        <v>18598</v>
      </c>
      <c r="BA1783" s="3" t="s">
        <v>18598</v>
      </c>
      <c r="BB1783" s="3" t="s">
        <v>18599</v>
      </c>
      <c r="BC1783" s="3" t="s">
        <v>78</v>
      </c>
      <c r="BD1783" s="3" t="s">
        <v>79</v>
      </c>
      <c r="BE1783" s="3" t="s">
        <v>18600</v>
      </c>
      <c r="BF1783" s="3" t="s">
        <v>18599</v>
      </c>
      <c r="BG1783" s="3" t="s">
        <v>18601</v>
      </c>
    </row>
    <row r="1784" spans="1:59" ht="58" x14ac:dyDescent="0.35">
      <c r="A1784" s="2" t="s">
        <v>59</v>
      </c>
      <c r="B1784" s="2" t="s">
        <v>94</v>
      </c>
      <c r="C1784" s="2" t="s">
        <v>18602</v>
      </c>
      <c r="D1784" s="2" t="s">
        <v>18603</v>
      </c>
      <c r="E1784" s="2" t="s">
        <v>18604</v>
      </c>
      <c r="G1784" s="3" t="s">
        <v>64</v>
      </c>
      <c r="I1784" s="3" t="s">
        <v>64</v>
      </c>
      <c r="J1784" s="3" t="s">
        <v>64</v>
      </c>
      <c r="K1784" s="3" t="s">
        <v>65</v>
      </c>
      <c r="L1784" s="2" t="s">
        <v>18605</v>
      </c>
      <c r="M1784" s="2" t="s">
        <v>18606</v>
      </c>
      <c r="N1784" s="3" t="s">
        <v>422</v>
      </c>
      <c r="P1784" s="3" t="s">
        <v>2192</v>
      </c>
      <c r="R1784" s="3" t="s">
        <v>16939</v>
      </c>
      <c r="S1784" s="4">
        <v>3</v>
      </c>
      <c r="T1784" s="4">
        <v>3</v>
      </c>
      <c r="U1784" s="5" t="s">
        <v>18607</v>
      </c>
      <c r="V1784" s="5" t="s">
        <v>18607</v>
      </c>
      <c r="W1784" s="5" t="s">
        <v>72</v>
      </c>
      <c r="X1784" s="5" t="s">
        <v>72</v>
      </c>
      <c r="Y1784" s="4">
        <v>60</v>
      </c>
      <c r="Z1784" s="4">
        <v>4</v>
      </c>
      <c r="AA1784" s="4">
        <v>5</v>
      </c>
      <c r="AB1784" s="4">
        <v>2</v>
      </c>
      <c r="AC1784" s="4">
        <v>2</v>
      </c>
      <c r="AD1784" s="4">
        <v>2</v>
      </c>
      <c r="AE1784" s="4">
        <v>45</v>
      </c>
      <c r="AF1784" s="4">
        <v>0</v>
      </c>
      <c r="AG1784" s="4">
        <v>0</v>
      </c>
      <c r="AH1784" s="4">
        <v>2</v>
      </c>
      <c r="AI1784" s="4">
        <v>44</v>
      </c>
      <c r="AJ1784" s="4">
        <v>1</v>
      </c>
      <c r="AK1784" s="4">
        <v>2</v>
      </c>
      <c r="AL1784" s="4">
        <v>2</v>
      </c>
      <c r="AM1784" s="4">
        <v>37</v>
      </c>
      <c r="AN1784" s="4">
        <v>0</v>
      </c>
      <c r="AO1784" s="4">
        <v>0</v>
      </c>
      <c r="AP1784" s="4">
        <v>1</v>
      </c>
      <c r="AQ1784" s="4">
        <v>2</v>
      </c>
      <c r="AR1784" s="3" t="s">
        <v>64</v>
      </c>
      <c r="AS1784" s="3" t="s">
        <v>64</v>
      </c>
      <c r="AT1784" s="3" t="s">
        <v>64</v>
      </c>
      <c r="AV1784" s="6" t="str">
        <f>HYPERLINK("http://mcgill.on.worldcat.org/oclc/237434998","Catalog Record")</f>
        <v>Catalog Record</v>
      </c>
      <c r="AW1784" s="6" t="str">
        <f>HYPERLINK("http://www.worldcat.org/oclc/237434998","WorldCat Record")</f>
        <v>WorldCat Record</v>
      </c>
      <c r="AX1784" s="3" t="s">
        <v>18608</v>
      </c>
      <c r="AY1784" s="3" t="s">
        <v>18609</v>
      </c>
      <c r="AZ1784" s="3" t="s">
        <v>18610</v>
      </c>
      <c r="BA1784" s="3" t="s">
        <v>18610</v>
      </c>
      <c r="BB1784" s="3" t="s">
        <v>18611</v>
      </c>
      <c r="BC1784" s="3" t="s">
        <v>78</v>
      </c>
      <c r="BD1784" s="3" t="s">
        <v>79</v>
      </c>
      <c r="BE1784" s="3" t="s">
        <v>18612</v>
      </c>
      <c r="BF1784" s="3" t="s">
        <v>18611</v>
      </c>
      <c r="BG1784" s="3" t="s">
        <v>18613</v>
      </c>
    </row>
    <row r="1785" spans="1:59" ht="58" x14ac:dyDescent="0.35">
      <c r="A1785" s="2" t="s">
        <v>59</v>
      </c>
      <c r="B1785" s="2" t="s">
        <v>94</v>
      </c>
      <c r="C1785" s="2" t="s">
        <v>18614</v>
      </c>
      <c r="D1785" s="2" t="s">
        <v>18615</v>
      </c>
      <c r="E1785" s="2" t="s">
        <v>18616</v>
      </c>
      <c r="G1785" s="3" t="s">
        <v>64</v>
      </c>
      <c r="I1785" s="3" t="s">
        <v>64</v>
      </c>
      <c r="J1785" s="3" t="s">
        <v>64</v>
      </c>
      <c r="K1785" s="3" t="s">
        <v>65</v>
      </c>
      <c r="L1785" s="2" t="s">
        <v>18617</v>
      </c>
      <c r="M1785" s="2" t="s">
        <v>18618</v>
      </c>
      <c r="N1785" s="3" t="s">
        <v>18619</v>
      </c>
      <c r="P1785" s="3" t="s">
        <v>69</v>
      </c>
      <c r="Q1785" s="2" t="s">
        <v>18620</v>
      </c>
      <c r="R1785" s="3" t="s">
        <v>16939</v>
      </c>
      <c r="S1785" s="4">
        <v>6</v>
      </c>
      <c r="T1785" s="4">
        <v>6</v>
      </c>
      <c r="U1785" s="5" t="s">
        <v>18621</v>
      </c>
      <c r="V1785" s="5" t="s">
        <v>18621</v>
      </c>
      <c r="W1785" s="5" t="s">
        <v>72</v>
      </c>
      <c r="X1785" s="5" t="s">
        <v>72</v>
      </c>
      <c r="Y1785" s="4">
        <v>107</v>
      </c>
      <c r="Z1785" s="4">
        <v>9</v>
      </c>
      <c r="AA1785" s="4">
        <v>9</v>
      </c>
      <c r="AB1785" s="4">
        <v>1</v>
      </c>
      <c r="AC1785" s="4">
        <v>1</v>
      </c>
      <c r="AD1785" s="4">
        <v>45</v>
      </c>
      <c r="AE1785" s="4">
        <v>45</v>
      </c>
      <c r="AF1785" s="4">
        <v>0</v>
      </c>
      <c r="AG1785" s="4">
        <v>0</v>
      </c>
      <c r="AH1785" s="4">
        <v>40</v>
      </c>
      <c r="AI1785" s="4">
        <v>40</v>
      </c>
      <c r="AJ1785" s="4">
        <v>5</v>
      </c>
      <c r="AK1785" s="4">
        <v>5</v>
      </c>
      <c r="AL1785" s="4">
        <v>31</v>
      </c>
      <c r="AM1785" s="4">
        <v>31</v>
      </c>
      <c r="AN1785" s="4">
        <v>0</v>
      </c>
      <c r="AO1785" s="4">
        <v>0</v>
      </c>
      <c r="AP1785" s="4">
        <v>7</v>
      </c>
      <c r="AQ1785" s="4">
        <v>7</v>
      </c>
      <c r="AR1785" s="3" t="s">
        <v>64</v>
      </c>
      <c r="AS1785" s="3" t="s">
        <v>73</v>
      </c>
      <c r="AT1785" s="3" t="s">
        <v>64</v>
      </c>
      <c r="AU1785" s="6" t="str">
        <f>HYPERLINK("http://catalog.hathitrust.org/Record/100643220","HathiTrust Record")</f>
        <v>HathiTrust Record</v>
      </c>
      <c r="AV1785" s="6" t="str">
        <f>HYPERLINK("http://mcgill.on.worldcat.org/oclc/1307621","Catalog Record")</f>
        <v>Catalog Record</v>
      </c>
      <c r="AW1785" s="6" t="str">
        <f>HYPERLINK("http://www.worldcat.org/oclc/1307621","WorldCat Record")</f>
        <v>WorldCat Record</v>
      </c>
      <c r="AX1785" s="3" t="s">
        <v>18622</v>
      </c>
      <c r="AY1785" s="3" t="s">
        <v>18623</v>
      </c>
      <c r="AZ1785" s="3" t="s">
        <v>18624</v>
      </c>
      <c r="BA1785" s="3" t="s">
        <v>18624</v>
      </c>
      <c r="BB1785" s="3" t="s">
        <v>18625</v>
      </c>
      <c r="BC1785" s="3" t="s">
        <v>78</v>
      </c>
      <c r="BD1785" s="3" t="s">
        <v>79</v>
      </c>
      <c r="BF1785" s="3" t="s">
        <v>18625</v>
      </c>
      <c r="BG1785" s="3" t="s">
        <v>18626</v>
      </c>
    </row>
    <row r="1786" spans="1:59" ht="58" x14ac:dyDescent="0.35">
      <c r="A1786" s="2" t="s">
        <v>59</v>
      </c>
      <c r="B1786" s="2" t="s">
        <v>94</v>
      </c>
      <c r="C1786" s="2" t="s">
        <v>18627</v>
      </c>
      <c r="D1786" s="2" t="s">
        <v>18628</v>
      </c>
      <c r="E1786" s="2" t="s">
        <v>18629</v>
      </c>
      <c r="G1786" s="3" t="s">
        <v>64</v>
      </c>
      <c r="I1786" s="3" t="s">
        <v>64</v>
      </c>
      <c r="J1786" s="3" t="s">
        <v>64</v>
      </c>
      <c r="K1786" s="3" t="s">
        <v>65</v>
      </c>
      <c r="L1786" s="2" t="s">
        <v>18630</v>
      </c>
      <c r="M1786" s="2" t="s">
        <v>18631</v>
      </c>
      <c r="N1786" s="3" t="s">
        <v>651</v>
      </c>
      <c r="P1786" s="3" t="s">
        <v>69</v>
      </c>
      <c r="R1786" s="3" t="s">
        <v>16939</v>
      </c>
      <c r="S1786" s="4">
        <v>16</v>
      </c>
      <c r="T1786" s="4">
        <v>16</v>
      </c>
      <c r="U1786" s="5" t="s">
        <v>8509</v>
      </c>
      <c r="V1786" s="5" t="s">
        <v>8509</v>
      </c>
      <c r="W1786" s="5" t="s">
        <v>72</v>
      </c>
      <c r="X1786" s="5" t="s">
        <v>72</v>
      </c>
      <c r="Y1786" s="4">
        <v>231</v>
      </c>
      <c r="Z1786" s="4">
        <v>20</v>
      </c>
      <c r="AA1786" s="4">
        <v>20</v>
      </c>
      <c r="AB1786" s="4">
        <v>2</v>
      </c>
      <c r="AC1786" s="4">
        <v>2</v>
      </c>
      <c r="AD1786" s="4">
        <v>84</v>
      </c>
      <c r="AE1786" s="4">
        <v>87</v>
      </c>
      <c r="AF1786" s="4">
        <v>0</v>
      </c>
      <c r="AG1786" s="4">
        <v>0</v>
      </c>
      <c r="AH1786" s="4">
        <v>75</v>
      </c>
      <c r="AI1786" s="4">
        <v>78</v>
      </c>
      <c r="AJ1786" s="4">
        <v>11</v>
      </c>
      <c r="AK1786" s="4">
        <v>11</v>
      </c>
      <c r="AL1786" s="4">
        <v>47</v>
      </c>
      <c r="AM1786" s="4">
        <v>49</v>
      </c>
      <c r="AN1786" s="4">
        <v>0</v>
      </c>
      <c r="AO1786" s="4">
        <v>0</v>
      </c>
      <c r="AP1786" s="4">
        <v>14</v>
      </c>
      <c r="AQ1786" s="4">
        <v>14</v>
      </c>
      <c r="AR1786" s="3" t="s">
        <v>64</v>
      </c>
      <c r="AS1786" s="3" t="s">
        <v>64</v>
      </c>
      <c r="AT1786" s="3" t="s">
        <v>64</v>
      </c>
      <c r="AV1786" s="6" t="str">
        <f>HYPERLINK("http://mcgill.on.worldcat.org/oclc/48951345","Catalog Record")</f>
        <v>Catalog Record</v>
      </c>
      <c r="AW1786" s="6" t="str">
        <f>HYPERLINK("http://www.worldcat.org/oclc/48951345","WorldCat Record")</f>
        <v>WorldCat Record</v>
      </c>
      <c r="AX1786" s="3" t="s">
        <v>18632</v>
      </c>
      <c r="AY1786" s="3" t="s">
        <v>18633</v>
      </c>
      <c r="AZ1786" s="3" t="s">
        <v>18634</v>
      </c>
      <c r="BA1786" s="3" t="s">
        <v>18634</v>
      </c>
      <c r="BB1786" s="3" t="s">
        <v>18635</v>
      </c>
      <c r="BC1786" s="3" t="s">
        <v>78</v>
      </c>
      <c r="BD1786" s="3" t="s">
        <v>79</v>
      </c>
      <c r="BE1786" s="3" t="s">
        <v>18636</v>
      </c>
      <c r="BF1786" s="3" t="s">
        <v>18635</v>
      </c>
      <c r="BG1786" s="3" t="s">
        <v>18637</v>
      </c>
    </row>
    <row r="1787" spans="1:59" ht="58" x14ac:dyDescent="0.35">
      <c r="A1787" s="2" t="s">
        <v>59</v>
      </c>
      <c r="B1787" s="2" t="s">
        <v>94</v>
      </c>
      <c r="C1787" s="2" t="s">
        <v>18638</v>
      </c>
      <c r="D1787" s="2" t="s">
        <v>18639</v>
      </c>
      <c r="E1787" s="2" t="s">
        <v>18640</v>
      </c>
      <c r="G1787" s="3" t="s">
        <v>64</v>
      </c>
      <c r="I1787" s="3" t="s">
        <v>64</v>
      </c>
      <c r="J1787" s="3" t="s">
        <v>64</v>
      </c>
      <c r="K1787" s="3" t="s">
        <v>65</v>
      </c>
      <c r="L1787" s="2" t="s">
        <v>18641</v>
      </c>
      <c r="M1787" s="2" t="s">
        <v>18642</v>
      </c>
      <c r="N1787" s="3" t="s">
        <v>68</v>
      </c>
      <c r="P1787" s="3" t="s">
        <v>69</v>
      </c>
      <c r="R1787" s="3" t="s">
        <v>16939</v>
      </c>
      <c r="S1787" s="4">
        <v>13</v>
      </c>
      <c r="T1787" s="4">
        <v>13</v>
      </c>
      <c r="U1787" s="5" t="s">
        <v>18643</v>
      </c>
      <c r="V1787" s="5" t="s">
        <v>18643</v>
      </c>
      <c r="W1787" s="5" t="s">
        <v>72</v>
      </c>
      <c r="X1787" s="5" t="s">
        <v>72</v>
      </c>
      <c r="Y1787" s="4">
        <v>308</v>
      </c>
      <c r="Z1787" s="4">
        <v>50</v>
      </c>
      <c r="AA1787" s="4">
        <v>80</v>
      </c>
      <c r="AB1787" s="4">
        <v>2</v>
      </c>
      <c r="AC1787" s="4">
        <v>11</v>
      </c>
      <c r="AD1787" s="4">
        <v>97</v>
      </c>
      <c r="AE1787" s="4">
        <v>122</v>
      </c>
      <c r="AF1787" s="4">
        <v>1</v>
      </c>
      <c r="AG1787" s="4">
        <v>4</v>
      </c>
      <c r="AH1787" s="4">
        <v>71</v>
      </c>
      <c r="AI1787" s="4">
        <v>86</v>
      </c>
      <c r="AJ1787" s="4">
        <v>21</v>
      </c>
      <c r="AK1787" s="4">
        <v>26</v>
      </c>
      <c r="AL1787" s="4">
        <v>42</v>
      </c>
      <c r="AM1787" s="4">
        <v>49</v>
      </c>
      <c r="AN1787" s="4">
        <v>0</v>
      </c>
      <c r="AO1787" s="4">
        <v>0</v>
      </c>
      <c r="AP1787" s="4">
        <v>31</v>
      </c>
      <c r="AQ1787" s="4">
        <v>42</v>
      </c>
      <c r="AR1787" s="3" t="s">
        <v>73</v>
      </c>
      <c r="AS1787" s="3" t="s">
        <v>64</v>
      </c>
      <c r="AT1787" s="3" t="s">
        <v>64</v>
      </c>
      <c r="AV1787" s="6" t="str">
        <f>HYPERLINK("http://mcgill.on.worldcat.org/oclc/61864740","Catalog Record")</f>
        <v>Catalog Record</v>
      </c>
      <c r="AW1787" s="6" t="str">
        <f>HYPERLINK("http://www.worldcat.org/oclc/61864740","WorldCat Record")</f>
        <v>WorldCat Record</v>
      </c>
      <c r="AX1787" s="3" t="s">
        <v>18644</v>
      </c>
      <c r="AY1787" s="3" t="s">
        <v>18645</v>
      </c>
      <c r="AZ1787" s="3" t="s">
        <v>18646</v>
      </c>
      <c r="BA1787" s="3" t="s">
        <v>18646</v>
      </c>
      <c r="BB1787" s="3" t="s">
        <v>18647</v>
      </c>
      <c r="BC1787" s="3" t="s">
        <v>78</v>
      </c>
      <c r="BD1787" s="3" t="s">
        <v>414</v>
      </c>
      <c r="BE1787" s="3" t="s">
        <v>18648</v>
      </c>
      <c r="BF1787" s="3" t="s">
        <v>18647</v>
      </c>
      <c r="BG1787" s="3" t="s">
        <v>18649</v>
      </c>
    </row>
    <row r="1788" spans="1:59" ht="58" x14ac:dyDescent="0.35">
      <c r="A1788" s="2" t="s">
        <v>59</v>
      </c>
      <c r="B1788" s="2" t="s">
        <v>94</v>
      </c>
      <c r="C1788" s="2" t="s">
        <v>18650</v>
      </c>
      <c r="D1788" s="2" t="s">
        <v>18651</v>
      </c>
      <c r="E1788" s="2" t="s">
        <v>18652</v>
      </c>
      <c r="G1788" s="3" t="s">
        <v>64</v>
      </c>
      <c r="I1788" s="3" t="s">
        <v>64</v>
      </c>
      <c r="J1788" s="3" t="s">
        <v>64</v>
      </c>
      <c r="K1788" s="3" t="s">
        <v>65</v>
      </c>
      <c r="L1788" s="2" t="s">
        <v>18653</v>
      </c>
      <c r="M1788" s="2" t="s">
        <v>18654</v>
      </c>
      <c r="N1788" s="3" t="s">
        <v>1029</v>
      </c>
      <c r="P1788" s="3" t="s">
        <v>69</v>
      </c>
      <c r="Q1788" s="2" t="s">
        <v>16875</v>
      </c>
      <c r="R1788" s="3" t="s">
        <v>16939</v>
      </c>
      <c r="S1788" s="4">
        <v>21</v>
      </c>
      <c r="T1788" s="4">
        <v>21</v>
      </c>
      <c r="U1788" s="5" t="s">
        <v>18655</v>
      </c>
      <c r="V1788" s="5" t="s">
        <v>18655</v>
      </c>
      <c r="W1788" s="5" t="s">
        <v>72</v>
      </c>
      <c r="X1788" s="5" t="s">
        <v>72</v>
      </c>
      <c r="Y1788" s="4">
        <v>169</v>
      </c>
      <c r="Z1788" s="4">
        <v>73</v>
      </c>
      <c r="AA1788" s="4">
        <v>90</v>
      </c>
      <c r="AB1788" s="4">
        <v>3</v>
      </c>
      <c r="AC1788" s="4">
        <v>8</v>
      </c>
      <c r="AD1788" s="4">
        <v>77</v>
      </c>
      <c r="AE1788" s="4">
        <v>87</v>
      </c>
      <c r="AF1788" s="4">
        <v>2</v>
      </c>
      <c r="AG1788" s="4">
        <v>4</v>
      </c>
      <c r="AH1788" s="4">
        <v>50</v>
      </c>
      <c r="AI1788" s="4">
        <v>53</v>
      </c>
      <c r="AJ1788" s="4">
        <v>22</v>
      </c>
      <c r="AK1788" s="4">
        <v>24</v>
      </c>
      <c r="AL1788" s="4">
        <v>27</v>
      </c>
      <c r="AM1788" s="4">
        <v>28</v>
      </c>
      <c r="AN1788" s="4">
        <v>0</v>
      </c>
      <c r="AO1788" s="4">
        <v>0</v>
      </c>
      <c r="AP1788" s="4">
        <v>38</v>
      </c>
      <c r="AQ1788" s="4">
        <v>45</v>
      </c>
      <c r="AR1788" s="3" t="s">
        <v>73</v>
      </c>
      <c r="AS1788" s="3" t="s">
        <v>64</v>
      </c>
      <c r="AT1788" s="3" t="s">
        <v>64</v>
      </c>
      <c r="AV1788" s="6" t="str">
        <f>HYPERLINK("http://mcgill.on.worldcat.org/oclc/231880020","Catalog Record")</f>
        <v>Catalog Record</v>
      </c>
      <c r="AW1788" s="6" t="str">
        <f>HYPERLINK("http://www.worldcat.org/oclc/231880020","WorldCat Record")</f>
        <v>WorldCat Record</v>
      </c>
      <c r="AX1788" s="3" t="s">
        <v>18656</v>
      </c>
      <c r="AY1788" s="3" t="s">
        <v>18657</v>
      </c>
      <c r="AZ1788" s="3" t="s">
        <v>18658</v>
      </c>
      <c r="BA1788" s="3" t="s">
        <v>18658</v>
      </c>
      <c r="BB1788" s="3" t="s">
        <v>18659</v>
      </c>
      <c r="BC1788" s="3" t="s">
        <v>78</v>
      </c>
      <c r="BD1788" s="3" t="s">
        <v>79</v>
      </c>
      <c r="BE1788" s="3" t="s">
        <v>18660</v>
      </c>
      <c r="BF1788" s="3" t="s">
        <v>18659</v>
      </c>
      <c r="BG1788" s="3" t="s">
        <v>18661</v>
      </c>
    </row>
    <row r="1789" spans="1:59" ht="72.5" x14ac:dyDescent="0.35">
      <c r="A1789" s="2" t="s">
        <v>59</v>
      </c>
      <c r="B1789" s="2" t="s">
        <v>94</v>
      </c>
      <c r="C1789" s="2" t="s">
        <v>18662</v>
      </c>
      <c r="D1789" s="2" t="s">
        <v>18663</v>
      </c>
      <c r="E1789" s="2" t="s">
        <v>18664</v>
      </c>
      <c r="G1789" s="3" t="s">
        <v>64</v>
      </c>
      <c r="I1789" s="3" t="s">
        <v>64</v>
      </c>
      <c r="J1789" s="3" t="s">
        <v>64</v>
      </c>
      <c r="K1789" s="3" t="s">
        <v>65</v>
      </c>
      <c r="L1789" s="2" t="s">
        <v>18665</v>
      </c>
      <c r="M1789" s="2" t="s">
        <v>18666</v>
      </c>
      <c r="N1789" s="3" t="s">
        <v>1227</v>
      </c>
      <c r="P1789" s="3" t="s">
        <v>2192</v>
      </c>
      <c r="R1789" s="3" t="s">
        <v>16939</v>
      </c>
      <c r="S1789" s="4">
        <v>2</v>
      </c>
      <c r="T1789" s="4">
        <v>2</v>
      </c>
      <c r="U1789" s="5" t="s">
        <v>13903</v>
      </c>
      <c r="V1789" s="5" t="s">
        <v>13903</v>
      </c>
      <c r="W1789" s="5" t="s">
        <v>72</v>
      </c>
      <c r="X1789" s="5" t="s">
        <v>72</v>
      </c>
      <c r="Y1789" s="4">
        <v>62</v>
      </c>
      <c r="Z1789" s="4">
        <v>7</v>
      </c>
      <c r="AA1789" s="4">
        <v>8</v>
      </c>
      <c r="AB1789" s="4">
        <v>1</v>
      </c>
      <c r="AC1789" s="4">
        <v>1</v>
      </c>
      <c r="AD1789" s="4">
        <v>39</v>
      </c>
      <c r="AE1789" s="4">
        <v>40</v>
      </c>
      <c r="AF1789" s="4">
        <v>0</v>
      </c>
      <c r="AG1789" s="4">
        <v>0</v>
      </c>
      <c r="AH1789" s="4">
        <v>35</v>
      </c>
      <c r="AI1789" s="4">
        <v>36</v>
      </c>
      <c r="AJ1789" s="4">
        <v>5</v>
      </c>
      <c r="AK1789" s="4">
        <v>6</v>
      </c>
      <c r="AL1789" s="4">
        <v>23</v>
      </c>
      <c r="AM1789" s="4">
        <v>23</v>
      </c>
      <c r="AN1789" s="4">
        <v>0</v>
      </c>
      <c r="AO1789" s="4">
        <v>0</v>
      </c>
      <c r="AP1789" s="4">
        <v>5</v>
      </c>
      <c r="AQ1789" s="4">
        <v>6</v>
      </c>
      <c r="AR1789" s="3" t="s">
        <v>64</v>
      </c>
      <c r="AS1789" s="3" t="s">
        <v>64</v>
      </c>
      <c r="AT1789" s="3" t="s">
        <v>73</v>
      </c>
      <c r="AU1789" s="6" t="str">
        <f>HYPERLINK("http://catalog.hathitrust.org/Record/001628112","HathiTrust Record")</f>
        <v>HathiTrust Record</v>
      </c>
      <c r="AV1789" s="6" t="str">
        <f>HYPERLINK("http://mcgill.on.worldcat.org/oclc/599267","Catalog Record")</f>
        <v>Catalog Record</v>
      </c>
      <c r="AW1789" s="6" t="str">
        <f>HYPERLINK("http://www.worldcat.org/oclc/599267","WorldCat Record")</f>
        <v>WorldCat Record</v>
      </c>
      <c r="AX1789" s="3" t="s">
        <v>18667</v>
      </c>
      <c r="AY1789" s="3" t="s">
        <v>18668</v>
      </c>
      <c r="AZ1789" s="3" t="s">
        <v>18669</v>
      </c>
      <c r="BA1789" s="3" t="s">
        <v>18669</v>
      </c>
      <c r="BB1789" s="3" t="s">
        <v>18670</v>
      </c>
      <c r="BC1789" s="3" t="s">
        <v>78</v>
      </c>
      <c r="BD1789" s="3" t="s">
        <v>79</v>
      </c>
      <c r="BE1789" s="3" t="s">
        <v>18671</v>
      </c>
      <c r="BF1789" s="3" t="s">
        <v>18670</v>
      </c>
      <c r="BG1789" s="3" t="s">
        <v>18672</v>
      </c>
    </row>
    <row r="1790" spans="1:59" ht="58" x14ac:dyDescent="0.35">
      <c r="A1790" s="2" t="s">
        <v>59</v>
      </c>
      <c r="B1790" s="2" t="s">
        <v>94</v>
      </c>
      <c r="C1790" s="2" t="s">
        <v>18673</v>
      </c>
      <c r="D1790" s="2" t="s">
        <v>18674</v>
      </c>
      <c r="E1790" s="2" t="s">
        <v>18675</v>
      </c>
      <c r="G1790" s="3" t="s">
        <v>64</v>
      </c>
      <c r="I1790" s="3" t="s">
        <v>64</v>
      </c>
      <c r="J1790" s="3" t="s">
        <v>64</v>
      </c>
      <c r="K1790" s="3" t="s">
        <v>65</v>
      </c>
      <c r="L1790" s="2" t="s">
        <v>18676</v>
      </c>
      <c r="M1790" s="2" t="s">
        <v>18677</v>
      </c>
      <c r="N1790" s="3" t="s">
        <v>1029</v>
      </c>
      <c r="P1790" s="3" t="s">
        <v>69</v>
      </c>
      <c r="R1790" s="3" t="s">
        <v>16939</v>
      </c>
      <c r="S1790" s="4">
        <v>1</v>
      </c>
      <c r="T1790" s="4">
        <v>1</v>
      </c>
      <c r="U1790" s="5" t="s">
        <v>590</v>
      </c>
      <c r="V1790" s="5" t="s">
        <v>590</v>
      </c>
      <c r="W1790" s="5" t="s">
        <v>72</v>
      </c>
      <c r="X1790" s="5" t="s">
        <v>72</v>
      </c>
      <c r="Y1790" s="4">
        <v>126</v>
      </c>
      <c r="Z1790" s="4">
        <v>10</v>
      </c>
      <c r="AA1790" s="4">
        <v>16</v>
      </c>
      <c r="AB1790" s="4">
        <v>2</v>
      </c>
      <c r="AC1790" s="4">
        <v>2</v>
      </c>
      <c r="AD1790" s="4">
        <v>45</v>
      </c>
      <c r="AE1790" s="4">
        <v>52</v>
      </c>
      <c r="AF1790" s="4">
        <v>0</v>
      </c>
      <c r="AG1790" s="4">
        <v>0</v>
      </c>
      <c r="AH1790" s="4">
        <v>41</v>
      </c>
      <c r="AI1790" s="4">
        <v>46</v>
      </c>
      <c r="AJ1790" s="4">
        <v>6</v>
      </c>
      <c r="AK1790" s="4">
        <v>9</v>
      </c>
      <c r="AL1790" s="4">
        <v>26</v>
      </c>
      <c r="AM1790" s="4">
        <v>28</v>
      </c>
      <c r="AN1790" s="4">
        <v>0</v>
      </c>
      <c r="AO1790" s="4">
        <v>0</v>
      </c>
      <c r="AP1790" s="4">
        <v>6</v>
      </c>
      <c r="AQ1790" s="4">
        <v>11</v>
      </c>
      <c r="AR1790" s="3" t="s">
        <v>64</v>
      </c>
      <c r="AS1790" s="3" t="s">
        <v>64</v>
      </c>
      <c r="AT1790" s="3" t="s">
        <v>64</v>
      </c>
      <c r="AV1790" s="6" t="str">
        <f>HYPERLINK("http://mcgill.on.worldcat.org/oclc/436264461","Catalog Record")</f>
        <v>Catalog Record</v>
      </c>
      <c r="AW1790" s="6" t="str">
        <f>HYPERLINK("http://www.worldcat.org/oclc/436264461","WorldCat Record")</f>
        <v>WorldCat Record</v>
      </c>
      <c r="AX1790" s="3" t="s">
        <v>18678</v>
      </c>
      <c r="AY1790" s="3" t="s">
        <v>18679</v>
      </c>
      <c r="AZ1790" s="3" t="s">
        <v>18680</v>
      </c>
      <c r="BA1790" s="3" t="s">
        <v>18680</v>
      </c>
      <c r="BB1790" s="3" t="s">
        <v>18681</v>
      </c>
      <c r="BC1790" s="3" t="s">
        <v>78</v>
      </c>
      <c r="BD1790" s="3" t="s">
        <v>79</v>
      </c>
      <c r="BE1790" s="3" t="s">
        <v>18682</v>
      </c>
      <c r="BF1790" s="3" t="s">
        <v>18681</v>
      </c>
      <c r="BG1790" s="3" t="s">
        <v>18683</v>
      </c>
    </row>
    <row r="1791" spans="1:59" ht="58" x14ac:dyDescent="0.35">
      <c r="A1791" s="2" t="s">
        <v>59</v>
      </c>
      <c r="B1791" s="2" t="s">
        <v>94</v>
      </c>
      <c r="C1791" s="2" t="s">
        <v>18684</v>
      </c>
      <c r="D1791" s="2" t="s">
        <v>18685</v>
      </c>
      <c r="E1791" s="2" t="s">
        <v>18686</v>
      </c>
      <c r="G1791" s="3" t="s">
        <v>64</v>
      </c>
      <c r="I1791" s="3" t="s">
        <v>64</v>
      </c>
      <c r="J1791" s="3" t="s">
        <v>64</v>
      </c>
      <c r="K1791" s="3" t="s">
        <v>65</v>
      </c>
      <c r="L1791" s="2" t="s">
        <v>18687</v>
      </c>
      <c r="M1791" s="2" t="s">
        <v>18688</v>
      </c>
      <c r="N1791" s="3" t="s">
        <v>1227</v>
      </c>
      <c r="P1791" s="3" t="s">
        <v>69</v>
      </c>
      <c r="R1791" s="3" t="s">
        <v>16939</v>
      </c>
      <c r="S1791" s="4">
        <v>20</v>
      </c>
      <c r="T1791" s="4">
        <v>20</v>
      </c>
      <c r="U1791" s="5" t="s">
        <v>3002</v>
      </c>
      <c r="V1791" s="5" t="s">
        <v>3002</v>
      </c>
      <c r="W1791" s="5" t="s">
        <v>72</v>
      </c>
      <c r="X1791" s="5" t="s">
        <v>72</v>
      </c>
      <c r="Y1791" s="4">
        <v>235</v>
      </c>
      <c r="Z1791" s="4">
        <v>56</v>
      </c>
      <c r="AA1791" s="4">
        <v>58</v>
      </c>
      <c r="AB1791" s="4">
        <v>3</v>
      </c>
      <c r="AC1791" s="4">
        <v>4</v>
      </c>
      <c r="AD1791" s="4">
        <v>105</v>
      </c>
      <c r="AE1791" s="4">
        <v>107</v>
      </c>
      <c r="AF1791" s="4">
        <v>1</v>
      </c>
      <c r="AG1791" s="4">
        <v>2</v>
      </c>
      <c r="AH1791" s="4">
        <v>76</v>
      </c>
      <c r="AI1791" s="4">
        <v>77</v>
      </c>
      <c r="AJ1791" s="4">
        <v>22</v>
      </c>
      <c r="AK1791" s="4">
        <v>24</v>
      </c>
      <c r="AL1791" s="4">
        <v>43</v>
      </c>
      <c r="AM1791" s="4">
        <v>43</v>
      </c>
      <c r="AN1791" s="4">
        <v>5</v>
      </c>
      <c r="AO1791" s="4">
        <v>5</v>
      </c>
      <c r="AP1791" s="4">
        <v>36</v>
      </c>
      <c r="AQ1791" s="4">
        <v>38</v>
      </c>
      <c r="AR1791" s="3" t="s">
        <v>73</v>
      </c>
      <c r="AS1791" s="3" t="s">
        <v>64</v>
      </c>
      <c r="AT1791" s="3" t="s">
        <v>73</v>
      </c>
      <c r="AU1791" s="6" t="str">
        <f>HYPERLINK("http://catalog.hathitrust.org/Record/009493046","HathiTrust Record")</f>
        <v>HathiTrust Record</v>
      </c>
      <c r="AV1791" s="6" t="str">
        <f>HYPERLINK("http://mcgill.on.worldcat.org/oclc/653222","Catalog Record")</f>
        <v>Catalog Record</v>
      </c>
      <c r="AW1791" s="6" t="str">
        <f>HYPERLINK("http://www.worldcat.org/oclc/653222","WorldCat Record")</f>
        <v>WorldCat Record</v>
      </c>
      <c r="AX1791" s="3" t="s">
        <v>18689</v>
      </c>
      <c r="AY1791" s="3" t="s">
        <v>18690</v>
      </c>
      <c r="AZ1791" s="3" t="s">
        <v>18691</v>
      </c>
      <c r="BA1791" s="3" t="s">
        <v>18691</v>
      </c>
      <c r="BB1791" s="3" t="s">
        <v>18692</v>
      </c>
      <c r="BC1791" s="3" t="s">
        <v>78</v>
      </c>
      <c r="BD1791" s="3" t="s">
        <v>79</v>
      </c>
      <c r="BE1791" s="3" t="s">
        <v>18693</v>
      </c>
      <c r="BF1791" s="3" t="s">
        <v>18692</v>
      </c>
      <c r="BG1791" s="3" t="s">
        <v>18694</v>
      </c>
    </row>
    <row r="1792" spans="1:59" ht="58" x14ac:dyDescent="0.35">
      <c r="A1792" s="2" t="s">
        <v>59</v>
      </c>
      <c r="B1792" s="2" t="s">
        <v>94</v>
      </c>
      <c r="C1792" s="2" t="s">
        <v>18695</v>
      </c>
      <c r="D1792" s="2" t="s">
        <v>18696</v>
      </c>
      <c r="E1792" s="2" t="s">
        <v>18697</v>
      </c>
      <c r="G1792" s="3" t="s">
        <v>64</v>
      </c>
      <c r="I1792" s="3" t="s">
        <v>73</v>
      </c>
      <c r="J1792" s="3" t="s">
        <v>64</v>
      </c>
      <c r="K1792" s="3" t="s">
        <v>65</v>
      </c>
      <c r="L1792" s="2" t="s">
        <v>18698</v>
      </c>
      <c r="M1792" s="2" t="s">
        <v>13653</v>
      </c>
      <c r="N1792" s="3" t="s">
        <v>422</v>
      </c>
      <c r="P1792" s="3" t="s">
        <v>69</v>
      </c>
      <c r="R1792" s="3" t="s">
        <v>16939</v>
      </c>
      <c r="S1792" s="4">
        <v>18</v>
      </c>
      <c r="T1792" s="4">
        <v>50</v>
      </c>
      <c r="U1792" s="5" t="s">
        <v>18699</v>
      </c>
      <c r="V1792" s="5" t="s">
        <v>18700</v>
      </c>
      <c r="W1792" s="5" t="s">
        <v>72</v>
      </c>
      <c r="X1792" s="5" t="s">
        <v>72</v>
      </c>
      <c r="Y1792" s="4">
        <v>379</v>
      </c>
      <c r="Z1792" s="4">
        <v>37</v>
      </c>
      <c r="AA1792" s="4">
        <v>37</v>
      </c>
      <c r="AB1792" s="4">
        <v>3</v>
      </c>
      <c r="AC1792" s="4">
        <v>3</v>
      </c>
      <c r="AD1792" s="4">
        <v>103</v>
      </c>
      <c r="AE1792" s="4">
        <v>103</v>
      </c>
      <c r="AF1792" s="4">
        <v>1</v>
      </c>
      <c r="AG1792" s="4">
        <v>1</v>
      </c>
      <c r="AH1792" s="4">
        <v>83</v>
      </c>
      <c r="AI1792" s="4">
        <v>83</v>
      </c>
      <c r="AJ1792" s="4">
        <v>18</v>
      </c>
      <c r="AK1792" s="4">
        <v>18</v>
      </c>
      <c r="AL1792" s="4">
        <v>44</v>
      </c>
      <c r="AM1792" s="4">
        <v>44</v>
      </c>
      <c r="AN1792" s="4">
        <v>0</v>
      </c>
      <c r="AO1792" s="4">
        <v>0</v>
      </c>
      <c r="AP1792" s="4">
        <v>25</v>
      </c>
      <c r="AQ1792" s="4">
        <v>25</v>
      </c>
      <c r="AR1792" s="3" t="s">
        <v>64</v>
      </c>
      <c r="AS1792" s="3" t="s">
        <v>64</v>
      </c>
      <c r="AT1792" s="3" t="s">
        <v>64</v>
      </c>
      <c r="AV1792" s="6" t="str">
        <f>HYPERLINK("http://mcgill.on.worldcat.org/oclc/45908975","Catalog Record")</f>
        <v>Catalog Record</v>
      </c>
      <c r="AW1792" s="6" t="str">
        <f>HYPERLINK("http://www.worldcat.org/oclc/45908975","WorldCat Record")</f>
        <v>WorldCat Record</v>
      </c>
      <c r="AX1792" s="3" t="s">
        <v>18701</v>
      </c>
      <c r="AY1792" s="3" t="s">
        <v>18702</v>
      </c>
      <c r="AZ1792" s="3" t="s">
        <v>18703</v>
      </c>
      <c r="BA1792" s="3" t="s">
        <v>18703</v>
      </c>
      <c r="BB1792" s="3" t="s">
        <v>18704</v>
      </c>
      <c r="BC1792" s="3" t="s">
        <v>78</v>
      </c>
      <c r="BD1792" s="3" t="s">
        <v>79</v>
      </c>
      <c r="BE1792" s="3" t="s">
        <v>18705</v>
      </c>
      <c r="BF1792" s="3" t="s">
        <v>18704</v>
      </c>
      <c r="BG1792" s="3" t="s">
        <v>18706</v>
      </c>
    </row>
    <row r="1793" spans="1:59" ht="58" x14ac:dyDescent="0.35">
      <c r="A1793" s="2" t="s">
        <v>59</v>
      </c>
      <c r="B1793" s="2" t="s">
        <v>94</v>
      </c>
      <c r="C1793" s="2" t="s">
        <v>18695</v>
      </c>
      <c r="D1793" s="2" t="s">
        <v>18696</v>
      </c>
      <c r="E1793" s="2" t="s">
        <v>18697</v>
      </c>
      <c r="G1793" s="3" t="s">
        <v>64</v>
      </c>
      <c r="I1793" s="3" t="s">
        <v>73</v>
      </c>
      <c r="J1793" s="3" t="s">
        <v>64</v>
      </c>
      <c r="K1793" s="3" t="s">
        <v>65</v>
      </c>
      <c r="L1793" s="2" t="s">
        <v>18698</v>
      </c>
      <c r="M1793" s="2" t="s">
        <v>13653</v>
      </c>
      <c r="N1793" s="3" t="s">
        <v>422</v>
      </c>
      <c r="P1793" s="3" t="s">
        <v>69</v>
      </c>
      <c r="R1793" s="3" t="s">
        <v>16939</v>
      </c>
      <c r="S1793" s="4">
        <v>32</v>
      </c>
      <c r="T1793" s="4">
        <v>50</v>
      </c>
      <c r="U1793" s="5" t="s">
        <v>18700</v>
      </c>
      <c r="V1793" s="5" t="s">
        <v>18700</v>
      </c>
      <c r="W1793" s="5" t="s">
        <v>72</v>
      </c>
      <c r="X1793" s="5" t="s">
        <v>72</v>
      </c>
      <c r="Y1793" s="4">
        <v>379</v>
      </c>
      <c r="Z1793" s="4">
        <v>37</v>
      </c>
      <c r="AA1793" s="4">
        <v>37</v>
      </c>
      <c r="AB1793" s="4">
        <v>3</v>
      </c>
      <c r="AC1793" s="4">
        <v>3</v>
      </c>
      <c r="AD1793" s="4">
        <v>103</v>
      </c>
      <c r="AE1793" s="4">
        <v>103</v>
      </c>
      <c r="AF1793" s="4">
        <v>1</v>
      </c>
      <c r="AG1793" s="4">
        <v>1</v>
      </c>
      <c r="AH1793" s="4">
        <v>83</v>
      </c>
      <c r="AI1793" s="4">
        <v>83</v>
      </c>
      <c r="AJ1793" s="4">
        <v>18</v>
      </c>
      <c r="AK1793" s="4">
        <v>18</v>
      </c>
      <c r="AL1793" s="4">
        <v>44</v>
      </c>
      <c r="AM1793" s="4">
        <v>44</v>
      </c>
      <c r="AN1793" s="4">
        <v>0</v>
      </c>
      <c r="AO1793" s="4">
        <v>0</v>
      </c>
      <c r="AP1793" s="4">
        <v>25</v>
      </c>
      <c r="AQ1793" s="4">
        <v>25</v>
      </c>
      <c r="AR1793" s="3" t="s">
        <v>64</v>
      </c>
      <c r="AS1793" s="3" t="s">
        <v>64</v>
      </c>
      <c r="AT1793" s="3" t="s">
        <v>64</v>
      </c>
      <c r="AV1793" s="6" t="str">
        <f>HYPERLINK("http://mcgill.on.worldcat.org/oclc/45908975","Catalog Record")</f>
        <v>Catalog Record</v>
      </c>
      <c r="AW1793" s="6" t="str">
        <f>HYPERLINK("http://www.worldcat.org/oclc/45908975","WorldCat Record")</f>
        <v>WorldCat Record</v>
      </c>
      <c r="AX1793" s="3" t="s">
        <v>18701</v>
      </c>
      <c r="AY1793" s="3" t="s">
        <v>18702</v>
      </c>
      <c r="AZ1793" s="3" t="s">
        <v>18703</v>
      </c>
      <c r="BA1793" s="3" t="s">
        <v>18703</v>
      </c>
      <c r="BB1793" s="3" t="s">
        <v>18707</v>
      </c>
      <c r="BC1793" s="3" t="s">
        <v>78</v>
      </c>
      <c r="BD1793" s="3" t="s">
        <v>79</v>
      </c>
      <c r="BE1793" s="3" t="s">
        <v>18705</v>
      </c>
      <c r="BF1793" s="3" t="s">
        <v>18707</v>
      </c>
      <c r="BG1793" s="3" t="s">
        <v>18708</v>
      </c>
    </row>
    <row r="1794" spans="1:59" ht="58" x14ac:dyDescent="0.35">
      <c r="A1794" s="2" t="s">
        <v>59</v>
      </c>
      <c r="B1794" s="2" t="s">
        <v>94</v>
      </c>
      <c r="C1794" s="2" t="s">
        <v>18709</v>
      </c>
      <c r="D1794" s="2" t="s">
        <v>18710</v>
      </c>
      <c r="E1794" s="2" t="s">
        <v>18711</v>
      </c>
      <c r="G1794" s="3" t="s">
        <v>64</v>
      </c>
      <c r="I1794" s="3" t="s">
        <v>64</v>
      </c>
      <c r="J1794" s="3" t="s">
        <v>64</v>
      </c>
      <c r="K1794" s="3" t="s">
        <v>65</v>
      </c>
      <c r="L1794" s="2" t="s">
        <v>18712</v>
      </c>
      <c r="M1794" s="2" t="s">
        <v>18713</v>
      </c>
      <c r="N1794" s="3" t="s">
        <v>407</v>
      </c>
      <c r="P1794" s="3" t="s">
        <v>69</v>
      </c>
      <c r="Q1794" s="2" t="s">
        <v>1996</v>
      </c>
      <c r="R1794" s="3" t="s">
        <v>16939</v>
      </c>
      <c r="S1794" s="4">
        <v>6</v>
      </c>
      <c r="T1794" s="4">
        <v>6</v>
      </c>
      <c r="U1794" s="5" t="s">
        <v>8472</v>
      </c>
      <c r="V1794" s="5" t="s">
        <v>8472</v>
      </c>
      <c r="W1794" s="5" t="s">
        <v>72</v>
      </c>
      <c r="X1794" s="5" t="s">
        <v>72</v>
      </c>
      <c r="Y1794" s="4">
        <v>615</v>
      </c>
      <c r="Z1794" s="4">
        <v>17</v>
      </c>
      <c r="AA1794" s="4">
        <v>17</v>
      </c>
      <c r="AB1794" s="4">
        <v>2</v>
      </c>
      <c r="AC1794" s="4">
        <v>2</v>
      </c>
      <c r="AD1794" s="4">
        <v>108</v>
      </c>
      <c r="AE1794" s="4">
        <v>108</v>
      </c>
      <c r="AF1794" s="4">
        <v>0</v>
      </c>
      <c r="AG1794" s="4">
        <v>0</v>
      </c>
      <c r="AH1794" s="4">
        <v>100</v>
      </c>
      <c r="AI1794" s="4">
        <v>100</v>
      </c>
      <c r="AJ1794" s="4">
        <v>9</v>
      </c>
      <c r="AK1794" s="4">
        <v>9</v>
      </c>
      <c r="AL1794" s="4">
        <v>55</v>
      </c>
      <c r="AM1794" s="4">
        <v>55</v>
      </c>
      <c r="AN1794" s="4">
        <v>0</v>
      </c>
      <c r="AO1794" s="4">
        <v>0</v>
      </c>
      <c r="AP1794" s="4">
        <v>11</v>
      </c>
      <c r="AQ1794" s="4">
        <v>11</v>
      </c>
      <c r="AR1794" s="3" t="s">
        <v>64</v>
      </c>
      <c r="AS1794" s="3" t="s">
        <v>64</v>
      </c>
      <c r="AT1794" s="3" t="s">
        <v>73</v>
      </c>
      <c r="AU1794" s="6" t="str">
        <f>HYPERLINK("http://catalog.hathitrust.org/Record/000597035","HathiTrust Record")</f>
        <v>HathiTrust Record</v>
      </c>
      <c r="AV1794" s="6" t="str">
        <f>HYPERLINK("http://mcgill.on.worldcat.org/oclc/13761711","Catalog Record")</f>
        <v>Catalog Record</v>
      </c>
      <c r="AW1794" s="6" t="str">
        <f>HYPERLINK("http://www.worldcat.org/oclc/13761711","WorldCat Record")</f>
        <v>WorldCat Record</v>
      </c>
      <c r="AX1794" s="3" t="s">
        <v>18714</v>
      </c>
      <c r="AY1794" s="3" t="s">
        <v>18715</v>
      </c>
      <c r="AZ1794" s="3" t="s">
        <v>18716</v>
      </c>
      <c r="BA1794" s="3" t="s">
        <v>18716</v>
      </c>
      <c r="BB1794" s="3" t="s">
        <v>18717</v>
      </c>
      <c r="BC1794" s="3" t="s">
        <v>78</v>
      </c>
      <c r="BD1794" s="3" t="s">
        <v>79</v>
      </c>
      <c r="BE1794" s="3" t="s">
        <v>18718</v>
      </c>
      <c r="BF1794" s="3" t="s">
        <v>18717</v>
      </c>
      <c r="BG1794" s="3" t="s">
        <v>18719</v>
      </c>
    </row>
    <row r="1795" spans="1:59" ht="58" x14ac:dyDescent="0.35">
      <c r="A1795" s="2" t="s">
        <v>59</v>
      </c>
      <c r="B1795" s="2" t="s">
        <v>94</v>
      </c>
      <c r="C1795" s="2" t="s">
        <v>18720</v>
      </c>
      <c r="D1795" s="2" t="s">
        <v>18721</v>
      </c>
      <c r="E1795" s="2" t="s">
        <v>18722</v>
      </c>
      <c r="G1795" s="3" t="s">
        <v>64</v>
      </c>
      <c r="I1795" s="3" t="s">
        <v>73</v>
      </c>
      <c r="J1795" s="3" t="s">
        <v>64</v>
      </c>
      <c r="K1795" s="3" t="s">
        <v>65</v>
      </c>
      <c r="L1795" s="2" t="s">
        <v>18723</v>
      </c>
      <c r="M1795" s="2" t="s">
        <v>18724</v>
      </c>
      <c r="N1795" s="3" t="s">
        <v>252</v>
      </c>
      <c r="P1795" s="3" t="s">
        <v>69</v>
      </c>
      <c r="Q1795" s="2" t="s">
        <v>18725</v>
      </c>
      <c r="R1795" s="3" t="s">
        <v>16939</v>
      </c>
      <c r="S1795" s="4">
        <v>18</v>
      </c>
      <c r="T1795" s="4">
        <v>30</v>
      </c>
      <c r="U1795" s="5" t="s">
        <v>18726</v>
      </c>
      <c r="V1795" s="5" t="s">
        <v>18727</v>
      </c>
      <c r="W1795" s="5" t="s">
        <v>72</v>
      </c>
      <c r="X1795" s="5" t="s">
        <v>72</v>
      </c>
      <c r="Y1795" s="4">
        <v>452</v>
      </c>
      <c r="Z1795" s="4">
        <v>26</v>
      </c>
      <c r="AA1795" s="4">
        <v>27</v>
      </c>
      <c r="AB1795" s="4">
        <v>1</v>
      </c>
      <c r="AC1795" s="4">
        <v>2</v>
      </c>
      <c r="AD1795" s="4">
        <v>115</v>
      </c>
      <c r="AE1795" s="4">
        <v>116</v>
      </c>
      <c r="AF1795" s="4">
        <v>0</v>
      </c>
      <c r="AG1795" s="4">
        <v>1</v>
      </c>
      <c r="AH1795" s="4">
        <v>100</v>
      </c>
      <c r="AI1795" s="4">
        <v>100</v>
      </c>
      <c r="AJ1795" s="4">
        <v>18</v>
      </c>
      <c r="AK1795" s="4">
        <v>19</v>
      </c>
      <c r="AL1795" s="4">
        <v>56</v>
      </c>
      <c r="AM1795" s="4">
        <v>56</v>
      </c>
      <c r="AN1795" s="4">
        <v>0</v>
      </c>
      <c r="AO1795" s="4">
        <v>0</v>
      </c>
      <c r="AP1795" s="4">
        <v>21</v>
      </c>
      <c r="AQ1795" s="4">
        <v>21</v>
      </c>
      <c r="AR1795" s="3" t="s">
        <v>64</v>
      </c>
      <c r="AS1795" s="3" t="s">
        <v>64</v>
      </c>
      <c r="AT1795" s="3" t="s">
        <v>73</v>
      </c>
      <c r="AU1795" s="6" t="str">
        <f>HYPERLINK("http://catalog.hathitrust.org/Record/001621283","HathiTrust Record")</f>
        <v>HathiTrust Record</v>
      </c>
      <c r="AV1795" s="6" t="str">
        <f>HYPERLINK("http://mcgill.on.worldcat.org/oclc/659033","Catalog Record")</f>
        <v>Catalog Record</v>
      </c>
      <c r="AW1795" s="6" t="str">
        <f>HYPERLINK("http://www.worldcat.org/oclc/659033","WorldCat Record")</f>
        <v>WorldCat Record</v>
      </c>
      <c r="AX1795" s="3" t="s">
        <v>18728</v>
      </c>
      <c r="AY1795" s="3" t="s">
        <v>18729</v>
      </c>
      <c r="AZ1795" s="3" t="s">
        <v>18730</v>
      </c>
      <c r="BA1795" s="3" t="s">
        <v>18730</v>
      </c>
      <c r="BB1795" s="3" t="s">
        <v>18731</v>
      </c>
      <c r="BC1795" s="3" t="s">
        <v>78</v>
      </c>
      <c r="BD1795" s="3" t="s">
        <v>79</v>
      </c>
      <c r="BE1795" s="3" t="s">
        <v>18732</v>
      </c>
      <c r="BF1795" s="3" t="s">
        <v>18731</v>
      </c>
      <c r="BG1795" s="3" t="s">
        <v>18733</v>
      </c>
    </row>
    <row r="1796" spans="1:59" ht="58" x14ac:dyDescent="0.35">
      <c r="A1796" s="2" t="s">
        <v>59</v>
      </c>
      <c r="B1796" s="2" t="s">
        <v>94</v>
      </c>
      <c r="C1796" s="2" t="s">
        <v>18720</v>
      </c>
      <c r="D1796" s="2" t="s">
        <v>18721</v>
      </c>
      <c r="E1796" s="2" t="s">
        <v>18722</v>
      </c>
      <c r="G1796" s="3" t="s">
        <v>64</v>
      </c>
      <c r="I1796" s="3" t="s">
        <v>73</v>
      </c>
      <c r="J1796" s="3" t="s">
        <v>64</v>
      </c>
      <c r="K1796" s="3" t="s">
        <v>65</v>
      </c>
      <c r="L1796" s="2" t="s">
        <v>18723</v>
      </c>
      <c r="M1796" s="2" t="s">
        <v>18724</v>
      </c>
      <c r="N1796" s="3" t="s">
        <v>252</v>
      </c>
      <c r="P1796" s="3" t="s">
        <v>69</v>
      </c>
      <c r="Q1796" s="2" t="s">
        <v>18725</v>
      </c>
      <c r="R1796" s="3" t="s">
        <v>16939</v>
      </c>
      <c r="S1796" s="4">
        <v>12</v>
      </c>
      <c r="T1796" s="4">
        <v>30</v>
      </c>
      <c r="U1796" s="5" t="s">
        <v>18727</v>
      </c>
      <c r="V1796" s="5" t="s">
        <v>18727</v>
      </c>
      <c r="W1796" s="5" t="s">
        <v>72</v>
      </c>
      <c r="X1796" s="5" t="s">
        <v>72</v>
      </c>
      <c r="Y1796" s="4">
        <v>452</v>
      </c>
      <c r="Z1796" s="4">
        <v>26</v>
      </c>
      <c r="AA1796" s="4">
        <v>27</v>
      </c>
      <c r="AB1796" s="4">
        <v>1</v>
      </c>
      <c r="AC1796" s="4">
        <v>2</v>
      </c>
      <c r="AD1796" s="4">
        <v>115</v>
      </c>
      <c r="AE1796" s="4">
        <v>116</v>
      </c>
      <c r="AF1796" s="4">
        <v>0</v>
      </c>
      <c r="AG1796" s="4">
        <v>1</v>
      </c>
      <c r="AH1796" s="4">
        <v>100</v>
      </c>
      <c r="AI1796" s="4">
        <v>100</v>
      </c>
      <c r="AJ1796" s="4">
        <v>18</v>
      </c>
      <c r="AK1796" s="4">
        <v>19</v>
      </c>
      <c r="AL1796" s="4">
        <v>56</v>
      </c>
      <c r="AM1796" s="4">
        <v>56</v>
      </c>
      <c r="AN1796" s="4">
        <v>0</v>
      </c>
      <c r="AO1796" s="4">
        <v>0</v>
      </c>
      <c r="AP1796" s="4">
        <v>21</v>
      </c>
      <c r="AQ1796" s="4">
        <v>21</v>
      </c>
      <c r="AR1796" s="3" t="s">
        <v>64</v>
      </c>
      <c r="AS1796" s="3" t="s">
        <v>64</v>
      </c>
      <c r="AT1796" s="3" t="s">
        <v>73</v>
      </c>
      <c r="AU1796" s="6" t="str">
        <f>HYPERLINK("http://catalog.hathitrust.org/Record/001621283","HathiTrust Record")</f>
        <v>HathiTrust Record</v>
      </c>
      <c r="AV1796" s="6" t="str">
        <f>HYPERLINK("http://mcgill.on.worldcat.org/oclc/659033","Catalog Record")</f>
        <v>Catalog Record</v>
      </c>
      <c r="AW1796" s="6" t="str">
        <f>HYPERLINK("http://www.worldcat.org/oclc/659033","WorldCat Record")</f>
        <v>WorldCat Record</v>
      </c>
      <c r="AX1796" s="3" t="s">
        <v>18728</v>
      </c>
      <c r="AY1796" s="3" t="s">
        <v>18729</v>
      </c>
      <c r="AZ1796" s="3" t="s">
        <v>18730</v>
      </c>
      <c r="BA1796" s="3" t="s">
        <v>18730</v>
      </c>
      <c r="BB1796" s="3" t="s">
        <v>18734</v>
      </c>
      <c r="BC1796" s="3" t="s">
        <v>78</v>
      </c>
      <c r="BD1796" s="3" t="s">
        <v>79</v>
      </c>
      <c r="BE1796" s="3" t="s">
        <v>18732</v>
      </c>
      <c r="BF1796" s="3" t="s">
        <v>18734</v>
      </c>
      <c r="BG1796" s="3" t="s">
        <v>18735</v>
      </c>
    </row>
    <row r="1797" spans="1:59" ht="58" x14ac:dyDescent="0.35">
      <c r="A1797" s="2" t="s">
        <v>59</v>
      </c>
      <c r="B1797" s="2" t="s">
        <v>94</v>
      </c>
      <c r="C1797" s="2" t="s">
        <v>18736</v>
      </c>
      <c r="D1797" s="2" t="s">
        <v>18737</v>
      </c>
      <c r="E1797" s="2" t="s">
        <v>18738</v>
      </c>
      <c r="G1797" s="3" t="s">
        <v>64</v>
      </c>
      <c r="I1797" s="3" t="s">
        <v>64</v>
      </c>
      <c r="J1797" s="3" t="s">
        <v>64</v>
      </c>
      <c r="K1797" s="3" t="s">
        <v>65</v>
      </c>
      <c r="L1797" s="2" t="s">
        <v>18739</v>
      </c>
      <c r="M1797" s="2" t="s">
        <v>4286</v>
      </c>
      <c r="N1797" s="3" t="s">
        <v>1813</v>
      </c>
      <c r="P1797" s="3" t="s">
        <v>69</v>
      </c>
      <c r="Q1797" s="2" t="s">
        <v>4287</v>
      </c>
      <c r="R1797" s="3" t="s">
        <v>16939</v>
      </c>
      <c r="S1797" s="4">
        <v>3</v>
      </c>
      <c r="T1797" s="4">
        <v>3</v>
      </c>
      <c r="U1797" s="5" t="s">
        <v>9650</v>
      </c>
      <c r="V1797" s="5" t="s">
        <v>9650</v>
      </c>
      <c r="W1797" s="5" t="s">
        <v>72</v>
      </c>
      <c r="X1797" s="5" t="s">
        <v>72</v>
      </c>
      <c r="Y1797" s="4">
        <v>62</v>
      </c>
      <c r="Z1797" s="4">
        <v>35</v>
      </c>
      <c r="AA1797" s="4">
        <v>55</v>
      </c>
      <c r="AB1797" s="4">
        <v>2</v>
      </c>
      <c r="AC1797" s="4">
        <v>11</v>
      </c>
      <c r="AD1797" s="4">
        <v>38</v>
      </c>
      <c r="AE1797" s="4">
        <v>52</v>
      </c>
      <c r="AF1797" s="4">
        <v>1</v>
      </c>
      <c r="AG1797" s="4">
        <v>5</v>
      </c>
      <c r="AH1797" s="4">
        <v>24</v>
      </c>
      <c r="AI1797" s="4">
        <v>26</v>
      </c>
      <c r="AJ1797" s="4">
        <v>13</v>
      </c>
      <c r="AK1797" s="4">
        <v>21</v>
      </c>
      <c r="AL1797" s="4">
        <v>13</v>
      </c>
      <c r="AM1797" s="4">
        <v>13</v>
      </c>
      <c r="AN1797" s="4">
        <v>0</v>
      </c>
      <c r="AO1797" s="4">
        <v>0</v>
      </c>
      <c r="AP1797" s="4">
        <v>18</v>
      </c>
      <c r="AQ1797" s="4">
        <v>31</v>
      </c>
      <c r="AR1797" s="3" t="s">
        <v>73</v>
      </c>
      <c r="AS1797" s="3" t="s">
        <v>64</v>
      </c>
      <c r="AT1797" s="3" t="s">
        <v>64</v>
      </c>
      <c r="AV1797" s="6" t="str">
        <f>HYPERLINK("http://mcgill.on.worldcat.org/oclc/933273621","Catalog Record")</f>
        <v>Catalog Record</v>
      </c>
      <c r="AW1797" s="6" t="str">
        <f>HYPERLINK("http://www.worldcat.org/oclc/933273621","WorldCat Record")</f>
        <v>WorldCat Record</v>
      </c>
      <c r="AX1797" s="3" t="s">
        <v>18740</v>
      </c>
      <c r="AY1797" s="3" t="s">
        <v>18741</v>
      </c>
      <c r="AZ1797" s="3" t="s">
        <v>18742</v>
      </c>
      <c r="BA1797" s="3" t="s">
        <v>18742</v>
      </c>
      <c r="BB1797" s="3" t="s">
        <v>18743</v>
      </c>
      <c r="BC1797" s="3" t="s">
        <v>78</v>
      </c>
      <c r="BD1797" s="3" t="s">
        <v>79</v>
      </c>
      <c r="BE1797" s="3" t="s">
        <v>18744</v>
      </c>
      <c r="BF1797" s="3" t="s">
        <v>18743</v>
      </c>
      <c r="BG1797" s="3" t="s">
        <v>18745</v>
      </c>
    </row>
    <row r="1798" spans="1:59" ht="58" x14ac:dyDescent="0.35">
      <c r="A1798" s="2" t="s">
        <v>59</v>
      </c>
      <c r="B1798" s="2" t="s">
        <v>94</v>
      </c>
      <c r="C1798" s="2" t="s">
        <v>18746</v>
      </c>
      <c r="D1798" s="2" t="s">
        <v>18747</v>
      </c>
      <c r="E1798" s="2" t="s">
        <v>18748</v>
      </c>
      <c r="G1798" s="3" t="s">
        <v>64</v>
      </c>
      <c r="I1798" s="3" t="s">
        <v>73</v>
      </c>
      <c r="J1798" s="3" t="s">
        <v>64</v>
      </c>
      <c r="K1798" s="3" t="s">
        <v>65</v>
      </c>
      <c r="M1798" s="2" t="s">
        <v>18749</v>
      </c>
      <c r="N1798" s="3" t="s">
        <v>2265</v>
      </c>
      <c r="P1798" s="3" t="s">
        <v>69</v>
      </c>
      <c r="Q1798" s="2" t="s">
        <v>18750</v>
      </c>
      <c r="R1798" s="3" t="s">
        <v>16939</v>
      </c>
      <c r="S1798" s="4">
        <v>24</v>
      </c>
      <c r="T1798" s="4">
        <v>144</v>
      </c>
      <c r="U1798" s="5" t="s">
        <v>18751</v>
      </c>
      <c r="V1798" s="5" t="s">
        <v>10013</v>
      </c>
      <c r="W1798" s="5" t="s">
        <v>72</v>
      </c>
      <c r="X1798" s="5" t="s">
        <v>72</v>
      </c>
      <c r="Y1798" s="4">
        <v>255</v>
      </c>
      <c r="Z1798" s="4">
        <v>87</v>
      </c>
      <c r="AA1798" s="4">
        <v>87</v>
      </c>
      <c r="AB1798" s="4">
        <v>7</v>
      </c>
      <c r="AC1798" s="4">
        <v>7</v>
      </c>
      <c r="AD1798" s="4">
        <v>93</v>
      </c>
      <c r="AE1798" s="4">
        <v>93</v>
      </c>
      <c r="AF1798" s="4">
        <v>2</v>
      </c>
      <c r="AG1798" s="4">
        <v>2</v>
      </c>
      <c r="AH1798" s="4">
        <v>58</v>
      </c>
      <c r="AI1798" s="4">
        <v>58</v>
      </c>
      <c r="AJ1798" s="4">
        <v>18</v>
      </c>
      <c r="AK1798" s="4">
        <v>18</v>
      </c>
      <c r="AL1798" s="4">
        <v>29</v>
      </c>
      <c r="AM1798" s="4">
        <v>29</v>
      </c>
      <c r="AN1798" s="4">
        <v>0</v>
      </c>
      <c r="AO1798" s="4">
        <v>0</v>
      </c>
      <c r="AP1798" s="4">
        <v>40</v>
      </c>
      <c r="AQ1798" s="4">
        <v>40</v>
      </c>
      <c r="AR1798" s="3" t="s">
        <v>73</v>
      </c>
      <c r="AS1798" s="3" t="s">
        <v>64</v>
      </c>
      <c r="AT1798" s="3" t="s">
        <v>73</v>
      </c>
      <c r="AU1798" s="6" t="str">
        <f t="shared" ref="AU1798:AU1805" si="18">HYPERLINK("http://catalog.hathitrust.org/Record/001621294","HathiTrust Record")</f>
        <v>HathiTrust Record</v>
      </c>
      <c r="AV1798" s="6" t="str">
        <f t="shared" ref="AV1798:AV1805" si="19">HYPERLINK("http://mcgill.on.worldcat.org/oclc/48500","Catalog Record")</f>
        <v>Catalog Record</v>
      </c>
      <c r="AW1798" s="6" t="str">
        <f t="shared" ref="AW1798:AW1805" si="20">HYPERLINK("http://www.worldcat.org/oclc/48500","WorldCat Record")</f>
        <v>WorldCat Record</v>
      </c>
      <c r="AX1798" s="3" t="s">
        <v>18752</v>
      </c>
      <c r="AY1798" s="3" t="s">
        <v>18753</v>
      </c>
      <c r="AZ1798" s="3" t="s">
        <v>18754</v>
      </c>
      <c r="BA1798" s="3" t="s">
        <v>18754</v>
      </c>
      <c r="BB1798" s="3" t="s">
        <v>18755</v>
      </c>
      <c r="BC1798" s="3" t="s">
        <v>78</v>
      </c>
      <c r="BD1798" s="3" t="s">
        <v>79</v>
      </c>
      <c r="BE1798" s="3" t="s">
        <v>18756</v>
      </c>
      <c r="BF1798" s="3" t="s">
        <v>18755</v>
      </c>
      <c r="BG1798" s="3" t="s">
        <v>18757</v>
      </c>
    </row>
    <row r="1799" spans="1:59" ht="58" x14ac:dyDescent="0.35">
      <c r="A1799" s="2" t="s">
        <v>59</v>
      </c>
      <c r="B1799" s="2" t="s">
        <v>94</v>
      </c>
      <c r="C1799" s="2" t="s">
        <v>18746</v>
      </c>
      <c r="D1799" s="2" t="s">
        <v>18747</v>
      </c>
      <c r="E1799" s="2" t="s">
        <v>18748</v>
      </c>
      <c r="G1799" s="3" t="s">
        <v>64</v>
      </c>
      <c r="I1799" s="3" t="s">
        <v>73</v>
      </c>
      <c r="J1799" s="3" t="s">
        <v>64</v>
      </c>
      <c r="K1799" s="3" t="s">
        <v>65</v>
      </c>
      <c r="M1799" s="2" t="s">
        <v>18749</v>
      </c>
      <c r="N1799" s="3" t="s">
        <v>2265</v>
      </c>
      <c r="P1799" s="3" t="s">
        <v>69</v>
      </c>
      <c r="Q1799" s="2" t="s">
        <v>18750</v>
      </c>
      <c r="R1799" s="3" t="s">
        <v>16939</v>
      </c>
      <c r="S1799" s="4">
        <v>10</v>
      </c>
      <c r="T1799" s="4">
        <v>144</v>
      </c>
      <c r="U1799" s="5" t="s">
        <v>18727</v>
      </c>
      <c r="V1799" s="5" t="s">
        <v>10013</v>
      </c>
      <c r="W1799" s="5" t="s">
        <v>72</v>
      </c>
      <c r="X1799" s="5" t="s">
        <v>72</v>
      </c>
      <c r="Y1799" s="4">
        <v>255</v>
      </c>
      <c r="Z1799" s="4">
        <v>87</v>
      </c>
      <c r="AA1799" s="4">
        <v>87</v>
      </c>
      <c r="AB1799" s="4">
        <v>7</v>
      </c>
      <c r="AC1799" s="4">
        <v>7</v>
      </c>
      <c r="AD1799" s="4">
        <v>93</v>
      </c>
      <c r="AE1799" s="4">
        <v>93</v>
      </c>
      <c r="AF1799" s="4">
        <v>2</v>
      </c>
      <c r="AG1799" s="4">
        <v>2</v>
      </c>
      <c r="AH1799" s="4">
        <v>58</v>
      </c>
      <c r="AI1799" s="4">
        <v>58</v>
      </c>
      <c r="AJ1799" s="4">
        <v>18</v>
      </c>
      <c r="AK1799" s="4">
        <v>18</v>
      </c>
      <c r="AL1799" s="4">
        <v>29</v>
      </c>
      <c r="AM1799" s="4">
        <v>29</v>
      </c>
      <c r="AN1799" s="4">
        <v>0</v>
      </c>
      <c r="AO1799" s="4">
        <v>0</v>
      </c>
      <c r="AP1799" s="4">
        <v>40</v>
      </c>
      <c r="AQ1799" s="4">
        <v>40</v>
      </c>
      <c r="AR1799" s="3" t="s">
        <v>73</v>
      </c>
      <c r="AS1799" s="3" t="s">
        <v>64</v>
      </c>
      <c r="AT1799" s="3" t="s">
        <v>73</v>
      </c>
      <c r="AU1799" s="6" t="str">
        <f t="shared" si="18"/>
        <v>HathiTrust Record</v>
      </c>
      <c r="AV1799" s="6" t="str">
        <f t="shared" si="19"/>
        <v>Catalog Record</v>
      </c>
      <c r="AW1799" s="6" t="str">
        <f t="shared" si="20"/>
        <v>WorldCat Record</v>
      </c>
      <c r="AX1799" s="3" t="s">
        <v>18752</v>
      </c>
      <c r="AY1799" s="3" t="s">
        <v>18753</v>
      </c>
      <c r="AZ1799" s="3" t="s">
        <v>18754</v>
      </c>
      <c r="BA1799" s="3" t="s">
        <v>18754</v>
      </c>
      <c r="BB1799" s="3" t="s">
        <v>18758</v>
      </c>
      <c r="BC1799" s="3" t="s">
        <v>78</v>
      </c>
      <c r="BD1799" s="3" t="s">
        <v>79</v>
      </c>
      <c r="BE1799" s="3" t="s">
        <v>18756</v>
      </c>
      <c r="BF1799" s="3" t="s">
        <v>18758</v>
      </c>
      <c r="BG1799" s="3" t="s">
        <v>18759</v>
      </c>
    </row>
    <row r="1800" spans="1:59" ht="58" x14ac:dyDescent="0.35">
      <c r="A1800" s="2" t="s">
        <v>59</v>
      </c>
      <c r="B1800" s="2" t="s">
        <v>94</v>
      </c>
      <c r="C1800" s="2" t="s">
        <v>18746</v>
      </c>
      <c r="D1800" s="2" t="s">
        <v>18747</v>
      </c>
      <c r="E1800" s="2" t="s">
        <v>18748</v>
      </c>
      <c r="G1800" s="3" t="s">
        <v>64</v>
      </c>
      <c r="I1800" s="3" t="s">
        <v>73</v>
      </c>
      <c r="J1800" s="3" t="s">
        <v>64</v>
      </c>
      <c r="K1800" s="3" t="s">
        <v>65</v>
      </c>
      <c r="M1800" s="2" t="s">
        <v>18749</v>
      </c>
      <c r="N1800" s="3" t="s">
        <v>2265</v>
      </c>
      <c r="P1800" s="3" t="s">
        <v>69</v>
      </c>
      <c r="Q1800" s="2" t="s">
        <v>18750</v>
      </c>
      <c r="R1800" s="3" t="s">
        <v>16939</v>
      </c>
      <c r="S1800" s="4">
        <v>32</v>
      </c>
      <c r="T1800" s="4">
        <v>144</v>
      </c>
      <c r="U1800" s="5" t="s">
        <v>665</v>
      </c>
      <c r="V1800" s="5" t="s">
        <v>10013</v>
      </c>
      <c r="W1800" s="5" t="s">
        <v>72</v>
      </c>
      <c r="X1800" s="5" t="s">
        <v>72</v>
      </c>
      <c r="Y1800" s="4">
        <v>255</v>
      </c>
      <c r="Z1800" s="4">
        <v>87</v>
      </c>
      <c r="AA1800" s="4">
        <v>87</v>
      </c>
      <c r="AB1800" s="4">
        <v>7</v>
      </c>
      <c r="AC1800" s="4">
        <v>7</v>
      </c>
      <c r="AD1800" s="4">
        <v>93</v>
      </c>
      <c r="AE1800" s="4">
        <v>93</v>
      </c>
      <c r="AF1800" s="4">
        <v>2</v>
      </c>
      <c r="AG1800" s="4">
        <v>2</v>
      </c>
      <c r="AH1800" s="4">
        <v>58</v>
      </c>
      <c r="AI1800" s="4">
        <v>58</v>
      </c>
      <c r="AJ1800" s="4">
        <v>18</v>
      </c>
      <c r="AK1800" s="4">
        <v>18</v>
      </c>
      <c r="AL1800" s="4">
        <v>29</v>
      </c>
      <c r="AM1800" s="4">
        <v>29</v>
      </c>
      <c r="AN1800" s="4">
        <v>0</v>
      </c>
      <c r="AO1800" s="4">
        <v>0</v>
      </c>
      <c r="AP1800" s="4">
        <v>40</v>
      </c>
      <c r="AQ1800" s="4">
        <v>40</v>
      </c>
      <c r="AR1800" s="3" t="s">
        <v>73</v>
      </c>
      <c r="AS1800" s="3" t="s">
        <v>64</v>
      </c>
      <c r="AT1800" s="3" t="s">
        <v>73</v>
      </c>
      <c r="AU1800" s="6" t="str">
        <f t="shared" si="18"/>
        <v>HathiTrust Record</v>
      </c>
      <c r="AV1800" s="6" t="str">
        <f t="shared" si="19"/>
        <v>Catalog Record</v>
      </c>
      <c r="AW1800" s="6" t="str">
        <f t="shared" si="20"/>
        <v>WorldCat Record</v>
      </c>
      <c r="AX1800" s="3" t="s">
        <v>18752</v>
      </c>
      <c r="AY1800" s="3" t="s">
        <v>18753</v>
      </c>
      <c r="AZ1800" s="3" t="s">
        <v>18754</v>
      </c>
      <c r="BA1800" s="3" t="s">
        <v>18754</v>
      </c>
      <c r="BB1800" s="3" t="s">
        <v>18760</v>
      </c>
      <c r="BC1800" s="3" t="s">
        <v>78</v>
      </c>
      <c r="BD1800" s="3" t="s">
        <v>79</v>
      </c>
      <c r="BE1800" s="3" t="s">
        <v>18756</v>
      </c>
      <c r="BF1800" s="3" t="s">
        <v>18760</v>
      </c>
      <c r="BG1800" s="3" t="s">
        <v>18761</v>
      </c>
    </row>
    <row r="1801" spans="1:59" ht="58" x14ac:dyDescent="0.35">
      <c r="A1801" s="2" t="s">
        <v>59</v>
      </c>
      <c r="B1801" s="2" t="s">
        <v>94</v>
      </c>
      <c r="C1801" s="2" t="s">
        <v>18746</v>
      </c>
      <c r="D1801" s="2" t="s">
        <v>18747</v>
      </c>
      <c r="E1801" s="2" t="s">
        <v>18748</v>
      </c>
      <c r="G1801" s="3" t="s">
        <v>64</v>
      </c>
      <c r="I1801" s="3" t="s">
        <v>73</v>
      </c>
      <c r="J1801" s="3" t="s">
        <v>64</v>
      </c>
      <c r="K1801" s="3" t="s">
        <v>65</v>
      </c>
      <c r="M1801" s="2" t="s">
        <v>18749</v>
      </c>
      <c r="N1801" s="3" t="s">
        <v>2265</v>
      </c>
      <c r="P1801" s="3" t="s">
        <v>69</v>
      </c>
      <c r="Q1801" s="2" t="s">
        <v>18750</v>
      </c>
      <c r="R1801" s="3" t="s">
        <v>16939</v>
      </c>
      <c r="S1801" s="4">
        <v>18</v>
      </c>
      <c r="T1801" s="4">
        <v>144</v>
      </c>
      <c r="U1801" s="5" t="s">
        <v>18762</v>
      </c>
      <c r="V1801" s="5" t="s">
        <v>10013</v>
      </c>
      <c r="W1801" s="5" t="s">
        <v>72</v>
      </c>
      <c r="X1801" s="5" t="s">
        <v>72</v>
      </c>
      <c r="Y1801" s="4">
        <v>255</v>
      </c>
      <c r="Z1801" s="4">
        <v>87</v>
      </c>
      <c r="AA1801" s="4">
        <v>87</v>
      </c>
      <c r="AB1801" s="4">
        <v>7</v>
      </c>
      <c r="AC1801" s="4">
        <v>7</v>
      </c>
      <c r="AD1801" s="4">
        <v>93</v>
      </c>
      <c r="AE1801" s="4">
        <v>93</v>
      </c>
      <c r="AF1801" s="4">
        <v>2</v>
      </c>
      <c r="AG1801" s="4">
        <v>2</v>
      </c>
      <c r="AH1801" s="4">
        <v>58</v>
      </c>
      <c r="AI1801" s="4">
        <v>58</v>
      </c>
      <c r="AJ1801" s="4">
        <v>18</v>
      </c>
      <c r="AK1801" s="4">
        <v>18</v>
      </c>
      <c r="AL1801" s="4">
        <v>29</v>
      </c>
      <c r="AM1801" s="4">
        <v>29</v>
      </c>
      <c r="AN1801" s="4">
        <v>0</v>
      </c>
      <c r="AO1801" s="4">
        <v>0</v>
      </c>
      <c r="AP1801" s="4">
        <v>40</v>
      </c>
      <c r="AQ1801" s="4">
        <v>40</v>
      </c>
      <c r="AR1801" s="3" t="s">
        <v>73</v>
      </c>
      <c r="AS1801" s="3" t="s">
        <v>64</v>
      </c>
      <c r="AT1801" s="3" t="s">
        <v>73</v>
      </c>
      <c r="AU1801" s="6" t="str">
        <f t="shared" si="18"/>
        <v>HathiTrust Record</v>
      </c>
      <c r="AV1801" s="6" t="str">
        <f t="shared" si="19"/>
        <v>Catalog Record</v>
      </c>
      <c r="AW1801" s="6" t="str">
        <f t="shared" si="20"/>
        <v>WorldCat Record</v>
      </c>
      <c r="AX1801" s="3" t="s">
        <v>18752</v>
      </c>
      <c r="AY1801" s="3" t="s">
        <v>18753</v>
      </c>
      <c r="AZ1801" s="3" t="s">
        <v>18754</v>
      </c>
      <c r="BA1801" s="3" t="s">
        <v>18754</v>
      </c>
      <c r="BB1801" s="3" t="s">
        <v>18763</v>
      </c>
      <c r="BC1801" s="3" t="s">
        <v>78</v>
      </c>
      <c r="BD1801" s="3" t="s">
        <v>79</v>
      </c>
      <c r="BE1801" s="3" t="s">
        <v>18756</v>
      </c>
      <c r="BF1801" s="3" t="s">
        <v>18763</v>
      </c>
      <c r="BG1801" s="3" t="s">
        <v>18764</v>
      </c>
    </row>
    <row r="1802" spans="1:59" ht="58" x14ac:dyDescent="0.35">
      <c r="A1802" s="2" t="s">
        <v>59</v>
      </c>
      <c r="B1802" s="2" t="s">
        <v>94</v>
      </c>
      <c r="C1802" s="2" t="s">
        <v>18746</v>
      </c>
      <c r="D1802" s="2" t="s">
        <v>18747</v>
      </c>
      <c r="E1802" s="2" t="s">
        <v>18748</v>
      </c>
      <c r="G1802" s="3" t="s">
        <v>64</v>
      </c>
      <c r="I1802" s="3" t="s">
        <v>73</v>
      </c>
      <c r="J1802" s="3" t="s">
        <v>64</v>
      </c>
      <c r="K1802" s="3" t="s">
        <v>65</v>
      </c>
      <c r="M1802" s="2" t="s">
        <v>18749</v>
      </c>
      <c r="N1802" s="3" t="s">
        <v>2265</v>
      </c>
      <c r="P1802" s="3" t="s">
        <v>69</v>
      </c>
      <c r="Q1802" s="2" t="s">
        <v>18750</v>
      </c>
      <c r="R1802" s="3" t="s">
        <v>16939</v>
      </c>
      <c r="S1802" s="4">
        <v>16</v>
      </c>
      <c r="T1802" s="4">
        <v>144</v>
      </c>
      <c r="U1802" s="5" t="s">
        <v>18765</v>
      </c>
      <c r="V1802" s="5" t="s">
        <v>10013</v>
      </c>
      <c r="W1802" s="5" t="s">
        <v>72</v>
      </c>
      <c r="X1802" s="5" t="s">
        <v>72</v>
      </c>
      <c r="Y1802" s="4">
        <v>255</v>
      </c>
      <c r="Z1802" s="4">
        <v>87</v>
      </c>
      <c r="AA1802" s="4">
        <v>87</v>
      </c>
      <c r="AB1802" s="4">
        <v>7</v>
      </c>
      <c r="AC1802" s="4">
        <v>7</v>
      </c>
      <c r="AD1802" s="4">
        <v>93</v>
      </c>
      <c r="AE1802" s="4">
        <v>93</v>
      </c>
      <c r="AF1802" s="4">
        <v>2</v>
      </c>
      <c r="AG1802" s="4">
        <v>2</v>
      </c>
      <c r="AH1802" s="4">
        <v>58</v>
      </c>
      <c r="AI1802" s="4">
        <v>58</v>
      </c>
      <c r="AJ1802" s="4">
        <v>18</v>
      </c>
      <c r="AK1802" s="4">
        <v>18</v>
      </c>
      <c r="AL1802" s="4">
        <v>29</v>
      </c>
      <c r="AM1802" s="4">
        <v>29</v>
      </c>
      <c r="AN1802" s="4">
        <v>0</v>
      </c>
      <c r="AO1802" s="4">
        <v>0</v>
      </c>
      <c r="AP1802" s="4">
        <v>40</v>
      </c>
      <c r="AQ1802" s="4">
        <v>40</v>
      </c>
      <c r="AR1802" s="3" t="s">
        <v>73</v>
      </c>
      <c r="AS1802" s="3" t="s">
        <v>64</v>
      </c>
      <c r="AT1802" s="3" t="s">
        <v>73</v>
      </c>
      <c r="AU1802" s="6" t="str">
        <f t="shared" si="18"/>
        <v>HathiTrust Record</v>
      </c>
      <c r="AV1802" s="6" t="str">
        <f t="shared" si="19"/>
        <v>Catalog Record</v>
      </c>
      <c r="AW1802" s="6" t="str">
        <f t="shared" si="20"/>
        <v>WorldCat Record</v>
      </c>
      <c r="AX1802" s="3" t="s">
        <v>18752</v>
      </c>
      <c r="AY1802" s="3" t="s">
        <v>18753</v>
      </c>
      <c r="AZ1802" s="3" t="s">
        <v>18754</v>
      </c>
      <c r="BA1802" s="3" t="s">
        <v>18754</v>
      </c>
      <c r="BB1802" s="3" t="s">
        <v>18766</v>
      </c>
      <c r="BC1802" s="3" t="s">
        <v>78</v>
      </c>
      <c r="BD1802" s="3" t="s">
        <v>79</v>
      </c>
      <c r="BE1802" s="3" t="s">
        <v>18756</v>
      </c>
      <c r="BF1802" s="3" t="s">
        <v>18766</v>
      </c>
      <c r="BG1802" s="3" t="s">
        <v>18767</v>
      </c>
    </row>
    <row r="1803" spans="1:59" ht="58" x14ac:dyDescent="0.35">
      <c r="A1803" s="2" t="s">
        <v>59</v>
      </c>
      <c r="B1803" s="2" t="s">
        <v>94</v>
      </c>
      <c r="C1803" s="2" t="s">
        <v>18746</v>
      </c>
      <c r="D1803" s="2" t="s">
        <v>18747</v>
      </c>
      <c r="E1803" s="2" t="s">
        <v>18748</v>
      </c>
      <c r="G1803" s="3" t="s">
        <v>64</v>
      </c>
      <c r="I1803" s="3" t="s">
        <v>73</v>
      </c>
      <c r="J1803" s="3" t="s">
        <v>64</v>
      </c>
      <c r="K1803" s="3" t="s">
        <v>65</v>
      </c>
      <c r="M1803" s="2" t="s">
        <v>18749</v>
      </c>
      <c r="N1803" s="3" t="s">
        <v>2265</v>
      </c>
      <c r="P1803" s="3" t="s">
        <v>69</v>
      </c>
      <c r="Q1803" s="2" t="s">
        <v>18750</v>
      </c>
      <c r="R1803" s="3" t="s">
        <v>16939</v>
      </c>
      <c r="S1803" s="4">
        <v>0</v>
      </c>
      <c r="T1803" s="4">
        <v>144</v>
      </c>
      <c r="V1803" s="5" t="s">
        <v>10013</v>
      </c>
      <c r="W1803" s="5" t="s">
        <v>72</v>
      </c>
      <c r="X1803" s="5" t="s">
        <v>72</v>
      </c>
      <c r="Y1803" s="4">
        <v>255</v>
      </c>
      <c r="Z1803" s="4">
        <v>87</v>
      </c>
      <c r="AA1803" s="4">
        <v>87</v>
      </c>
      <c r="AB1803" s="4">
        <v>7</v>
      </c>
      <c r="AC1803" s="4">
        <v>7</v>
      </c>
      <c r="AD1803" s="4">
        <v>93</v>
      </c>
      <c r="AE1803" s="4">
        <v>93</v>
      </c>
      <c r="AF1803" s="4">
        <v>2</v>
      </c>
      <c r="AG1803" s="4">
        <v>2</v>
      </c>
      <c r="AH1803" s="4">
        <v>58</v>
      </c>
      <c r="AI1803" s="4">
        <v>58</v>
      </c>
      <c r="AJ1803" s="4">
        <v>18</v>
      </c>
      <c r="AK1803" s="4">
        <v>18</v>
      </c>
      <c r="AL1803" s="4">
        <v>29</v>
      </c>
      <c r="AM1803" s="4">
        <v>29</v>
      </c>
      <c r="AN1803" s="4">
        <v>0</v>
      </c>
      <c r="AO1803" s="4">
        <v>0</v>
      </c>
      <c r="AP1803" s="4">
        <v>40</v>
      </c>
      <c r="AQ1803" s="4">
        <v>40</v>
      </c>
      <c r="AR1803" s="3" t="s">
        <v>73</v>
      </c>
      <c r="AS1803" s="3" t="s">
        <v>64</v>
      </c>
      <c r="AT1803" s="3" t="s">
        <v>73</v>
      </c>
      <c r="AU1803" s="6" t="str">
        <f t="shared" si="18"/>
        <v>HathiTrust Record</v>
      </c>
      <c r="AV1803" s="6" t="str">
        <f t="shared" si="19"/>
        <v>Catalog Record</v>
      </c>
      <c r="AW1803" s="6" t="str">
        <f t="shared" si="20"/>
        <v>WorldCat Record</v>
      </c>
      <c r="AX1803" s="3" t="s">
        <v>18752</v>
      </c>
      <c r="AY1803" s="3" t="s">
        <v>18753</v>
      </c>
      <c r="AZ1803" s="3" t="s">
        <v>18754</v>
      </c>
      <c r="BA1803" s="3" t="s">
        <v>18754</v>
      </c>
      <c r="BB1803" s="3" t="s">
        <v>18768</v>
      </c>
      <c r="BC1803" s="3" t="s">
        <v>78</v>
      </c>
      <c r="BD1803" s="3" t="s">
        <v>79</v>
      </c>
      <c r="BE1803" s="3" t="s">
        <v>18756</v>
      </c>
      <c r="BF1803" s="3" t="s">
        <v>18768</v>
      </c>
      <c r="BG1803" s="3" t="s">
        <v>18769</v>
      </c>
    </row>
    <row r="1804" spans="1:59" ht="58" x14ac:dyDescent="0.35">
      <c r="A1804" s="2" t="s">
        <v>59</v>
      </c>
      <c r="B1804" s="2" t="s">
        <v>94</v>
      </c>
      <c r="C1804" s="2" t="s">
        <v>18746</v>
      </c>
      <c r="D1804" s="2" t="s">
        <v>18747</v>
      </c>
      <c r="E1804" s="2" t="s">
        <v>18748</v>
      </c>
      <c r="G1804" s="3" t="s">
        <v>64</v>
      </c>
      <c r="I1804" s="3" t="s">
        <v>73</v>
      </c>
      <c r="J1804" s="3" t="s">
        <v>64</v>
      </c>
      <c r="K1804" s="3" t="s">
        <v>65</v>
      </c>
      <c r="M1804" s="2" t="s">
        <v>18749</v>
      </c>
      <c r="N1804" s="3" t="s">
        <v>2265</v>
      </c>
      <c r="P1804" s="3" t="s">
        <v>69</v>
      </c>
      <c r="Q1804" s="2" t="s">
        <v>18750</v>
      </c>
      <c r="R1804" s="3" t="s">
        <v>16939</v>
      </c>
      <c r="S1804" s="4">
        <v>17</v>
      </c>
      <c r="T1804" s="4">
        <v>144</v>
      </c>
      <c r="U1804" s="5" t="s">
        <v>18770</v>
      </c>
      <c r="V1804" s="5" t="s">
        <v>10013</v>
      </c>
      <c r="W1804" s="5" t="s">
        <v>72</v>
      </c>
      <c r="X1804" s="5" t="s">
        <v>72</v>
      </c>
      <c r="Y1804" s="4">
        <v>255</v>
      </c>
      <c r="Z1804" s="4">
        <v>87</v>
      </c>
      <c r="AA1804" s="4">
        <v>87</v>
      </c>
      <c r="AB1804" s="4">
        <v>7</v>
      </c>
      <c r="AC1804" s="4">
        <v>7</v>
      </c>
      <c r="AD1804" s="4">
        <v>93</v>
      </c>
      <c r="AE1804" s="4">
        <v>93</v>
      </c>
      <c r="AF1804" s="4">
        <v>2</v>
      </c>
      <c r="AG1804" s="4">
        <v>2</v>
      </c>
      <c r="AH1804" s="4">
        <v>58</v>
      </c>
      <c r="AI1804" s="4">
        <v>58</v>
      </c>
      <c r="AJ1804" s="4">
        <v>18</v>
      </c>
      <c r="AK1804" s="4">
        <v>18</v>
      </c>
      <c r="AL1804" s="4">
        <v>29</v>
      </c>
      <c r="AM1804" s="4">
        <v>29</v>
      </c>
      <c r="AN1804" s="4">
        <v>0</v>
      </c>
      <c r="AO1804" s="4">
        <v>0</v>
      </c>
      <c r="AP1804" s="4">
        <v>40</v>
      </c>
      <c r="AQ1804" s="4">
        <v>40</v>
      </c>
      <c r="AR1804" s="3" t="s">
        <v>73</v>
      </c>
      <c r="AS1804" s="3" t="s">
        <v>64</v>
      </c>
      <c r="AT1804" s="3" t="s">
        <v>73</v>
      </c>
      <c r="AU1804" s="6" t="str">
        <f t="shared" si="18"/>
        <v>HathiTrust Record</v>
      </c>
      <c r="AV1804" s="6" t="str">
        <f t="shared" si="19"/>
        <v>Catalog Record</v>
      </c>
      <c r="AW1804" s="6" t="str">
        <f t="shared" si="20"/>
        <v>WorldCat Record</v>
      </c>
      <c r="AX1804" s="3" t="s">
        <v>18752</v>
      </c>
      <c r="AY1804" s="3" t="s">
        <v>18753</v>
      </c>
      <c r="AZ1804" s="3" t="s">
        <v>18754</v>
      </c>
      <c r="BA1804" s="3" t="s">
        <v>18754</v>
      </c>
      <c r="BB1804" s="3" t="s">
        <v>18771</v>
      </c>
      <c r="BC1804" s="3" t="s">
        <v>78</v>
      </c>
      <c r="BD1804" s="3" t="s">
        <v>79</v>
      </c>
      <c r="BE1804" s="3" t="s">
        <v>18756</v>
      </c>
      <c r="BF1804" s="3" t="s">
        <v>18771</v>
      </c>
      <c r="BG1804" s="3" t="s">
        <v>18772</v>
      </c>
    </row>
    <row r="1805" spans="1:59" ht="58" x14ac:dyDescent="0.35">
      <c r="A1805" s="2" t="s">
        <v>59</v>
      </c>
      <c r="B1805" s="2" t="s">
        <v>94</v>
      </c>
      <c r="C1805" s="2" t="s">
        <v>18746</v>
      </c>
      <c r="D1805" s="2" t="s">
        <v>18747</v>
      </c>
      <c r="E1805" s="2" t="s">
        <v>18748</v>
      </c>
      <c r="G1805" s="3" t="s">
        <v>64</v>
      </c>
      <c r="I1805" s="3" t="s">
        <v>73</v>
      </c>
      <c r="J1805" s="3" t="s">
        <v>64</v>
      </c>
      <c r="K1805" s="3" t="s">
        <v>65</v>
      </c>
      <c r="M1805" s="2" t="s">
        <v>18749</v>
      </c>
      <c r="N1805" s="3" t="s">
        <v>2265</v>
      </c>
      <c r="P1805" s="3" t="s">
        <v>69</v>
      </c>
      <c r="Q1805" s="2" t="s">
        <v>18750</v>
      </c>
      <c r="R1805" s="3" t="s">
        <v>16939</v>
      </c>
      <c r="S1805" s="4">
        <v>22</v>
      </c>
      <c r="T1805" s="4">
        <v>144</v>
      </c>
      <c r="U1805" s="5" t="s">
        <v>10013</v>
      </c>
      <c r="V1805" s="5" t="s">
        <v>10013</v>
      </c>
      <c r="W1805" s="5" t="s">
        <v>72</v>
      </c>
      <c r="X1805" s="5" t="s">
        <v>72</v>
      </c>
      <c r="Y1805" s="4">
        <v>255</v>
      </c>
      <c r="Z1805" s="4">
        <v>87</v>
      </c>
      <c r="AA1805" s="4">
        <v>87</v>
      </c>
      <c r="AB1805" s="4">
        <v>7</v>
      </c>
      <c r="AC1805" s="4">
        <v>7</v>
      </c>
      <c r="AD1805" s="4">
        <v>93</v>
      </c>
      <c r="AE1805" s="4">
        <v>93</v>
      </c>
      <c r="AF1805" s="4">
        <v>2</v>
      </c>
      <c r="AG1805" s="4">
        <v>2</v>
      </c>
      <c r="AH1805" s="4">
        <v>58</v>
      </c>
      <c r="AI1805" s="4">
        <v>58</v>
      </c>
      <c r="AJ1805" s="4">
        <v>18</v>
      </c>
      <c r="AK1805" s="4">
        <v>18</v>
      </c>
      <c r="AL1805" s="4">
        <v>29</v>
      </c>
      <c r="AM1805" s="4">
        <v>29</v>
      </c>
      <c r="AN1805" s="4">
        <v>0</v>
      </c>
      <c r="AO1805" s="4">
        <v>0</v>
      </c>
      <c r="AP1805" s="4">
        <v>40</v>
      </c>
      <c r="AQ1805" s="4">
        <v>40</v>
      </c>
      <c r="AR1805" s="3" t="s">
        <v>73</v>
      </c>
      <c r="AS1805" s="3" t="s">
        <v>64</v>
      </c>
      <c r="AT1805" s="3" t="s">
        <v>73</v>
      </c>
      <c r="AU1805" s="6" t="str">
        <f t="shared" si="18"/>
        <v>HathiTrust Record</v>
      </c>
      <c r="AV1805" s="6" t="str">
        <f t="shared" si="19"/>
        <v>Catalog Record</v>
      </c>
      <c r="AW1805" s="6" t="str">
        <f t="shared" si="20"/>
        <v>WorldCat Record</v>
      </c>
      <c r="AX1805" s="3" t="s">
        <v>18752</v>
      </c>
      <c r="AY1805" s="3" t="s">
        <v>18753</v>
      </c>
      <c r="AZ1805" s="3" t="s">
        <v>18754</v>
      </c>
      <c r="BA1805" s="3" t="s">
        <v>18754</v>
      </c>
      <c r="BB1805" s="3" t="s">
        <v>18773</v>
      </c>
      <c r="BC1805" s="3" t="s">
        <v>78</v>
      </c>
      <c r="BD1805" s="3" t="s">
        <v>79</v>
      </c>
      <c r="BE1805" s="3" t="s">
        <v>18756</v>
      </c>
      <c r="BF1805" s="3" t="s">
        <v>18773</v>
      </c>
      <c r="BG1805" s="3" t="s">
        <v>18774</v>
      </c>
    </row>
    <row r="1806" spans="1:59" ht="58" x14ac:dyDescent="0.35">
      <c r="A1806" s="2" t="s">
        <v>59</v>
      </c>
      <c r="B1806" s="2" t="s">
        <v>94</v>
      </c>
      <c r="C1806" s="2" t="s">
        <v>18775</v>
      </c>
      <c r="D1806" s="2" t="s">
        <v>18776</v>
      </c>
      <c r="E1806" s="2" t="s">
        <v>18777</v>
      </c>
      <c r="G1806" s="3" t="s">
        <v>64</v>
      </c>
      <c r="I1806" s="3" t="s">
        <v>73</v>
      </c>
      <c r="J1806" s="3" t="s">
        <v>64</v>
      </c>
      <c r="K1806" s="3" t="s">
        <v>65</v>
      </c>
      <c r="L1806" s="2" t="s">
        <v>11676</v>
      </c>
      <c r="M1806" s="2" t="s">
        <v>18778</v>
      </c>
      <c r="N1806" s="3" t="s">
        <v>264</v>
      </c>
      <c r="P1806" s="3" t="s">
        <v>69</v>
      </c>
      <c r="R1806" s="3" t="s">
        <v>16939</v>
      </c>
      <c r="S1806" s="4">
        <v>69</v>
      </c>
      <c r="T1806" s="4">
        <v>231</v>
      </c>
      <c r="U1806" s="5" t="s">
        <v>665</v>
      </c>
      <c r="V1806" s="5" t="s">
        <v>18779</v>
      </c>
      <c r="W1806" s="5" t="s">
        <v>72</v>
      </c>
      <c r="X1806" s="5" t="s">
        <v>72</v>
      </c>
      <c r="Y1806" s="4">
        <v>328</v>
      </c>
      <c r="Z1806" s="4">
        <v>103</v>
      </c>
      <c r="AA1806" s="4">
        <v>125</v>
      </c>
      <c r="AB1806" s="4">
        <v>5</v>
      </c>
      <c r="AC1806" s="4">
        <v>10</v>
      </c>
      <c r="AD1806" s="4">
        <v>119</v>
      </c>
      <c r="AE1806" s="4">
        <v>132</v>
      </c>
      <c r="AF1806" s="4">
        <v>2</v>
      </c>
      <c r="AG1806" s="4">
        <v>6</v>
      </c>
      <c r="AH1806" s="4">
        <v>84</v>
      </c>
      <c r="AI1806" s="4">
        <v>86</v>
      </c>
      <c r="AJ1806" s="4">
        <v>24</v>
      </c>
      <c r="AK1806" s="4">
        <v>29</v>
      </c>
      <c r="AL1806" s="4">
        <v>47</v>
      </c>
      <c r="AM1806" s="4">
        <v>48</v>
      </c>
      <c r="AN1806" s="4">
        <v>0</v>
      </c>
      <c r="AO1806" s="4">
        <v>0</v>
      </c>
      <c r="AP1806" s="4">
        <v>44</v>
      </c>
      <c r="AQ1806" s="4">
        <v>54</v>
      </c>
      <c r="AR1806" s="3" t="s">
        <v>73</v>
      </c>
      <c r="AS1806" s="3" t="s">
        <v>64</v>
      </c>
      <c r="AT1806" s="3" t="s">
        <v>73</v>
      </c>
      <c r="AU1806" s="6" t="str">
        <f>HYPERLINK("http://catalog.hathitrust.org/Record/000293072","HathiTrust Record")</f>
        <v>HathiTrust Record</v>
      </c>
      <c r="AV1806" s="6" t="str">
        <f>HYPERLINK("http://mcgill.on.worldcat.org/oclc/3154967","Catalog Record")</f>
        <v>Catalog Record</v>
      </c>
      <c r="AW1806" s="6" t="str">
        <f>HYPERLINK("http://www.worldcat.org/oclc/3154967","WorldCat Record")</f>
        <v>WorldCat Record</v>
      </c>
      <c r="AX1806" s="3" t="s">
        <v>18780</v>
      </c>
      <c r="AY1806" s="3" t="s">
        <v>18781</v>
      </c>
      <c r="AZ1806" s="3" t="s">
        <v>18782</v>
      </c>
      <c r="BA1806" s="3" t="s">
        <v>18782</v>
      </c>
      <c r="BB1806" s="3" t="s">
        <v>18783</v>
      </c>
      <c r="BC1806" s="3" t="s">
        <v>78</v>
      </c>
      <c r="BD1806" s="3" t="s">
        <v>79</v>
      </c>
      <c r="BE1806" s="3" t="s">
        <v>18784</v>
      </c>
      <c r="BF1806" s="3" t="s">
        <v>18783</v>
      </c>
      <c r="BG1806" s="3" t="s">
        <v>18785</v>
      </c>
    </row>
    <row r="1807" spans="1:59" ht="58" x14ac:dyDescent="0.35">
      <c r="A1807" s="2" t="s">
        <v>59</v>
      </c>
      <c r="B1807" s="2" t="s">
        <v>94</v>
      </c>
      <c r="C1807" s="2" t="s">
        <v>18775</v>
      </c>
      <c r="D1807" s="2" t="s">
        <v>18776</v>
      </c>
      <c r="E1807" s="2" t="s">
        <v>18777</v>
      </c>
      <c r="G1807" s="3" t="s">
        <v>64</v>
      </c>
      <c r="I1807" s="3" t="s">
        <v>73</v>
      </c>
      <c r="J1807" s="3" t="s">
        <v>64</v>
      </c>
      <c r="K1807" s="3" t="s">
        <v>65</v>
      </c>
      <c r="L1807" s="2" t="s">
        <v>11676</v>
      </c>
      <c r="M1807" s="2" t="s">
        <v>18778</v>
      </c>
      <c r="N1807" s="3" t="s">
        <v>264</v>
      </c>
      <c r="P1807" s="3" t="s">
        <v>69</v>
      </c>
      <c r="R1807" s="3" t="s">
        <v>16939</v>
      </c>
      <c r="S1807" s="4">
        <v>35</v>
      </c>
      <c r="T1807" s="4">
        <v>231</v>
      </c>
      <c r="U1807" s="5" t="s">
        <v>14536</v>
      </c>
      <c r="V1807" s="5" t="s">
        <v>18779</v>
      </c>
      <c r="W1807" s="5" t="s">
        <v>72</v>
      </c>
      <c r="X1807" s="5" t="s">
        <v>72</v>
      </c>
      <c r="Y1807" s="4">
        <v>328</v>
      </c>
      <c r="Z1807" s="4">
        <v>103</v>
      </c>
      <c r="AA1807" s="4">
        <v>125</v>
      </c>
      <c r="AB1807" s="4">
        <v>5</v>
      </c>
      <c r="AC1807" s="4">
        <v>10</v>
      </c>
      <c r="AD1807" s="4">
        <v>119</v>
      </c>
      <c r="AE1807" s="4">
        <v>132</v>
      </c>
      <c r="AF1807" s="4">
        <v>2</v>
      </c>
      <c r="AG1807" s="4">
        <v>6</v>
      </c>
      <c r="AH1807" s="4">
        <v>84</v>
      </c>
      <c r="AI1807" s="4">
        <v>86</v>
      </c>
      <c r="AJ1807" s="4">
        <v>24</v>
      </c>
      <c r="AK1807" s="4">
        <v>29</v>
      </c>
      <c r="AL1807" s="4">
        <v>47</v>
      </c>
      <c r="AM1807" s="4">
        <v>48</v>
      </c>
      <c r="AN1807" s="4">
        <v>0</v>
      </c>
      <c r="AO1807" s="4">
        <v>0</v>
      </c>
      <c r="AP1807" s="4">
        <v>44</v>
      </c>
      <c r="AQ1807" s="4">
        <v>54</v>
      </c>
      <c r="AR1807" s="3" t="s">
        <v>73</v>
      </c>
      <c r="AS1807" s="3" t="s">
        <v>64</v>
      </c>
      <c r="AT1807" s="3" t="s">
        <v>73</v>
      </c>
      <c r="AU1807" s="6" t="str">
        <f>HYPERLINK("http://catalog.hathitrust.org/Record/000293072","HathiTrust Record")</f>
        <v>HathiTrust Record</v>
      </c>
      <c r="AV1807" s="6" t="str">
        <f>HYPERLINK("http://mcgill.on.worldcat.org/oclc/3154967","Catalog Record")</f>
        <v>Catalog Record</v>
      </c>
      <c r="AW1807" s="6" t="str">
        <f>HYPERLINK("http://www.worldcat.org/oclc/3154967","WorldCat Record")</f>
        <v>WorldCat Record</v>
      </c>
      <c r="AX1807" s="3" t="s">
        <v>18780</v>
      </c>
      <c r="AY1807" s="3" t="s">
        <v>18781</v>
      </c>
      <c r="AZ1807" s="3" t="s">
        <v>18782</v>
      </c>
      <c r="BA1807" s="3" t="s">
        <v>18782</v>
      </c>
      <c r="BB1807" s="3" t="s">
        <v>18786</v>
      </c>
      <c r="BC1807" s="3" t="s">
        <v>78</v>
      </c>
      <c r="BD1807" s="3" t="s">
        <v>79</v>
      </c>
      <c r="BE1807" s="3" t="s">
        <v>18784</v>
      </c>
      <c r="BF1807" s="3" t="s">
        <v>18786</v>
      </c>
      <c r="BG1807" s="3" t="s">
        <v>18787</v>
      </c>
    </row>
    <row r="1808" spans="1:59" ht="58" x14ac:dyDescent="0.35">
      <c r="A1808" s="2" t="s">
        <v>59</v>
      </c>
      <c r="B1808" s="2" t="s">
        <v>94</v>
      </c>
      <c r="C1808" s="2" t="s">
        <v>18775</v>
      </c>
      <c r="D1808" s="2" t="s">
        <v>18776</v>
      </c>
      <c r="E1808" s="2" t="s">
        <v>18777</v>
      </c>
      <c r="G1808" s="3" t="s">
        <v>64</v>
      </c>
      <c r="I1808" s="3" t="s">
        <v>73</v>
      </c>
      <c r="J1808" s="3" t="s">
        <v>64</v>
      </c>
      <c r="K1808" s="3" t="s">
        <v>65</v>
      </c>
      <c r="L1808" s="2" t="s">
        <v>11676</v>
      </c>
      <c r="M1808" s="2" t="s">
        <v>18778</v>
      </c>
      <c r="N1808" s="3" t="s">
        <v>264</v>
      </c>
      <c r="P1808" s="3" t="s">
        <v>69</v>
      </c>
      <c r="R1808" s="3" t="s">
        <v>16939</v>
      </c>
      <c r="S1808" s="4">
        <v>69</v>
      </c>
      <c r="T1808" s="4">
        <v>231</v>
      </c>
      <c r="U1808" s="5" t="s">
        <v>18779</v>
      </c>
      <c r="V1808" s="5" t="s">
        <v>18779</v>
      </c>
      <c r="W1808" s="5" t="s">
        <v>72</v>
      </c>
      <c r="X1808" s="5" t="s">
        <v>72</v>
      </c>
      <c r="Y1808" s="4">
        <v>328</v>
      </c>
      <c r="Z1808" s="4">
        <v>103</v>
      </c>
      <c r="AA1808" s="4">
        <v>125</v>
      </c>
      <c r="AB1808" s="4">
        <v>5</v>
      </c>
      <c r="AC1808" s="4">
        <v>10</v>
      </c>
      <c r="AD1808" s="4">
        <v>119</v>
      </c>
      <c r="AE1808" s="4">
        <v>132</v>
      </c>
      <c r="AF1808" s="4">
        <v>2</v>
      </c>
      <c r="AG1808" s="4">
        <v>6</v>
      </c>
      <c r="AH1808" s="4">
        <v>84</v>
      </c>
      <c r="AI1808" s="4">
        <v>86</v>
      </c>
      <c r="AJ1808" s="4">
        <v>24</v>
      </c>
      <c r="AK1808" s="4">
        <v>29</v>
      </c>
      <c r="AL1808" s="4">
        <v>47</v>
      </c>
      <c r="AM1808" s="4">
        <v>48</v>
      </c>
      <c r="AN1808" s="4">
        <v>0</v>
      </c>
      <c r="AO1808" s="4">
        <v>0</v>
      </c>
      <c r="AP1808" s="4">
        <v>44</v>
      </c>
      <c r="AQ1808" s="4">
        <v>54</v>
      </c>
      <c r="AR1808" s="3" t="s">
        <v>73</v>
      </c>
      <c r="AS1808" s="3" t="s">
        <v>64</v>
      </c>
      <c r="AT1808" s="3" t="s">
        <v>73</v>
      </c>
      <c r="AU1808" s="6" t="str">
        <f>HYPERLINK("http://catalog.hathitrust.org/Record/000293072","HathiTrust Record")</f>
        <v>HathiTrust Record</v>
      </c>
      <c r="AV1808" s="6" t="str">
        <f>HYPERLINK("http://mcgill.on.worldcat.org/oclc/3154967","Catalog Record")</f>
        <v>Catalog Record</v>
      </c>
      <c r="AW1808" s="6" t="str">
        <f>HYPERLINK("http://www.worldcat.org/oclc/3154967","WorldCat Record")</f>
        <v>WorldCat Record</v>
      </c>
      <c r="AX1808" s="3" t="s">
        <v>18780</v>
      </c>
      <c r="AY1808" s="3" t="s">
        <v>18781</v>
      </c>
      <c r="AZ1808" s="3" t="s">
        <v>18782</v>
      </c>
      <c r="BA1808" s="3" t="s">
        <v>18782</v>
      </c>
      <c r="BB1808" s="3" t="s">
        <v>18788</v>
      </c>
      <c r="BC1808" s="3" t="s">
        <v>78</v>
      </c>
      <c r="BD1808" s="3" t="s">
        <v>79</v>
      </c>
      <c r="BE1808" s="3" t="s">
        <v>18784</v>
      </c>
      <c r="BF1808" s="3" t="s">
        <v>18788</v>
      </c>
      <c r="BG1808" s="3" t="s">
        <v>18789</v>
      </c>
    </row>
    <row r="1809" spans="1:59" ht="58" x14ac:dyDescent="0.35">
      <c r="A1809" s="2" t="s">
        <v>59</v>
      </c>
      <c r="B1809" s="2" t="s">
        <v>94</v>
      </c>
      <c r="C1809" s="2" t="s">
        <v>18775</v>
      </c>
      <c r="D1809" s="2" t="s">
        <v>18776</v>
      </c>
      <c r="E1809" s="2" t="s">
        <v>18777</v>
      </c>
      <c r="G1809" s="3" t="s">
        <v>64</v>
      </c>
      <c r="I1809" s="3" t="s">
        <v>73</v>
      </c>
      <c r="J1809" s="3" t="s">
        <v>64</v>
      </c>
      <c r="K1809" s="3" t="s">
        <v>65</v>
      </c>
      <c r="L1809" s="2" t="s">
        <v>11676</v>
      </c>
      <c r="M1809" s="2" t="s">
        <v>18778</v>
      </c>
      <c r="N1809" s="3" t="s">
        <v>264</v>
      </c>
      <c r="P1809" s="3" t="s">
        <v>69</v>
      </c>
      <c r="R1809" s="3" t="s">
        <v>16939</v>
      </c>
      <c r="S1809" s="4">
        <v>58</v>
      </c>
      <c r="T1809" s="4">
        <v>231</v>
      </c>
      <c r="U1809" s="5" t="s">
        <v>4334</v>
      </c>
      <c r="V1809" s="5" t="s">
        <v>18779</v>
      </c>
      <c r="W1809" s="5" t="s">
        <v>72</v>
      </c>
      <c r="X1809" s="5" t="s">
        <v>72</v>
      </c>
      <c r="Y1809" s="4">
        <v>328</v>
      </c>
      <c r="Z1809" s="4">
        <v>103</v>
      </c>
      <c r="AA1809" s="4">
        <v>125</v>
      </c>
      <c r="AB1809" s="4">
        <v>5</v>
      </c>
      <c r="AC1809" s="4">
        <v>10</v>
      </c>
      <c r="AD1809" s="4">
        <v>119</v>
      </c>
      <c r="AE1809" s="4">
        <v>132</v>
      </c>
      <c r="AF1809" s="4">
        <v>2</v>
      </c>
      <c r="AG1809" s="4">
        <v>6</v>
      </c>
      <c r="AH1809" s="4">
        <v>84</v>
      </c>
      <c r="AI1809" s="4">
        <v>86</v>
      </c>
      <c r="AJ1809" s="4">
        <v>24</v>
      </c>
      <c r="AK1809" s="4">
        <v>29</v>
      </c>
      <c r="AL1809" s="4">
        <v>47</v>
      </c>
      <c r="AM1809" s="4">
        <v>48</v>
      </c>
      <c r="AN1809" s="4">
        <v>0</v>
      </c>
      <c r="AO1809" s="4">
        <v>0</v>
      </c>
      <c r="AP1809" s="4">
        <v>44</v>
      </c>
      <c r="AQ1809" s="4">
        <v>54</v>
      </c>
      <c r="AR1809" s="3" t="s">
        <v>73</v>
      </c>
      <c r="AS1809" s="3" t="s">
        <v>64</v>
      </c>
      <c r="AT1809" s="3" t="s">
        <v>73</v>
      </c>
      <c r="AU1809" s="6" t="str">
        <f>HYPERLINK("http://catalog.hathitrust.org/Record/000293072","HathiTrust Record")</f>
        <v>HathiTrust Record</v>
      </c>
      <c r="AV1809" s="6" t="str">
        <f>HYPERLINK("http://mcgill.on.worldcat.org/oclc/3154967","Catalog Record")</f>
        <v>Catalog Record</v>
      </c>
      <c r="AW1809" s="6" t="str">
        <f>HYPERLINK("http://www.worldcat.org/oclc/3154967","WorldCat Record")</f>
        <v>WorldCat Record</v>
      </c>
      <c r="AX1809" s="3" t="s">
        <v>18780</v>
      </c>
      <c r="AY1809" s="3" t="s">
        <v>18781</v>
      </c>
      <c r="AZ1809" s="3" t="s">
        <v>18782</v>
      </c>
      <c r="BA1809" s="3" t="s">
        <v>18782</v>
      </c>
      <c r="BB1809" s="3" t="s">
        <v>18790</v>
      </c>
      <c r="BC1809" s="3" t="s">
        <v>78</v>
      </c>
      <c r="BD1809" s="3" t="s">
        <v>79</v>
      </c>
      <c r="BE1809" s="3" t="s">
        <v>18784</v>
      </c>
      <c r="BF1809" s="3" t="s">
        <v>18790</v>
      </c>
      <c r="BG1809" s="3" t="s">
        <v>18791</v>
      </c>
    </row>
    <row r="1810" spans="1:59" ht="58" x14ac:dyDescent="0.35">
      <c r="A1810" s="2" t="s">
        <v>59</v>
      </c>
      <c r="B1810" s="2" t="s">
        <v>94</v>
      </c>
      <c r="C1810" s="2" t="s">
        <v>18792</v>
      </c>
      <c r="D1810" s="2" t="s">
        <v>18793</v>
      </c>
      <c r="E1810" s="2" t="s">
        <v>18794</v>
      </c>
      <c r="G1810" s="3" t="s">
        <v>64</v>
      </c>
      <c r="I1810" s="3" t="s">
        <v>73</v>
      </c>
      <c r="J1810" s="3" t="s">
        <v>64</v>
      </c>
      <c r="K1810" s="3" t="s">
        <v>65</v>
      </c>
      <c r="L1810" s="2" t="s">
        <v>11676</v>
      </c>
      <c r="M1810" s="2" t="s">
        <v>18795</v>
      </c>
      <c r="N1810" s="3" t="s">
        <v>2265</v>
      </c>
      <c r="P1810" s="3" t="s">
        <v>69</v>
      </c>
      <c r="Q1810" s="2" t="s">
        <v>18796</v>
      </c>
      <c r="R1810" s="3" t="s">
        <v>16939</v>
      </c>
      <c r="S1810" s="4">
        <v>34</v>
      </c>
      <c r="T1810" s="4">
        <v>97</v>
      </c>
      <c r="U1810" s="5" t="s">
        <v>18797</v>
      </c>
      <c r="V1810" s="5" t="s">
        <v>10013</v>
      </c>
      <c r="W1810" s="5" t="s">
        <v>72</v>
      </c>
      <c r="X1810" s="5" t="s">
        <v>72</v>
      </c>
      <c r="Y1810" s="4">
        <v>214</v>
      </c>
      <c r="Z1810" s="4">
        <v>99</v>
      </c>
      <c r="AA1810" s="4">
        <v>105</v>
      </c>
      <c r="AB1810" s="4">
        <v>4</v>
      </c>
      <c r="AC1810" s="4">
        <v>8</v>
      </c>
      <c r="AD1810" s="4">
        <v>96</v>
      </c>
      <c r="AE1810" s="4">
        <v>100</v>
      </c>
      <c r="AF1810" s="4">
        <v>2</v>
      </c>
      <c r="AG1810" s="4">
        <v>5</v>
      </c>
      <c r="AH1810" s="4">
        <v>58</v>
      </c>
      <c r="AI1810" s="4">
        <v>58</v>
      </c>
      <c r="AJ1810" s="4">
        <v>25</v>
      </c>
      <c r="AK1810" s="4">
        <v>28</v>
      </c>
      <c r="AL1810" s="4">
        <v>31</v>
      </c>
      <c r="AM1810" s="4">
        <v>31</v>
      </c>
      <c r="AN1810" s="4">
        <v>0</v>
      </c>
      <c r="AO1810" s="4">
        <v>0</v>
      </c>
      <c r="AP1810" s="4">
        <v>48</v>
      </c>
      <c r="AQ1810" s="4">
        <v>51</v>
      </c>
      <c r="AR1810" s="3" t="s">
        <v>73</v>
      </c>
      <c r="AS1810" s="3" t="s">
        <v>64</v>
      </c>
      <c r="AT1810" s="3" t="s">
        <v>73</v>
      </c>
      <c r="AU1810" s="6" t="str">
        <f>HYPERLINK("http://catalog.hathitrust.org/Record/007920856","HathiTrust Record")</f>
        <v>HathiTrust Record</v>
      </c>
      <c r="AV1810" s="6" t="str">
        <f>HYPERLINK("http://mcgill.on.worldcat.org/oclc/62997","Catalog Record")</f>
        <v>Catalog Record</v>
      </c>
      <c r="AW1810" s="6" t="str">
        <f>HYPERLINK("http://www.worldcat.org/oclc/62997","WorldCat Record")</f>
        <v>WorldCat Record</v>
      </c>
      <c r="AX1810" s="3" t="s">
        <v>18798</v>
      </c>
      <c r="AY1810" s="3" t="s">
        <v>18799</v>
      </c>
      <c r="AZ1810" s="3" t="s">
        <v>18800</v>
      </c>
      <c r="BA1810" s="3" t="s">
        <v>18800</v>
      </c>
      <c r="BB1810" s="3" t="s">
        <v>18801</v>
      </c>
      <c r="BC1810" s="3" t="s">
        <v>78</v>
      </c>
      <c r="BD1810" s="3" t="s">
        <v>79</v>
      </c>
      <c r="BE1810" s="3" t="s">
        <v>18802</v>
      </c>
      <c r="BF1810" s="3" t="s">
        <v>18801</v>
      </c>
      <c r="BG1810" s="3" t="s">
        <v>18803</v>
      </c>
    </row>
    <row r="1811" spans="1:59" ht="58" x14ac:dyDescent="0.35">
      <c r="A1811" s="2" t="s">
        <v>59</v>
      </c>
      <c r="B1811" s="2" t="s">
        <v>94</v>
      </c>
      <c r="C1811" s="2" t="s">
        <v>18792</v>
      </c>
      <c r="D1811" s="2" t="s">
        <v>18793</v>
      </c>
      <c r="E1811" s="2" t="s">
        <v>18794</v>
      </c>
      <c r="G1811" s="3" t="s">
        <v>64</v>
      </c>
      <c r="I1811" s="3" t="s">
        <v>73</v>
      </c>
      <c r="J1811" s="3" t="s">
        <v>64</v>
      </c>
      <c r="K1811" s="3" t="s">
        <v>65</v>
      </c>
      <c r="L1811" s="2" t="s">
        <v>11676</v>
      </c>
      <c r="M1811" s="2" t="s">
        <v>18795</v>
      </c>
      <c r="N1811" s="3" t="s">
        <v>2265</v>
      </c>
      <c r="P1811" s="3" t="s">
        <v>69</v>
      </c>
      <c r="Q1811" s="2" t="s">
        <v>18796</v>
      </c>
      <c r="R1811" s="3" t="s">
        <v>16939</v>
      </c>
      <c r="S1811" s="4">
        <v>24</v>
      </c>
      <c r="T1811" s="4">
        <v>97</v>
      </c>
      <c r="U1811" s="5" t="s">
        <v>10013</v>
      </c>
      <c r="V1811" s="5" t="s">
        <v>10013</v>
      </c>
      <c r="W1811" s="5" t="s">
        <v>72</v>
      </c>
      <c r="X1811" s="5" t="s">
        <v>72</v>
      </c>
      <c r="Y1811" s="4">
        <v>214</v>
      </c>
      <c r="Z1811" s="4">
        <v>99</v>
      </c>
      <c r="AA1811" s="4">
        <v>105</v>
      </c>
      <c r="AB1811" s="4">
        <v>4</v>
      </c>
      <c r="AC1811" s="4">
        <v>8</v>
      </c>
      <c r="AD1811" s="4">
        <v>96</v>
      </c>
      <c r="AE1811" s="4">
        <v>100</v>
      </c>
      <c r="AF1811" s="4">
        <v>2</v>
      </c>
      <c r="AG1811" s="4">
        <v>5</v>
      </c>
      <c r="AH1811" s="4">
        <v>58</v>
      </c>
      <c r="AI1811" s="4">
        <v>58</v>
      </c>
      <c r="AJ1811" s="4">
        <v>25</v>
      </c>
      <c r="AK1811" s="4">
        <v>28</v>
      </c>
      <c r="AL1811" s="4">
        <v>31</v>
      </c>
      <c r="AM1811" s="4">
        <v>31</v>
      </c>
      <c r="AN1811" s="4">
        <v>0</v>
      </c>
      <c r="AO1811" s="4">
        <v>0</v>
      </c>
      <c r="AP1811" s="4">
        <v>48</v>
      </c>
      <c r="AQ1811" s="4">
        <v>51</v>
      </c>
      <c r="AR1811" s="3" t="s">
        <v>73</v>
      </c>
      <c r="AS1811" s="3" t="s">
        <v>64</v>
      </c>
      <c r="AT1811" s="3" t="s">
        <v>73</v>
      </c>
      <c r="AU1811" s="6" t="str">
        <f>HYPERLINK("http://catalog.hathitrust.org/Record/007920856","HathiTrust Record")</f>
        <v>HathiTrust Record</v>
      </c>
      <c r="AV1811" s="6" t="str">
        <f>HYPERLINK("http://mcgill.on.worldcat.org/oclc/62997","Catalog Record")</f>
        <v>Catalog Record</v>
      </c>
      <c r="AW1811" s="6" t="str">
        <f>HYPERLINK("http://www.worldcat.org/oclc/62997","WorldCat Record")</f>
        <v>WorldCat Record</v>
      </c>
      <c r="AX1811" s="3" t="s">
        <v>18798</v>
      </c>
      <c r="AY1811" s="3" t="s">
        <v>18799</v>
      </c>
      <c r="AZ1811" s="3" t="s">
        <v>18800</v>
      </c>
      <c r="BA1811" s="3" t="s">
        <v>18800</v>
      </c>
      <c r="BB1811" s="3" t="s">
        <v>18804</v>
      </c>
      <c r="BC1811" s="3" t="s">
        <v>78</v>
      </c>
      <c r="BD1811" s="3" t="s">
        <v>79</v>
      </c>
      <c r="BE1811" s="3" t="s">
        <v>18802</v>
      </c>
      <c r="BF1811" s="3" t="s">
        <v>18804</v>
      </c>
      <c r="BG1811" s="3" t="s">
        <v>18805</v>
      </c>
    </row>
    <row r="1812" spans="1:59" ht="58" x14ac:dyDescent="0.35">
      <c r="A1812" s="2" t="s">
        <v>59</v>
      </c>
      <c r="B1812" s="2" t="s">
        <v>94</v>
      </c>
      <c r="C1812" s="2" t="s">
        <v>18792</v>
      </c>
      <c r="D1812" s="2" t="s">
        <v>18793</v>
      </c>
      <c r="E1812" s="2" t="s">
        <v>18794</v>
      </c>
      <c r="G1812" s="3" t="s">
        <v>64</v>
      </c>
      <c r="I1812" s="3" t="s">
        <v>73</v>
      </c>
      <c r="J1812" s="3" t="s">
        <v>64</v>
      </c>
      <c r="K1812" s="3" t="s">
        <v>65</v>
      </c>
      <c r="L1812" s="2" t="s">
        <v>11676</v>
      </c>
      <c r="M1812" s="2" t="s">
        <v>18795</v>
      </c>
      <c r="N1812" s="3" t="s">
        <v>2265</v>
      </c>
      <c r="P1812" s="3" t="s">
        <v>69</v>
      </c>
      <c r="Q1812" s="2" t="s">
        <v>18796</v>
      </c>
      <c r="R1812" s="3" t="s">
        <v>16939</v>
      </c>
      <c r="S1812" s="4">
        <v>39</v>
      </c>
      <c r="T1812" s="4">
        <v>97</v>
      </c>
      <c r="U1812" s="5" t="s">
        <v>18806</v>
      </c>
      <c r="V1812" s="5" t="s">
        <v>10013</v>
      </c>
      <c r="W1812" s="5" t="s">
        <v>72</v>
      </c>
      <c r="X1812" s="5" t="s">
        <v>72</v>
      </c>
      <c r="Y1812" s="4">
        <v>214</v>
      </c>
      <c r="Z1812" s="4">
        <v>99</v>
      </c>
      <c r="AA1812" s="4">
        <v>105</v>
      </c>
      <c r="AB1812" s="4">
        <v>4</v>
      </c>
      <c r="AC1812" s="4">
        <v>8</v>
      </c>
      <c r="AD1812" s="4">
        <v>96</v>
      </c>
      <c r="AE1812" s="4">
        <v>100</v>
      </c>
      <c r="AF1812" s="4">
        <v>2</v>
      </c>
      <c r="AG1812" s="4">
        <v>5</v>
      </c>
      <c r="AH1812" s="4">
        <v>58</v>
      </c>
      <c r="AI1812" s="4">
        <v>58</v>
      </c>
      <c r="AJ1812" s="4">
        <v>25</v>
      </c>
      <c r="AK1812" s="4">
        <v>28</v>
      </c>
      <c r="AL1812" s="4">
        <v>31</v>
      </c>
      <c r="AM1812" s="4">
        <v>31</v>
      </c>
      <c r="AN1812" s="4">
        <v>0</v>
      </c>
      <c r="AO1812" s="4">
        <v>0</v>
      </c>
      <c r="AP1812" s="4">
        <v>48</v>
      </c>
      <c r="AQ1812" s="4">
        <v>51</v>
      </c>
      <c r="AR1812" s="3" t="s">
        <v>73</v>
      </c>
      <c r="AS1812" s="3" t="s">
        <v>64</v>
      </c>
      <c r="AT1812" s="3" t="s">
        <v>73</v>
      </c>
      <c r="AU1812" s="6" t="str">
        <f>HYPERLINK("http://catalog.hathitrust.org/Record/007920856","HathiTrust Record")</f>
        <v>HathiTrust Record</v>
      </c>
      <c r="AV1812" s="6" t="str">
        <f>HYPERLINK("http://mcgill.on.worldcat.org/oclc/62997","Catalog Record")</f>
        <v>Catalog Record</v>
      </c>
      <c r="AW1812" s="6" t="str">
        <f>HYPERLINK("http://www.worldcat.org/oclc/62997","WorldCat Record")</f>
        <v>WorldCat Record</v>
      </c>
      <c r="AX1812" s="3" t="s">
        <v>18798</v>
      </c>
      <c r="AY1812" s="3" t="s">
        <v>18799</v>
      </c>
      <c r="AZ1812" s="3" t="s">
        <v>18800</v>
      </c>
      <c r="BA1812" s="3" t="s">
        <v>18800</v>
      </c>
      <c r="BB1812" s="3" t="s">
        <v>18807</v>
      </c>
      <c r="BC1812" s="3" t="s">
        <v>78</v>
      </c>
      <c r="BD1812" s="3" t="s">
        <v>79</v>
      </c>
      <c r="BE1812" s="3" t="s">
        <v>18802</v>
      </c>
      <c r="BF1812" s="3" t="s">
        <v>18807</v>
      </c>
      <c r="BG1812" s="3" t="s">
        <v>18808</v>
      </c>
    </row>
    <row r="1813" spans="1:59" ht="58" x14ac:dyDescent="0.35">
      <c r="A1813" s="2" t="s">
        <v>59</v>
      </c>
      <c r="B1813" s="2" t="s">
        <v>94</v>
      </c>
      <c r="C1813" s="2" t="s">
        <v>18809</v>
      </c>
      <c r="D1813" s="2" t="s">
        <v>18810</v>
      </c>
      <c r="E1813" s="2" t="s">
        <v>18811</v>
      </c>
      <c r="G1813" s="3" t="s">
        <v>64</v>
      </c>
      <c r="H1813" s="3" t="s">
        <v>2292</v>
      </c>
      <c r="I1813" s="3" t="s">
        <v>64</v>
      </c>
      <c r="J1813" s="3" t="s">
        <v>64</v>
      </c>
      <c r="K1813" s="3" t="s">
        <v>65</v>
      </c>
      <c r="L1813" s="2" t="s">
        <v>18812</v>
      </c>
      <c r="M1813" s="2" t="s">
        <v>8150</v>
      </c>
      <c r="N1813" s="3" t="s">
        <v>524</v>
      </c>
      <c r="P1813" s="3" t="s">
        <v>69</v>
      </c>
      <c r="R1813" s="3" t="s">
        <v>16939</v>
      </c>
      <c r="S1813" s="4">
        <v>0</v>
      </c>
      <c r="T1813" s="4">
        <v>0</v>
      </c>
      <c r="W1813" s="5" t="s">
        <v>1156</v>
      </c>
      <c r="X1813" s="5" t="s">
        <v>1156</v>
      </c>
      <c r="Y1813" s="4">
        <v>79</v>
      </c>
      <c r="Z1813" s="4">
        <v>8</v>
      </c>
      <c r="AA1813" s="4">
        <v>26</v>
      </c>
      <c r="AB1813" s="4">
        <v>1</v>
      </c>
      <c r="AC1813" s="4">
        <v>4</v>
      </c>
      <c r="AD1813" s="4">
        <v>37</v>
      </c>
      <c r="AE1813" s="4">
        <v>75</v>
      </c>
      <c r="AF1813" s="4">
        <v>0</v>
      </c>
      <c r="AG1813" s="4">
        <v>1</v>
      </c>
      <c r="AH1813" s="4">
        <v>35</v>
      </c>
      <c r="AI1813" s="4">
        <v>63</v>
      </c>
      <c r="AJ1813" s="4">
        <v>5</v>
      </c>
      <c r="AK1813" s="4">
        <v>11</v>
      </c>
      <c r="AL1813" s="4">
        <v>20</v>
      </c>
      <c r="AM1813" s="4">
        <v>33</v>
      </c>
      <c r="AN1813" s="4">
        <v>0</v>
      </c>
      <c r="AO1813" s="4">
        <v>0</v>
      </c>
      <c r="AP1813" s="4">
        <v>6</v>
      </c>
      <c r="AQ1813" s="4">
        <v>17</v>
      </c>
      <c r="AR1813" s="3" t="s">
        <v>64</v>
      </c>
      <c r="AS1813" s="3" t="s">
        <v>64</v>
      </c>
      <c r="AT1813" s="3" t="s">
        <v>64</v>
      </c>
      <c r="AV1813" s="6" t="str">
        <f>HYPERLINK("http://mcgill.on.worldcat.org/oclc/815364927","Catalog Record")</f>
        <v>Catalog Record</v>
      </c>
      <c r="AW1813" s="6" t="str">
        <f>HYPERLINK("http://www.worldcat.org/oclc/815364927","WorldCat Record")</f>
        <v>WorldCat Record</v>
      </c>
      <c r="AX1813" s="3" t="s">
        <v>18813</v>
      </c>
      <c r="AY1813" s="3" t="s">
        <v>18814</v>
      </c>
      <c r="AZ1813" s="3" t="s">
        <v>18815</v>
      </c>
      <c r="BA1813" s="3" t="s">
        <v>18815</v>
      </c>
      <c r="BB1813" s="3" t="s">
        <v>18816</v>
      </c>
      <c r="BC1813" s="3" t="s">
        <v>78</v>
      </c>
      <c r="BD1813" s="3" t="s">
        <v>79</v>
      </c>
      <c r="BE1813" s="3" t="s">
        <v>18817</v>
      </c>
      <c r="BF1813" s="3" t="s">
        <v>18816</v>
      </c>
      <c r="BG1813" s="3" t="s">
        <v>18818</v>
      </c>
    </row>
    <row r="1814" spans="1:59" ht="58" x14ac:dyDescent="0.35">
      <c r="A1814" s="2" t="s">
        <v>59</v>
      </c>
      <c r="B1814" s="2" t="s">
        <v>94</v>
      </c>
      <c r="C1814" s="2" t="s">
        <v>18819</v>
      </c>
      <c r="D1814" s="2" t="s">
        <v>18820</v>
      </c>
      <c r="E1814" s="2" t="s">
        <v>18821</v>
      </c>
      <c r="G1814" s="3" t="s">
        <v>64</v>
      </c>
      <c r="I1814" s="3" t="s">
        <v>64</v>
      </c>
      <c r="J1814" s="3" t="s">
        <v>64</v>
      </c>
      <c r="K1814" s="3" t="s">
        <v>65</v>
      </c>
      <c r="L1814" s="2" t="s">
        <v>18822</v>
      </c>
      <c r="M1814" s="2" t="s">
        <v>18823</v>
      </c>
      <c r="N1814" s="3" t="s">
        <v>252</v>
      </c>
      <c r="P1814" s="3" t="s">
        <v>162</v>
      </c>
      <c r="Q1814" s="2" t="s">
        <v>18824</v>
      </c>
      <c r="R1814" s="3" t="s">
        <v>16939</v>
      </c>
      <c r="S1814" s="4">
        <v>12</v>
      </c>
      <c r="T1814" s="4">
        <v>12</v>
      </c>
      <c r="U1814" s="5" t="s">
        <v>18825</v>
      </c>
      <c r="V1814" s="5" t="s">
        <v>18825</v>
      </c>
      <c r="W1814" s="5" t="s">
        <v>72</v>
      </c>
      <c r="X1814" s="5" t="s">
        <v>72</v>
      </c>
      <c r="Y1814" s="4">
        <v>53</v>
      </c>
      <c r="Z1814" s="4">
        <v>2</v>
      </c>
      <c r="AA1814" s="4">
        <v>6</v>
      </c>
      <c r="AB1814" s="4">
        <v>1</v>
      </c>
      <c r="AC1814" s="4">
        <v>4</v>
      </c>
      <c r="AD1814" s="4">
        <v>16</v>
      </c>
      <c r="AE1814" s="4">
        <v>19</v>
      </c>
      <c r="AF1814" s="4">
        <v>0</v>
      </c>
      <c r="AG1814" s="4">
        <v>2</v>
      </c>
      <c r="AH1814" s="4">
        <v>16</v>
      </c>
      <c r="AI1814" s="4">
        <v>18</v>
      </c>
      <c r="AJ1814" s="4">
        <v>1</v>
      </c>
      <c r="AK1814" s="4">
        <v>4</v>
      </c>
      <c r="AL1814" s="4">
        <v>11</v>
      </c>
      <c r="AM1814" s="4">
        <v>11</v>
      </c>
      <c r="AN1814" s="4">
        <v>0</v>
      </c>
      <c r="AO1814" s="4">
        <v>0</v>
      </c>
      <c r="AP1814" s="4">
        <v>1</v>
      </c>
      <c r="AQ1814" s="4">
        <v>3</v>
      </c>
      <c r="AR1814" s="3" t="s">
        <v>64</v>
      </c>
      <c r="AS1814" s="3" t="s">
        <v>64</v>
      </c>
      <c r="AT1814" s="3" t="s">
        <v>64</v>
      </c>
      <c r="AV1814" s="6" t="str">
        <f>HYPERLINK("http://mcgill.on.worldcat.org/oclc/723214","Catalog Record")</f>
        <v>Catalog Record</v>
      </c>
      <c r="AW1814" s="6" t="str">
        <f>HYPERLINK("http://www.worldcat.org/oclc/723214","WorldCat Record")</f>
        <v>WorldCat Record</v>
      </c>
      <c r="AX1814" s="3" t="s">
        <v>18826</v>
      </c>
      <c r="AY1814" s="3" t="s">
        <v>18827</v>
      </c>
      <c r="AZ1814" s="3" t="s">
        <v>18828</v>
      </c>
      <c r="BA1814" s="3" t="s">
        <v>18828</v>
      </c>
      <c r="BB1814" s="3" t="s">
        <v>18829</v>
      </c>
      <c r="BC1814" s="3" t="s">
        <v>78</v>
      </c>
      <c r="BD1814" s="3" t="s">
        <v>79</v>
      </c>
      <c r="BF1814" s="3" t="s">
        <v>18829</v>
      </c>
      <c r="BG1814" s="3" t="s">
        <v>18830</v>
      </c>
    </row>
    <row r="1815" spans="1:59" ht="87" x14ac:dyDescent="0.35">
      <c r="A1815" s="2" t="s">
        <v>59</v>
      </c>
      <c r="B1815" s="2" t="s">
        <v>94</v>
      </c>
      <c r="C1815" s="2" t="s">
        <v>18831</v>
      </c>
      <c r="D1815" s="2" t="s">
        <v>18832</v>
      </c>
      <c r="E1815" s="2" t="s">
        <v>18833</v>
      </c>
      <c r="G1815" s="3" t="s">
        <v>64</v>
      </c>
      <c r="I1815" s="3" t="s">
        <v>64</v>
      </c>
      <c r="J1815" s="3" t="s">
        <v>64</v>
      </c>
      <c r="K1815" s="3" t="s">
        <v>65</v>
      </c>
      <c r="L1815" s="2" t="s">
        <v>18834</v>
      </c>
      <c r="M1815" s="2" t="s">
        <v>1040</v>
      </c>
      <c r="N1815" s="3" t="s">
        <v>252</v>
      </c>
      <c r="P1815" s="3" t="s">
        <v>69</v>
      </c>
      <c r="Q1815" s="2" t="s">
        <v>1041</v>
      </c>
      <c r="R1815" s="3" t="s">
        <v>16939</v>
      </c>
      <c r="S1815" s="4">
        <v>16</v>
      </c>
      <c r="T1815" s="4">
        <v>16</v>
      </c>
      <c r="U1815" s="5" t="s">
        <v>18727</v>
      </c>
      <c r="V1815" s="5" t="s">
        <v>18727</v>
      </c>
      <c r="W1815" s="5" t="s">
        <v>72</v>
      </c>
      <c r="X1815" s="5" t="s">
        <v>72</v>
      </c>
      <c r="Y1815" s="4">
        <v>133</v>
      </c>
      <c r="Z1815" s="4">
        <v>14</v>
      </c>
      <c r="AA1815" s="4">
        <v>21</v>
      </c>
      <c r="AB1815" s="4">
        <v>1</v>
      </c>
      <c r="AC1815" s="4">
        <v>1</v>
      </c>
      <c r="AD1815" s="4">
        <v>45</v>
      </c>
      <c r="AE1815" s="4">
        <v>66</v>
      </c>
      <c r="AF1815" s="4">
        <v>0</v>
      </c>
      <c r="AG1815" s="4">
        <v>0</v>
      </c>
      <c r="AH1815" s="4">
        <v>40</v>
      </c>
      <c r="AI1815" s="4">
        <v>58</v>
      </c>
      <c r="AJ1815" s="4">
        <v>10</v>
      </c>
      <c r="AK1815" s="4">
        <v>15</v>
      </c>
      <c r="AL1815" s="4">
        <v>17</v>
      </c>
      <c r="AM1815" s="4">
        <v>30</v>
      </c>
      <c r="AN1815" s="4">
        <v>0</v>
      </c>
      <c r="AO1815" s="4">
        <v>0</v>
      </c>
      <c r="AP1815" s="4">
        <v>12</v>
      </c>
      <c r="AQ1815" s="4">
        <v>17</v>
      </c>
      <c r="AR1815" s="3" t="s">
        <v>64</v>
      </c>
      <c r="AS1815" s="3" t="s">
        <v>64</v>
      </c>
      <c r="AT1815" s="3" t="s">
        <v>64</v>
      </c>
      <c r="AV1815" s="6" t="str">
        <f>HYPERLINK("http://mcgill.on.worldcat.org/oclc/600190","Catalog Record")</f>
        <v>Catalog Record</v>
      </c>
      <c r="AW1815" s="6" t="str">
        <f>HYPERLINK("http://www.worldcat.org/oclc/600190","WorldCat Record")</f>
        <v>WorldCat Record</v>
      </c>
      <c r="AX1815" s="3" t="s">
        <v>18835</v>
      </c>
      <c r="AY1815" s="3" t="s">
        <v>18836</v>
      </c>
      <c r="AZ1815" s="3" t="s">
        <v>18837</v>
      </c>
      <c r="BA1815" s="3" t="s">
        <v>18837</v>
      </c>
      <c r="BB1815" s="3" t="s">
        <v>18838</v>
      </c>
      <c r="BC1815" s="3" t="s">
        <v>78</v>
      </c>
      <c r="BD1815" s="3" t="s">
        <v>79</v>
      </c>
      <c r="BE1815" s="3" t="s">
        <v>18839</v>
      </c>
      <c r="BF1815" s="3" t="s">
        <v>18838</v>
      </c>
      <c r="BG1815" s="3" t="s">
        <v>18840</v>
      </c>
    </row>
    <row r="1816" spans="1:59" ht="58" x14ac:dyDescent="0.35">
      <c r="A1816" s="2" t="s">
        <v>59</v>
      </c>
      <c r="B1816" s="2" t="s">
        <v>94</v>
      </c>
      <c r="C1816" s="2" t="s">
        <v>18841</v>
      </c>
      <c r="D1816" s="2" t="s">
        <v>18842</v>
      </c>
      <c r="E1816" s="2" t="s">
        <v>18843</v>
      </c>
      <c r="G1816" s="3" t="s">
        <v>64</v>
      </c>
      <c r="I1816" s="3" t="s">
        <v>64</v>
      </c>
      <c r="J1816" s="3" t="s">
        <v>64</v>
      </c>
      <c r="K1816" s="3" t="s">
        <v>65</v>
      </c>
      <c r="L1816" s="2" t="s">
        <v>18844</v>
      </c>
      <c r="M1816" s="2" t="s">
        <v>18845</v>
      </c>
      <c r="N1816" s="3" t="s">
        <v>328</v>
      </c>
      <c r="P1816" s="3" t="s">
        <v>69</v>
      </c>
      <c r="R1816" s="3" t="s">
        <v>16939</v>
      </c>
      <c r="S1816" s="4">
        <v>0</v>
      </c>
      <c r="T1816" s="4">
        <v>0</v>
      </c>
      <c r="W1816" s="5" t="s">
        <v>72</v>
      </c>
      <c r="X1816" s="5" t="s">
        <v>72</v>
      </c>
      <c r="Y1816" s="4">
        <v>90</v>
      </c>
      <c r="Z1816" s="4">
        <v>10</v>
      </c>
      <c r="AA1816" s="4">
        <v>85</v>
      </c>
      <c r="AB1816" s="4">
        <v>1</v>
      </c>
      <c r="AC1816" s="4">
        <v>15</v>
      </c>
      <c r="AD1816" s="4">
        <v>45</v>
      </c>
      <c r="AE1816" s="4">
        <v>115</v>
      </c>
      <c r="AF1816" s="4">
        <v>0</v>
      </c>
      <c r="AG1816" s="4">
        <v>8</v>
      </c>
      <c r="AH1816" s="4">
        <v>42</v>
      </c>
      <c r="AI1816" s="4">
        <v>77</v>
      </c>
      <c r="AJ1816" s="4">
        <v>7</v>
      </c>
      <c r="AK1816" s="4">
        <v>21</v>
      </c>
      <c r="AL1816" s="4">
        <v>27</v>
      </c>
      <c r="AM1816" s="4">
        <v>42</v>
      </c>
      <c r="AN1816" s="4">
        <v>0</v>
      </c>
      <c r="AO1816" s="4">
        <v>0</v>
      </c>
      <c r="AP1816" s="4">
        <v>7</v>
      </c>
      <c r="AQ1816" s="4">
        <v>45</v>
      </c>
      <c r="AR1816" s="3" t="s">
        <v>64</v>
      </c>
      <c r="AS1816" s="3" t="s">
        <v>64</v>
      </c>
      <c r="AT1816" s="3" t="s">
        <v>64</v>
      </c>
      <c r="AV1816" s="6" t="str">
        <f>HYPERLINK("http://mcgill.on.worldcat.org/oclc/701811077","Catalog Record")</f>
        <v>Catalog Record</v>
      </c>
      <c r="AW1816" s="6" t="str">
        <f>HYPERLINK("http://www.worldcat.org/oclc/701811077","WorldCat Record")</f>
        <v>WorldCat Record</v>
      </c>
      <c r="AX1816" s="3" t="s">
        <v>18846</v>
      </c>
      <c r="AY1816" s="3" t="s">
        <v>18847</v>
      </c>
      <c r="AZ1816" s="3" t="s">
        <v>18848</v>
      </c>
      <c r="BA1816" s="3" t="s">
        <v>18848</v>
      </c>
      <c r="BB1816" s="3" t="s">
        <v>18849</v>
      </c>
      <c r="BC1816" s="3" t="s">
        <v>78</v>
      </c>
      <c r="BD1816" s="3" t="s">
        <v>79</v>
      </c>
      <c r="BE1816" s="3" t="s">
        <v>18850</v>
      </c>
      <c r="BF1816" s="3" t="s">
        <v>18849</v>
      </c>
      <c r="BG1816" s="3" t="s">
        <v>18851</v>
      </c>
    </row>
    <row r="1817" spans="1:59" ht="58" x14ac:dyDescent="0.35">
      <c r="A1817" s="2" t="s">
        <v>59</v>
      </c>
      <c r="B1817" s="2" t="s">
        <v>94</v>
      </c>
      <c r="C1817" s="2" t="s">
        <v>18852</v>
      </c>
      <c r="D1817" s="2" t="s">
        <v>18853</v>
      </c>
      <c r="E1817" s="2" t="s">
        <v>18854</v>
      </c>
      <c r="G1817" s="3" t="s">
        <v>64</v>
      </c>
      <c r="I1817" s="3" t="s">
        <v>64</v>
      </c>
      <c r="J1817" s="3" t="s">
        <v>64</v>
      </c>
      <c r="K1817" s="3" t="s">
        <v>65</v>
      </c>
      <c r="L1817" s="2" t="s">
        <v>18855</v>
      </c>
      <c r="M1817" s="2" t="s">
        <v>18856</v>
      </c>
      <c r="N1817" s="3" t="s">
        <v>377</v>
      </c>
      <c r="P1817" s="3" t="s">
        <v>69</v>
      </c>
      <c r="R1817" s="3" t="s">
        <v>16939</v>
      </c>
      <c r="S1817" s="4">
        <v>4</v>
      </c>
      <c r="T1817" s="4">
        <v>4</v>
      </c>
      <c r="U1817" s="5" t="s">
        <v>4026</v>
      </c>
      <c r="V1817" s="5" t="s">
        <v>4026</v>
      </c>
      <c r="W1817" s="5" t="s">
        <v>72</v>
      </c>
      <c r="X1817" s="5" t="s">
        <v>72</v>
      </c>
      <c r="Y1817" s="4">
        <v>175</v>
      </c>
      <c r="Z1817" s="4">
        <v>18</v>
      </c>
      <c r="AA1817" s="4">
        <v>97</v>
      </c>
      <c r="AB1817" s="4">
        <v>2</v>
      </c>
      <c r="AC1817" s="4">
        <v>14</v>
      </c>
      <c r="AD1817" s="4">
        <v>69</v>
      </c>
      <c r="AE1817" s="4">
        <v>122</v>
      </c>
      <c r="AF1817" s="4">
        <v>1</v>
      </c>
      <c r="AG1817" s="4">
        <v>8</v>
      </c>
      <c r="AH1817" s="4">
        <v>59</v>
      </c>
      <c r="AI1817" s="4">
        <v>85</v>
      </c>
      <c r="AJ1817" s="4">
        <v>13</v>
      </c>
      <c r="AK1817" s="4">
        <v>23</v>
      </c>
      <c r="AL1817" s="4">
        <v>38</v>
      </c>
      <c r="AM1817" s="4">
        <v>48</v>
      </c>
      <c r="AN1817" s="4">
        <v>0</v>
      </c>
      <c r="AO1817" s="4">
        <v>0</v>
      </c>
      <c r="AP1817" s="4">
        <v>15</v>
      </c>
      <c r="AQ1817" s="4">
        <v>43</v>
      </c>
      <c r="AR1817" s="3" t="s">
        <v>64</v>
      </c>
      <c r="AS1817" s="3" t="s">
        <v>64</v>
      </c>
      <c r="AT1817" s="3" t="s">
        <v>64</v>
      </c>
      <c r="AV1817" s="6" t="str">
        <f>HYPERLINK("http://mcgill.on.worldcat.org/oclc/705717112","Catalog Record")</f>
        <v>Catalog Record</v>
      </c>
      <c r="AW1817" s="6" t="str">
        <f>HYPERLINK("http://www.worldcat.org/oclc/705717112","WorldCat Record")</f>
        <v>WorldCat Record</v>
      </c>
      <c r="AX1817" s="3" t="s">
        <v>18857</v>
      </c>
      <c r="AY1817" s="3" t="s">
        <v>18858</v>
      </c>
      <c r="AZ1817" s="3" t="s">
        <v>18859</v>
      </c>
      <c r="BA1817" s="3" t="s">
        <v>18859</v>
      </c>
      <c r="BB1817" s="3" t="s">
        <v>18860</v>
      </c>
      <c r="BC1817" s="3" t="s">
        <v>78</v>
      </c>
      <c r="BD1817" s="3" t="s">
        <v>414</v>
      </c>
      <c r="BE1817" s="3" t="s">
        <v>18861</v>
      </c>
      <c r="BF1817" s="3" t="s">
        <v>18860</v>
      </c>
      <c r="BG1817" s="3" t="s">
        <v>18862</v>
      </c>
    </row>
    <row r="1818" spans="1:59" ht="58" x14ac:dyDescent="0.35">
      <c r="A1818" s="2" t="s">
        <v>59</v>
      </c>
      <c r="B1818" s="2" t="s">
        <v>94</v>
      </c>
      <c r="C1818" s="2" t="s">
        <v>18863</v>
      </c>
      <c r="D1818" s="2" t="s">
        <v>18864</v>
      </c>
      <c r="E1818" s="2" t="s">
        <v>18865</v>
      </c>
      <c r="G1818" s="3" t="s">
        <v>64</v>
      </c>
      <c r="I1818" s="3" t="s">
        <v>64</v>
      </c>
      <c r="J1818" s="3" t="s">
        <v>64</v>
      </c>
      <c r="K1818" s="3" t="s">
        <v>65</v>
      </c>
      <c r="L1818" s="2" t="s">
        <v>18866</v>
      </c>
      <c r="M1818" s="2" t="s">
        <v>18867</v>
      </c>
      <c r="N1818" s="3" t="s">
        <v>651</v>
      </c>
      <c r="P1818" s="3" t="s">
        <v>69</v>
      </c>
      <c r="R1818" s="3" t="s">
        <v>16939</v>
      </c>
      <c r="S1818" s="4">
        <v>20</v>
      </c>
      <c r="T1818" s="4">
        <v>20</v>
      </c>
      <c r="U1818" s="5" t="s">
        <v>18258</v>
      </c>
      <c r="V1818" s="5" t="s">
        <v>18258</v>
      </c>
      <c r="W1818" s="5" t="s">
        <v>72</v>
      </c>
      <c r="X1818" s="5" t="s">
        <v>72</v>
      </c>
      <c r="Y1818" s="4">
        <v>377</v>
      </c>
      <c r="Z1818" s="4">
        <v>29</v>
      </c>
      <c r="AA1818" s="4">
        <v>30</v>
      </c>
      <c r="AB1818" s="4">
        <v>1</v>
      </c>
      <c r="AC1818" s="4">
        <v>1</v>
      </c>
      <c r="AD1818" s="4">
        <v>110</v>
      </c>
      <c r="AE1818" s="4">
        <v>111</v>
      </c>
      <c r="AF1818" s="4">
        <v>0</v>
      </c>
      <c r="AG1818" s="4">
        <v>0</v>
      </c>
      <c r="AH1818" s="4">
        <v>95</v>
      </c>
      <c r="AI1818" s="4">
        <v>96</v>
      </c>
      <c r="AJ1818" s="4">
        <v>14</v>
      </c>
      <c r="AK1818" s="4">
        <v>15</v>
      </c>
      <c r="AL1818" s="4">
        <v>50</v>
      </c>
      <c r="AM1818" s="4">
        <v>50</v>
      </c>
      <c r="AN1818" s="4">
        <v>0</v>
      </c>
      <c r="AO1818" s="4">
        <v>0</v>
      </c>
      <c r="AP1818" s="4">
        <v>22</v>
      </c>
      <c r="AQ1818" s="4">
        <v>23</v>
      </c>
      <c r="AR1818" s="3" t="s">
        <v>64</v>
      </c>
      <c r="AS1818" s="3" t="s">
        <v>64</v>
      </c>
      <c r="AT1818" s="3" t="s">
        <v>64</v>
      </c>
      <c r="AV1818" s="6" t="str">
        <f>HYPERLINK("http://mcgill.on.worldcat.org/oclc/49959305","Catalog Record")</f>
        <v>Catalog Record</v>
      </c>
      <c r="AW1818" s="6" t="str">
        <f>HYPERLINK("http://www.worldcat.org/oclc/49959305","WorldCat Record")</f>
        <v>WorldCat Record</v>
      </c>
      <c r="AX1818" s="3" t="s">
        <v>18868</v>
      </c>
      <c r="AY1818" s="3" t="s">
        <v>18869</v>
      </c>
      <c r="AZ1818" s="3" t="s">
        <v>18870</v>
      </c>
      <c r="BA1818" s="3" t="s">
        <v>18870</v>
      </c>
      <c r="BB1818" s="3" t="s">
        <v>18871</v>
      </c>
      <c r="BC1818" s="3" t="s">
        <v>78</v>
      </c>
      <c r="BD1818" s="3" t="s">
        <v>79</v>
      </c>
      <c r="BE1818" s="3" t="s">
        <v>18872</v>
      </c>
      <c r="BF1818" s="3" t="s">
        <v>18871</v>
      </c>
      <c r="BG1818" s="3" t="s">
        <v>18873</v>
      </c>
    </row>
    <row r="1819" spans="1:59" ht="58" x14ac:dyDescent="0.35">
      <c r="A1819" s="2" t="s">
        <v>59</v>
      </c>
      <c r="B1819" s="2" t="s">
        <v>94</v>
      </c>
      <c r="C1819" s="2" t="s">
        <v>18874</v>
      </c>
      <c r="D1819" s="2" t="s">
        <v>18875</v>
      </c>
      <c r="E1819" s="2" t="s">
        <v>18876</v>
      </c>
      <c r="G1819" s="3" t="s">
        <v>64</v>
      </c>
      <c r="I1819" s="3" t="s">
        <v>64</v>
      </c>
      <c r="J1819" s="3" t="s">
        <v>64</v>
      </c>
      <c r="K1819" s="3" t="s">
        <v>65</v>
      </c>
      <c r="L1819" s="2" t="s">
        <v>13981</v>
      </c>
      <c r="M1819" s="2" t="s">
        <v>18877</v>
      </c>
      <c r="N1819" s="3" t="s">
        <v>189</v>
      </c>
      <c r="P1819" s="3" t="s">
        <v>2192</v>
      </c>
      <c r="Q1819" s="2" t="s">
        <v>18878</v>
      </c>
      <c r="R1819" s="3" t="s">
        <v>16939</v>
      </c>
      <c r="S1819" s="4">
        <v>2</v>
      </c>
      <c r="T1819" s="4">
        <v>2</v>
      </c>
      <c r="U1819" s="5" t="s">
        <v>18879</v>
      </c>
      <c r="V1819" s="5" t="s">
        <v>18879</v>
      </c>
      <c r="W1819" s="5" t="s">
        <v>72</v>
      </c>
      <c r="X1819" s="5" t="s">
        <v>72</v>
      </c>
      <c r="Y1819" s="4">
        <v>80</v>
      </c>
      <c r="Z1819" s="4">
        <v>3</v>
      </c>
      <c r="AA1819" s="4">
        <v>3</v>
      </c>
      <c r="AB1819" s="4">
        <v>1</v>
      </c>
      <c r="AC1819" s="4">
        <v>1</v>
      </c>
      <c r="AD1819" s="4">
        <v>25</v>
      </c>
      <c r="AE1819" s="4">
        <v>25</v>
      </c>
      <c r="AF1819" s="4">
        <v>0</v>
      </c>
      <c r="AG1819" s="4">
        <v>0</v>
      </c>
      <c r="AH1819" s="4">
        <v>24</v>
      </c>
      <c r="AI1819" s="4">
        <v>24</v>
      </c>
      <c r="AJ1819" s="4">
        <v>2</v>
      </c>
      <c r="AK1819" s="4">
        <v>2</v>
      </c>
      <c r="AL1819" s="4">
        <v>20</v>
      </c>
      <c r="AM1819" s="4">
        <v>20</v>
      </c>
      <c r="AN1819" s="4">
        <v>0</v>
      </c>
      <c r="AO1819" s="4">
        <v>0</v>
      </c>
      <c r="AP1819" s="4">
        <v>2</v>
      </c>
      <c r="AQ1819" s="4">
        <v>2</v>
      </c>
      <c r="AR1819" s="3" t="s">
        <v>64</v>
      </c>
      <c r="AS1819" s="3" t="s">
        <v>64</v>
      </c>
      <c r="AT1819" s="3" t="s">
        <v>73</v>
      </c>
      <c r="AU1819" s="6" t="str">
        <f>HYPERLINK("http://catalog.hathitrust.org/Record/001651154","HathiTrust Record")</f>
        <v>HathiTrust Record</v>
      </c>
      <c r="AV1819" s="6" t="str">
        <f>HYPERLINK("http://mcgill.on.worldcat.org/oclc/7830300","Catalog Record")</f>
        <v>Catalog Record</v>
      </c>
      <c r="AW1819" s="6" t="str">
        <f>HYPERLINK("http://www.worldcat.org/oclc/7830300","WorldCat Record")</f>
        <v>WorldCat Record</v>
      </c>
      <c r="AX1819" s="3" t="s">
        <v>18880</v>
      </c>
      <c r="AY1819" s="3" t="s">
        <v>18881</v>
      </c>
      <c r="AZ1819" s="3" t="s">
        <v>18882</v>
      </c>
      <c r="BA1819" s="3" t="s">
        <v>18882</v>
      </c>
      <c r="BB1819" s="3" t="s">
        <v>18883</v>
      </c>
      <c r="BC1819" s="3" t="s">
        <v>78</v>
      </c>
      <c r="BD1819" s="3" t="s">
        <v>79</v>
      </c>
      <c r="BF1819" s="3" t="s">
        <v>18883</v>
      </c>
      <c r="BG1819" s="3" t="s">
        <v>18884</v>
      </c>
    </row>
    <row r="1820" spans="1:59" ht="58" x14ac:dyDescent="0.35">
      <c r="A1820" s="2" t="s">
        <v>59</v>
      </c>
      <c r="B1820" s="2" t="s">
        <v>94</v>
      </c>
      <c r="C1820" s="2" t="s">
        <v>18885</v>
      </c>
      <c r="D1820" s="2" t="s">
        <v>18886</v>
      </c>
      <c r="E1820" s="2" t="s">
        <v>18887</v>
      </c>
      <c r="G1820" s="3" t="s">
        <v>64</v>
      </c>
      <c r="I1820" s="3" t="s">
        <v>64</v>
      </c>
      <c r="J1820" s="3" t="s">
        <v>64</v>
      </c>
      <c r="K1820" s="3" t="s">
        <v>65</v>
      </c>
      <c r="M1820" s="2" t="s">
        <v>18888</v>
      </c>
      <c r="N1820" s="3" t="s">
        <v>2214</v>
      </c>
      <c r="P1820" s="3" t="s">
        <v>69</v>
      </c>
      <c r="Q1820" s="2" t="s">
        <v>18889</v>
      </c>
      <c r="R1820" s="3" t="s">
        <v>16939</v>
      </c>
      <c r="S1820" s="4">
        <v>8</v>
      </c>
      <c r="T1820" s="4">
        <v>8</v>
      </c>
      <c r="U1820" s="5" t="s">
        <v>18890</v>
      </c>
      <c r="V1820" s="5" t="s">
        <v>18890</v>
      </c>
      <c r="W1820" s="5" t="s">
        <v>72</v>
      </c>
      <c r="X1820" s="5" t="s">
        <v>72</v>
      </c>
      <c r="Y1820" s="4">
        <v>598</v>
      </c>
      <c r="Z1820" s="4">
        <v>26</v>
      </c>
      <c r="AA1820" s="4">
        <v>26</v>
      </c>
      <c r="AB1820" s="4">
        <v>2</v>
      </c>
      <c r="AC1820" s="4">
        <v>2</v>
      </c>
      <c r="AD1820" s="4">
        <v>113</v>
      </c>
      <c r="AE1820" s="4">
        <v>113</v>
      </c>
      <c r="AF1820" s="4">
        <v>1</v>
      </c>
      <c r="AG1820" s="4">
        <v>1</v>
      </c>
      <c r="AH1820" s="4">
        <v>98</v>
      </c>
      <c r="AI1820" s="4">
        <v>98</v>
      </c>
      <c r="AJ1820" s="4">
        <v>15</v>
      </c>
      <c r="AK1820" s="4">
        <v>15</v>
      </c>
      <c r="AL1820" s="4">
        <v>55</v>
      </c>
      <c r="AM1820" s="4">
        <v>55</v>
      </c>
      <c r="AN1820" s="4">
        <v>0</v>
      </c>
      <c r="AO1820" s="4">
        <v>0</v>
      </c>
      <c r="AP1820" s="4">
        <v>22</v>
      </c>
      <c r="AQ1820" s="4">
        <v>22</v>
      </c>
      <c r="AR1820" s="3" t="s">
        <v>64</v>
      </c>
      <c r="AS1820" s="3" t="s">
        <v>64</v>
      </c>
      <c r="AT1820" s="3" t="s">
        <v>73</v>
      </c>
      <c r="AU1820" s="6" t="str">
        <f>HYPERLINK("http://catalog.hathitrust.org/Record/001621313","HathiTrust Record")</f>
        <v>HathiTrust Record</v>
      </c>
      <c r="AV1820" s="6" t="str">
        <f>HYPERLINK("http://mcgill.on.worldcat.org/oclc/1364172","Catalog Record")</f>
        <v>Catalog Record</v>
      </c>
      <c r="AW1820" s="6" t="str">
        <f>HYPERLINK("http://www.worldcat.org/oclc/1364172","WorldCat Record")</f>
        <v>WorldCat Record</v>
      </c>
      <c r="AX1820" s="3" t="s">
        <v>18891</v>
      </c>
      <c r="AY1820" s="3" t="s">
        <v>18892</v>
      </c>
      <c r="AZ1820" s="3" t="s">
        <v>18893</v>
      </c>
      <c r="BA1820" s="3" t="s">
        <v>18893</v>
      </c>
      <c r="BB1820" s="3" t="s">
        <v>18894</v>
      </c>
      <c r="BC1820" s="3" t="s">
        <v>78</v>
      </c>
      <c r="BD1820" s="3" t="s">
        <v>79</v>
      </c>
      <c r="BE1820" s="3" t="s">
        <v>18895</v>
      </c>
      <c r="BF1820" s="3" t="s">
        <v>18894</v>
      </c>
      <c r="BG1820" s="3" t="s">
        <v>18896</v>
      </c>
    </row>
    <row r="1821" spans="1:59" ht="72.5" x14ac:dyDescent="0.35">
      <c r="A1821" s="2" t="s">
        <v>59</v>
      </c>
      <c r="B1821" s="2" t="s">
        <v>94</v>
      </c>
      <c r="C1821" s="2" t="s">
        <v>18897</v>
      </c>
      <c r="D1821" s="2" t="s">
        <v>18898</v>
      </c>
      <c r="E1821" s="2" t="s">
        <v>18899</v>
      </c>
      <c r="G1821" s="3" t="s">
        <v>64</v>
      </c>
      <c r="I1821" s="3" t="s">
        <v>64</v>
      </c>
      <c r="J1821" s="3" t="s">
        <v>64</v>
      </c>
      <c r="K1821" s="3" t="s">
        <v>65</v>
      </c>
      <c r="L1821" s="2" t="s">
        <v>18900</v>
      </c>
      <c r="M1821" s="2" t="s">
        <v>18901</v>
      </c>
      <c r="N1821" s="3" t="s">
        <v>524</v>
      </c>
      <c r="P1821" s="3" t="s">
        <v>69</v>
      </c>
      <c r="R1821" s="3" t="s">
        <v>16939</v>
      </c>
      <c r="S1821" s="4">
        <v>0</v>
      </c>
      <c r="T1821" s="4">
        <v>0</v>
      </c>
      <c r="W1821" s="5" t="s">
        <v>72</v>
      </c>
      <c r="X1821" s="5" t="s">
        <v>72</v>
      </c>
      <c r="Y1821" s="4">
        <v>70</v>
      </c>
      <c r="Z1821" s="4">
        <v>4</v>
      </c>
      <c r="AA1821" s="4">
        <v>32</v>
      </c>
      <c r="AB1821" s="4">
        <v>1</v>
      </c>
      <c r="AC1821" s="4">
        <v>6</v>
      </c>
      <c r="AD1821" s="4">
        <v>42</v>
      </c>
      <c r="AE1821" s="4">
        <v>95</v>
      </c>
      <c r="AF1821" s="4">
        <v>0</v>
      </c>
      <c r="AG1821" s="4">
        <v>2</v>
      </c>
      <c r="AH1821" s="4">
        <v>41</v>
      </c>
      <c r="AI1821" s="4">
        <v>78</v>
      </c>
      <c r="AJ1821" s="4">
        <v>3</v>
      </c>
      <c r="AK1821" s="4">
        <v>13</v>
      </c>
      <c r="AL1821" s="4">
        <v>22</v>
      </c>
      <c r="AM1821" s="4">
        <v>42</v>
      </c>
      <c r="AN1821" s="4">
        <v>0</v>
      </c>
      <c r="AO1821" s="4">
        <v>0</v>
      </c>
      <c r="AP1821" s="4">
        <v>3</v>
      </c>
      <c r="AQ1821" s="4">
        <v>23</v>
      </c>
      <c r="AR1821" s="3" t="s">
        <v>64</v>
      </c>
      <c r="AS1821" s="3" t="s">
        <v>64</v>
      </c>
      <c r="AT1821" s="3" t="s">
        <v>64</v>
      </c>
      <c r="AV1821" s="6" t="str">
        <f>HYPERLINK("http://mcgill.on.worldcat.org/oclc/852488663","Catalog Record")</f>
        <v>Catalog Record</v>
      </c>
      <c r="AW1821" s="6" t="str">
        <f>HYPERLINK("http://www.worldcat.org/oclc/852488663","WorldCat Record")</f>
        <v>WorldCat Record</v>
      </c>
      <c r="AX1821" s="3" t="s">
        <v>18902</v>
      </c>
      <c r="AY1821" s="3" t="s">
        <v>18903</v>
      </c>
      <c r="AZ1821" s="3" t="s">
        <v>18904</v>
      </c>
      <c r="BA1821" s="3" t="s">
        <v>18904</v>
      </c>
      <c r="BB1821" s="3" t="s">
        <v>18905</v>
      </c>
      <c r="BC1821" s="3" t="s">
        <v>78</v>
      </c>
      <c r="BD1821" s="3" t="s">
        <v>79</v>
      </c>
      <c r="BE1821" s="3" t="s">
        <v>18906</v>
      </c>
      <c r="BF1821" s="3" t="s">
        <v>18905</v>
      </c>
      <c r="BG1821" s="3" t="s">
        <v>18907</v>
      </c>
    </row>
    <row r="1822" spans="1:59" ht="58" x14ac:dyDescent="0.35">
      <c r="A1822" s="2" t="s">
        <v>59</v>
      </c>
      <c r="B1822" s="2" t="s">
        <v>94</v>
      </c>
      <c r="C1822" s="2" t="s">
        <v>18908</v>
      </c>
      <c r="D1822" s="2" t="s">
        <v>18909</v>
      </c>
      <c r="E1822" s="2" t="s">
        <v>18910</v>
      </c>
      <c r="G1822" s="3" t="s">
        <v>64</v>
      </c>
      <c r="I1822" s="3" t="s">
        <v>64</v>
      </c>
      <c r="J1822" s="3" t="s">
        <v>64</v>
      </c>
      <c r="K1822" s="3" t="s">
        <v>65</v>
      </c>
      <c r="M1822" s="2" t="s">
        <v>5100</v>
      </c>
      <c r="N1822" s="3" t="s">
        <v>328</v>
      </c>
      <c r="P1822" s="3" t="s">
        <v>69</v>
      </c>
      <c r="Q1822" s="2" t="s">
        <v>18911</v>
      </c>
      <c r="R1822" s="3" t="s">
        <v>16939</v>
      </c>
      <c r="S1822" s="4">
        <v>0</v>
      </c>
      <c r="T1822" s="4">
        <v>0</v>
      </c>
      <c r="W1822" s="5" t="s">
        <v>72</v>
      </c>
      <c r="X1822" s="5" t="s">
        <v>72</v>
      </c>
      <c r="Y1822" s="4">
        <v>93</v>
      </c>
      <c r="Z1822" s="4">
        <v>5</v>
      </c>
      <c r="AA1822" s="4">
        <v>9</v>
      </c>
      <c r="AB1822" s="4">
        <v>1</v>
      </c>
      <c r="AC1822" s="4">
        <v>1</v>
      </c>
      <c r="AD1822" s="4">
        <v>49</v>
      </c>
      <c r="AE1822" s="4">
        <v>55</v>
      </c>
      <c r="AF1822" s="4">
        <v>0</v>
      </c>
      <c r="AG1822" s="4">
        <v>0</v>
      </c>
      <c r="AH1822" s="4">
        <v>48</v>
      </c>
      <c r="AI1822" s="4">
        <v>52</v>
      </c>
      <c r="AJ1822" s="4">
        <v>3</v>
      </c>
      <c r="AK1822" s="4">
        <v>6</v>
      </c>
      <c r="AL1822" s="4">
        <v>28</v>
      </c>
      <c r="AM1822" s="4">
        <v>28</v>
      </c>
      <c r="AN1822" s="4">
        <v>0</v>
      </c>
      <c r="AO1822" s="4">
        <v>0</v>
      </c>
      <c r="AP1822" s="4">
        <v>3</v>
      </c>
      <c r="AQ1822" s="4">
        <v>7</v>
      </c>
      <c r="AR1822" s="3" t="s">
        <v>64</v>
      </c>
      <c r="AS1822" s="3" t="s">
        <v>64</v>
      </c>
      <c r="AT1822" s="3" t="s">
        <v>64</v>
      </c>
      <c r="AV1822" s="6" t="str">
        <f>HYPERLINK("http://mcgill.on.worldcat.org/oclc/746712320","Catalog Record")</f>
        <v>Catalog Record</v>
      </c>
      <c r="AW1822" s="6" t="str">
        <f>HYPERLINK("http://www.worldcat.org/oclc/746712320","WorldCat Record")</f>
        <v>WorldCat Record</v>
      </c>
      <c r="AX1822" s="3" t="s">
        <v>18912</v>
      </c>
      <c r="AY1822" s="3" t="s">
        <v>18913</v>
      </c>
      <c r="AZ1822" s="3" t="s">
        <v>18914</v>
      </c>
      <c r="BA1822" s="3" t="s">
        <v>18914</v>
      </c>
      <c r="BB1822" s="3" t="s">
        <v>18915</v>
      </c>
      <c r="BC1822" s="3" t="s">
        <v>78</v>
      </c>
      <c r="BD1822" s="3" t="s">
        <v>79</v>
      </c>
      <c r="BE1822" s="3" t="s">
        <v>18916</v>
      </c>
      <c r="BF1822" s="3" t="s">
        <v>18915</v>
      </c>
      <c r="BG1822" s="3" t="s">
        <v>18917</v>
      </c>
    </row>
    <row r="1823" spans="1:59" ht="58" x14ac:dyDescent="0.35">
      <c r="A1823" s="2" t="s">
        <v>59</v>
      </c>
      <c r="B1823" s="2" t="s">
        <v>94</v>
      </c>
      <c r="C1823" s="2" t="s">
        <v>18918</v>
      </c>
      <c r="D1823" s="2" t="s">
        <v>18919</v>
      </c>
      <c r="E1823" s="2" t="s">
        <v>18920</v>
      </c>
      <c r="G1823" s="3" t="s">
        <v>64</v>
      </c>
      <c r="I1823" s="3" t="s">
        <v>64</v>
      </c>
      <c r="J1823" s="3" t="s">
        <v>64</v>
      </c>
      <c r="K1823" s="3" t="s">
        <v>65</v>
      </c>
      <c r="L1823" s="2" t="s">
        <v>18921</v>
      </c>
      <c r="M1823" s="2" t="s">
        <v>18922</v>
      </c>
      <c r="N1823" s="3" t="s">
        <v>377</v>
      </c>
      <c r="P1823" s="3" t="s">
        <v>69</v>
      </c>
      <c r="R1823" s="3" t="s">
        <v>16939</v>
      </c>
      <c r="S1823" s="4">
        <v>0</v>
      </c>
      <c r="T1823" s="4">
        <v>0</v>
      </c>
      <c r="W1823" s="5" t="s">
        <v>72</v>
      </c>
      <c r="X1823" s="5" t="s">
        <v>72</v>
      </c>
      <c r="Y1823" s="4">
        <v>288</v>
      </c>
      <c r="Z1823" s="4">
        <v>5</v>
      </c>
      <c r="AA1823" s="4">
        <v>74</v>
      </c>
      <c r="AB1823" s="4">
        <v>1</v>
      </c>
      <c r="AC1823" s="4">
        <v>14</v>
      </c>
      <c r="AD1823" s="4">
        <v>47</v>
      </c>
      <c r="AE1823" s="4">
        <v>105</v>
      </c>
      <c r="AF1823" s="4">
        <v>0</v>
      </c>
      <c r="AG1823" s="4">
        <v>8</v>
      </c>
      <c r="AH1823" s="4">
        <v>47</v>
      </c>
      <c r="AI1823" s="4">
        <v>75</v>
      </c>
      <c r="AJ1823" s="4">
        <v>2</v>
      </c>
      <c r="AK1823" s="4">
        <v>18</v>
      </c>
      <c r="AL1823" s="4">
        <v>30</v>
      </c>
      <c r="AM1823" s="4">
        <v>42</v>
      </c>
      <c r="AN1823" s="4">
        <v>0</v>
      </c>
      <c r="AO1823" s="4">
        <v>0</v>
      </c>
      <c r="AP1823" s="4">
        <v>2</v>
      </c>
      <c r="AQ1823" s="4">
        <v>37</v>
      </c>
      <c r="AR1823" s="3" t="s">
        <v>64</v>
      </c>
      <c r="AS1823" s="3" t="s">
        <v>64</v>
      </c>
      <c r="AT1823" s="3" t="s">
        <v>64</v>
      </c>
      <c r="AV1823" s="6" t="str">
        <f>HYPERLINK("http://mcgill.on.worldcat.org/oclc/795504340","Catalog Record")</f>
        <v>Catalog Record</v>
      </c>
      <c r="AW1823" s="6" t="str">
        <f>HYPERLINK("http://www.worldcat.org/oclc/795504340","WorldCat Record")</f>
        <v>WorldCat Record</v>
      </c>
      <c r="AX1823" s="3" t="s">
        <v>18923</v>
      </c>
      <c r="AY1823" s="3" t="s">
        <v>18924</v>
      </c>
      <c r="AZ1823" s="3" t="s">
        <v>18925</v>
      </c>
      <c r="BA1823" s="3" t="s">
        <v>18925</v>
      </c>
      <c r="BB1823" s="3" t="s">
        <v>18926</v>
      </c>
      <c r="BC1823" s="3" t="s">
        <v>78</v>
      </c>
      <c r="BD1823" s="3" t="s">
        <v>79</v>
      </c>
      <c r="BE1823" s="3" t="s">
        <v>18927</v>
      </c>
      <c r="BF1823" s="3" t="s">
        <v>18926</v>
      </c>
      <c r="BG1823" s="3" t="s">
        <v>18928</v>
      </c>
    </row>
    <row r="1824" spans="1:59" ht="87" x14ac:dyDescent="0.35">
      <c r="A1824" s="2" t="s">
        <v>59</v>
      </c>
      <c r="B1824" s="2" t="s">
        <v>94</v>
      </c>
      <c r="C1824" s="2" t="s">
        <v>18929</v>
      </c>
      <c r="D1824" s="2" t="s">
        <v>18930</v>
      </c>
      <c r="E1824" s="2" t="s">
        <v>18931</v>
      </c>
      <c r="G1824" s="3" t="s">
        <v>64</v>
      </c>
      <c r="I1824" s="3" t="s">
        <v>64</v>
      </c>
      <c r="J1824" s="3" t="s">
        <v>64</v>
      </c>
      <c r="K1824" s="3" t="s">
        <v>65</v>
      </c>
      <c r="L1824" s="2" t="s">
        <v>18932</v>
      </c>
      <c r="M1824" s="2" t="s">
        <v>6841</v>
      </c>
      <c r="N1824" s="3" t="s">
        <v>377</v>
      </c>
      <c r="P1824" s="3" t="s">
        <v>69</v>
      </c>
      <c r="Q1824" s="2" t="s">
        <v>5134</v>
      </c>
      <c r="R1824" s="3" t="s">
        <v>16939</v>
      </c>
      <c r="S1824" s="4">
        <v>0</v>
      </c>
      <c r="T1824" s="4">
        <v>0</v>
      </c>
      <c r="W1824" s="5" t="s">
        <v>72</v>
      </c>
      <c r="X1824" s="5" t="s">
        <v>72</v>
      </c>
      <c r="Y1824" s="4">
        <v>114</v>
      </c>
      <c r="Z1824" s="4">
        <v>6</v>
      </c>
      <c r="AA1824" s="4">
        <v>113</v>
      </c>
      <c r="AB1824" s="4">
        <v>1</v>
      </c>
      <c r="AC1824" s="4">
        <v>17</v>
      </c>
      <c r="AD1824" s="4">
        <v>52</v>
      </c>
      <c r="AE1824" s="4">
        <v>137</v>
      </c>
      <c r="AF1824" s="4">
        <v>0</v>
      </c>
      <c r="AG1824" s="4">
        <v>8</v>
      </c>
      <c r="AH1824" s="4">
        <v>51</v>
      </c>
      <c r="AI1824" s="4">
        <v>96</v>
      </c>
      <c r="AJ1824" s="4">
        <v>4</v>
      </c>
      <c r="AK1824" s="4">
        <v>22</v>
      </c>
      <c r="AL1824" s="4">
        <v>27</v>
      </c>
      <c r="AM1824" s="4">
        <v>51</v>
      </c>
      <c r="AN1824" s="4">
        <v>0</v>
      </c>
      <c r="AO1824" s="4">
        <v>0</v>
      </c>
      <c r="AP1824" s="4">
        <v>4</v>
      </c>
      <c r="AQ1824" s="4">
        <v>46</v>
      </c>
      <c r="AR1824" s="3" t="s">
        <v>64</v>
      </c>
      <c r="AS1824" s="3" t="s">
        <v>64</v>
      </c>
      <c r="AT1824" s="3" t="s">
        <v>64</v>
      </c>
      <c r="AV1824" s="6" t="str">
        <f>HYPERLINK("http://mcgill.on.worldcat.org/oclc/797970063","Catalog Record")</f>
        <v>Catalog Record</v>
      </c>
      <c r="AW1824" s="6" t="str">
        <f>HYPERLINK("http://www.worldcat.org/oclc/797970063","WorldCat Record")</f>
        <v>WorldCat Record</v>
      </c>
      <c r="AX1824" s="3" t="s">
        <v>18933</v>
      </c>
      <c r="AY1824" s="3" t="s">
        <v>18934</v>
      </c>
      <c r="AZ1824" s="3" t="s">
        <v>18935</v>
      </c>
      <c r="BA1824" s="3" t="s">
        <v>18935</v>
      </c>
      <c r="BB1824" s="3" t="s">
        <v>18936</v>
      </c>
      <c r="BC1824" s="3" t="s">
        <v>78</v>
      </c>
      <c r="BD1824" s="3" t="s">
        <v>79</v>
      </c>
      <c r="BE1824" s="3" t="s">
        <v>18937</v>
      </c>
      <c r="BF1824" s="3" t="s">
        <v>18936</v>
      </c>
      <c r="BG1824" s="3" t="s">
        <v>18938</v>
      </c>
    </row>
    <row r="1825" spans="1:59" ht="58" x14ac:dyDescent="0.35">
      <c r="A1825" s="2" t="s">
        <v>59</v>
      </c>
      <c r="B1825" s="2" t="s">
        <v>94</v>
      </c>
      <c r="C1825" s="2" t="s">
        <v>18939</v>
      </c>
      <c r="D1825" s="2" t="s">
        <v>18940</v>
      </c>
      <c r="E1825" s="2" t="s">
        <v>18941</v>
      </c>
      <c r="G1825" s="3" t="s">
        <v>64</v>
      </c>
      <c r="I1825" s="3" t="s">
        <v>64</v>
      </c>
      <c r="J1825" s="3" t="s">
        <v>64</v>
      </c>
      <c r="K1825" s="3" t="s">
        <v>65</v>
      </c>
      <c r="L1825" s="2" t="s">
        <v>18942</v>
      </c>
      <c r="M1825" s="2" t="s">
        <v>18943</v>
      </c>
      <c r="N1825" s="3" t="s">
        <v>377</v>
      </c>
      <c r="P1825" s="3" t="s">
        <v>69</v>
      </c>
      <c r="Q1825" s="2" t="s">
        <v>18944</v>
      </c>
      <c r="R1825" s="3" t="s">
        <v>16939</v>
      </c>
      <c r="S1825" s="4">
        <v>0</v>
      </c>
      <c r="T1825" s="4">
        <v>0</v>
      </c>
      <c r="W1825" s="5" t="s">
        <v>72</v>
      </c>
      <c r="X1825" s="5" t="s">
        <v>72</v>
      </c>
      <c r="Y1825" s="4">
        <v>71</v>
      </c>
      <c r="Z1825" s="4">
        <v>4</v>
      </c>
      <c r="AA1825" s="4">
        <v>4</v>
      </c>
      <c r="AB1825" s="4">
        <v>1</v>
      </c>
      <c r="AC1825" s="4">
        <v>1</v>
      </c>
      <c r="AD1825" s="4">
        <v>41</v>
      </c>
      <c r="AE1825" s="4">
        <v>45</v>
      </c>
      <c r="AF1825" s="4">
        <v>0</v>
      </c>
      <c r="AG1825" s="4">
        <v>0</v>
      </c>
      <c r="AH1825" s="4">
        <v>40</v>
      </c>
      <c r="AI1825" s="4">
        <v>44</v>
      </c>
      <c r="AJ1825" s="4">
        <v>3</v>
      </c>
      <c r="AK1825" s="4">
        <v>3</v>
      </c>
      <c r="AL1825" s="4">
        <v>24</v>
      </c>
      <c r="AM1825" s="4">
        <v>27</v>
      </c>
      <c r="AN1825" s="4">
        <v>0</v>
      </c>
      <c r="AO1825" s="4">
        <v>0</v>
      </c>
      <c r="AP1825" s="4">
        <v>3</v>
      </c>
      <c r="AQ1825" s="4">
        <v>3</v>
      </c>
      <c r="AR1825" s="3" t="s">
        <v>64</v>
      </c>
      <c r="AS1825" s="3" t="s">
        <v>64</v>
      </c>
      <c r="AT1825" s="3" t="s">
        <v>64</v>
      </c>
      <c r="AV1825" s="6" t="str">
        <f>HYPERLINK("http://mcgill.on.worldcat.org/oclc/821211937","Catalog Record")</f>
        <v>Catalog Record</v>
      </c>
      <c r="AW1825" s="6" t="str">
        <f>HYPERLINK("http://www.worldcat.org/oclc/821211937","WorldCat Record")</f>
        <v>WorldCat Record</v>
      </c>
      <c r="AX1825" s="3" t="s">
        <v>18945</v>
      </c>
      <c r="AY1825" s="3" t="s">
        <v>18946</v>
      </c>
      <c r="AZ1825" s="3" t="s">
        <v>18947</v>
      </c>
      <c r="BA1825" s="3" t="s">
        <v>18947</v>
      </c>
      <c r="BB1825" s="3" t="s">
        <v>18948</v>
      </c>
      <c r="BC1825" s="3" t="s">
        <v>78</v>
      </c>
      <c r="BD1825" s="3" t="s">
        <v>79</v>
      </c>
      <c r="BE1825" s="3" t="s">
        <v>18949</v>
      </c>
      <c r="BF1825" s="3" t="s">
        <v>18948</v>
      </c>
      <c r="BG1825" s="3" t="s">
        <v>18950</v>
      </c>
    </row>
    <row r="1826" spans="1:59" ht="58" x14ac:dyDescent="0.35">
      <c r="A1826" s="2" t="s">
        <v>59</v>
      </c>
      <c r="B1826" s="2" t="s">
        <v>94</v>
      </c>
      <c r="C1826" s="2" t="s">
        <v>18951</v>
      </c>
      <c r="D1826" s="2" t="s">
        <v>18952</v>
      </c>
      <c r="E1826" s="2" t="s">
        <v>18953</v>
      </c>
      <c r="G1826" s="3" t="s">
        <v>64</v>
      </c>
      <c r="I1826" s="3" t="s">
        <v>64</v>
      </c>
      <c r="J1826" s="3" t="s">
        <v>64</v>
      </c>
      <c r="K1826" s="3" t="s">
        <v>65</v>
      </c>
      <c r="L1826" s="2" t="s">
        <v>18954</v>
      </c>
      <c r="M1826" s="2" t="s">
        <v>18955</v>
      </c>
      <c r="N1826" s="3" t="s">
        <v>499</v>
      </c>
      <c r="P1826" s="3" t="s">
        <v>69</v>
      </c>
      <c r="R1826" s="3" t="s">
        <v>16939</v>
      </c>
      <c r="S1826" s="4">
        <v>14</v>
      </c>
      <c r="T1826" s="4">
        <v>14</v>
      </c>
      <c r="U1826" s="5" t="s">
        <v>18956</v>
      </c>
      <c r="V1826" s="5" t="s">
        <v>18956</v>
      </c>
      <c r="W1826" s="5" t="s">
        <v>72</v>
      </c>
      <c r="X1826" s="5" t="s">
        <v>72</v>
      </c>
      <c r="Y1826" s="4">
        <v>541</v>
      </c>
      <c r="Z1826" s="4">
        <v>17</v>
      </c>
      <c r="AA1826" s="4">
        <v>107</v>
      </c>
      <c r="AB1826" s="4">
        <v>2</v>
      </c>
      <c r="AC1826" s="4">
        <v>21</v>
      </c>
      <c r="AD1826" s="4">
        <v>109</v>
      </c>
      <c r="AE1826" s="4">
        <v>160</v>
      </c>
      <c r="AF1826" s="4">
        <v>1</v>
      </c>
      <c r="AG1826" s="4">
        <v>9</v>
      </c>
      <c r="AH1826" s="4">
        <v>100</v>
      </c>
      <c r="AI1826" s="4">
        <v>112</v>
      </c>
      <c r="AJ1826" s="4">
        <v>12</v>
      </c>
      <c r="AK1826" s="4">
        <v>27</v>
      </c>
      <c r="AL1826" s="4">
        <v>53</v>
      </c>
      <c r="AM1826" s="4">
        <v>56</v>
      </c>
      <c r="AN1826" s="4">
        <v>0</v>
      </c>
      <c r="AO1826" s="4">
        <v>0</v>
      </c>
      <c r="AP1826" s="4">
        <v>15</v>
      </c>
      <c r="AQ1826" s="4">
        <v>56</v>
      </c>
      <c r="AR1826" s="3" t="s">
        <v>64</v>
      </c>
      <c r="AS1826" s="3" t="s">
        <v>64</v>
      </c>
      <c r="AT1826" s="3" t="s">
        <v>64</v>
      </c>
      <c r="AV1826" s="6" t="str">
        <f>HYPERLINK("http://mcgill.on.worldcat.org/oclc/57730744","Catalog Record")</f>
        <v>Catalog Record</v>
      </c>
      <c r="AW1826" s="6" t="str">
        <f>HYPERLINK("http://www.worldcat.org/oclc/57730744","WorldCat Record")</f>
        <v>WorldCat Record</v>
      </c>
      <c r="AX1826" s="3" t="s">
        <v>18957</v>
      </c>
      <c r="AY1826" s="3" t="s">
        <v>18958</v>
      </c>
      <c r="AZ1826" s="3" t="s">
        <v>18959</v>
      </c>
      <c r="BA1826" s="3" t="s">
        <v>18959</v>
      </c>
      <c r="BB1826" s="3" t="s">
        <v>18960</v>
      </c>
      <c r="BC1826" s="3" t="s">
        <v>78</v>
      </c>
      <c r="BD1826" s="3" t="s">
        <v>79</v>
      </c>
      <c r="BE1826" s="3" t="s">
        <v>18961</v>
      </c>
      <c r="BF1826" s="3" t="s">
        <v>18960</v>
      </c>
      <c r="BG1826" s="3" t="s">
        <v>18962</v>
      </c>
    </row>
    <row r="1827" spans="1:59" ht="58" x14ac:dyDescent="0.35">
      <c r="A1827" s="2" t="s">
        <v>59</v>
      </c>
      <c r="B1827" s="2" t="s">
        <v>94</v>
      </c>
      <c r="C1827" s="2" t="s">
        <v>18963</v>
      </c>
      <c r="D1827" s="2" t="s">
        <v>18964</v>
      </c>
      <c r="E1827" s="2" t="s">
        <v>18965</v>
      </c>
      <c r="G1827" s="3" t="s">
        <v>64</v>
      </c>
      <c r="I1827" s="3" t="s">
        <v>64</v>
      </c>
      <c r="J1827" s="3" t="s">
        <v>64</v>
      </c>
      <c r="K1827" s="3" t="s">
        <v>65</v>
      </c>
      <c r="L1827" s="2" t="s">
        <v>18966</v>
      </c>
      <c r="M1827" s="2" t="s">
        <v>8735</v>
      </c>
      <c r="N1827" s="3" t="s">
        <v>214</v>
      </c>
      <c r="P1827" s="3" t="s">
        <v>69</v>
      </c>
      <c r="R1827" s="3" t="s">
        <v>16939</v>
      </c>
      <c r="S1827" s="4">
        <v>2</v>
      </c>
      <c r="T1827" s="4">
        <v>2</v>
      </c>
      <c r="U1827" s="5" t="s">
        <v>3169</v>
      </c>
      <c r="V1827" s="5" t="s">
        <v>3169</v>
      </c>
      <c r="W1827" s="5" t="s">
        <v>72</v>
      </c>
      <c r="X1827" s="5" t="s">
        <v>72</v>
      </c>
      <c r="Y1827" s="4">
        <v>292</v>
      </c>
      <c r="Z1827" s="4">
        <v>18</v>
      </c>
      <c r="AA1827" s="4">
        <v>26</v>
      </c>
      <c r="AB1827" s="4">
        <v>2</v>
      </c>
      <c r="AC1827" s="4">
        <v>5</v>
      </c>
      <c r="AD1827" s="4">
        <v>85</v>
      </c>
      <c r="AE1827" s="4">
        <v>93</v>
      </c>
      <c r="AF1827" s="4">
        <v>0</v>
      </c>
      <c r="AG1827" s="4">
        <v>1</v>
      </c>
      <c r="AH1827" s="4">
        <v>77</v>
      </c>
      <c r="AI1827" s="4">
        <v>83</v>
      </c>
      <c r="AJ1827" s="4">
        <v>12</v>
      </c>
      <c r="AK1827" s="4">
        <v>14</v>
      </c>
      <c r="AL1827" s="4">
        <v>44</v>
      </c>
      <c r="AM1827" s="4">
        <v>45</v>
      </c>
      <c r="AN1827" s="4">
        <v>0</v>
      </c>
      <c r="AO1827" s="4">
        <v>0</v>
      </c>
      <c r="AP1827" s="4">
        <v>14</v>
      </c>
      <c r="AQ1827" s="4">
        <v>17</v>
      </c>
      <c r="AR1827" s="3" t="s">
        <v>64</v>
      </c>
      <c r="AS1827" s="3" t="s">
        <v>64</v>
      </c>
      <c r="AT1827" s="3" t="s">
        <v>64</v>
      </c>
      <c r="AV1827" s="6" t="str">
        <f>HYPERLINK("http://mcgill.on.worldcat.org/oclc/326466151","Catalog Record")</f>
        <v>Catalog Record</v>
      </c>
      <c r="AW1827" s="6" t="str">
        <f>HYPERLINK("http://www.worldcat.org/oclc/326466151","WorldCat Record")</f>
        <v>WorldCat Record</v>
      </c>
      <c r="AX1827" s="3" t="s">
        <v>18967</v>
      </c>
      <c r="AY1827" s="3" t="s">
        <v>18968</v>
      </c>
      <c r="AZ1827" s="3" t="s">
        <v>18969</v>
      </c>
      <c r="BA1827" s="3" t="s">
        <v>18969</v>
      </c>
      <c r="BB1827" s="3" t="s">
        <v>18970</v>
      </c>
      <c r="BC1827" s="3" t="s">
        <v>78</v>
      </c>
      <c r="BD1827" s="3" t="s">
        <v>79</v>
      </c>
      <c r="BE1827" s="3" t="s">
        <v>18971</v>
      </c>
      <c r="BF1827" s="3" t="s">
        <v>18970</v>
      </c>
      <c r="BG1827" s="3" t="s">
        <v>18972</v>
      </c>
    </row>
    <row r="1828" spans="1:59" ht="58" x14ac:dyDescent="0.35">
      <c r="A1828" s="2" t="s">
        <v>59</v>
      </c>
      <c r="B1828" s="2" t="s">
        <v>94</v>
      </c>
      <c r="C1828" s="2" t="s">
        <v>18973</v>
      </c>
      <c r="D1828" s="2" t="s">
        <v>18974</v>
      </c>
      <c r="E1828" s="2" t="s">
        <v>18975</v>
      </c>
      <c r="G1828" s="3" t="s">
        <v>64</v>
      </c>
      <c r="I1828" s="3" t="s">
        <v>64</v>
      </c>
      <c r="J1828" s="3" t="s">
        <v>64</v>
      </c>
      <c r="K1828" s="3" t="s">
        <v>65</v>
      </c>
      <c r="M1828" s="2" t="s">
        <v>18976</v>
      </c>
      <c r="N1828" s="3" t="s">
        <v>175</v>
      </c>
      <c r="P1828" s="3" t="s">
        <v>69</v>
      </c>
      <c r="R1828" s="3" t="s">
        <v>16939</v>
      </c>
      <c r="S1828" s="4">
        <v>0</v>
      </c>
      <c r="T1828" s="4">
        <v>0</v>
      </c>
      <c r="W1828" s="5" t="s">
        <v>72</v>
      </c>
      <c r="X1828" s="5" t="s">
        <v>72</v>
      </c>
      <c r="Y1828" s="4">
        <v>152</v>
      </c>
      <c r="Z1828" s="4">
        <v>3</v>
      </c>
      <c r="AA1828" s="4">
        <v>7</v>
      </c>
      <c r="AB1828" s="4">
        <v>1</v>
      </c>
      <c r="AC1828" s="4">
        <v>5</v>
      </c>
      <c r="AD1828" s="4">
        <v>37</v>
      </c>
      <c r="AE1828" s="4">
        <v>40</v>
      </c>
      <c r="AF1828" s="4">
        <v>0</v>
      </c>
      <c r="AG1828" s="4">
        <v>3</v>
      </c>
      <c r="AH1828" s="4">
        <v>37</v>
      </c>
      <c r="AI1828" s="4">
        <v>38</v>
      </c>
      <c r="AJ1828" s="4">
        <v>2</v>
      </c>
      <c r="AK1828" s="4">
        <v>5</v>
      </c>
      <c r="AL1828" s="4">
        <v>18</v>
      </c>
      <c r="AM1828" s="4">
        <v>18</v>
      </c>
      <c r="AN1828" s="4">
        <v>0</v>
      </c>
      <c r="AO1828" s="4">
        <v>0</v>
      </c>
      <c r="AP1828" s="4">
        <v>2</v>
      </c>
      <c r="AQ1828" s="4">
        <v>4</v>
      </c>
      <c r="AR1828" s="3" t="s">
        <v>64</v>
      </c>
      <c r="AS1828" s="3" t="s">
        <v>64</v>
      </c>
      <c r="AT1828" s="3" t="s">
        <v>64</v>
      </c>
      <c r="AV1828" s="6" t="str">
        <f>HYPERLINK("http://mcgill.on.worldcat.org/oclc/882464058","Catalog Record")</f>
        <v>Catalog Record</v>
      </c>
      <c r="AW1828" s="6" t="str">
        <f>HYPERLINK("http://www.worldcat.org/oclc/882464058","WorldCat Record")</f>
        <v>WorldCat Record</v>
      </c>
      <c r="AX1828" s="3" t="s">
        <v>18977</v>
      </c>
      <c r="AY1828" s="3" t="s">
        <v>18978</v>
      </c>
      <c r="AZ1828" s="3" t="s">
        <v>18979</v>
      </c>
      <c r="BA1828" s="3" t="s">
        <v>18979</v>
      </c>
      <c r="BB1828" s="3" t="s">
        <v>18980</v>
      </c>
      <c r="BC1828" s="3" t="s">
        <v>78</v>
      </c>
      <c r="BD1828" s="3" t="s">
        <v>79</v>
      </c>
      <c r="BE1828" s="3" t="s">
        <v>18981</v>
      </c>
      <c r="BF1828" s="3" t="s">
        <v>18980</v>
      </c>
      <c r="BG1828" s="3" t="s">
        <v>18982</v>
      </c>
    </row>
    <row r="1829" spans="1:59" ht="101.5" x14ac:dyDescent="0.35">
      <c r="A1829" s="2" t="s">
        <v>59</v>
      </c>
      <c r="B1829" s="2" t="s">
        <v>94</v>
      </c>
      <c r="C1829" s="2" t="s">
        <v>18983</v>
      </c>
      <c r="D1829" s="2" t="s">
        <v>18984</v>
      </c>
      <c r="E1829" s="2" t="s">
        <v>18985</v>
      </c>
      <c r="G1829" s="3" t="s">
        <v>64</v>
      </c>
      <c r="I1829" s="3" t="s">
        <v>64</v>
      </c>
      <c r="J1829" s="3" t="s">
        <v>64</v>
      </c>
      <c r="K1829" s="3" t="s">
        <v>65</v>
      </c>
      <c r="L1829" s="2" t="s">
        <v>18986</v>
      </c>
      <c r="M1829" s="2" t="s">
        <v>8382</v>
      </c>
      <c r="N1829" s="3" t="s">
        <v>524</v>
      </c>
      <c r="P1829" s="3" t="s">
        <v>69</v>
      </c>
      <c r="R1829" s="3" t="s">
        <v>16939</v>
      </c>
      <c r="S1829" s="4">
        <v>0</v>
      </c>
      <c r="T1829" s="4">
        <v>0</v>
      </c>
      <c r="W1829" s="5" t="s">
        <v>72</v>
      </c>
      <c r="X1829" s="5" t="s">
        <v>72</v>
      </c>
      <c r="Y1829" s="4">
        <v>73</v>
      </c>
      <c r="Z1829" s="4">
        <v>4</v>
      </c>
      <c r="AA1829" s="4">
        <v>32</v>
      </c>
      <c r="AB1829" s="4">
        <v>1</v>
      </c>
      <c r="AC1829" s="4">
        <v>6</v>
      </c>
      <c r="AD1829" s="4">
        <v>43</v>
      </c>
      <c r="AE1829" s="4">
        <v>94</v>
      </c>
      <c r="AF1829" s="4">
        <v>0</v>
      </c>
      <c r="AG1829" s="4">
        <v>2</v>
      </c>
      <c r="AH1829" s="4">
        <v>42</v>
      </c>
      <c r="AI1829" s="4">
        <v>77</v>
      </c>
      <c r="AJ1829" s="4">
        <v>3</v>
      </c>
      <c r="AK1829" s="4">
        <v>13</v>
      </c>
      <c r="AL1829" s="4">
        <v>22</v>
      </c>
      <c r="AM1829" s="4">
        <v>40</v>
      </c>
      <c r="AN1829" s="4">
        <v>0</v>
      </c>
      <c r="AO1829" s="4">
        <v>0</v>
      </c>
      <c r="AP1829" s="4">
        <v>3</v>
      </c>
      <c r="AQ1829" s="4">
        <v>23</v>
      </c>
      <c r="AR1829" s="3" t="s">
        <v>64</v>
      </c>
      <c r="AS1829" s="3" t="s">
        <v>64</v>
      </c>
      <c r="AT1829" s="3" t="s">
        <v>64</v>
      </c>
      <c r="AV1829" s="6" t="str">
        <f>HYPERLINK("http://mcgill.on.worldcat.org/oclc/854906264","Catalog Record")</f>
        <v>Catalog Record</v>
      </c>
      <c r="AW1829" s="6" t="str">
        <f>HYPERLINK("http://www.worldcat.org/oclc/854906264","WorldCat Record")</f>
        <v>WorldCat Record</v>
      </c>
      <c r="AX1829" s="3" t="s">
        <v>18987</v>
      </c>
      <c r="AY1829" s="3" t="s">
        <v>18988</v>
      </c>
      <c r="AZ1829" s="3" t="s">
        <v>18989</v>
      </c>
      <c r="BA1829" s="3" t="s">
        <v>18989</v>
      </c>
      <c r="BB1829" s="3" t="s">
        <v>18990</v>
      </c>
      <c r="BC1829" s="3" t="s">
        <v>78</v>
      </c>
      <c r="BD1829" s="3" t="s">
        <v>79</v>
      </c>
      <c r="BE1829" s="3" t="s">
        <v>18991</v>
      </c>
      <c r="BF1829" s="3" t="s">
        <v>18990</v>
      </c>
      <c r="BG1829" s="3" t="s">
        <v>18992</v>
      </c>
    </row>
    <row r="1830" spans="1:59" ht="58" x14ac:dyDescent="0.35">
      <c r="A1830" s="2" t="s">
        <v>59</v>
      </c>
      <c r="B1830" s="2" t="s">
        <v>94</v>
      </c>
      <c r="C1830" s="2" t="s">
        <v>18993</v>
      </c>
      <c r="D1830" s="2" t="s">
        <v>18994</v>
      </c>
      <c r="E1830" s="2" t="s">
        <v>18995</v>
      </c>
      <c r="G1830" s="3" t="s">
        <v>64</v>
      </c>
      <c r="I1830" s="3" t="s">
        <v>64</v>
      </c>
      <c r="J1830" s="3" t="s">
        <v>64</v>
      </c>
      <c r="K1830" s="3" t="s">
        <v>65</v>
      </c>
      <c r="L1830" s="2" t="s">
        <v>18996</v>
      </c>
      <c r="M1830" s="2" t="s">
        <v>18997</v>
      </c>
      <c r="N1830" s="3" t="s">
        <v>328</v>
      </c>
      <c r="P1830" s="3" t="s">
        <v>69</v>
      </c>
      <c r="R1830" s="3" t="s">
        <v>16939</v>
      </c>
      <c r="S1830" s="4">
        <v>4</v>
      </c>
      <c r="T1830" s="4">
        <v>4</v>
      </c>
      <c r="U1830" s="5" t="s">
        <v>11698</v>
      </c>
      <c r="V1830" s="5" t="s">
        <v>11698</v>
      </c>
      <c r="W1830" s="5" t="s">
        <v>72</v>
      </c>
      <c r="X1830" s="5" t="s">
        <v>72</v>
      </c>
      <c r="Y1830" s="4">
        <v>97</v>
      </c>
      <c r="Z1830" s="4">
        <v>42</v>
      </c>
      <c r="AA1830" s="4">
        <v>126</v>
      </c>
      <c r="AB1830" s="4">
        <v>2</v>
      </c>
      <c r="AC1830" s="4">
        <v>20</v>
      </c>
      <c r="AD1830" s="4">
        <v>62</v>
      </c>
      <c r="AE1830" s="4">
        <v>119</v>
      </c>
      <c r="AF1830" s="4">
        <v>1</v>
      </c>
      <c r="AG1830" s="4">
        <v>8</v>
      </c>
      <c r="AH1830" s="4">
        <v>39</v>
      </c>
      <c r="AI1830" s="4">
        <v>73</v>
      </c>
      <c r="AJ1830" s="4">
        <v>24</v>
      </c>
      <c r="AK1830" s="4">
        <v>29</v>
      </c>
      <c r="AL1830" s="4">
        <v>20</v>
      </c>
      <c r="AM1830" s="4">
        <v>35</v>
      </c>
      <c r="AN1830" s="4">
        <v>0</v>
      </c>
      <c r="AO1830" s="4">
        <v>0</v>
      </c>
      <c r="AP1830" s="4">
        <v>32</v>
      </c>
      <c r="AQ1830" s="4">
        <v>56</v>
      </c>
      <c r="AR1830" s="3" t="s">
        <v>73</v>
      </c>
      <c r="AS1830" s="3" t="s">
        <v>64</v>
      </c>
      <c r="AT1830" s="3" t="s">
        <v>64</v>
      </c>
      <c r="AV1830" s="6" t="str">
        <f>HYPERLINK("http://mcgill.on.worldcat.org/oclc/724651033","Catalog Record")</f>
        <v>Catalog Record</v>
      </c>
      <c r="AW1830" s="6" t="str">
        <f>HYPERLINK("http://www.worldcat.org/oclc/724651033","WorldCat Record")</f>
        <v>WorldCat Record</v>
      </c>
      <c r="AX1830" s="3" t="s">
        <v>18998</v>
      </c>
      <c r="AY1830" s="3" t="s">
        <v>18999</v>
      </c>
      <c r="AZ1830" s="3" t="s">
        <v>19000</v>
      </c>
      <c r="BA1830" s="3" t="s">
        <v>19000</v>
      </c>
      <c r="BB1830" s="3" t="s">
        <v>19001</v>
      </c>
      <c r="BC1830" s="3" t="s">
        <v>78</v>
      </c>
      <c r="BD1830" s="3" t="s">
        <v>79</v>
      </c>
      <c r="BE1830" s="3" t="s">
        <v>19002</v>
      </c>
      <c r="BF1830" s="3" t="s">
        <v>19001</v>
      </c>
      <c r="BG1830" s="3" t="s">
        <v>19003</v>
      </c>
    </row>
    <row r="1831" spans="1:59" ht="58" x14ac:dyDescent="0.35">
      <c r="A1831" s="2" t="s">
        <v>59</v>
      </c>
      <c r="B1831" s="2" t="s">
        <v>94</v>
      </c>
      <c r="C1831" s="2" t="s">
        <v>19004</v>
      </c>
      <c r="D1831" s="2" t="s">
        <v>19005</v>
      </c>
      <c r="E1831" s="2" t="s">
        <v>19006</v>
      </c>
      <c r="G1831" s="3" t="s">
        <v>64</v>
      </c>
      <c r="I1831" s="3" t="s">
        <v>64</v>
      </c>
      <c r="J1831" s="3" t="s">
        <v>64</v>
      </c>
      <c r="K1831" s="3" t="s">
        <v>65</v>
      </c>
      <c r="M1831" s="2" t="s">
        <v>19007</v>
      </c>
      <c r="N1831" s="3" t="s">
        <v>340</v>
      </c>
      <c r="P1831" s="3" t="s">
        <v>69</v>
      </c>
      <c r="R1831" s="3" t="s">
        <v>16939</v>
      </c>
      <c r="S1831" s="4">
        <v>29</v>
      </c>
      <c r="T1831" s="4">
        <v>29</v>
      </c>
      <c r="U1831" s="5" t="s">
        <v>6520</v>
      </c>
      <c r="V1831" s="5" t="s">
        <v>6520</v>
      </c>
      <c r="W1831" s="5" t="s">
        <v>72</v>
      </c>
      <c r="X1831" s="5" t="s">
        <v>72</v>
      </c>
      <c r="Y1831" s="4">
        <v>159</v>
      </c>
      <c r="Z1831" s="4">
        <v>66</v>
      </c>
      <c r="AA1831" s="4">
        <v>147</v>
      </c>
      <c r="AB1831" s="4">
        <v>3</v>
      </c>
      <c r="AC1831" s="4">
        <v>24</v>
      </c>
      <c r="AD1831" s="4">
        <v>84</v>
      </c>
      <c r="AE1831" s="4">
        <v>134</v>
      </c>
      <c r="AF1831" s="4">
        <v>2</v>
      </c>
      <c r="AG1831" s="4">
        <v>9</v>
      </c>
      <c r="AH1831" s="4">
        <v>54</v>
      </c>
      <c r="AI1831" s="4">
        <v>84</v>
      </c>
      <c r="AJ1831" s="4">
        <v>20</v>
      </c>
      <c r="AK1831" s="4">
        <v>29</v>
      </c>
      <c r="AL1831" s="4">
        <v>31</v>
      </c>
      <c r="AM1831" s="4">
        <v>45</v>
      </c>
      <c r="AN1831" s="4">
        <v>0</v>
      </c>
      <c r="AO1831" s="4">
        <v>0</v>
      </c>
      <c r="AP1831" s="4">
        <v>37</v>
      </c>
      <c r="AQ1831" s="4">
        <v>57</v>
      </c>
      <c r="AR1831" s="3" t="s">
        <v>73</v>
      </c>
      <c r="AS1831" s="3" t="s">
        <v>64</v>
      </c>
      <c r="AT1831" s="3" t="s">
        <v>64</v>
      </c>
      <c r="AV1831" s="6" t="str">
        <f>HYPERLINK("http://mcgill.on.worldcat.org/oclc/39339862","Catalog Record")</f>
        <v>Catalog Record</v>
      </c>
      <c r="AW1831" s="6" t="str">
        <f>HYPERLINK("http://www.worldcat.org/oclc/39339862","WorldCat Record")</f>
        <v>WorldCat Record</v>
      </c>
      <c r="AX1831" s="3" t="s">
        <v>19008</v>
      </c>
      <c r="AY1831" s="3" t="s">
        <v>19009</v>
      </c>
      <c r="AZ1831" s="3" t="s">
        <v>19010</v>
      </c>
      <c r="BA1831" s="3" t="s">
        <v>19010</v>
      </c>
      <c r="BB1831" s="3" t="s">
        <v>19011</v>
      </c>
      <c r="BC1831" s="3" t="s">
        <v>78</v>
      </c>
      <c r="BD1831" s="3" t="s">
        <v>79</v>
      </c>
      <c r="BE1831" s="3" t="s">
        <v>19012</v>
      </c>
      <c r="BF1831" s="3" t="s">
        <v>19011</v>
      </c>
      <c r="BG1831" s="3" t="s">
        <v>19013</v>
      </c>
    </row>
    <row r="1832" spans="1:59" ht="58" x14ac:dyDescent="0.35">
      <c r="A1832" s="2" t="s">
        <v>59</v>
      </c>
      <c r="B1832" s="2" t="s">
        <v>94</v>
      </c>
      <c r="C1832" s="2" t="s">
        <v>19014</v>
      </c>
      <c r="D1832" s="2" t="s">
        <v>19015</v>
      </c>
      <c r="E1832" s="2" t="s">
        <v>19016</v>
      </c>
      <c r="G1832" s="3" t="s">
        <v>64</v>
      </c>
      <c r="I1832" s="3" t="s">
        <v>64</v>
      </c>
      <c r="J1832" s="3" t="s">
        <v>64</v>
      </c>
      <c r="K1832" s="3" t="s">
        <v>65</v>
      </c>
      <c r="L1832" s="2" t="s">
        <v>19017</v>
      </c>
      <c r="M1832" s="2" t="s">
        <v>19018</v>
      </c>
      <c r="N1832" s="3" t="s">
        <v>315</v>
      </c>
      <c r="P1832" s="3" t="s">
        <v>69</v>
      </c>
      <c r="Q1832" s="2" t="s">
        <v>19019</v>
      </c>
      <c r="R1832" s="3" t="s">
        <v>16939</v>
      </c>
      <c r="S1832" s="4">
        <v>70</v>
      </c>
      <c r="T1832" s="4">
        <v>70</v>
      </c>
      <c r="U1832" s="5" t="s">
        <v>6520</v>
      </c>
      <c r="V1832" s="5" t="s">
        <v>6520</v>
      </c>
      <c r="W1832" s="5" t="s">
        <v>72</v>
      </c>
      <c r="X1832" s="5" t="s">
        <v>72</v>
      </c>
      <c r="Y1832" s="4">
        <v>225</v>
      </c>
      <c r="Z1832" s="4">
        <v>78</v>
      </c>
      <c r="AA1832" s="4">
        <v>95</v>
      </c>
      <c r="AB1832" s="4">
        <v>4</v>
      </c>
      <c r="AC1832" s="4">
        <v>13</v>
      </c>
      <c r="AD1832" s="4">
        <v>110</v>
      </c>
      <c r="AE1832" s="4">
        <v>117</v>
      </c>
      <c r="AF1832" s="4">
        <v>2</v>
      </c>
      <c r="AG1832" s="4">
        <v>5</v>
      </c>
      <c r="AH1832" s="4">
        <v>74</v>
      </c>
      <c r="AI1832" s="4">
        <v>78</v>
      </c>
      <c r="AJ1832" s="4">
        <v>25</v>
      </c>
      <c r="AK1832" s="4">
        <v>28</v>
      </c>
      <c r="AL1832" s="4">
        <v>37</v>
      </c>
      <c r="AM1832" s="4">
        <v>38</v>
      </c>
      <c r="AN1832" s="4">
        <v>5</v>
      </c>
      <c r="AO1832" s="4">
        <v>5</v>
      </c>
      <c r="AP1832" s="4">
        <v>45</v>
      </c>
      <c r="AQ1832" s="4">
        <v>48</v>
      </c>
      <c r="AR1832" s="3" t="s">
        <v>64</v>
      </c>
      <c r="AS1832" s="3" t="s">
        <v>64</v>
      </c>
      <c r="AT1832" s="3" t="s">
        <v>73</v>
      </c>
      <c r="AU1832" s="6" t="str">
        <f>HYPERLINK("http://catalog.hathitrust.org/Record/000851751","HathiTrust Record")</f>
        <v>HathiTrust Record</v>
      </c>
      <c r="AV1832" s="6" t="str">
        <f>HYPERLINK("http://mcgill.on.worldcat.org/oclc/17587720","Catalog Record")</f>
        <v>Catalog Record</v>
      </c>
      <c r="AW1832" s="6" t="str">
        <f>HYPERLINK("http://www.worldcat.org/oclc/17587720","WorldCat Record")</f>
        <v>WorldCat Record</v>
      </c>
      <c r="AX1832" s="3" t="s">
        <v>19020</v>
      </c>
      <c r="AY1832" s="3" t="s">
        <v>19021</v>
      </c>
      <c r="AZ1832" s="3" t="s">
        <v>19022</v>
      </c>
      <c r="BA1832" s="3" t="s">
        <v>19022</v>
      </c>
      <c r="BB1832" s="3" t="s">
        <v>19023</v>
      </c>
      <c r="BC1832" s="3" t="s">
        <v>78</v>
      </c>
      <c r="BD1832" s="3" t="s">
        <v>79</v>
      </c>
      <c r="BE1832" s="3" t="s">
        <v>19024</v>
      </c>
      <c r="BF1832" s="3" t="s">
        <v>19023</v>
      </c>
      <c r="BG1832" s="3" t="s">
        <v>19025</v>
      </c>
    </row>
    <row r="1833" spans="1:59" ht="58" x14ac:dyDescent="0.35">
      <c r="A1833" s="2" t="s">
        <v>59</v>
      </c>
      <c r="B1833" s="2" t="s">
        <v>94</v>
      </c>
      <c r="C1833" s="2" t="s">
        <v>19026</v>
      </c>
      <c r="D1833" s="2" t="s">
        <v>19027</v>
      </c>
      <c r="E1833" s="2" t="s">
        <v>19028</v>
      </c>
      <c r="G1833" s="3" t="s">
        <v>64</v>
      </c>
      <c r="I1833" s="3" t="s">
        <v>64</v>
      </c>
      <c r="J1833" s="3" t="s">
        <v>64</v>
      </c>
      <c r="K1833" s="3" t="s">
        <v>65</v>
      </c>
      <c r="L1833" s="2" t="s">
        <v>19029</v>
      </c>
      <c r="M1833" s="2" t="s">
        <v>19030</v>
      </c>
      <c r="N1833" s="3" t="s">
        <v>390</v>
      </c>
      <c r="P1833" s="3" t="s">
        <v>69</v>
      </c>
      <c r="R1833" s="3" t="s">
        <v>16939</v>
      </c>
      <c r="S1833" s="4">
        <v>3</v>
      </c>
      <c r="T1833" s="4">
        <v>3</v>
      </c>
      <c r="U1833" s="5" t="s">
        <v>19031</v>
      </c>
      <c r="V1833" s="5" t="s">
        <v>19031</v>
      </c>
      <c r="W1833" s="5" t="s">
        <v>72</v>
      </c>
      <c r="X1833" s="5" t="s">
        <v>72</v>
      </c>
      <c r="Y1833" s="4">
        <v>388</v>
      </c>
      <c r="Z1833" s="4">
        <v>23</v>
      </c>
      <c r="AA1833" s="4">
        <v>26</v>
      </c>
      <c r="AB1833" s="4">
        <v>1</v>
      </c>
      <c r="AC1833" s="4">
        <v>4</v>
      </c>
      <c r="AD1833" s="4">
        <v>113</v>
      </c>
      <c r="AE1833" s="4">
        <v>115</v>
      </c>
      <c r="AF1833" s="4">
        <v>0</v>
      </c>
      <c r="AG1833" s="4">
        <v>2</v>
      </c>
      <c r="AH1833" s="4">
        <v>102</v>
      </c>
      <c r="AI1833" s="4">
        <v>103</v>
      </c>
      <c r="AJ1833" s="4">
        <v>16</v>
      </c>
      <c r="AK1833" s="4">
        <v>18</v>
      </c>
      <c r="AL1833" s="4">
        <v>56</v>
      </c>
      <c r="AM1833" s="4">
        <v>56</v>
      </c>
      <c r="AN1833" s="4">
        <v>0</v>
      </c>
      <c r="AO1833" s="4">
        <v>0</v>
      </c>
      <c r="AP1833" s="4">
        <v>18</v>
      </c>
      <c r="AQ1833" s="4">
        <v>19</v>
      </c>
      <c r="AR1833" s="3" t="s">
        <v>64</v>
      </c>
      <c r="AS1833" s="3" t="s">
        <v>64</v>
      </c>
      <c r="AT1833" s="3" t="s">
        <v>73</v>
      </c>
      <c r="AU1833" s="6" t="str">
        <f>HYPERLINK("http://catalog.hathitrust.org/Record/000255745","HathiTrust Record")</f>
        <v>HathiTrust Record</v>
      </c>
      <c r="AV1833" s="6" t="str">
        <f>HYPERLINK("http://mcgill.on.worldcat.org/oclc/4493413","Catalog Record")</f>
        <v>Catalog Record</v>
      </c>
      <c r="AW1833" s="6" t="str">
        <f>HYPERLINK("http://www.worldcat.org/oclc/4493413","WorldCat Record")</f>
        <v>WorldCat Record</v>
      </c>
      <c r="AX1833" s="3" t="s">
        <v>19032</v>
      </c>
      <c r="AY1833" s="3" t="s">
        <v>19033</v>
      </c>
      <c r="AZ1833" s="3" t="s">
        <v>19034</v>
      </c>
      <c r="BA1833" s="3" t="s">
        <v>19034</v>
      </c>
      <c r="BB1833" s="3" t="s">
        <v>19035</v>
      </c>
      <c r="BC1833" s="3" t="s">
        <v>78</v>
      </c>
      <c r="BD1833" s="3" t="s">
        <v>79</v>
      </c>
      <c r="BE1833" s="3" t="s">
        <v>19036</v>
      </c>
      <c r="BF1833" s="3" t="s">
        <v>19035</v>
      </c>
      <c r="BG1833" s="3" t="s">
        <v>19037</v>
      </c>
    </row>
    <row r="1834" spans="1:59" ht="58" x14ac:dyDescent="0.35">
      <c r="A1834" s="2" t="s">
        <v>59</v>
      </c>
      <c r="B1834" s="2" t="s">
        <v>94</v>
      </c>
      <c r="C1834" s="2" t="s">
        <v>19038</v>
      </c>
      <c r="D1834" s="2" t="s">
        <v>19039</v>
      </c>
      <c r="E1834" s="2" t="s">
        <v>19040</v>
      </c>
      <c r="G1834" s="3" t="s">
        <v>64</v>
      </c>
      <c r="I1834" s="3" t="s">
        <v>64</v>
      </c>
      <c r="J1834" s="3" t="s">
        <v>64</v>
      </c>
      <c r="K1834" s="3" t="s">
        <v>65</v>
      </c>
      <c r="L1834" s="2" t="s">
        <v>19041</v>
      </c>
      <c r="M1834" s="2" t="s">
        <v>19042</v>
      </c>
      <c r="N1834" s="3" t="s">
        <v>303</v>
      </c>
      <c r="P1834" s="3" t="s">
        <v>69</v>
      </c>
      <c r="R1834" s="3" t="s">
        <v>16939</v>
      </c>
      <c r="S1834" s="4">
        <v>10</v>
      </c>
      <c r="T1834" s="4">
        <v>10</v>
      </c>
      <c r="U1834" s="5" t="s">
        <v>10812</v>
      </c>
      <c r="V1834" s="5" t="s">
        <v>10812</v>
      </c>
      <c r="W1834" s="5" t="s">
        <v>72</v>
      </c>
      <c r="X1834" s="5" t="s">
        <v>72</v>
      </c>
      <c r="Y1834" s="4">
        <v>363</v>
      </c>
      <c r="Z1834" s="4">
        <v>22</v>
      </c>
      <c r="AA1834" s="4">
        <v>83</v>
      </c>
      <c r="AB1834" s="4">
        <v>3</v>
      </c>
      <c r="AC1834" s="4">
        <v>14</v>
      </c>
      <c r="AD1834" s="4">
        <v>109</v>
      </c>
      <c r="AE1834" s="4">
        <v>141</v>
      </c>
      <c r="AF1834" s="4">
        <v>2</v>
      </c>
      <c r="AG1834" s="4">
        <v>8</v>
      </c>
      <c r="AH1834" s="4">
        <v>97</v>
      </c>
      <c r="AI1834" s="4">
        <v>104</v>
      </c>
      <c r="AJ1834" s="4">
        <v>14</v>
      </c>
      <c r="AK1834" s="4">
        <v>23</v>
      </c>
      <c r="AL1834" s="4">
        <v>53</v>
      </c>
      <c r="AM1834" s="4">
        <v>56</v>
      </c>
      <c r="AN1834" s="4">
        <v>0</v>
      </c>
      <c r="AO1834" s="4">
        <v>0</v>
      </c>
      <c r="AP1834" s="4">
        <v>19</v>
      </c>
      <c r="AQ1834" s="4">
        <v>46</v>
      </c>
      <c r="AR1834" s="3" t="s">
        <v>64</v>
      </c>
      <c r="AS1834" s="3" t="s">
        <v>64</v>
      </c>
      <c r="AT1834" s="3" t="s">
        <v>73</v>
      </c>
      <c r="AU1834" s="6" t="str">
        <f>HYPERLINK("http://catalog.hathitrust.org/Record/002710516","HathiTrust Record")</f>
        <v>HathiTrust Record</v>
      </c>
      <c r="AV1834" s="6" t="str">
        <f>HYPERLINK("http://mcgill.on.worldcat.org/oclc/27034760","Catalog Record")</f>
        <v>Catalog Record</v>
      </c>
      <c r="AW1834" s="6" t="str">
        <f>HYPERLINK("http://www.worldcat.org/oclc/27034760","WorldCat Record")</f>
        <v>WorldCat Record</v>
      </c>
      <c r="AX1834" s="3" t="s">
        <v>19043</v>
      </c>
      <c r="AY1834" s="3" t="s">
        <v>19044</v>
      </c>
      <c r="AZ1834" s="3" t="s">
        <v>19045</v>
      </c>
      <c r="BA1834" s="3" t="s">
        <v>19045</v>
      </c>
      <c r="BB1834" s="3" t="s">
        <v>19046</v>
      </c>
      <c r="BC1834" s="3" t="s">
        <v>78</v>
      </c>
      <c r="BD1834" s="3" t="s">
        <v>79</v>
      </c>
      <c r="BE1834" s="3" t="s">
        <v>19047</v>
      </c>
      <c r="BF1834" s="3" t="s">
        <v>19046</v>
      </c>
      <c r="BG1834" s="3" t="s">
        <v>19048</v>
      </c>
    </row>
    <row r="1835" spans="1:59" ht="58" x14ac:dyDescent="0.35">
      <c r="A1835" s="2" t="s">
        <v>59</v>
      </c>
      <c r="B1835" s="2" t="s">
        <v>94</v>
      </c>
      <c r="C1835" s="2" t="s">
        <v>19049</v>
      </c>
      <c r="D1835" s="2" t="s">
        <v>19050</v>
      </c>
      <c r="E1835" s="2" t="s">
        <v>19051</v>
      </c>
      <c r="G1835" s="3" t="s">
        <v>64</v>
      </c>
      <c r="I1835" s="3" t="s">
        <v>64</v>
      </c>
      <c r="J1835" s="3" t="s">
        <v>64</v>
      </c>
      <c r="K1835" s="3" t="s">
        <v>65</v>
      </c>
      <c r="L1835" s="2" t="s">
        <v>19052</v>
      </c>
      <c r="M1835" s="2" t="s">
        <v>19053</v>
      </c>
      <c r="N1835" s="3" t="s">
        <v>175</v>
      </c>
      <c r="P1835" s="3" t="s">
        <v>2192</v>
      </c>
      <c r="Q1835" s="2" t="s">
        <v>19054</v>
      </c>
      <c r="R1835" s="3" t="s">
        <v>16939</v>
      </c>
      <c r="S1835" s="4">
        <v>1</v>
      </c>
      <c r="T1835" s="4">
        <v>1</v>
      </c>
      <c r="U1835" s="5" t="s">
        <v>6833</v>
      </c>
      <c r="V1835" s="5" t="s">
        <v>6833</v>
      </c>
      <c r="W1835" s="5" t="s">
        <v>72</v>
      </c>
      <c r="X1835" s="5" t="s">
        <v>72</v>
      </c>
      <c r="Y1835" s="4">
        <v>60</v>
      </c>
      <c r="Z1835" s="4">
        <v>5</v>
      </c>
      <c r="AA1835" s="4">
        <v>7</v>
      </c>
      <c r="AB1835" s="4">
        <v>1</v>
      </c>
      <c r="AC1835" s="4">
        <v>3</v>
      </c>
      <c r="AD1835" s="4">
        <v>21</v>
      </c>
      <c r="AE1835" s="4">
        <v>22</v>
      </c>
      <c r="AF1835" s="4">
        <v>0</v>
      </c>
      <c r="AG1835" s="4">
        <v>0</v>
      </c>
      <c r="AH1835" s="4">
        <v>20</v>
      </c>
      <c r="AI1835" s="4">
        <v>21</v>
      </c>
      <c r="AJ1835" s="4">
        <v>3</v>
      </c>
      <c r="AK1835" s="4">
        <v>3</v>
      </c>
      <c r="AL1835" s="4">
        <v>15</v>
      </c>
      <c r="AM1835" s="4">
        <v>15</v>
      </c>
      <c r="AN1835" s="4">
        <v>0</v>
      </c>
      <c r="AO1835" s="4">
        <v>0</v>
      </c>
      <c r="AP1835" s="4">
        <v>3</v>
      </c>
      <c r="AQ1835" s="4">
        <v>3</v>
      </c>
      <c r="AR1835" s="3" t="s">
        <v>64</v>
      </c>
      <c r="AS1835" s="3" t="s">
        <v>64</v>
      </c>
      <c r="AT1835" s="3" t="s">
        <v>64</v>
      </c>
      <c r="AV1835" s="6" t="str">
        <f>HYPERLINK("http://mcgill.on.worldcat.org/oclc/879158807","Catalog Record")</f>
        <v>Catalog Record</v>
      </c>
      <c r="AW1835" s="6" t="str">
        <f>HYPERLINK("http://www.worldcat.org/oclc/879158807","WorldCat Record")</f>
        <v>WorldCat Record</v>
      </c>
      <c r="AX1835" s="3" t="s">
        <v>19055</v>
      </c>
      <c r="AY1835" s="3" t="s">
        <v>19056</v>
      </c>
      <c r="AZ1835" s="3" t="s">
        <v>19057</v>
      </c>
      <c r="BA1835" s="3" t="s">
        <v>19057</v>
      </c>
      <c r="BB1835" s="3" t="s">
        <v>19058</v>
      </c>
      <c r="BC1835" s="3" t="s">
        <v>78</v>
      </c>
      <c r="BD1835" s="3" t="s">
        <v>79</v>
      </c>
      <c r="BE1835" s="3" t="s">
        <v>19059</v>
      </c>
      <c r="BF1835" s="3" t="s">
        <v>19058</v>
      </c>
      <c r="BG1835" s="3" t="s">
        <v>19060</v>
      </c>
    </row>
    <row r="1836" spans="1:59" ht="58" x14ac:dyDescent="0.35">
      <c r="A1836" s="2" t="s">
        <v>59</v>
      </c>
      <c r="B1836" s="2" t="s">
        <v>94</v>
      </c>
      <c r="C1836" s="2" t="s">
        <v>19061</v>
      </c>
      <c r="D1836" s="2" t="s">
        <v>19062</v>
      </c>
      <c r="E1836" s="2" t="s">
        <v>19063</v>
      </c>
      <c r="G1836" s="3" t="s">
        <v>64</v>
      </c>
      <c r="I1836" s="3" t="s">
        <v>64</v>
      </c>
      <c r="J1836" s="3" t="s">
        <v>64</v>
      </c>
      <c r="K1836" s="3" t="s">
        <v>65</v>
      </c>
      <c r="L1836" s="2" t="s">
        <v>19064</v>
      </c>
      <c r="M1836" s="2" t="s">
        <v>19065</v>
      </c>
      <c r="N1836" s="3" t="s">
        <v>422</v>
      </c>
      <c r="P1836" s="3" t="s">
        <v>69</v>
      </c>
      <c r="Q1836" s="2" t="s">
        <v>2178</v>
      </c>
      <c r="R1836" s="3" t="s">
        <v>16939</v>
      </c>
      <c r="S1836" s="4">
        <v>5</v>
      </c>
      <c r="T1836" s="4">
        <v>5</v>
      </c>
      <c r="U1836" s="5" t="s">
        <v>2349</v>
      </c>
      <c r="V1836" s="5" t="s">
        <v>2349</v>
      </c>
      <c r="W1836" s="5" t="s">
        <v>72</v>
      </c>
      <c r="X1836" s="5" t="s">
        <v>72</v>
      </c>
      <c r="Y1836" s="4">
        <v>189</v>
      </c>
      <c r="Z1836" s="4">
        <v>14</v>
      </c>
      <c r="AA1836" s="4">
        <v>16</v>
      </c>
      <c r="AB1836" s="4">
        <v>4</v>
      </c>
      <c r="AC1836" s="4">
        <v>6</v>
      </c>
      <c r="AD1836" s="4">
        <v>75</v>
      </c>
      <c r="AE1836" s="4">
        <v>76</v>
      </c>
      <c r="AF1836" s="4">
        <v>1</v>
      </c>
      <c r="AG1836" s="4">
        <v>2</v>
      </c>
      <c r="AH1836" s="4">
        <v>70</v>
      </c>
      <c r="AI1836" s="4">
        <v>70</v>
      </c>
      <c r="AJ1836" s="4">
        <v>6</v>
      </c>
      <c r="AK1836" s="4">
        <v>7</v>
      </c>
      <c r="AL1836" s="4">
        <v>46</v>
      </c>
      <c r="AM1836" s="4">
        <v>46</v>
      </c>
      <c r="AN1836" s="4">
        <v>0</v>
      </c>
      <c r="AO1836" s="4">
        <v>0</v>
      </c>
      <c r="AP1836" s="4">
        <v>8</v>
      </c>
      <c r="AQ1836" s="4">
        <v>8</v>
      </c>
      <c r="AR1836" s="3" t="s">
        <v>64</v>
      </c>
      <c r="AS1836" s="3" t="s">
        <v>64</v>
      </c>
      <c r="AT1836" s="3" t="s">
        <v>64</v>
      </c>
      <c r="AV1836" s="6" t="str">
        <f>HYPERLINK("http://mcgill.on.worldcat.org/oclc/45890497","Catalog Record")</f>
        <v>Catalog Record</v>
      </c>
      <c r="AW1836" s="6" t="str">
        <f>HYPERLINK("http://www.worldcat.org/oclc/45890497","WorldCat Record")</f>
        <v>WorldCat Record</v>
      </c>
      <c r="AX1836" s="3" t="s">
        <v>19066</v>
      </c>
      <c r="AY1836" s="3" t="s">
        <v>19067</v>
      </c>
      <c r="AZ1836" s="3" t="s">
        <v>19068</v>
      </c>
      <c r="BA1836" s="3" t="s">
        <v>19068</v>
      </c>
      <c r="BB1836" s="3" t="s">
        <v>19069</v>
      </c>
      <c r="BC1836" s="3" t="s">
        <v>78</v>
      </c>
      <c r="BD1836" s="3" t="s">
        <v>79</v>
      </c>
      <c r="BE1836" s="3" t="s">
        <v>19070</v>
      </c>
      <c r="BF1836" s="3" t="s">
        <v>19069</v>
      </c>
      <c r="BG1836" s="3" t="s">
        <v>19071</v>
      </c>
    </row>
    <row r="1837" spans="1:59" ht="58" x14ac:dyDescent="0.35">
      <c r="A1837" s="2" t="s">
        <v>59</v>
      </c>
      <c r="B1837" s="2" t="s">
        <v>94</v>
      </c>
      <c r="C1837" s="2" t="s">
        <v>19072</v>
      </c>
      <c r="D1837" s="2" t="s">
        <v>19073</v>
      </c>
      <c r="E1837" s="2" t="s">
        <v>19074</v>
      </c>
      <c r="G1837" s="3" t="s">
        <v>64</v>
      </c>
      <c r="I1837" s="3" t="s">
        <v>64</v>
      </c>
      <c r="J1837" s="3" t="s">
        <v>64</v>
      </c>
      <c r="K1837" s="3" t="s">
        <v>65</v>
      </c>
      <c r="L1837" s="2" t="s">
        <v>19075</v>
      </c>
      <c r="M1837" s="2" t="s">
        <v>19076</v>
      </c>
      <c r="N1837" s="3" t="s">
        <v>719</v>
      </c>
      <c r="P1837" s="3" t="s">
        <v>69</v>
      </c>
      <c r="R1837" s="3" t="s">
        <v>16939</v>
      </c>
      <c r="S1837" s="4">
        <v>11</v>
      </c>
      <c r="T1837" s="4">
        <v>11</v>
      </c>
      <c r="U1837" s="5" t="s">
        <v>19077</v>
      </c>
      <c r="V1837" s="5" t="s">
        <v>19077</v>
      </c>
      <c r="W1837" s="5" t="s">
        <v>72</v>
      </c>
      <c r="X1837" s="5" t="s">
        <v>72</v>
      </c>
      <c r="Y1837" s="4">
        <v>546</v>
      </c>
      <c r="Z1837" s="4">
        <v>41</v>
      </c>
      <c r="AA1837" s="4">
        <v>42</v>
      </c>
      <c r="AB1837" s="4">
        <v>4</v>
      </c>
      <c r="AC1837" s="4">
        <v>5</v>
      </c>
      <c r="AD1837" s="4">
        <v>129</v>
      </c>
      <c r="AE1837" s="4">
        <v>130</v>
      </c>
      <c r="AF1837" s="4">
        <v>2</v>
      </c>
      <c r="AG1837" s="4">
        <v>3</v>
      </c>
      <c r="AH1837" s="4">
        <v>107</v>
      </c>
      <c r="AI1837" s="4">
        <v>107</v>
      </c>
      <c r="AJ1837" s="4">
        <v>20</v>
      </c>
      <c r="AK1837" s="4">
        <v>21</v>
      </c>
      <c r="AL1837" s="4">
        <v>58</v>
      </c>
      <c r="AM1837" s="4">
        <v>58</v>
      </c>
      <c r="AN1837" s="4">
        <v>0</v>
      </c>
      <c r="AO1837" s="4">
        <v>0</v>
      </c>
      <c r="AP1837" s="4">
        <v>31</v>
      </c>
      <c r="AQ1837" s="4">
        <v>31</v>
      </c>
      <c r="AR1837" s="3" t="s">
        <v>64</v>
      </c>
      <c r="AS1837" s="3" t="s">
        <v>64</v>
      </c>
      <c r="AT1837" s="3" t="s">
        <v>73</v>
      </c>
      <c r="AU1837" s="6" t="str">
        <f>HYPERLINK("http://catalog.hathitrust.org/Record/000120513","HathiTrust Record")</f>
        <v>HathiTrust Record</v>
      </c>
      <c r="AV1837" s="6" t="str">
        <f>HYPERLINK("http://mcgill.on.worldcat.org/oclc/10696663","Catalog Record")</f>
        <v>Catalog Record</v>
      </c>
      <c r="AW1837" s="6" t="str">
        <f>HYPERLINK("http://www.worldcat.org/oclc/10696663","WorldCat Record")</f>
        <v>WorldCat Record</v>
      </c>
      <c r="AX1837" s="3" t="s">
        <v>19078</v>
      </c>
      <c r="AY1837" s="3" t="s">
        <v>19079</v>
      </c>
      <c r="AZ1837" s="3" t="s">
        <v>19080</v>
      </c>
      <c r="BA1837" s="3" t="s">
        <v>19080</v>
      </c>
      <c r="BB1837" s="3" t="s">
        <v>19081</v>
      </c>
      <c r="BC1837" s="3" t="s">
        <v>78</v>
      </c>
      <c r="BD1837" s="3" t="s">
        <v>79</v>
      </c>
      <c r="BE1837" s="3" t="s">
        <v>19082</v>
      </c>
      <c r="BF1837" s="3" t="s">
        <v>19081</v>
      </c>
      <c r="BG1837" s="3" t="s">
        <v>19083</v>
      </c>
    </row>
    <row r="1838" spans="1:59" ht="58" x14ac:dyDescent="0.35">
      <c r="A1838" s="2" t="s">
        <v>59</v>
      </c>
      <c r="B1838" s="2" t="s">
        <v>94</v>
      </c>
      <c r="C1838" s="2" t="s">
        <v>19084</v>
      </c>
      <c r="D1838" s="2" t="s">
        <v>19085</v>
      </c>
      <c r="E1838" s="2" t="s">
        <v>19086</v>
      </c>
      <c r="G1838" s="3" t="s">
        <v>64</v>
      </c>
      <c r="I1838" s="3" t="s">
        <v>64</v>
      </c>
      <c r="J1838" s="3" t="s">
        <v>64</v>
      </c>
      <c r="K1838" s="3" t="s">
        <v>65</v>
      </c>
      <c r="L1838" s="2" t="s">
        <v>19087</v>
      </c>
      <c r="M1838" s="2" t="s">
        <v>11876</v>
      </c>
      <c r="N1838" s="3" t="s">
        <v>214</v>
      </c>
      <c r="P1838" s="3" t="s">
        <v>69</v>
      </c>
      <c r="Q1838" s="2" t="s">
        <v>19088</v>
      </c>
      <c r="R1838" s="3" t="s">
        <v>16939</v>
      </c>
      <c r="S1838" s="4">
        <v>2</v>
      </c>
      <c r="T1838" s="4">
        <v>2</v>
      </c>
      <c r="U1838" s="5" t="s">
        <v>19089</v>
      </c>
      <c r="V1838" s="5" t="s">
        <v>19089</v>
      </c>
      <c r="W1838" s="5" t="s">
        <v>72</v>
      </c>
      <c r="X1838" s="5" t="s">
        <v>72</v>
      </c>
      <c r="Y1838" s="4">
        <v>112</v>
      </c>
      <c r="Z1838" s="4">
        <v>53</v>
      </c>
      <c r="AA1838" s="4">
        <v>85</v>
      </c>
      <c r="AB1838" s="4">
        <v>1</v>
      </c>
      <c r="AC1838" s="4">
        <v>10</v>
      </c>
      <c r="AD1838" s="4">
        <v>63</v>
      </c>
      <c r="AE1838" s="4">
        <v>97</v>
      </c>
      <c r="AF1838" s="4">
        <v>0</v>
      </c>
      <c r="AG1838" s="4">
        <v>4</v>
      </c>
      <c r="AH1838" s="4">
        <v>43</v>
      </c>
      <c r="AI1838" s="4">
        <v>65</v>
      </c>
      <c r="AJ1838" s="4">
        <v>20</v>
      </c>
      <c r="AK1838" s="4">
        <v>26</v>
      </c>
      <c r="AL1838" s="4">
        <v>21</v>
      </c>
      <c r="AM1838" s="4">
        <v>32</v>
      </c>
      <c r="AN1838" s="4">
        <v>0</v>
      </c>
      <c r="AO1838" s="4">
        <v>0</v>
      </c>
      <c r="AP1838" s="4">
        <v>28</v>
      </c>
      <c r="AQ1838" s="4">
        <v>41</v>
      </c>
      <c r="AR1838" s="3" t="s">
        <v>73</v>
      </c>
      <c r="AS1838" s="3" t="s">
        <v>64</v>
      </c>
      <c r="AT1838" s="3" t="s">
        <v>64</v>
      </c>
      <c r="AV1838" s="6" t="str">
        <f>HYPERLINK("http://mcgill.on.worldcat.org/oclc/502633407","Catalog Record")</f>
        <v>Catalog Record</v>
      </c>
      <c r="AW1838" s="6" t="str">
        <f>HYPERLINK("http://www.worldcat.org/oclc/502633407","WorldCat Record")</f>
        <v>WorldCat Record</v>
      </c>
      <c r="AX1838" s="3" t="s">
        <v>19090</v>
      </c>
      <c r="AY1838" s="3" t="s">
        <v>19091</v>
      </c>
      <c r="AZ1838" s="3" t="s">
        <v>19092</v>
      </c>
      <c r="BA1838" s="3" t="s">
        <v>19092</v>
      </c>
      <c r="BB1838" s="3" t="s">
        <v>19093</v>
      </c>
      <c r="BC1838" s="3" t="s">
        <v>78</v>
      </c>
      <c r="BD1838" s="3" t="s">
        <v>79</v>
      </c>
      <c r="BE1838" s="3" t="s">
        <v>19094</v>
      </c>
      <c r="BF1838" s="3" t="s">
        <v>19093</v>
      </c>
      <c r="BG1838" s="3" t="s">
        <v>19095</v>
      </c>
    </row>
    <row r="1839" spans="1:59" ht="58" x14ac:dyDescent="0.35">
      <c r="A1839" s="2" t="s">
        <v>59</v>
      </c>
      <c r="B1839" s="2" t="s">
        <v>94</v>
      </c>
      <c r="C1839" s="2" t="s">
        <v>19096</v>
      </c>
      <c r="D1839" s="2" t="s">
        <v>19097</v>
      </c>
      <c r="E1839" s="2" t="s">
        <v>19098</v>
      </c>
      <c r="G1839" s="3" t="s">
        <v>64</v>
      </c>
      <c r="I1839" s="3" t="s">
        <v>64</v>
      </c>
      <c r="J1839" s="3" t="s">
        <v>64</v>
      </c>
      <c r="K1839" s="3" t="s">
        <v>65</v>
      </c>
      <c r="L1839" s="2" t="s">
        <v>19099</v>
      </c>
      <c r="M1839" s="2" t="s">
        <v>19100</v>
      </c>
      <c r="N1839" s="3" t="s">
        <v>524</v>
      </c>
      <c r="P1839" s="3" t="s">
        <v>69</v>
      </c>
      <c r="Q1839" s="2" t="s">
        <v>19101</v>
      </c>
      <c r="R1839" s="3" t="s">
        <v>16939</v>
      </c>
      <c r="S1839" s="4">
        <v>0</v>
      </c>
      <c r="T1839" s="4">
        <v>0</v>
      </c>
      <c r="W1839" s="5" t="s">
        <v>72</v>
      </c>
      <c r="X1839" s="5" t="s">
        <v>72</v>
      </c>
      <c r="Y1839" s="4">
        <v>49</v>
      </c>
      <c r="Z1839" s="4">
        <v>3</v>
      </c>
      <c r="AA1839" s="4">
        <v>32</v>
      </c>
      <c r="AB1839" s="4">
        <v>1</v>
      </c>
      <c r="AC1839" s="4">
        <v>6</v>
      </c>
      <c r="AD1839" s="4">
        <v>33</v>
      </c>
      <c r="AE1839" s="4">
        <v>88</v>
      </c>
      <c r="AF1839" s="4">
        <v>0</v>
      </c>
      <c r="AG1839" s="4">
        <v>2</v>
      </c>
      <c r="AH1839" s="4">
        <v>32</v>
      </c>
      <c r="AI1839" s="4">
        <v>71</v>
      </c>
      <c r="AJ1839" s="4">
        <v>2</v>
      </c>
      <c r="AK1839" s="4">
        <v>13</v>
      </c>
      <c r="AL1839" s="4">
        <v>19</v>
      </c>
      <c r="AM1839" s="4">
        <v>39</v>
      </c>
      <c r="AN1839" s="4">
        <v>0</v>
      </c>
      <c r="AO1839" s="4">
        <v>0</v>
      </c>
      <c r="AP1839" s="4">
        <v>2</v>
      </c>
      <c r="AQ1839" s="4">
        <v>23</v>
      </c>
      <c r="AR1839" s="3" t="s">
        <v>64</v>
      </c>
      <c r="AS1839" s="3" t="s">
        <v>64</v>
      </c>
      <c r="AT1839" s="3" t="s">
        <v>64</v>
      </c>
      <c r="AV1839" s="6" t="str">
        <f>HYPERLINK("http://mcgill.on.worldcat.org/oclc/852389071","Catalog Record")</f>
        <v>Catalog Record</v>
      </c>
      <c r="AW1839" s="6" t="str">
        <f>HYPERLINK("http://www.worldcat.org/oclc/852389071","WorldCat Record")</f>
        <v>WorldCat Record</v>
      </c>
      <c r="AX1839" s="3" t="s">
        <v>19102</v>
      </c>
      <c r="AY1839" s="3" t="s">
        <v>19103</v>
      </c>
      <c r="AZ1839" s="3" t="s">
        <v>19104</v>
      </c>
      <c r="BA1839" s="3" t="s">
        <v>19104</v>
      </c>
      <c r="BB1839" s="3" t="s">
        <v>19105</v>
      </c>
      <c r="BC1839" s="3" t="s">
        <v>78</v>
      </c>
      <c r="BD1839" s="3" t="s">
        <v>79</v>
      </c>
      <c r="BE1839" s="3" t="s">
        <v>19106</v>
      </c>
      <c r="BF1839" s="3" t="s">
        <v>19105</v>
      </c>
      <c r="BG1839" s="3" t="s">
        <v>19107</v>
      </c>
    </row>
    <row r="1840" spans="1:59" ht="58" x14ac:dyDescent="0.35">
      <c r="A1840" s="2" t="s">
        <v>59</v>
      </c>
      <c r="B1840" s="2" t="s">
        <v>94</v>
      </c>
      <c r="C1840" s="2" t="s">
        <v>19108</v>
      </c>
      <c r="D1840" s="2" t="s">
        <v>19109</v>
      </c>
      <c r="E1840" s="2" t="s">
        <v>19110</v>
      </c>
      <c r="G1840" s="3" t="s">
        <v>64</v>
      </c>
      <c r="I1840" s="3" t="s">
        <v>73</v>
      </c>
      <c r="J1840" s="3" t="s">
        <v>64</v>
      </c>
      <c r="K1840" s="3" t="s">
        <v>65</v>
      </c>
      <c r="L1840" s="2" t="s">
        <v>19111</v>
      </c>
      <c r="M1840" s="2" t="s">
        <v>19112</v>
      </c>
      <c r="N1840" s="3" t="s">
        <v>524</v>
      </c>
      <c r="P1840" s="3" t="s">
        <v>69</v>
      </c>
      <c r="R1840" s="3" t="s">
        <v>16939</v>
      </c>
      <c r="S1840" s="4">
        <v>1</v>
      </c>
      <c r="T1840" s="4">
        <v>1</v>
      </c>
      <c r="U1840" s="5" t="s">
        <v>19113</v>
      </c>
      <c r="V1840" s="5" t="s">
        <v>19113</v>
      </c>
      <c r="W1840" s="5" t="s">
        <v>72</v>
      </c>
      <c r="X1840" s="5" t="s">
        <v>72</v>
      </c>
      <c r="Y1840" s="4">
        <v>63</v>
      </c>
      <c r="Z1840" s="4">
        <v>34</v>
      </c>
      <c r="AA1840" s="4">
        <v>111</v>
      </c>
      <c r="AB1840" s="4">
        <v>1</v>
      </c>
      <c r="AC1840" s="4">
        <v>19</v>
      </c>
      <c r="AD1840" s="4">
        <v>38</v>
      </c>
      <c r="AE1840" s="4">
        <v>112</v>
      </c>
      <c r="AF1840" s="4">
        <v>0</v>
      </c>
      <c r="AG1840" s="4">
        <v>8</v>
      </c>
      <c r="AH1840" s="4">
        <v>23</v>
      </c>
      <c r="AI1840" s="4">
        <v>69</v>
      </c>
      <c r="AJ1840" s="4">
        <v>18</v>
      </c>
      <c r="AK1840" s="4">
        <v>28</v>
      </c>
      <c r="AL1840" s="4">
        <v>12</v>
      </c>
      <c r="AM1840" s="4">
        <v>35</v>
      </c>
      <c r="AN1840" s="4">
        <v>0</v>
      </c>
      <c r="AO1840" s="4">
        <v>0</v>
      </c>
      <c r="AP1840" s="4">
        <v>21</v>
      </c>
      <c r="AQ1840" s="4">
        <v>51</v>
      </c>
      <c r="AR1840" s="3" t="s">
        <v>73</v>
      </c>
      <c r="AS1840" s="3" t="s">
        <v>64</v>
      </c>
      <c r="AT1840" s="3" t="s">
        <v>64</v>
      </c>
      <c r="AV1840" s="6" t="str">
        <f>HYPERLINK("http://mcgill.on.worldcat.org/oclc/843859554","Catalog Record")</f>
        <v>Catalog Record</v>
      </c>
      <c r="AW1840" s="6" t="str">
        <f>HYPERLINK("http://www.worldcat.org/oclc/843859554","WorldCat Record")</f>
        <v>WorldCat Record</v>
      </c>
      <c r="AX1840" s="3" t="s">
        <v>19114</v>
      </c>
      <c r="AY1840" s="3" t="s">
        <v>19115</v>
      </c>
      <c r="AZ1840" s="3" t="s">
        <v>19116</v>
      </c>
      <c r="BA1840" s="3" t="s">
        <v>19116</v>
      </c>
      <c r="BB1840" s="3" t="s">
        <v>19117</v>
      </c>
      <c r="BC1840" s="3" t="s">
        <v>78</v>
      </c>
      <c r="BD1840" s="3" t="s">
        <v>79</v>
      </c>
      <c r="BE1840" s="3" t="s">
        <v>19118</v>
      </c>
      <c r="BF1840" s="3" t="s">
        <v>19117</v>
      </c>
      <c r="BG1840" s="3" t="s">
        <v>19119</v>
      </c>
    </row>
    <row r="1841" spans="1:59" ht="58" x14ac:dyDescent="0.35">
      <c r="A1841" s="2" t="s">
        <v>59</v>
      </c>
      <c r="B1841" s="2" t="s">
        <v>94</v>
      </c>
      <c r="C1841" s="2" t="s">
        <v>19108</v>
      </c>
      <c r="D1841" s="2" t="s">
        <v>19109</v>
      </c>
      <c r="E1841" s="2" t="s">
        <v>19110</v>
      </c>
      <c r="G1841" s="3" t="s">
        <v>64</v>
      </c>
      <c r="I1841" s="3" t="s">
        <v>73</v>
      </c>
      <c r="J1841" s="3" t="s">
        <v>64</v>
      </c>
      <c r="K1841" s="3" t="s">
        <v>65</v>
      </c>
      <c r="L1841" s="2" t="s">
        <v>19111</v>
      </c>
      <c r="M1841" s="2" t="s">
        <v>19112</v>
      </c>
      <c r="N1841" s="3" t="s">
        <v>524</v>
      </c>
      <c r="P1841" s="3" t="s">
        <v>69</v>
      </c>
      <c r="R1841" s="3" t="s">
        <v>16939</v>
      </c>
      <c r="S1841" s="4">
        <v>0</v>
      </c>
      <c r="T1841" s="4">
        <v>1</v>
      </c>
      <c r="V1841" s="5" t="s">
        <v>19113</v>
      </c>
      <c r="W1841" s="5" t="s">
        <v>72</v>
      </c>
      <c r="X1841" s="5" t="s">
        <v>72</v>
      </c>
      <c r="Y1841" s="4">
        <v>63</v>
      </c>
      <c r="Z1841" s="4">
        <v>34</v>
      </c>
      <c r="AA1841" s="4">
        <v>111</v>
      </c>
      <c r="AB1841" s="4">
        <v>1</v>
      </c>
      <c r="AC1841" s="4">
        <v>19</v>
      </c>
      <c r="AD1841" s="4">
        <v>38</v>
      </c>
      <c r="AE1841" s="4">
        <v>112</v>
      </c>
      <c r="AF1841" s="4">
        <v>0</v>
      </c>
      <c r="AG1841" s="4">
        <v>8</v>
      </c>
      <c r="AH1841" s="4">
        <v>23</v>
      </c>
      <c r="AI1841" s="4">
        <v>69</v>
      </c>
      <c r="AJ1841" s="4">
        <v>18</v>
      </c>
      <c r="AK1841" s="4">
        <v>28</v>
      </c>
      <c r="AL1841" s="4">
        <v>12</v>
      </c>
      <c r="AM1841" s="4">
        <v>35</v>
      </c>
      <c r="AN1841" s="4">
        <v>0</v>
      </c>
      <c r="AO1841" s="4">
        <v>0</v>
      </c>
      <c r="AP1841" s="4">
        <v>21</v>
      </c>
      <c r="AQ1841" s="4">
        <v>51</v>
      </c>
      <c r="AR1841" s="3" t="s">
        <v>73</v>
      </c>
      <c r="AS1841" s="3" t="s">
        <v>64</v>
      </c>
      <c r="AT1841" s="3" t="s">
        <v>64</v>
      </c>
      <c r="AV1841" s="6" t="str">
        <f>HYPERLINK("http://mcgill.on.worldcat.org/oclc/843859554","Catalog Record")</f>
        <v>Catalog Record</v>
      </c>
      <c r="AW1841" s="6" t="str">
        <f>HYPERLINK("http://www.worldcat.org/oclc/843859554","WorldCat Record")</f>
        <v>WorldCat Record</v>
      </c>
      <c r="AX1841" s="3" t="s">
        <v>19114</v>
      </c>
      <c r="AY1841" s="3" t="s">
        <v>19115</v>
      </c>
      <c r="AZ1841" s="3" t="s">
        <v>19116</v>
      </c>
      <c r="BA1841" s="3" t="s">
        <v>19116</v>
      </c>
      <c r="BB1841" s="3" t="s">
        <v>19120</v>
      </c>
      <c r="BC1841" s="3" t="s">
        <v>78</v>
      </c>
      <c r="BD1841" s="3" t="s">
        <v>79</v>
      </c>
      <c r="BE1841" s="3" t="s">
        <v>19118</v>
      </c>
      <c r="BF1841" s="3" t="s">
        <v>19120</v>
      </c>
      <c r="BG1841" s="3" t="s">
        <v>19121</v>
      </c>
    </row>
    <row r="1842" spans="1:59" ht="58" x14ac:dyDescent="0.35">
      <c r="A1842" s="2" t="s">
        <v>59</v>
      </c>
      <c r="B1842" s="2" t="s">
        <v>94</v>
      </c>
      <c r="C1842" s="2" t="s">
        <v>19122</v>
      </c>
      <c r="D1842" s="2" t="s">
        <v>19123</v>
      </c>
      <c r="E1842" s="2" t="s">
        <v>19124</v>
      </c>
      <c r="G1842" s="3" t="s">
        <v>64</v>
      </c>
      <c r="I1842" s="3" t="s">
        <v>64</v>
      </c>
      <c r="J1842" s="3" t="s">
        <v>64</v>
      </c>
      <c r="K1842" s="3" t="s">
        <v>65</v>
      </c>
      <c r="L1842" s="2" t="s">
        <v>19125</v>
      </c>
      <c r="M1842" s="2" t="s">
        <v>831</v>
      </c>
      <c r="N1842" s="3" t="s">
        <v>214</v>
      </c>
      <c r="P1842" s="3" t="s">
        <v>69</v>
      </c>
      <c r="Q1842" s="2" t="s">
        <v>19126</v>
      </c>
      <c r="R1842" s="3" t="s">
        <v>16939</v>
      </c>
      <c r="S1842" s="4">
        <v>0</v>
      </c>
      <c r="T1842" s="4">
        <v>0</v>
      </c>
      <c r="W1842" s="5" t="s">
        <v>72</v>
      </c>
      <c r="X1842" s="5" t="s">
        <v>72</v>
      </c>
      <c r="Y1842" s="4">
        <v>156</v>
      </c>
      <c r="Z1842" s="4">
        <v>11</v>
      </c>
      <c r="AA1842" s="4">
        <v>11</v>
      </c>
      <c r="AB1842" s="4">
        <v>1</v>
      </c>
      <c r="AC1842" s="4">
        <v>1</v>
      </c>
      <c r="AD1842" s="4">
        <v>62</v>
      </c>
      <c r="AE1842" s="4">
        <v>63</v>
      </c>
      <c r="AF1842" s="4">
        <v>0</v>
      </c>
      <c r="AG1842" s="4">
        <v>0</v>
      </c>
      <c r="AH1842" s="4">
        <v>59</v>
      </c>
      <c r="AI1842" s="4">
        <v>60</v>
      </c>
      <c r="AJ1842" s="4">
        <v>6</v>
      </c>
      <c r="AK1842" s="4">
        <v>6</v>
      </c>
      <c r="AL1842" s="4">
        <v>36</v>
      </c>
      <c r="AM1842" s="4">
        <v>36</v>
      </c>
      <c r="AN1842" s="4">
        <v>0</v>
      </c>
      <c r="AO1842" s="4">
        <v>0</v>
      </c>
      <c r="AP1842" s="4">
        <v>7</v>
      </c>
      <c r="AQ1842" s="4">
        <v>7</v>
      </c>
      <c r="AR1842" s="3" t="s">
        <v>64</v>
      </c>
      <c r="AS1842" s="3" t="s">
        <v>64</v>
      </c>
      <c r="AT1842" s="3" t="s">
        <v>64</v>
      </c>
      <c r="AV1842" s="6" t="str">
        <f>HYPERLINK("http://mcgill.on.worldcat.org/oclc/496964524","Catalog Record")</f>
        <v>Catalog Record</v>
      </c>
      <c r="AW1842" s="6" t="str">
        <f>HYPERLINK("http://www.worldcat.org/oclc/496964524","WorldCat Record")</f>
        <v>WorldCat Record</v>
      </c>
      <c r="AX1842" s="3" t="s">
        <v>19127</v>
      </c>
      <c r="AY1842" s="3" t="s">
        <v>19128</v>
      </c>
      <c r="AZ1842" s="3" t="s">
        <v>19129</v>
      </c>
      <c r="BA1842" s="3" t="s">
        <v>19129</v>
      </c>
      <c r="BB1842" s="3" t="s">
        <v>19130</v>
      </c>
      <c r="BC1842" s="3" t="s">
        <v>78</v>
      </c>
      <c r="BD1842" s="3" t="s">
        <v>79</v>
      </c>
      <c r="BE1842" s="3" t="s">
        <v>19131</v>
      </c>
      <c r="BF1842" s="3" t="s">
        <v>19130</v>
      </c>
      <c r="BG1842" s="3" t="s">
        <v>19132</v>
      </c>
    </row>
    <row r="1843" spans="1:59" ht="58" x14ac:dyDescent="0.35">
      <c r="A1843" s="2" t="s">
        <v>59</v>
      </c>
      <c r="B1843" s="2" t="s">
        <v>94</v>
      </c>
      <c r="C1843" s="2" t="s">
        <v>19133</v>
      </c>
      <c r="D1843" s="2" t="s">
        <v>19134</v>
      </c>
      <c r="E1843" s="2" t="s">
        <v>19135</v>
      </c>
      <c r="G1843" s="3" t="s">
        <v>64</v>
      </c>
      <c r="I1843" s="3" t="s">
        <v>64</v>
      </c>
      <c r="J1843" s="3" t="s">
        <v>64</v>
      </c>
      <c r="K1843" s="3" t="s">
        <v>65</v>
      </c>
      <c r="L1843" s="2" t="s">
        <v>11415</v>
      </c>
      <c r="M1843" s="2" t="s">
        <v>5066</v>
      </c>
      <c r="N1843" s="3" t="s">
        <v>175</v>
      </c>
      <c r="P1843" s="3" t="s">
        <v>69</v>
      </c>
      <c r="Q1843" s="2" t="s">
        <v>7262</v>
      </c>
      <c r="R1843" s="3" t="s">
        <v>16939</v>
      </c>
      <c r="S1843" s="4">
        <v>0</v>
      </c>
      <c r="T1843" s="4">
        <v>0</v>
      </c>
      <c r="W1843" s="5" t="s">
        <v>72</v>
      </c>
      <c r="X1843" s="5" t="s">
        <v>72</v>
      </c>
      <c r="Y1843" s="4">
        <v>58</v>
      </c>
      <c r="Z1843" s="4">
        <v>3</v>
      </c>
      <c r="AA1843" s="4">
        <v>4</v>
      </c>
      <c r="AB1843" s="4">
        <v>1</v>
      </c>
      <c r="AC1843" s="4">
        <v>1</v>
      </c>
      <c r="AD1843" s="4">
        <v>40</v>
      </c>
      <c r="AE1843" s="4">
        <v>46</v>
      </c>
      <c r="AF1843" s="4">
        <v>0</v>
      </c>
      <c r="AG1843" s="4">
        <v>0</v>
      </c>
      <c r="AH1843" s="4">
        <v>39</v>
      </c>
      <c r="AI1843" s="4">
        <v>44</v>
      </c>
      <c r="AJ1843" s="4">
        <v>2</v>
      </c>
      <c r="AK1843" s="4">
        <v>3</v>
      </c>
      <c r="AL1843" s="4">
        <v>22</v>
      </c>
      <c r="AM1843" s="4">
        <v>26</v>
      </c>
      <c r="AN1843" s="4">
        <v>0</v>
      </c>
      <c r="AO1843" s="4">
        <v>0</v>
      </c>
      <c r="AP1843" s="4">
        <v>2</v>
      </c>
      <c r="AQ1843" s="4">
        <v>3</v>
      </c>
      <c r="AR1843" s="3" t="s">
        <v>64</v>
      </c>
      <c r="AS1843" s="3" t="s">
        <v>64</v>
      </c>
      <c r="AT1843" s="3" t="s">
        <v>64</v>
      </c>
      <c r="AV1843" s="6" t="str">
        <f>HYPERLINK("http://mcgill.on.worldcat.org/oclc/880565129","Catalog Record")</f>
        <v>Catalog Record</v>
      </c>
      <c r="AW1843" s="6" t="str">
        <f>HYPERLINK("http://www.worldcat.org/oclc/880565129","WorldCat Record")</f>
        <v>WorldCat Record</v>
      </c>
      <c r="AX1843" s="3" t="s">
        <v>19136</v>
      </c>
      <c r="AY1843" s="3" t="s">
        <v>19137</v>
      </c>
      <c r="AZ1843" s="3" t="s">
        <v>19138</v>
      </c>
      <c r="BA1843" s="3" t="s">
        <v>19138</v>
      </c>
      <c r="BB1843" s="3" t="s">
        <v>19139</v>
      </c>
      <c r="BC1843" s="3" t="s">
        <v>78</v>
      </c>
      <c r="BD1843" s="3" t="s">
        <v>79</v>
      </c>
      <c r="BE1843" s="3" t="s">
        <v>19140</v>
      </c>
      <c r="BF1843" s="3" t="s">
        <v>19139</v>
      </c>
      <c r="BG1843" s="3" t="s">
        <v>19141</v>
      </c>
    </row>
    <row r="1844" spans="1:59" ht="58" x14ac:dyDescent="0.35">
      <c r="A1844" s="2" t="s">
        <v>59</v>
      </c>
      <c r="B1844" s="2" t="s">
        <v>94</v>
      </c>
      <c r="C1844" s="2" t="s">
        <v>19142</v>
      </c>
      <c r="D1844" s="2" t="s">
        <v>19143</v>
      </c>
      <c r="E1844" s="2" t="s">
        <v>19144</v>
      </c>
      <c r="G1844" s="3" t="s">
        <v>64</v>
      </c>
      <c r="I1844" s="3" t="s">
        <v>64</v>
      </c>
      <c r="J1844" s="3" t="s">
        <v>64</v>
      </c>
      <c r="K1844" s="3" t="s">
        <v>65</v>
      </c>
      <c r="L1844" s="2" t="s">
        <v>19145</v>
      </c>
      <c r="M1844" s="2" t="s">
        <v>19146</v>
      </c>
      <c r="N1844" s="3" t="s">
        <v>328</v>
      </c>
      <c r="P1844" s="3" t="s">
        <v>69</v>
      </c>
      <c r="R1844" s="3" t="s">
        <v>16939</v>
      </c>
      <c r="S1844" s="4">
        <v>0</v>
      </c>
      <c r="T1844" s="4">
        <v>0</v>
      </c>
      <c r="W1844" s="5" t="s">
        <v>72</v>
      </c>
      <c r="X1844" s="5" t="s">
        <v>72</v>
      </c>
      <c r="Y1844" s="4">
        <v>48</v>
      </c>
      <c r="Z1844" s="4">
        <v>36</v>
      </c>
      <c r="AA1844" s="4">
        <v>53</v>
      </c>
      <c r="AB1844" s="4">
        <v>2</v>
      </c>
      <c r="AC1844" s="4">
        <v>7</v>
      </c>
      <c r="AD1844" s="4">
        <v>12</v>
      </c>
      <c r="AE1844" s="4">
        <v>21</v>
      </c>
      <c r="AF1844" s="4">
        <v>0</v>
      </c>
      <c r="AG1844" s="4">
        <v>3</v>
      </c>
      <c r="AH1844" s="4">
        <v>8</v>
      </c>
      <c r="AI1844" s="4">
        <v>10</v>
      </c>
      <c r="AJ1844" s="4">
        <v>8</v>
      </c>
      <c r="AK1844" s="4">
        <v>12</v>
      </c>
      <c r="AL1844" s="4">
        <v>4</v>
      </c>
      <c r="AM1844" s="4">
        <v>5</v>
      </c>
      <c r="AN1844" s="4">
        <v>0</v>
      </c>
      <c r="AO1844" s="4">
        <v>0</v>
      </c>
      <c r="AP1844" s="4">
        <v>6</v>
      </c>
      <c r="AQ1844" s="4">
        <v>14</v>
      </c>
      <c r="AR1844" s="3" t="s">
        <v>73</v>
      </c>
      <c r="AS1844" s="3" t="s">
        <v>64</v>
      </c>
      <c r="AT1844" s="3" t="s">
        <v>64</v>
      </c>
      <c r="AV1844" s="6" t="str">
        <f>HYPERLINK("http://mcgill.on.worldcat.org/oclc/711936571","Catalog Record")</f>
        <v>Catalog Record</v>
      </c>
      <c r="AW1844" s="6" t="str">
        <f>HYPERLINK("http://www.worldcat.org/oclc/711936571","WorldCat Record")</f>
        <v>WorldCat Record</v>
      </c>
      <c r="AX1844" s="3" t="s">
        <v>19147</v>
      </c>
      <c r="AY1844" s="3" t="s">
        <v>19148</v>
      </c>
      <c r="AZ1844" s="3" t="s">
        <v>19149</v>
      </c>
      <c r="BA1844" s="3" t="s">
        <v>19149</v>
      </c>
      <c r="BB1844" s="3" t="s">
        <v>19150</v>
      </c>
      <c r="BC1844" s="3" t="s">
        <v>78</v>
      </c>
      <c r="BD1844" s="3" t="s">
        <v>79</v>
      </c>
      <c r="BE1844" s="3" t="s">
        <v>19151</v>
      </c>
      <c r="BF1844" s="3" t="s">
        <v>19150</v>
      </c>
      <c r="BG1844" s="3" t="s">
        <v>19152</v>
      </c>
    </row>
    <row r="1845" spans="1:59" ht="58" x14ac:dyDescent="0.35">
      <c r="A1845" s="2" t="s">
        <v>59</v>
      </c>
      <c r="B1845" s="2" t="s">
        <v>94</v>
      </c>
      <c r="C1845" s="2" t="s">
        <v>19153</v>
      </c>
      <c r="D1845" s="2" t="s">
        <v>19154</v>
      </c>
      <c r="E1845" s="2" t="s">
        <v>19155</v>
      </c>
      <c r="G1845" s="3" t="s">
        <v>64</v>
      </c>
      <c r="I1845" s="3" t="s">
        <v>64</v>
      </c>
      <c r="J1845" s="3" t="s">
        <v>73</v>
      </c>
      <c r="K1845" s="3" t="s">
        <v>65</v>
      </c>
      <c r="L1845" s="2" t="s">
        <v>19156</v>
      </c>
      <c r="M1845" s="2" t="s">
        <v>19157</v>
      </c>
      <c r="N1845" s="3" t="s">
        <v>2362</v>
      </c>
      <c r="P1845" s="3" t="s">
        <v>69</v>
      </c>
      <c r="R1845" s="3" t="s">
        <v>16939</v>
      </c>
      <c r="S1845" s="4">
        <v>8</v>
      </c>
      <c r="T1845" s="4">
        <v>8</v>
      </c>
      <c r="U1845" s="5" t="s">
        <v>14243</v>
      </c>
      <c r="V1845" s="5" t="s">
        <v>14243</v>
      </c>
      <c r="W1845" s="5" t="s">
        <v>72</v>
      </c>
      <c r="X1845" s="5" t="s">
        <v>72</v>
      </c>
      <c r="Y1845" s="4">
        <v>121</v>
      </c>
      <c r="Z1845" s="4">
        <v>18</v>
      </c>
      <c r="AA1845" s="4">
        <v>23</v>
      </c>
      <c r="AB1845" s="4">
        <v>1</v>
      </c>
      <c r="AC1845" s="4">
        <v>2</v>
      </c>
      <c r="AD1845" s="4">
        <v>36</v>
      </c>
      <c r="AE1845" s="4">
        <v>50</v>
      </c>
      <c r="AF1845" s="4">
        <v>0</v>
      </c>
      <c r="AG1845" s="4">
        <v>0</v>
      </c>
      <c r="AH1845" s="4">
        <v>28</v>
      </c>
      <c r="AI1845" s="4">
        <v>41</v>
      </c>
      <c r="AJ1845" s="4">
        <v>12</v>
      </c>
      <c r="AK1845" s="4">
        <v>13</v>
      </c>
      <c r="AL1845" s="4">
        <v>18</v>
      </c>
      <c r="AM1845" s="4">
        <v>26</v>
      </c>
      <c r="AN1845" s="4">
        <v>0</v>
      </c>
      <c r="AO1845" s="4">
        <v>0</v>
      </c>
      <c r="AP1845" s="4">
        <v>11</v>
      </c>
      <c r="AQ1845" s="4">
        <v>13</v>
      </c>
      <c r="AR1845" s="3" t="s">
        <v>64</v>
      </c>
      <c r="AS1845" s="3" t="s">
        <v>64</v>
      </c>
      <c r="AT1845" s="3" t="s">
        <v>64</v>
      </c>
      <c r="AV1845" s="6" t="str">
        <f>HYPERLINK("http://mcgill.on.worldcat.org/oclc/956944","Catalog Record")</f>
        <v>Catalog Record</v>
      </c>
      <c r="AW1845" s="6" t="str">
        <f>HYPERLINK("http://www.worldcat.org/oclc/956944","WorldCat Record")</f>
        <v>WorldCat Record</v>
      </c>
      <c r="AX1845" s="3" t="s">
        <v>19158</v>
      </c>
      <c r="AY1845" s="3" t="s">
        <v>19159</v>
      </c>
      <c r="AZ1845" s="3" t="s">
        <v>19160</v>
      </c>
      <c r="BA1845" s="3" t="s">
        <v>19160</v>
      </c>
      <c r="BB1845" s="3" t="s">
        <v>19161</v>
      </c>
      <c r="BC1845" s="3" t="s">
        <v>78</v>
      </c>
      <c r="BD1845" s="3" t="s">
        <v>79</v>
      </c>
      <c r="BF1845" s="3" t="s">
        <v>19161</v>
      </c>
      <c r="BG1845" s="3" t="s">
        <v>19162</v>
      </c>
    </row>
    <row r="1846" spans="1:59" ht="58" x14ac:dyDescent="0.35">
      <c r="A1846" s="2" t="s">
        <v>59</v>
      </c>
      <c r="B1846" s="2" t="s">
        <v>94</v>
      </c>
      <c r="C1846" s="2" t="s">
        <v>19163</v>
      </c>
      <c r="D1846" s="2" t="s">
        <v>19164</v>
      </c>
      <c r="E1846" s="2" t="s">
        <v>19165</v>
      </c>
      <c r="G1846" s="3" t="s">
        <v>64</v>
      </c>
      <c r="I1846" s="3" t="s">
        <v>64</v>
      </c>
      <c r="J1846" s="3" t="s">
        <v>73</v>
      </c>
      <c r="K1846" s="3" t="s">
        <v>65</v>
      </c>
      <c r="L1846" s="2" t="s">
        <v>19156</v>
      </c>
      <c r="M1846" s="2" t="s">
        <v>19166</v>
      </c>
      <c r="N1846" s="3" t="s">
        <v>365</v>
      </c>
      <c r="O1846" s="2" t="s">
        <v>6385</v>
      </c>
      <c r="P1846" s="3" t="s">
        <v>69</v>
      </c>
      <c r="R1846" s="3" t="s">
        <v>16939</v>
      </c>
      <c r="S1846" s="4">
        <v>5</v>
      </c>
      <c r="T1846" s="4">
        <v>5</v>
      </c>
      <c r="U1846" s="5" t="s">
        <v>3214</v>
      </c>
      <c r="V1846" s="5" t="s">
        <v>3214</v>
      </c>
      <c r="W1846" s="5" t="s">
        <v>72</v>
      </c>
      <c r="X1846" s="5" t="s">
        <v>72</v>
      </c>
      <c r="Y1846" s="4">
        <v>51</v>
      </c>
      <c r="Z1846" s="4">
        <v>4</v>
      </c>
      <c r="AA1846" s="4">
        <v>23</v>
      </c>
      <c r="AB1846" s="4">
        <v>2</v>
      </c>
      <c r="AC1846" s="4">
        <v>2</v>
      </c>
      <c r="AD1846" s="4">
        <v>15</v>
      </c>
      <c r="AE1846" s="4">
        <v>50</v>
      </c>
      <c r="AF1846" s="4">
        <v>0</v>
      </c>
      <c r="AG1846" s="4">
        <v>0</v>
      </c>
      <c r="AH1846" s="4">
        <v>15</v>
      </c>
      <c r="AI1846" s="4">
        <v>41</v>
      </c>
      <c r="AJ1846" s="4">
        <v>0</v>
      </c>
      <c r="AK1846" s="4">
        <v>13</v>
      </c>
      <c r="AL1846" s="4">
        <v>11</v>
      </c>
      <c r="AM1846" s="4">
        <v>26</v>
      </c>
      <c r="AN1846" s="4">
        <v>0</v>
      </c>
      <c r="AO1846" s="4">
        <v>0</v>
      </c>
      <c r="AP1846" s="4">
        <v>0</v>
      </c>
      <c r="AQ1846" s="4">
        <v>13</v>
      </c>
      <c r="AR1846" s="3" t="s">
        <v>64</v>
      </c>
      <c r="AS1846" s="3" t="s">
        <v>64</v>
      </c>
      <c r="AT1846" s="3" t="s">
        <v>73</v>
      </c>
      <c r="AU1846" s="6" t="str">
        <f>HYPERLINK("http://catalog.hathitrust.org/Record/002621620","HathiTrust Record")</f>
        <v>HathiTrust Record</v>
      </c>
      <c r="AV1846" s="6" t="str">
        <f>HYPERLINK("http://mcgill.on.worldcat.org/oclc/11929221","Catalog Record")</f>
        <v>Catalog Record</v>
      </c>
      <c r="AW1846" s="6" t="str">
        <f>HYPERLINK("http://www.worldcat.org/oclc/11929221","WorldCat Record")</f>
        <v>WorldCat Record</v>
      </c>
      <c r="AX1846" s="3" t="s">
        <v>19158</v>
      </c>
      <c r="AY1846" s="3" t="s">
        <v>19167</v>
      </c>
      <c r="AZ1846" s="3" t="s">
        <v>19168</v>
      </c>
      <c r="BA1846" s="3" t="s">
        <v>19168</v>
      </c>
      <c r="BB1846" s="3" t="s">
        <v>19169</v>
      </c>
      <c r="BC1846" s="3" t="s">
        <v>78</v>
      </c>
      <c r="BD1846" s="3" t="s">
        <v>79</v>
      </c>
      <c r="BE1846" s="3" t="s">
        <v>19170</v>
      </c>
      <c r="BF1846" s="3" t="s">
        <v>19169</v>
      </c>
      <c r="BG1846" s="3" t="s">
        <v>19171</v>
      </c>
    </row>
    <row r="1847" spans="1:59" ht="72.5" x14ac:dyDescent="0.35">
      <c r="A1847" s="2" t="s">
        <v>59</v>
      </c>
      <c r="B1847" s="2" t="s">
        <v>94</v>
      </c>
      <c r="C1847" s="2" t="s">
        <v>19172</v>
      </c>
      <c r="D1847" s="2" t="s">
        <v>19173</v>
      </c>
      <c r="E1847" s="2" t="s">
        <v>19174</v>
      </c>
      <c r="G1847" s="3" t="s">
        <v>64</v>
      </c>
      <c r="I1847" s="3" t="s">
        <v>64</v>
      </c>
      <c r="J1847" s="3" t="s">
        <v>64</v>
      </c>
      <c r="K1847" s="3" t="s">
        <v>65</v>
      </c>
      <c r="M1847" s="2" t="s">
        <v>6832</v>
      </c>
      <c r="N1847" s="3" t="s">
        <v>377</v>
      </c>
      <c r="P1847" s="3" t="s">
        <v>69</v>
      </c>
      <c r="Q1847" s="2" t="s">
        <v>19175</v>
      </c>
      <c r="R1847" s="3" t="s">
        <v>16939</v>
      </c>
      <c r="S1847" s="4">
        <v>1</v>
      </c>
      <c r="T1847" s="4">
        <v>1</v>
      </c>
      <c r="U1847" s="5" t="s">
        <v>19176</v>
      </c>
      <c r="V1847" s="5" t="s">
        <v>19176</v>
      </c>
      <c r="W1847" s="5" t="s">
        <v>72</v>
      </c>
      <c r="X1847" s="5" t="s">
        <v>72</v>
      </c>
      <c r="Y1847" s="4">
        <v>76</v>
      </c>
      <c r="Z1847" s="4">
        <v>6</v>
      </c>
      <c r="AA1847" s="4">
        <v>7</v>
      </c>
      <c r="AB1847" s="4">
        <v>1</v>
      </c>
      <c r="AC1847" s="4">
        <v>1</v>
      </c>
      <c r="AD1847" s="4">
        <v>47</v>
      </c>
      <c r="AE1847" s="4">
        <v>52</v>
      </c>
      <c r="AF1847" s="4">
        <v>0</v>
      </c>
      <c r="AG1847" s="4">
        <v>0</v>
      </c>
      <c r="AH1847" s="4">
        <v>46</v>
      </c>
      <c r="AI1847" s="4">
        <v>50</v>
      </c>
      <c r="AJ1847" s="4">
        <v>4</v>
      </c>
      <c r="AK1847" s="4">
        <v>5</v>
      </c>
      <c r="AL1847" s="4">
        <v>27</v>
      </c>
      <c r="AM1847" s="4">
        <v>29</v>
      </c>
      <c r="AN1847" s="4">
        <v>0</v>
      </c>
      <c r="AO1847" s="4">
        <v>0</v>
      </c>
      <c r="AP1847" s="4">
        <v>4</v>
      </c>
      <c r="AQ1847" s="4">
        <v>5</v>
      </c>
      <c r="AR1847" s="3" t="s">
        <v>64</v>
      </c>
      <c r="AS1847" s="3" t="s">
        <v>64</v>
      </c>
      <c r="AT1847" s="3" t="s">
        <v>64</v>
      </c>
      <c r="AV1847" s="6" t="str">
        <f>HYPERLINK("http://mcgill.on.worldcat.org/oclc/800721050","Catalog Record")</f>
        <v>Catalog Record</v>
      </c>
      <c r="AW1847" s="6" t="str">
        <f>HYPERLINK("http://www.worldcat.org/oclc/800721050","WorldCat Record")</f>
        <v>WorldCat Record</v>
      </c>
      <c r="AX1847" s="3" t="s">
        <v>19177</v>
      </c>
      <c r="AY1847" s="3" t="s">
        <v>19178</v>
      </c>
      <c r="AZ1847" s="3" t="s">
        <v>19179</v>
      </c>
      <c r="BA1847" s="3" t="s">
        <v>19179</v>
      </c>
      <c r="BB1847" s="3" t="s">
        <v>19180</v>
      </c>
      <c r="BC1847" s="3" t="s">
        <v>78</v>
      </c>
      <c r="BD1847" s="3" t="s">
        <v>79</v>
      </c>
      <c r="BE1847" s="3" t="s">
        <v>19181</v>
      </c>
      <c r="BF1847" s="3" t="s">
        <v>19180</v>
      </c>
      <c r="BG1847" s="3" t="s">
        <v>19182</v>
      </c>
    </row>
    <row r="1848" spans="1:59" ht="72.5" x14ac:dyDescent="0.35">
      <c r="A1848" s="2" t="s">
        <v>59</v>
      </c>
      <c r="B1848" s="2" t="s">
        <v>94</v>
      </c>
      <c r="C1848" s="2" t="s">
        <v>19183</v>
      </c>
      <c r="D1848" s="2" t="s">
        <v>19184</v>
      </c>
      <c r="E1848" s="2" t="s">
        <v>19185</v>
      </c>
      <c r="G1848" s="3" t="s">
        <v>64</v>
      </c>
      <c r="I1848" s="3" t="s">
        <v>64</v>
      </c>
      <c r="J1848" s="3" t="s">
        <v>64</v>
      </c>
      <c r="K1848" s="3" t="s">
        <v>65</v>
      </c>
      <c r="L1848" s="2" t="s">
        <v>19186</v>
      </c>
      <c r="M1848" s="2" t="s">
        <v>7296</v>
      </c>
      <c r="N1848" s="3" t="s">
        <v>175</v>
      </c>
      <c r="P1848" s="3" t="s">
        <v>69</v>
      </c>
      <c r="R1848" s="3" t="s">
        <v>16939</v>
      </c>
      <c r="S1848" s="4">
        <v>0</v>
      </c>
      <c r="T1848" s="4">
        <v>0</v>
      </c>
      <c r="W1848" s="5" t="s">
        <v>72</v>
      </c>
      <c r="X1848" s="5" t="s">
        <v>72</v>
      </c>
      <c r="Y1848" s="4">
        <v>64</v>
      </c>
      <c r="Z1848" s="4">
        <v>2</v>
      </c>
      <c r="AA1848" s="4">
        <v>32</v>
      </c>
      <c r="AB1848" s="4">
        <v>1</v>
      </c>
      <c r="AC1848" s="4">
        <v>6</v>
      </c>
      <c r="AD1848" s="4">
        <v>40</v>
      </c>
      <c r="AE1848" s="4">
        <v>93</v>
      </c>
      <c r="AF1848" s="4">
        <v>0</v>
      </c>
      <c r="AG1848" s="4">
        <v>2</v>
      </c>
      <c r="AH1848" s="4">
        <v>39</v>
      </c>
      <c r="AI1848" s="4">
        <v>76</v>
      </c>
      <c r="AJ1848" s="4">
        <v>1</v>
      </c>
      <c r="AK1848" s="4">
        <v>13</v>
      </c>
      <c r="AL1848" s="4">
        <v>23</v>
      </c>
      <c r="AM1848" s="4">
        <v>41</v>
      </c>
      <c r="AN1848" s="4">
        <v>0</v>
      </c>
      <c r="AO1848" s="4">
        <v>0</v>
      </c>
      <c r="AP1848" s="4">
        <v>1</v>
      </c>
      <c r="AQ1848" s="4">
        <v>23</v>
      </c>
      <c r="AR1848" s="3" t="s">
        <v>64</v>
      </c>
      <c r="AS1848" s="3" t="s">
        <v>64</v>
      </c>
      <c r="AT1848" s="3" t="s">
        <v>64</v>
      </c>
      <c r="AV1848" s="6" t="str">
        <f>HYPERLINK("http://mcgill.on.worldcat.org/oclc/878836328","Catalog Record")</f>
        <v>Catalog Record</v>
      </c>
      <c r="AW1848" s="6" t="str">
        <f>HYPERLINK("http://www.worldcat.org/oclc/878836328","WorldCat Record")</f>
        <v>WorldCat Record</v>
      </c>
      <c r="AX1848" s="3" t="s">
        <v>19187</v>
      </c>
      <c r="AY1848" s="3" t="s">
        <v>19188</v>
      </c>
      <c r="AZ1848" s="3" t="s">
        <v>19189</v>
      </c>
      <c r="BA1848" s="3" t="s">
        <v>19189</v>
      </c>
      <c r="BB1848" s="3" t="s">
        <v>19190</v>
      </c>
      <c r="BC1848" s="3" t="s">
        <v>78</v>
      </c>
      <c r="BD1848" s="3" t="s">
        <v>79</v>
      </c>
      <c r="BE1848" s="3" t="s">
        <v>19191</v>
      </c>
      <c r="BF1848" s="3" t="s">
        <v>19190</v>
      </c>
      <c r="BG1848" s="3" t="s">
        <v>19192</v>
      </c>
    </row>
    <row r="1849" spans="1:59" ht="58" x14ac:dyDescent="0.35">
      <c r="A1849" s="2" t="s">
        <v>59</v>
      </c>
      <c r="B1849" s="2" t="s">
        <v>94</v>
      </c>
      <c r="C1849" s="2" t="s">
        <v>19193</v>
      </c>
      <c r="D1849" s="2" t="s">
        <v>19194</v>
      </c>
      <c r="E1849" s="2" t="s">
        <v>19195</v>
      </c>
      <c r="G1849" s="3" t="s">
        <v>64</v>
      </c>
      <c r="I1849" s="3" t="s">
        <v>64</v>
      </c>
      <c r="J1849" s="3" t="s">
        <v>64</v>
      </c>
      <c r="K1849" s="3" t="s">
        <v>65</v>
      </c>
      <c r="M1849" s="2" t="s">
        <v>19196</v>
      </c>
      <c r="N1849" s="3" t="s">
        <v>328</v>
      </c>
      <c r="O1849" s="2" t="s">
        <v>1294</v>
      </c>
      <c r="P1849" s="3" t="s">
        <v>69</v>
      </c>
      <c r="Q1849" s="2" t="s">
        <v>19197</v>
      </c>
      <c r="R1849" s="3" t="s">
        <v>16939</v>
      </c>
      <c r="S1849" s="4">
        <v>4</v>
      </c>
      <c r="T1849" s="4">
        <v>4</v>
      </c>
      <c r="U1849" s="5" t="s">
        <v>19198</v>
      </c>
      <c r="V1849" s="5" t="s">
        <v>19198</v>
      </c>
      <c r="W1849" s="5" t="s">
        <v>72</v>
      </c>
      <c r="X1849" s="5" t="s">
        <v>72</v>
      </c>
      <c r="Y1849" s="4">
        <v>149</v>
      </c>
      <c r="Z1849" s="4">
        <v>8</v>
      </c>
      <c r="AA1849" s="4">
        <v>15</v>
      </c>
      <c r="AB1849" s="4">
        <v>2</v>
      </c>
      <c r="AC1849" s="4">
        <v>7</v>
      </c>
      <c r="AD1849" s="4">
        <v>32</v>
      </c>
      <c r="AE1849" s="4">
        <v>51</v>
      </c>
      <c r="AF1849" s="4">
        <v>1</v>
      </c>
      <c r="AG1849" s="4">
        <v>3</v>
      </c>
      <c r="AH1849" s="4">
        <v>29</v>
      </c>
      <c r="AI1849" s="4">
        <v>46</v>
      </c>
      <c r="AJ1849" s="4">
        <v>6</v>
      </c>
      <c r="AK1849" s="4">
        <v>8</v>
      </c>
      <c r="AL1849" s="4">
        <v>13</v>
      </c>
      <c r="AM1849" s="4">
        <v>21</v>
      </c>
      <c r="AN1849" s="4">
        <v>0</v>
      </c>
      <c r="AO1849" s="4">
        <v>0</v>
      </c>
      <c r="AP1849" s="4">
        <v>6</v>
      </c>
      <c r="AQ1849" s="4">
        <v>9</v>
      </c>
      <c r="AR1849" s="3" t="s">
        <v>64</v>
      </c>
      <c r="AS1849" s="3" t="s">
        <v>64</v>
      </c>
      <c r="AT1849" s="3" t="s">
        <v>64</v>
      </c>
      <c r="AV1849" s="6" t="str">
        <f>HYPERLINK("http://mcgill.on.worldcat.org/oclc/277195932","Catalog Record")</f>
        <v>Catalog Record</v>
      </c>
      <c r="AW1849" s="6" t="str">
        <f>HYPERLINK("http://www.worldcat.org/oclc/277195932","WorldCat Record")</f>
        <v>WorldCat Record</v>
      </c>
      <c r="AX1849" s="3" t="s">
        <v>19199</v>
      </c>
      <c r="AY1849" s="3" t="s">
        <v>19200</v>
      </c>
      <c r="AZ1849" s="3" t="s">
        <v>19201</v>
      </c>
      <c r="BA1849" s="3" t="s">
        <v>19201</v>
      </c>
      <c r="BB1849" s="3" t="s">
        <v>19202</v>
      </c>
      <c r="BC1849" s="3" t="s">
        <v>78</v>
      </c>
      <c r="BD1849" s="3" t="s">
        <v>79</v>
      </c>
      <c r="BE1849" s="3" t="s">
        <v>19203</v>
      </c>
      <c r="BF1849" s="3" t="s">
        <v>19202</v>
      </c>
      <c r="BG1849" s="3" t="s">
        <v>19204</v>
      </c>
    </row>
    <row r="1850" spans="1:59" ht="58" x14ac:dyDescent="0.35">
      <c r="A1850" s="2" t="s">
        <v>59</v>
      </c>
      <c r="B1850" s="2" t="s">
        <v>94</v>
      </c>
      <c r="C1850" s="2" t="s">
        <v>19205</v>
      </c>
      <c r="D1850" s="2" t="s">
        <v>19206</v>
      </c>
      <c r="E1850" s="2" t="s">
        <v>19207</v>
      </c>
      <c r="G1850" s="3" t="s">
        <v>64</v>
      </c>
      <c r="I1850" s="3" t="s">
        <v>64</v>
      </c>
      <c r="J1850" s="3" t="s">
        <v>64</v>
      </c>
      <c r="K1850" s="3" t="s">
        <v>65</v>
      </c>
      <c r="L1850" s="2" t="s">
        <v>19208</v>
      </c>
      <c r="M1850" s="2" t="s">
        <v>19209</v>
      </c>
      <c r="N1850" s="3" t="s">
        <v>377</v>
      </c>
      <c r="O1850" s="2" t="s">
        <v>1294</v>
      </c>
      <c r="P1850" s="3" t="s">
        <v>69</v>
      </c>
      <c r="Q1850" s="2" t="s">
        <v>19210</v>
      </c>
      <c r="R1850" s="3" t="s">
        <v>16939</v>
      </c>
      <c r="S1850" s="4">
        <v>3</v>
      </c>
      <c r="T1850" s="4">
        <v>3</v>
      </c>
      <c r="U1850" s="5" t="s">
        <v>19211</v>
      </c>
      <c r="V1850" s="5" t="s">
        <v>19211</v>
      </c>
      <c r="W1850" s="5" t="s">
        <v>72</v>
      </c>
      <c r="X1850" s="5" t="s">
        <v>72</v>
      </c>
      <c r="Y1850" s="4">
        <v>112</v>
      </c>
      <c r="Z1850" s="4">
        <v>4</v>
      </c>
      <c r="AA1850" s="4">
        <v>97</v>
      </c>
      <c r="AB1850" s="4">
        <v>1</v>
      </c>
      <c r="AC1850" s="4">
        <v>15</v>
      </c>
      <c r="AD1850" s="4">
        <v>27</v>
      </c>
      <c r="AE1850" s="4">
        <v>104</v>
      </c>
      <c r="AF1850" s="4">
        <v>0</v>
      </c>
      <c r="AG1850" s="4">
        <v>8</v>
      </c>
      <c r="AH1850" s="4">
        <v>27</v>
      </c>
      <c r="AI1850" s="4">
        <v>68</v>
      </c>
      <c r="AJ1850" s="4">
        <v>2</v>
      </c>
      <c r="AK1850" s="4">
        <v>19</v>
      </c>
      <c r="AL1850" s="4">
        <v>14</v>
      </c>
      <c r="AM1850" s="4">
        <v>31</v>
      </c>
      <c r="AN1850" s="4">
        <v>0</v>
      </c>
      <c r="AO1850" s="4">
        <v>0</v>
      </c>
      <c r="AP1850" s="4">
        <v>2</v>
      </c>
      <c r="AQ1850" s="4">
        <v>41</v>
      </c>
      <c r="AR1850" s="3" t="s">
        <v>64</v>
      </c>
      <c r="AS1850" s="3" t="s">
        <v>64</v>
      </c>
      <c r="AT1850" s="3" t="s">
        <v>64</v>
      </c>
      <c r="AV1850" s="6" t="str">
        <f>HYPERLINK("http://mcgill.on.worldcat.org/oclc/703208879","Catalog Record")</f>
        <v>Catalog Record</v>
      </c>
      <c r="AW1850" s="6" t="str">
        <f>HYPERLINK("http://www.worldcat.org/oclc/703208879","WorldCat Record")</f>
        <v>WorldCat Record</v>
      </c>
      <c r="AX1850" s="3" t="s">
        <v>19212</v>
      </c>
      <c r="AY1850" s="3" t="s">
        <v>19213</v>
      </c>
      <c r="AZ1850" s="3" t="s">
        <v>19214</v>
      </c>
      <c r="BA1850" s="3" t="s">
        <v>19214</v>
      </c>
      <c r="BB1850" s="3" t="s">
        <v>19215</v>
      </c>
      <c r="BC1850" s="3" t="s">
        <v>78</v>
      </c>
      <c r="BD1850" s="3" t="s">
        <v>79</v>
      </c>
      <c r="BE1850" s="3" t="s">
        <v>19216</v>
      </c>
      <c r="BF1850" s="3" t="s">
        <v>19215</v>
      </c>
      <c r="BG1850" s="3" t="s">
        <v>19217</v>
      </c>
    </row>
    <row r="1851" spans="1:59" ht="58" x14ac:dyDescent="0.35">
      <c r="A1851" s="2" t="s">
        <v>59</v>
      </c>
      <c r="B1851" s="2" t="s">
        <v>94</v>
      </c>
      <c r="C1851" s="2" t="s">
        <v>19218</v>
      </c>
      <c r="D1851" s="2" t="s">
        <v>19219</v>
      </c>
      <c r="E1851" s="2" t="s">
        <v>19220</v>
      </c>
      <c r="G1851" s="3" t="s">
        <v>64</v>
      </c>
      <c r="I1851" s="3" t="s">
        <v>64</v>
      </c>
      <c r="J1851" s="3" t="s">
        <v>64</v>
      </c>
      <c r="K1851" s="3" t="s">
        <v>65</v>
      </c>
      <c r="L1851" s="2" t="s">
        <v>19221</v>
      </c>
      <c r="M1851" s="2" t="s">
        <v>19222</v>
      </c>
      <c r="N1851" s="3" t="s">
        <v>214</v>
      </c>
      <c r="P1851" s="3" t="s">
        <v>69</v>
      </c>
      <c r="R1851" s="3" t="s">
        <v>16939</v>
      </c>
      <c r="S1851" s="4">
        <v>0</v>
      </c>
      <c r="T1851" s="4">
        <v>0</v>
      </c>
      <c r="W1851" s="5" t="s">
        <v>72</v>
      </c>
      <c r="X1851" s="5" t="s">
        <v>72</v>
      </c>
      <c r="Y1851" s="4">
        <v>98</v>
      </c>
      <c r="Z1851" s="4">
        <v>5</v>
      </c>
      <c r="AA1851" s="4">
        <v>11</v>
      </c>
      <c r="AB1851" s="4">
        <v>1</v>
      </c>
      <c r="AC1851" s="4">
        <v>1</v>
      </c>
      <c r="AD1851" s="4">
        <v>50</v>
      </c>
      <c r="AE1851" s="4">
        <v>60</v>
      </c>
      <c r="AF1851" s="4">
        <v>0</v>
      </c>
      <c r="AG1851" s="4">
        <v>0</v>
      </c>
      <c r="AH1851" s="4">
        <v>48</v>
      </c>
      <c r="AI1851" s="4">
        <v>56</v>
      </c>
      <c r="AJ1851" s="4">
        <v>3</v>
      </c>
      <c r="AK1851" s="4">
        <v>8</v>
      </c>
      <c r="AL1851" s="4">
        <v>27</v>
      </c>
      <c r="AM1851" s="4">
        <v>29</v>
      </c>
      <c r="AN1851" s="4">
        <v>0</v>
      </c>
      <c r="AO1851" s="4">
        <v>0</v>
      </c>
      <c r="AP1851" s="4">
        <v>3</v>
      </c>
      <c r="AQ1851" s="4">
        <v>9</v>
      </c>
      <c r="AR1851" s="3" t="s">
        <v>64</v>
      </c>
      <c r="AS1851" s="3" t="s">
        <v>64</v>
      </c>
      <c r="AT1851" s="3" t="s">
        <v>64</v>
      </c>
      <c r="AV1851" s="6" t="str">
        <f>HYPERLINK("http://mcgill.on.worldcat.org/oclc/519835177","Catalog Record")</f>
        <v>Catalog Record</v>
      </c>
      <c r="AW1851" s="6" t="str">
        <f>HYPERLINK("http://www.worldcat.org/oclc/519835177","WorldCat Record")</f>
        <v>WorldCat Record</v>
      </c>
      <c r="AX1851" s="3" t="s">
        <v>19223</v>
      </c>
      <c r="AY1851" s="3" t="s">
        <v>19224</v>
      </c>
      <c r="AZ1851" s="3" t="s">
        <v>19225</v>
      </c>
      <c r="BA1851" s="3" t="s">
        <v>19225</v>
      </c>
      <c r="BB1851" s="3" t="s">
        <v>19226</v>
      </c>
      <c r="BC1851" s="3" t="s">
        <v>78</v>
      </c>
      <c r="BD1851" s="3" t="s">
        <v>79</v>
      </c>
      <c r="BE1851" s="3" t="s">
        <v>19227</v>
      </c>
      <c r="BF1851" s="3" t="s">
        <v>19226</v>
      </c>
      <c r="BG1851" s="3" t="s">
        <v>19228</v>
      </c>
    </row>
    <row r="1852" spans="1:59" ht="58" x14ac:dyDescent="0.35">
      <c r="A1852" s="2" t="s">
        <v>59</v>
      </c>
      <c r="B1852" s="2" t="s">
        <v>94</v>
      </c>
      <c r="C1852" s="2" t="s">
        <v>19229</v>
      </c>
      <c r="D1852" s="2" t="s">
        <v>19230</v>
      </c>
      <c r="E1852" s="2" t="s">
        <v>19231</v>
      </c>
      <c r="G1852" s="3" t="s">
        <v>64</v>
      </c>
      <c r="I1852" s="3" t="s">
        <v>64</v>
      </c>
      <c r="J1852" s="3" t="s">
        <v>64</v>
      </c>
      <c r="K1852" s="3" t="s">
        <v>65</v>
      </c>
      <c r="L1852" s="2" t="s">
        <v>19232</v>
      </c>
      <c r="M1852" s="2" t="s">
        <v>19233</v>
      </c>
      <c r="N1852" s="3" t="s">
        <v>377</v>
      </c>
      <c r="P1852" s="3" t="s">
        <v>69</v>
      </c>
      <c r="Q1852" s="2" t="s">
        <v>19234</v>
      </c>
      <c r="R1852" s="3" t="s">
        <v>16939</v>
      </c>
      <c r="S1852" s="4">
        <v>0</v>
      </c>
      <c r="T1852" s="4">
        <v>0</v>
      </c>
      <c r="W1852" s="5" t="s">
        <v>72</v>
      </c>
      <c r="X1852" s="5" t="s">
        <v>72</v>
      </c>
      <c r="Y1852" s="4">
        <v>97</v>
      </c>
      <c r="Z1852" s="4">
        <v>6</v>
      </c>
      <c r="AA1852" s="4">
        <v>69</v>
      </c>
      <c r="AB1852" s="4">
        <v>1</v>
      </c>
      <c r="AC1852" s="4">
        <v>8</v>
      </c>
      <c r="AD1852" s="4">
        <v>49</v>
      </c>
      <c r="AE1852" s="4">
        <v>113</v>
      </c>
      <c r="AF1852" s="4">
        <v>0</v>
      </c>
      <c r="AG1852" s="4">
        <v>2</v>
      </c>
      <c r="AH1852" s="4">
        <v>48</v>
      </c>
      <c r="AI1852" s="4">
        <v>87</v>
      </c>
      <c r="AJ1852" s="4">
        <v>4</v>
      </c>
      <c r="AK1852" s="4">
        <v>16</v>
      </c>
      <c r="AL1852" s="4">
        <v>25</v>
      </c>
      <c r="AM1852" s="4">
        <v>47</v>
      </c>
      <c r="AN1852" s="4">
        <v>0</v>
      </c>
      <c r="AO1852" s="4">
        <v>0</v>
      </c>
      <c r="AP1852" s="4">
        <v>4</v>
      </c>
      <c r="AQ1852" s="4">
        <v>32</v>
      </c>
      <c r="AR1852" s="3" t="s">
        <v>64</v>
      </c>
      <c r="AS1852" s="3" t="s">
        <v>64</v>
      </c>
      <c r="AT1852" s="3" t="s">
        <v>64</v>
      </c>
      <c r="AV1852" s="6" t="str">
        <f>HYPERLINK("http://mcgill.on.worldcat.org/oclc/800042998","Catalog Record")</f>
        <v>Catalog Record</v>
      </c>
      <c r="AW1852" s="6" t="str">
        <f>HYPERLINK("http://www.worldcat.org/oclc/800042998","WorldCat Record")</f>
        <v>WorldCat Record</v>
      </c>
      <c r="AX1852" s="3" t="s">
        <v>19235</v>
      </c>
      <c r="AY1852" s="3" t="s">
        <v>19236</v>
      </c>
      <c r="AZ1852" s="3" t="s">
        <v>19237</v>
      </c>
      <c r="BA1852" s="3" t="s">
        <v>19237</v>
      </c>
      <c r="BB1852" s="3" t="s">
        <v>19238</v>
      </c>
      <c r="BC1852" s="3" t="s">
        <v>78</v>
      </c>
      <c r="BD1852" s="3" t="s">
        <v>79</v>
      </c>
      <c r="BE1852" s="3" t="s">
        <v>19239</v>
      </c>
      <c r="BF1852" s="3" t="s">
        <v>19238</v>
      </c>
      <c r="BG1852" s="3" t="s">
        <v>19240</v>
      </c>
    </row>
    <row r="1853" spans="1:59" ht="58" x14ac:dyDescent="0.35">
      <c r="A1853" s="2" t="s">
        <v>59</v>
      </c>
      <c r="B1853" s="2" t="s">
        <v>94</v>
      </c>
      <c r="C1853" s="2" t="s">
        <v>19241</v>
      </c>
      <c r="D1853" s="2" t="s">
        <v>19242</v>
      </c>
      <c r="E1853" s="2" t="s">
        <v>19243</v>
      </c>
      <c r="G1853" s="3" t="s">
        <v>64</v>
      </c>
      <c r="I1853" s="3" t="s">
        <v>64</v>
      </c>
      <c r="J1853" s="3" t="s">
        <v>64</v>
      </c>
      <c r="K1853" s="3" t="s">
        <v>65</v>
      </c>
      <c r="M1853" s="2" t="s">
        <v>5100</v>
      </c>
      <c r="N1853" s="3" t="s">
        <v>328</v>
      </c>
      <c r="P1853" s="3" t="s">
        <v>69</v>
      </c>
      <c r="Q1853" s="2" t="s">
        <v>19244</v>
      </c>
      <c r="R1853" s="3" t="s">
        <v>16939</v>
      </c>
      <c r="S1853" s="4">
        <v>0</v>
      </c>
      <c r="T1853" s="4">
        <v>0</v>
      </c>
      <c r="W1853" s="5" t="s">
        <v>72</v>
      </c>
      <c r="X1853" s="5" t="s">
        <v>72</v>
      </c>
      <c r="Y1853" s="4">
        <v>96</v>
      </c>
      <c r="Z1853" s="4">
        <v>4</v>
      </c>
      <c r="AA1853" s="4">
        <v>7</v>
      </c>
      <c r="AB1853" s="4">
        <v>1</v>
      </c>
      <c r="AC1853" s="4">
        <v>1</v>
      </c>
      <c r="AD1853" s="4">
        <v>48</v>
      </c>
      <c r="AE1853" s="4">
        <v>53</v>
      </c>
      <c r="AF1853" s="4">
        <v>0</v>
      </c>
      <c r="AG1853" s="4">
        <v>0</v>
      </c>
      <c r="AH1853" s="4">
        <v>47</v>
      </c>
      <c r="AI1853" s="4">
        <v>52</v>
      </c>
      <c r="AJ1853" s="4">
        <v>2</v>
      </c>
      <c r="AK1853" s="4">
        <v>5</v>
      </c>
      <c r="AL1853" s="4">
        <v>28</v>
      </c>
      <c r="AM1853" s="4">
        <v>29</v>
      </c>
      <c r="AN1853" s="4">
        <v>0</v>
      </c>
      <c r="AO1853" s="4">
        <v>0</v>
      </c>
      <c r="AP1853" s="4">
        <v>2</v>
      </c>
      <c r="AQ1853" s="4">
        <v>5</v>
      </c>
      <c r="AR1853" s="3" t="s">
        <v>64</v>
      </c>
      <c r="AS1853" s="3" t="s">
        <v>64</v>
      </c>
      <c r="AT1853" s="3" t="s">
        <v>64</v>
      </c>
      <c r="AV1853" s="6" t="str">
        <f>HYPERLINK("http://mcgill.on.worldcat.org/oclc/751249440","Catalog Record")</f>
        <v>Catalog Record</v>
      </c>
      <c r="AW1853" s="6" t="str">
        <f>HYPERLINK("http://www.worldcat.org/oclc/751249440","WorldCat Record")</f>
        <v>WorldCat Record</v>
      </c>
      <c r="AX1853" s="3" t="s">
        <v>19245</v>
      </c>
      <c r="AY1853" s="3" t="s">
        <v>19246</v>
      </c>
      <c r="AZ1853" s="3" t="s">
        <v>19247</v>
      </c>
      <c r="BA1853" s="3" t="s">
        <v>19247</v>
      </c>
      <c r="BB1853" s="3" t="s">
        <v>19248</v>
      </c>
      <c r="BC1853" s="3" t="s">
        <v>78</v>
      </c>
      <c r="BD1853" s="3" t="s">
        <v>79</v>
      </c>
      <c r="BE1853" s="3" t="s">
        <v>19249</v>
      </c>
      <c r="BF1853" s="3" t="s">
        <v>19248</v>
      </c>
      <c r="BG1853" s="3" t="s">
        <v>19250</v>
      </c>
    </row>
    <row r="1854" spans="1:59" ht="101.5" x14ac:dyDescent="0.35">
      <c r="A1854" s="2" t="s">
        <v>59</v>
      </c>
      <c r="B1854" s="2" t="s">
        <v>94</v>
      </c>
      <c r="C1854" s="2" t="s">
        <v>19251</v>
      </c>
      <c r="D1854" s="2" t="s">
        <v>19252</v>
      </c>
      <c r="E1854" s="2" t="s">
        <v>19253</v>
      </c>
      <c r="G1854" s="3" t="s">
        <v>64</v>
      </c>
      <c r="I1854" s="3" t="s">
        <v>64</v>
      </c>
      <c r="J1854" s="3" t="s">
        <v>64</v>
      </c>
      <c r="K1854" s="3" t="s">
        <v>65</v>
      </c>
      <c r="L1854" s="2" t="s">
        <v>19254</v>
      </c>
      <c r="M1854" s="2" t="s">
        <v>19255</v>
      </c>
      <c r="N1854" s="3" t="s">
        <v>524</v>
      </c>
      <c r="P1854" s="3" t="s">
        <v>69</v>
      </c>
      <c r="Q1854" s="2" t="s">
        <v>11395</v>
      </c>
      <c r="R1854" s="3" t="s">
        <v>16939</v>
      </c>
      <c r="S1854" s="4">
        <v>0</v>
      </c>
      <c r="T1854" s="4">
        <v>0</v>
      </c>
      <c r="W1854" s="5" t="s">
        <v>72</v>
      </c>
      <c r="X1854" s="5" t="s">
        <v>72</v>
      </c>
      <c r="Y1854" s="4">
        <v>76</v>
      </c>
      <c r="Z1854" s="4">
        <v>4</v>
      </c>
      <c r="AA1854" s="4">
        <v>31</v>
      </c>
      <c r="AB1854" s="4">
        <v>1</v>
      </c>
      <c r="AC1854" s="4">
        <v>5</v>
      </c>
      <c r="AD1854" s="4">
        <v>45</v>
      </c>
      <c r="AE1854" s="4">
        <v>95</v>
      </c>
      <c r="AF1854" s="4">
        <v>0</v>
      </c>
      <c r="AG1854" s="4">
        <v>2</v>
      </c>
      <c r="AH1854" s="4">
        <v>44</v>
      </c>
      <c r="AI1854" s="4">
        <v>78</v>
      </c>
      <c r="AJ1854" s="4">
        <v>3</v>
      </c>
      <c r="AK1854" s="4">
        <v>13</v>
      </c>
      <c r="AL1854" s="4">
        <v>23</v>
      </c>
      <c r="AM1854" s="4">
        <v>42</v>
      </c>
      <c r="AN1854" s="4">
        <v>0</v>
      </c>
      <c r="AO1854" s="4">
        <v>0</v>
      </c>
      <c r="AP1854" s="4">
        <v>3</v>
      </c>
      <c r="AQ1854" s="4">
        <v>23</v>
      </c>
      <c r="AR1854" s="3" t="s">
        <v>64</v>
      </c>
      <c r="AS1854" s="3" t="s">
        <v>64</v>
      </c>
      <c r="AT1854" s="3" t="s">
        <v>64</v>
      </c>
      <c r="AV1854" s="6" t="str">
        <f>HYPERLINK("http://mcgill.on.worldcat.org/oclc/843026076","Catalog Record")</f>
        <v>Catalog Record</v>
      </c>
      <c r="AW1854" s="6" t="str">
        <f>HYPERLINK("http://www.worldcat.org/oclc/843026076","WorldCat Record")</f>
        <v>WorldCat Record</v>
      </c>
      <c r="AX1854" s="3" t="s">
        <v>19256</v>
      </c>
      <c r="AY1854" s="3" t="s">
        <v>19257</v>
      </c>
      <c r="AZ1854" s="3" t="s">
        <v>19258</v>
      </c>
      <c r="BA1854" s="3" t="s">
        <v>19258</v>
      </c>
      <c r="BB1854" s="3" t="s">
        <v>19259</v>
      </c>
      <c r="BC1854" s="3" t="s">
        <v>78</v>
      </c>
      <c r="BD1854" s="3" t="s">
        <v>79</v>
      </c>
      <c r="BE1854" s="3" t="s">
        <v>19260</v>
      </c>
      <c r="BF1854" s="3" t="s">
        <v>19259</v>
      </c>
      <c r="BG1854" s="3" t="s">
        <v>19261</v>
      </c>
    </row>
    <row r="1855" spans="1:59" ht="72.5" x14ac:dyDescent="0.35">
      <c r="A1855" s="2" t="s">
        <v>59</v>
      </c>
      <c r="B1855" s="2" t="s">
        <v>94</v>
      </c>
      <c r="C1855" s="2" t="s">
        <v>19262</v>
      </c>
      <c r="D1855" s="2" t="s">
        <v>19263</v>
      </c>
      <c r="E1855" s="2" t="s">
        <v>19264</v>
      </c>
      <c r="G1855" s="3" t="s">
        <v>64</v>
      </c>
      <c r="I1855" s="3" t="s">
        <v>64</v>
      </c>
      <c r="J1855" s="3" t="s">
        <v>64</v>
      </c>
      <c r="K1855" s="3" t="s">
        <v>65</v>
      </c>
      <c r="L1855" s="2" t="s">
        <v>19186</v>
      </c>
      <c r="M1855" s="2" t="s">
        <v>17009</v>
      </c>
      <c r="N1855" s="3" t="s">
        <v>524</v>
      </c>
      <c r="P1855" s="3" t="s">
        <v>69</v>
      </c>
      <c r="R1855" s="3" t="s">
        <v>16939</v>
      </c>
      <c r="S1855" s="4">
        <v>0</v>
      </c>
      <c r="T1855" s="4">
        <v>0</v>
      </c>
      <c r="W1855" s="5" t="s">
        <v>72</v>
      </c>
      <c r="X1855" s="5" t="s">
        <v>72</v>
      </c>
      <c r="Y1855" s="4">
        <v>51</v>
      </c>
      <c r="Z1855" s="4">
        <v>4</v>
      </c>
      <c r="AA1855" s="4">
        <v>34</v>
      </c>
      <c r="AB1855" s="4">
        <v>1</v>
      </c>
      <c r="AC1855" s="4">
        <v>8</v>
      </c>
      <c r="AD1855" s="4">
        <v>36</v>
      </c>
      <c r="AE1855" s="4">
        <v>93</v>
      </c>
      <c r="AF1855" s="4">
        <v>0</v>
      </c>
      <c r="AG1855" s="4">
        <v>2</v>
      </c>
      <c r="AH1855" s="4">
        <v>35</v>
      </c>
      <c r="AI1855" s="4">
        <v>76</v>
      </c>
      <c r="AJ1855" s="4">
        <v>3</v>
      </c>
      <c r="AK1855" s="4">
        <v>13</v>
      </c>
      <c r="AL1855" s="4">
        <v>22</v>
      </c>
      <c r="AM1855" s="4">
        <v>41</v>
      </c>
      <c r="AN1855" s="4">
        <v>0</v>
      </c>
      <c r="AO1855" s="4">
        <v>0</v>
      </c>
      <c r="AP1855" s="4">
        <v>3</v>
      </c>
      <c r="AQ1855" s="4">
        <v>23</v>
      </c>
      <c r="AR1855" s="3" t="s">
        <v>64</v>
      </c>
      <c r="AS1855" s="3" t="s">
        <v>64</v>
      </c>
      <c r="AT1855" s="3" t="s">
        <v>64</v>
      </c>
      <c r="AV1855" s="6" t="str">
        <f>HYPERLINK("http://mcgill.on.worldcat.org/oclc/829926656","Catalog Record")</f>
        <v>Catalog Record</v>
      </c>
      <c r="AW1855" s="6" t="str">
        <f>HYPERLINK("http://www.worldcat.org/oclc/829926656","WorldCat Record")</f>
        <v>WorldCat Record</v>
      </c>
      <c r="AX1855" s="3" t="s">
        <v>19265</v>
      </c>
      <c r="AY1855" s="3" t="s">
        <v>19266</v>
      </c>
      <c r="AZ1855" s="3" t="s">
        <v>19267</v>
      </c>
      <c r="BA1855" s="3" t="s">
        <v>19267</v>
      </c>
      <c r="BB1855" s="3" t="s">
        <v>19268</v>
      </c>
      <c r="BC1855" s="3" t="s">
        <v>78</v>
      </c>
      <c r="BD1855" s="3" t="s">
        <v>79</v>
      </c>
      <c r="BE1855" s="3" t="s">
        <v>19269</v>
      </c>
      <c r="BF1855" s="3" t="s">
        <v>19268</v>
      </c>
      <c r="BG1855" s="3" t="s">
        <v>19270</v>
      </c>
    </row>
    <row r="1856" spans="1:59" ht="58" x14ac:dyDescent="0.35">
      <c r="A1856" s="2" t="s">
        <v>59</v>
      </c>
      <c r="B1856" s="2" t="s">
        <v>94</v>
      </c>
      <c r="C1856" s="2" t="s">
        <v>19271</v>
      </c>
      <c r="D1856" s="2" t="s">
        <v>19272</v>
      </c>
      <c r="E1856" s="2" t="s">
        <v>19273</v>
      </c>
      <c r="G1856" s="3" t="s">
        <v>64</v>
      </c>
      <c r="I1856" s="3" t="s">
        <v>64</v>
      </c>
      <c r="J1856" s="3" t="s">
        <v>64</v>
      </c>
      <c r="K1856" s="3" t="s">
        <v>65</v>
      </c>
      <c r="M1856" s="2" t="s">
        <v>19274</v>
      </c>
      <c r="N1856" s="3" t="s">
        <v>328</v>
      </c>
      <c r="P1856" s="3" t="s">
        <v>69</v>
      </c>
      <c r="Q1856" s="2" t="s">
        <v>19275</v>
      </c>
      <c r="R1856" s="3" t="s">
        <v>16939</v>
      </c>
      <c r="S1856" s="4">
        <v>1</v>
      </c>
      <c r="T1856" s="4">
        <v>1</v>
      </c>
      <c r="U1856" s="5" t="s">
        <v>19176</v>
      </c>
      <c r="V1856" s="5" t="s">
        <v>19176</v>
      </c>
      <c r="W1856" s="5" t="s">
        <v>72</v>
      </c>
      <c r="X1856" s="5" t="s">
        <v>72</v>
      </c>
      <c r="Y1856" s="4">
        <v>120</v>
      </c>
      <c r="Z1856" s="4">
        <v>7</v>
      </c>
      <c r="AA1856" s="4">
        <v>10</v>
      </c>
      <c r="AB1856" s="4">
        <v>1</v>
      </c>
      <c r="AC1856" s="4">
        <v>1</v>
      </c>
      <c r="AD1856" s="4">
        <v>53</v>
      </c>
      <c r="AE1856" s="4">
        <v>58</v>
      </c>
      <c r="AF1856" s="4">
        <v>0</v>
      </c>
      <c r="AG1856" s="4">
        <v>0</v>
      </c>
      <c r="AH1856" s="4">
        <v>51</v>
      </c>
      <c r="AI1856" s="4">
        <v>55</v>
      </c>
      <c r="AJ1856" s="4">
        <v>4</v>
      </c>
      <c r="AK1856" s="4">
        <v>7</v>
      </c>
      <c r="AL1856" s="4">
        <v>28</v>
      </c>
      <c r="AM1856" s="4">
        <v>30</v>
      </c>
      <c r="AN1856" s="4">
        <v>0</v>
      </c>
      <c r="AO1856" s="4">
        <v>0</v>
      </c>
      <c r="AP1856" s="4">
        <v>5</v>
      </c>
      <c r="AQ1856" s="4">
        <v>8</v>
      </c>
      <c r="AR1856" s="3" t="s">
        <v>64</v>
      </c>
      <c r="AS1856" s="3" t="s">
        <v>64</v>
      </c>
      <c r="AT1856" s="3" t="s">
        <v>64</v>
      </c>
      <c r="AV1856" s="6" t="str">
        <f>HYPERLINK("http://mcgill.on.worldcat.org/oclc/682072099","Catalog Record")</f>
        <v>Catalog Record</v>
      </c>
      <c r="AW1856" s="6" t="str">
        <f>HYPERLINK("http://www.worldcat.org/oclc/682072099","WorldCat Record")</f>
        <v>WorldCat Record</v>
      </c>
      <c r="AX1856" s="3" t="s">
        <v>19276</v>
      </c>
      <c r="AY1856" s="3" t="s">
        <v>19277</v>
      </c>
      <c r="AZ1856" s="3" t="s">
        <v>19278</v>
      </c>
      <c r="BA1856" s="3" t="s">
        <v>19278</v>
      </c>
      <c r="BB1856" s="3" t="s">
        <v>19279</v>
      </c>
      <c r="BC1856" s="3" t="s">
        <v>78</v>
      </c>
      <c r="BD1856" s="3" t="s">
        <v>79</v>
      </c>
      <c r="BE1856" s="3" t="s">
        <v>19280</v>
      </c>
      <c r="BF1856" s="3" t="s">
        <v>19279</v>
      </c>
      <c r="BG1856" s="3" t="s">
        <v>19281</v>
      </c>
    </row>
    <row r="1857" spans="1:59" ht="58" x14ac:dyDescent="0.35">
      <c r="A1857" s="2" t="s">
        <v>59</v>
      </c>
      <c r="B1857" s="2" t="s">
        <v>94</v>
      </c>
      <c r="C1857" s="2" t="s">
        <v>19282</v>
      </c>
      <c r="D1857" s="2" t="s">
        <v>19283</v>
      </c>
      <c r="E1857" s="2" t="s">
        <v>19284</v>
      </c>
      <c r="G1857" s="3" t="s">
        <v>64</v>
      </c>
      <c r="I1857" s="3" t="s">
        <v>64</v>
      </c>
      <c r="J1857" s="3" t="s">
        <v>64</v>
      </c>
      <c r="K1857" s="3" t="s">
        <v>65</v>
      </c>
      <c r="L1857" s="2" t="s">
        <v>19285</v>
      </c>
      <c r="M1857" s="2" t="s">
        <v>19286</v>
      </c>
      <c r="N1857" s="3" t="s">
        <v>524</v>
      </c>
      <c r="P1857" s="3" t="s">
        <v>69</v>
      </c>
      <c r="Q1857" s="2" t="s">
        <v>19287</v>
      </c>
      <c r="R1857" s="3" t="s">
        <v>16939</v>
      </c>
      <c r="S1857" s="4">
        <v>0</v>
      </c>
      <c r="T1857" s="4">
        <v>0</v>
      </c>
      <c r="W1857" s="5" t="s">
        <v>72</v>
      </c>
      <c r="X1857" s="5" t="s">
        <v>72</v>
      </c>
      <c r="Y1857" s="4">
        <v>77</v>
      </c>
      <c r="Z1857" s="4">
        <v>3</v>
      </c>
      <c r="AA1857" s="4">
        <v>32</v>
      </c>
      <c r="AB1857" s="4">
        <v>1</v>
      </c>
      <c r="AC1857" s="4">
        <v>6</v>
      </c>
      <c r="AD1857" s="4">
        <v>45</v>
      </c>
      <c r="AE1857" s="4">
        <v>96</v>
      </c>
      <c r="AF1857" s="4">
        <v>0</v>
      </c>
      <c r="AG1857" s="4">
        <v>2</v>
      </c>
      <c r="AH1857" s="4">
        <v>44</v>
      </c>
      <c r="AI1857" s="4">
        <v>79</v>
      </c>
      <c r="AJ1857" s="4">
        <v>2</v>
      </c>
      <c r="AK1857" s="4">
        <v>13</v>
      </c>
      <c r="AL1857" s="4">
        <v>26</v>
      </c>
      <c r="AM1857" s="4">
        <v>44</v>
      </c>
      <c r="AN1857" s="4">
        <v>0</v>
      </c>
      <c r="AO1857" s="4">
        <v>0</v>
      </c>
      <c r="AP1857" s="4">
        <v>2</v>
      </c>
      <c r="AQ1857" s="4">
        <v>23</v>
      </c>
      <c r="AR1857" s="3" t="s">
        <v>64</v>
      </c>
      <c r="AS1857" s="3" t="s">
        <v>64</v>
      </c>
      <c r="AT1857" s="3" t="s">
        <v>64</v>
      </c>
      <c r="AV1857" s="6" t="str">
        <f>HYPERLINK("http://mcgill.on.worldcat.org/oclc/821560858","Catalog Record")</f>
        <v>Catalog Record</v>
      </c>
      <c r="AW1857" s="6" t="str">
        <f>HYPERLINK("http://www.worldcat.org/oclc/821560858","WorldCat Record")</f>
        <v>WorldCat Record</v>
      </c>
      <c r="AX1857" s="3" t="s">
        <v>19288</v>
      </c>
      <c r="AY1857" s="3" t="s">
        <v>19289</v>
      </c>
      <c r="AZ1857" s="3" t="s">
        <v>19290</v>
      </c>
      <c r="BA1857" s="3" t="s">
        <v>19290</v>
      </c>
      <c r="BB1857" s="3" t="s">
        <v>19291</v>
      </c>
      <c r="BC1857" s="3" t="s">
        <v>78</v>
      </c>
      <c r="BD1857" s="3" t="s">
        <v>79</v>
      </c>
      <c r="BE1857" s="3" t="s">
        <v>19292</v>
      </c>
      <c r="BF1857" s="3" t="s">
        <v>19291</v>
      </c>
      <c r="BG1857" s="3" t="s">
        <v>19293</v>
      </c>
    </row>
    <row r="1858" spans="1:59" ht="58" x14ac:dyDescent="0.35">
      <c r="A1858" s="2" t="s">
        <v>59</v>
      </c>
      <c r="B1858" s="2" t="s">
        <v>94</v>
      </c>
      <c r="C1858" s="2" t="s">
        <v>19294</v>
      </c>
      <c r="D1858" s="2" t="s">
        <v>19295</v>
      </c>
      <c r="E1858" s="2" t="s">
        <v>19296</v>
      </c>
      <c r="G1858" s="3" t="s">
        <v>64</v>
      </c>
      <c r="I1858" s="3" t="s">
        <v>64</v>
      </c>
      <c r="J1858" s="3" t="s">
        <v>64</v>
      </c>
      <c r="K1858" s="3" t="s">
        <v>65</v>
      </c>
      <c r="L1858" s="2" t="s">
        <v>19297</v>
      </c>
      <c r="M1858" s="2" t="s">
        <v>10765</v>
      </c>
      <c r="N1858" s="3" t="s">
        <v>377</v>
      </c>
      <c r="P1858" s="3" t="s">
        <v>69</v>
      </c>
      <c r="Q1858" s="2" t="s">
        <v>19298</v>
      </c>
      <c r="R1858" s="3" t="s">
        <v>16939</v>
      </c>
      <c r="S1858" s="4">
        <v>0</v>
      </c>
      <c r="T1858" s="4">
        <v>0</v>
      </c>
      <c r="W1858" s="5" t="s">
        <v>72</v>
      </c>
      <c r="X1858" s="5" t="s">
        <v>72</v>
      </c>
      <c r="Y1858" s="4">
        <v>86</v>
      </c>
      <c r="Z1858" s="4">
        <v>4</v>
      </c>
      <c r="AA1858" s="4">
        <v>35</v>
      </c>
      <c r="AB1858" s="4">
        <v>1</v>
      </c>
      <c r="AC1858" s="4">
        <v>6</v>
      </c>
      <c r="AD1858" s="4">
        <v>45</v>
      </c>
      <c r="AE1858" s="4">
        <v>104</v>
      </c>
      <c r="AF1858" s="4">
        <v>0</v>
      </c>
      <c r="AG1858" s="4">
        <v>2</v>
      </c>
      <c r="AH1858" s="4">
        <v>44</v>
      </c>
      <c r="AI1858" s="4">
        <v>86</v>
      </c>
      <c r="AJ1858" s="4">
        <v>2</v>
      </c>
      <c r="AK1858" s="4">
        <v>15</v>
      </c>
      <c r="AL1858" s="4">
        <v>27</v>
      </c>
      <c r="AM1858" s="4">
        <v>46</v>
      </c>
      <c r="AN1858" s="4">
        <v>0</v>
      </c>
      <c r="AO1858" s="4">
        <v>0</v>
      </c>
      <c r="AP1858" s="4">
        <v>2</v>
      </c>
      <c r="AQ1858" s="4">
        <v>25</v>
      </c>
      <c r="AR1858" s="3" t="s">
        <v>64</v>
      </c>
      <c r="AS1858" s="3" t="s">
        <v>64</v>
      </c>
      <c r="AT1858" s="3" t="s">
        <v>64</v>
      </c>
      <c r="AV1858" s="6" t="str">
        <f>HYPERLINK("http://mcgill.on.worldcat.org/oclc/898066016","Catalog Record")</f>
        <v>Catalog Record</v>
      </c>
      <c r="AW1858" s="6" t="str">
        <f>HYPERLINK("http://www.worldcat.org/oclc/898066016","WorldCat Record")</f>
        <v>WorldCat Record</v>
      </c>
      <c r="AX1858" s="3" t="s">
        <v>19299</v>
      </c>
      <c r="AY1858" s="3" t="s">
        <v>19300</v>
      </c>
      <c r="AZ1858" s="3" t="s">
        <v>19301</v>
      </c>
      <c r="BA1858" s="3" t="s">
        <v>19301</v>
      </c>
      <c r="BB1858" s="3" t="s">
        <v>19302</v>
      </c>
      <c r="BC1858" s="3" t="s">
        <v>78</v>
      </c>
      <c r="BD1858" s="3" t="s">
        <v>79</v>
      </c>
      <c r="BE1858" s="3" t="s">
        <v>19303</v>
      </c>
      <c r="BF1858" s="3" t="s">
        <v>19302</v>
      </c>
      <c r="BG1858" s="3" t="s">
        <v>19304</v>
      </c>
    </row>
    <row r="1859" spans="1:59" ht="72.5" x14ac:dyDescent="0.35">
      <c r="A1859" s="2" t="s">
        <v>59</v>
      </c>
      <c r="B1859" s="2" t="s">
        <v>94</v>
      </c>
      <c r="C1859" s="2" t="s">
        <v>19305</v>
      </c>
      <c r="D1859" s="2" t="s">
        <v>19306</v>
      </c>
      <c r="E1859" s="2" t="s">
        <v>19307</v>
      </c>
      <c r="G1859" s="3" t="s">
        <v>64</v>
      </c>
      <c r="I1859" s="3" t="s">
        <v>64</v>
      </c>
      <c r="J1859" s="3" t="s">
        <v>64</v>
      </c>
      <c r="K1859" s="3" t="s">
        <v>65</v>
      </c>
      <c r="L1859" s="2" t="s">
        <v>11405</v>
      </c>
      <c r="M1859" s="2" t="s">
        <v>19308</v>
      </c>
      <c r="N1859" s="3" t="s">
        <v>524</v>
      </c>
      <c r="P1859" s="3" t="s">
        <v>69</v>
      </c>
      <c r="Q1859" s="2" t="s">
        <v>5134</v>
      </c>
      <c r="R1859" s="3" t="s">
        <v>16939</v>
      </c>
      <c r="S1859" s="4">
        <v>0</v>
      </c>
      <c r="T1859" s="4">
        <v>0</v>
      </c>
      <c r="W1859" s="5" t="s">
        <v>72</v>
      </c>
      <c r="X1859" s="5" t="s">
        <v>72</v>
      </c>
      <c r="Y1859" s="4">
        <v>72</v>
      </c>
      <c r="Z1859" s="4">
        <v>4</v>
      </c>
      <c r="AA1859" s="4">
        <v>32</v>
      </c>
      <c r="AB1859" s="4">
        <v>1</v>
      </c>
      <c r="AC1859" s="4">
        <v>6</v>
      </c>
      <c r="AD1859" s="4">
        <v>43</v>
      </c>
      <c r="AE1859" s="4">
        <v>94</v>
      </c>
      <c r="AF1859" s="4">
        <v>0</v>
      </c>
      <c r="AG1859" s="4">
        <v>2</v>
      </c>
      <c r="AH1859" s="4">
        <v>42</v>
      </c>
      <c r="AI1859" s="4">
        <v>77</v>
      </c>
      <c r="AJ1859" s="4">
        <v>3</v>
      </c>
      <c r="AK1859" s="4">
        <v>13</v>
      </c>
      <c r="AL1859" s="4">
        <v>23</v>
      </c>
      <c r="AM1859" s="4">
        <v>42</v>
      </c>
      <c r="AN1859" s="4">
        <v>0</v>
      </c>
      <c r="AO1859" s="4">
        <v>0</v>
      </c>
      <c r="AP1859" s="4">
        <v>3</v>
      </c>
      <c r="AQ1859" s="4">
        <v>23</v>
      </c>
      <c r="AR1859" s="3" t="s">
        <v>64</v>
      </c>
      <c r="AS1859" s="3" t="s">
        <v>64</v>
      </c>
      <c r="AT1859" s="3" t="s">
        <v>64</v>
      </c>
      <c r="AV1859" s="6" t="str">
        <f>HYPERLINK("http://mcgill.on.worldcat.org/oclc/829999725","Catalog Record")</f>
        <v>Catalog Record</v>
      </c>
      <c r="AW1859" s="6" t="str">
        <f>HYPERLINK("http://www.worldcat.org/oclc/829999725","WorldCat Record")</f>
        <v>WorldCat Record</v>
      </c>
      <c r="AX1859" s="3" t="s">
        <v>19309</v>
      </c>
      <c r="AY1859" s="3" t="s">
        <v>19310</v>
      </c>
      <c r="AZ1859" s="3" t="s">
        <v>19311</v>
      </c>
      <c r="BA1859" s="3" t="s">
        <v>19311</v>
      </c>
      <c r="BB1859" s="3" t="s">
        <v>19312</v>
      </c>
      <c r="BC1859" s="3" t="s">
        <v>78</v>
      </c>
      <c r="BD1859" s="3" t="s">
        <v>79</v>
      </c>
      <c r="BE1859" s="3" t="s">
        <v>19313</v>
      </c>
      <c r="BF1859" s="3" t="s">
        <v>19312</v>
      </c>
      <c r="BG1859" s="3" t="s">
        <v>19314</v>
      </c>
    </row>
    <row r="1860" spans="1:59" ht="58" x14ac:dyDescent="0.35">
      <c r="A1860" s="2" t="s">
        <v>59</v>
      </c>
      <c r="B1860" s="2" t="s">
        <v>94</v>
      </c>
      <c r="C1860" s="2" t="s">
        <v>19315</v>
      </c>
      <c r="D1860" s="2" t="s">
        <v>19316</v>
      </c>
      <c r="E1860" s="2" t="s">
        <v>19317</v>
      </c>
      <c r="G1860" s="3" t="s">
        <v>64</v>
      </c>
      <c r="I1860" s="3" t="s">
        <v>64</v>
      </c>
      <c r="J1860" s="3" t="s">
        <v>64</v>
      </c>
      <c r="K1860" s="3" t="s">
        <v>65</v>
      </c>
      <c r="M1860" s="2" t="s">
        <v>5089</v>
      </c>
      <c r="N1860" s="3" t="s">
        <v>328</v>
      </c>
      <c r="P1860" s="3" t="s">
        <v>69</v>
      </c>
      <c r="Q1860" s="2" t="s">
        <v>19318</v>
      </c>
      <c r="R1860" s="3" t="s">
        <v>16939</v>
      </c>
      <c r="S1860" s="4">
        <v>0</v>
      </c>
      <c r="T1860" s="4">
        <v>0</v>
      </c>
      <c r="W1860" s="5" t="s">
        <v>72</v>
      </c>
      <c r="X1860" s="5" t="s">
        <v>72</v>
      </c>
      <c r="Y1860" s="4">
        <v>88</v>
      </c>
      <c r="Z1860" s="4">
        <v>5</v>
      </c>
      <c r="AA1860" s="4">
        <v>10</v>
      </c>
      <c r="AB1860" s="4">
        <v>1</v>
      </c>
      <c r="AC1860" s="4">
        <v>1</v>
      </c>
      <c r="AD1860" s="4">
        <v>53</v>
      </c>
      <c r="AE1860" s="4">
        <v>59</v>
      </c>
      <c r="AF1860" s="4">
        <v>0</v>
      </c>
      <c r="AG1860" s="4">
        <v>0</v>
      </c>
      <c r="AH1860" s="4">
        <v>51</v>
      </c>
      <c r="AI1860" s="4">
        <v>56</v>
      </c>
      <c r="AJ1860" s="4">
        <v>3</v>
      </c>
      <c r="AK1860" s="4">
        <v>7</v>
      </c>
      <c r="AL1860" s="4">
        <v>29</v>
      </c>
      <c r="AM1860" s="4">
        <v>29</v>
      </c>
      <c r="AN1860" s="4">
        <v>0</v>
      </c>
      <c r="AO1860" s="4">
        <v>0</v>
      </c>
      <c r="AP1860" s="4">
        <v>3</v>
      </c>
      <c r="AQ1860" s="4">
        <v>8</v>
      </c>
      <c r="AR1860" s="3" t="s">
        <v>64</v>
      </c>
      <c r="AS1860" s="3" t="s">
        <v>64</v>
      </c>
      <c r="AT1860" s="3" t="s">
        <v>64</v>
      </c>
      <c r="AV1860" s="6" t="str">
        <f>HYPERLINK("http://mcgill.on.worldcat.org/oclc/689549072","Catalog Record")</f>
        <v>Catalog Record</v>
      </c>
      <c r="AW1860" s="6" t="str">
        <f>HYPERLINK("http://www.worldcat.org/oclc/689549072","WorldCat Record")</f>
        <v>WorldCat Record</v>
      </c>
      <c r="AX1860" s="3" t="s">
        <v>19319</v>
      </c>
      <c r="AY1860" s="3" t="s">
        <v>19320</v>
      </c>
      <c r="AZ1860" s="3" t="s">
        <v>19321</v>
      </c>
      <c r="BA1860" s="3" t="s">
        <v>19321</v>
      </c>
      <c r="BB1860" s="3" t="s">
        <v>19322</v>
      </c>
      <c r="BC1860" s="3" t="s">
        <v>78</v>
      </c>
      <c r="BD1860" s="3" t="s">
        <v>79</v>
      </c>
      <c r="BE1860" s="3" t="s">
        <v>19323</v>
      </c>
      <c r="BF1860" s="3" t="s">
        <v>19322</v>
      </c>
      <c r="BG1860" s="3" t="s">
        <v>19324</v>
      </c>
    </row>
    <row r="1861" spans="1:59" ht="58" x14ac:dyDescent="0.35">
      <c r="A1861" s="2" t="s">
        <v>59</v>
      </c>
      <c r="B1861" s="2" t="s">
        <v>94</v>
      </c>
      <c r="C1861" s="2" t="s">
        <v>19325</v>
      </c>
      <c r="D1861" s="2" t="s">
        <v>19326</v>
      </c>
      <c r="E1861" s="2" t="s">
        <v>19327</v>
      </c>
      <c r="G1861" s="3" t="s">
        <v>64</v>
      </c>
      <c r="I1861" s="3" t="s">
        <v>64</v>
      </c>
      <c r="J1861" s="3" t="s">
        <v>64</v>
      </c>
      <c r="K1861" s="3" t="s">
        <v>65</v>
      </c>
      <c r="L1861" s="2" t="s">
        <v>19328</v>
      </c>
      <c r="M1861" s="2" t="s">
        <v>19329</v>
      </c>
      <c r="N1861" s="3" t="s">
        <v>3563</v>
      </c>
      <c r="P1861" s="3" t="s">
        <v>69</v>
      </c>
      <c r="Q1861" s="2" t="s">
        <v>1996</v>
      </c>
      <c r="R1861" s="3" t="s">
        <v>16939</v>
      </c>
      <c r="S1861" s="4">
        <v>1</v>
      </c>
      <c r="T1861" s="4">
        <v>1</v>
      </c>
      <c r="U1861" s="5" t="s">
        <v>19330</v>
      </c>
      <c r="V1861" s="5" t="s">
        <v>19330</v>
      </c>
      <c r="W1861" s="5" t="s">
        <v>72</v>
      </c>
      <c r="X1861" s="5" t="s">
        <v>72</v>
      </c>
      <c r="Y1861" s="4">
        <v>399</v>
      </c>
      <c r="Z1861" s="4">
        <v>13</v>
      </c>
      <c r="AA1861" s="4">
        <v>13</v>
      </c>
      <c r="AB1861" s="4">
        <v>1</v>
      </c>
      <c r="AC1861" s="4">
        <v>1</v>
      </c>
      <c r="AD1861" s="4">
        <v>99</v>
      </c>
      <c r="AE1861" s="4">
        <v>100</v>
      </c>
      <c r="AF1861" s="4">
        <v>0</v>
      </c>
      <c r="AG1861" s="4">
        <v>0</v>
      </c>
      <c r="AH1861" s="4">
        <v>90</v>
      </c>
      <c r="AI1861" s="4">
        <v>91</v>
      </c>
      <c r="AJ1861" s="4">
        <v>7</v>
      </c>
      <c r="AK1861" s="4">
        <v>7</v>
      </c>
      <c r="AL1861" s="4">
        <v>53</v>
      </c>
      <c r="AM1861" s="4">
        <v>53</v>
      </c>
      <c r="AN1861" s="4">
        <v>0</v>
      </c>
      <c r="AO1861" s="4">
        <v>0</v>
      </c>
      <c r="AP1861" s="4">
        <v>10</v>
      </c>
      <c r="AQ1861" s="4">
        <v>10</v>
      </c>
      <c r="AR1861" s="3" t="s">
        <v>64</v>
      </c>
      <c r="AS1861" s="3" t="s">
        <v>64</v>
      </c>
      <c r="AT1861" s="3" t="s">
        <v>73</v>
      </c>
      <c r="AU1861" s="6" t="str">
        <f>HYPERLINK("http://catalog.hathitrust.org/Record/002607955","HathiTrust Record")</f>
        <v>HathiTrust Record</v>
      </c>
      <c r="AV1861" s="6" t="str">
        <f>HYPERLINK("http://mcgill.on.worldcat.org/oclc/25632532","Catalog Record")</f>
        <v>Catalog Record</v>
      </c>
      <c r="AW1861" s="6" t="str">
        <f>HYPERLINK("http://www.worldcat.org/oclc/25632532","WorldCat Record")</f>
        <v>WorldCat Record</v>
      </c>
      <c r="AX1861" s="3" t="s">
        <v>19331</v>
      </c>
      <c r="AY1861" s="3" t="s">
        <v>19332</v>
      </c>
      <c r="AZ1861" s="3" t="s">
        <v>19333</v>
      </c>
      <c r="BA1861" s="3" t="s">
        <v>19333</v>
      </c>
      <c r="BB1861" s="3" t="s">
        <v>19334</v>
      </c>
      <c r="BC1861" s="3" t="s">
        <v>78</v>
      </c>
      <c r="BD1861" s="3" t="s">
        <v>79</v>
      </c>
      <c r="BE1861" s="3" t="s">
        <v>19335</v>
      </c>
      <c r="BF1861" s="3" t="s">
        <v>19334</v>
      </c>
      <c r="BG1861" s="3" t="s">
        <v>19336</v>
      </c>
    </row>
    <row r="1862" spans="1:59" ht="58" x14ac:dyDescent="0.35">
      <c r="A1862" s="2" t="s">
        <v>59</v>
      </c>
      <c r="B1862" s="2" t="s">
        <v>94</v>
      </c>
      <c r="C1862" s="2" t="s">
        <v>19337</v>
      </c>
      <c r="D1862" s="2" t="s">
        <v>19338</v>
      </c>
      <c r="E1862" s="2" t="s">
        <v>19339</v>
      </c>
      <c r="G1862" s="3" t="s">
        <v>64</v>
      </c>
      <c r="I1862" s="3" t="s">
        <v>64</v>
      </c>
      <c r="J1862" s="3" t="s">
        <v>64</v>
      </c>
      <c r="K1862" s="3" t="s">
        <v>65</v>
      </c>
      <c r="M1862" s="2" t="s">
        <v>6841</v>
      </c>
      <c r="N1862" s="3" t="s">
        <v>377</v>
      </c>
      <c r="P1862" s="3" t="s">
        <v>69</v>
      </c>
      <c r="Q1862" s="2" t="s">
        <v>18487</v>
      </c>
      <c r="R1862" s="3" t="s">
        <v>16939</v>
      </c>
      <c r="S1862" s="4">
        <v>0</v>
      </c>
      <c r="T1862" s="4">
        <v>0</v>
      </c>
      <c r="W1862" s="5" t="s">
        <v>72</v>
      </c>
      <c r="X1862" s="5" t="s">
        <v>72</v>
      </c>
      <c r="Y1862" s="4">
        <v>79</v>
      </c>
      <c r="Z1862" s="4">
        <v>5</v>
      </c>
      <c r="AA1862" s="4">
        <v>8</v>
      </c>
      <c r="AB1862" s="4">
        <v>1</v>
      </c>
      <c r="AC1862" s="4">
        <v>1</v>
      </c>
      <c r="AD1862" s="4">
        <v>46</v>
      </c>
      <c r="AE1862" s="4">
        <v>52</v>
      </c>
      <c r="AF1862" s="4">
        <v>0</v>
      </c>
      <c r="AG1862" s="4">
        <v>0</v>
      </c>
      <c r="AH1862" s="4">
        <v>45</v>
      </c>
      <c r="AI1862" s="4">
        <v>49</v>
      </c>
      <c r="AJ1862" s="4">
        <v>3</v>
      </c>
      <c r="AK1862" s="4">
        <v>6</v>
      </c>
      <c r="AL1862" s="4">
        <v>27</v>
      </c>
      <c r="AM1862" s="4">
        <v>28</v>
      </c>
      <c r="AN1862" s="4">
        <v>0</v>
      </c>
      <c r="AO1862" s="4">
        <v>0</v>
      </c>
      <c r="AP1862" s="4">
        <v>3</v>
      </c>
      <c r="AQ1862" s="4">
        <v>6</v>
      </c>
      <c r="AR1862" s="3" t="s">
        <v>64</v>
      </c>
      <c r="AS1862" s="3" t="s">
        <v>64</v>
      </c>
      <c r="AT1862" s="3" t="s">
        <v>64</v>
      </c>
      <c r="AV1862" s="6" t="str">
        <f>HYPERLINK("http://mcgill.on.worldcat.org/oclc/778828075","Catalog Record")</f>
        <v>Catalog Record</v>
      </c>
      <c r="AW1862" s="6" t="str">
        <f>HYPERLINK("http://www.worldcat.org/oclc/778828075","WorldCat Record")</f>
        <v>WorldCat Record</v>
      </c>
      <c r="AX1862" s="3" t="s">
        <v>19340</v>
      </c>
      <c r="AY1862" s="3" t="s">
        <v>19341</v>
      </c>
      <c r="AZ1862" s="3" t="s">
        <v>19342</v>
      </c>
      <c r="BA1862" s="3" t="s">
        <v>19342</v>
      </c>
      <c r="BB1862" s="3" t="s">
        <v>19343</v>
      </c>
      <c r="BC1862" s="3" t="s">
        <v>78</v>
      </c>
      <c r="BD1862" s="3" t="s">
        <v>79</v>
      </c>
      <c r="BE1862" s="3" t="s">
        <v>19344</v>
      </c>
      <c r="BF1862" s="3" t="s">
        <v>19343</v>
      </c>
      <c r="BG1862" s="3" t="s">
        <v>19345</v>
      </c>
    </row>
    <row r="1863" spans="1:59" ht="58" x14ac:dyDescent="0.35">
      <c r="A1863" s="2" t="s">
        <v>59</v>
      </c>
      <c r="B1863" s="2" t="s">
        <v>94</v>
      </c>
      <c r="C1863" s="2" t="s">
        <v>19346</v>
      </c>
      <c r="D1863" s="2" t="s">
        <v>19347</v>
      </c>
      <c r="E1863" s="2" t="s">
        <v>19348</v>
      </c>
      <c r="G1863" s="3" t="s">
        <v>64</v>
      </c>
      <c r="I1863" s="3" t="s">
        <v>64</v>
      </c>
      <c r="J1863" s="3" t="s">
        <v>64</v>
      </c>
      <c r="K1863" s="3" t="s">
        <v>65</v>
      </c>
      <c r="L1863" s="2" t="s">
        <v>19349</v>
      </c>
      <c r="M1863" s="2" t="s">
        <v>19350</v>
      </c>
      <c r="N1863" s="3" t="s">
        <v>377</v>
      </c>
      <c r="P1863" s="3" t="s">
        <v>69</v>
      </c>
      <c r="Q1863" s="2" t="s">
        <v>1996</v>
      </c>
      <c r="R1863" s="3" t="s">
        <v>16939</v>
      </c>
      <c r="S1863" s="4">
        <v>1</v>
      </c>
      <c r="T1863" s="4">
        <v>1</v>
      </c>
      <c r="U1863" s="5" t="s">
        <v>19351</v>
      </c>
      <c r="V1863" s="5" t="s">
        <v>19351</v>
      </c>
      <c r="W1863" s="5" t="s">
        <v>72</v>
      </c>
      <c r="X1863" s="5" t="s">
        <v>72</v>
      </c>
      <c r="Y1863" s="4">
        <v>202</v>
      </c>
      <c r="Z1863" s="4">
        <v>5</v>
      </c>
      <c r="AA1863" s="4">
        <v>5</v>
      </c>
      <c r="AB1863" s="4">
        <v>1</v>
      </c>
      <c r="AC1863" s="4">
        <v>1</v>
      </c>
      <c r="AD1863" s="4">
        <v>57</v>
      </c>
      <c r="AE1863" s="4">
        <v>57</v>
      </c>
      <c r="AF1863" s="4">
        <v>0</v>
      </c>
      <c r="AG1863" s="4">
        <v>0</v>
      </c>
      <c r="AH1863" s="4">
        <v>55</v>
      </c>
      <c r="AI1863" s="4">
        <v>55</v>
      </c>
      <c r="AJ1863" s="4">
        <v>3</v>
      </c>
      <c r="AK1863" s="4">
        <v>3</v>
      </c>
      <c r="AL1863" s="4">
        <v>36</v>
      </c>
      <c r="AM1863" s="4">
        <v>36</v>
      </c>
      <c r="AN1863" s="4">
        <v>0</v>
      </c>
      <c r="AO1863" s="4">
        <v>0</v>
      </c>
      <c r="AP1863" s="4">
        <v>3</v>
      </c>
      <c r="AQ1863" s="4">
        <v>3</v>
      </c>
      <c r="AR1863" s="3" t="s">
        <v>64</v>
      </c>
      <c r="AS1863" s="3" t="s">
        <v>64</v>
      </c>
      <c r="AT1863" s="3" t="s">
        <v>64</v>
      </c>
      <c r="AV1863" s="6" t="str">
        <f>HYPERLINK("http://mcgill.on.worldcat.org/oclc/788282695","Catalog Record")</f>
        <v>Catalog Record</v>
      </c>
      <c r="AW1863" s="6" t="str">
        <f>HYPERLINK("http://www.worldcat.org/oclc/788282695","WorldCat Record")</f>
        <v>WorldCat Record</v>
      </c>
      <c r="AX1863" s="3" t="s">
        <v>19352</v>
      </c>
      <c r="AY1863" s="3" t="s">
        <v>19353</v>
      </c>
      <c r="AZ1863" s="3" t="s">
        <v>19354</v>
      </c>
      <c r="BA1863" s="3" t="s">
        <v>19354</v>
      </c>
      <c r="BB1863" s="3" t="s">
        <v>19355</v>
      </c>
      <c r="BC1863" s="3" t="s">
        <v>78</v>
      </c>
      <c r="BD1863" s="3" t="s">
        <v>79</v>
      </c>
      <c r="BE1863" s="3" t="s">
        <v>19356</v>
      </c>
      <c r="BF1863" s="3" t="s">
        <v>19355</v>
      </c>
      <c r="BG1863" s="3" t="s">
        <v>19357</v>
      </c>
    </row>
    <row r="1864" spans="1:59" ht="58" x14ac:dyDescent="0.35">
      <c r="A1864" s="2" t="s">
        <v>59</v>
      </c>
      <c r="B1864" s="2" t="s">
        <v>94</v>
      </c>
      <c r="C1864" s="2" t="s">
        <v>19358</v>
      </c>
      <c r="D1864" s="2" t="s">
        <v>19359</v>
      </c>
      <c r="E1864" s="2" t="s">
        <v>19360</v>
      </c>
      <c r="G1864" s="3" t="s">
        <v>64</v>
      </c>
      <c r="I1864" s="3" t="s">
        <v>64</v>
      </c>
      <c r="J1864" s="3" t="s">
        <v>64</v>
      </c>
      <c r="K1864" s="3" t="s">
        <v>65</v>
      </c>
      <c r="L1864" s="2" t="s">
        <v>19349</v>
      </c>
      <c r="M1864" s="2" t="s">
        <v>19361</v>
      </c>
      <c r="N1864" s="3" t="s">
        <v>524</v>
      </c>
      <c r="P1864" s="3" t="s">
        <v>69</v>
      </c>
      <c r="Q1864" s="2" t="s">
        <v>1996</v>
      </c>
      <c r="R1864" s="3" t="s">
        <v>16939</v>
      </c>
      <c r="S1864" s="4">
        <v>0</v>
      </c>
      <c r="T1864" s="4">
        <v>0</v>
      </c>
      <c r="W1864" s="5" t="s">
        <v>72</v>
      </c>
      <c r="X1864" s="5" t="s">
        <v>72</v>
      </c>
      <c r="Y1864" s="4">
        <v>169</v>
      </c>
      <c r="Z1864" s="4">
        <v>4</v>
      </c>
      <c r="AA1864" s="4">
        <v>4</v>
      </c>
      <c r="AB1864" s="4">
        <v>1</v>
      </c>
      <c r="AC1864" s="4">
        <v>1</v>
      </c>
      <c r="AD1864" s="4">
        <v>50</v>
      </c>
      <c r="AE1864" s="4">
        <v>50</v>
      </c>
      <c r="AF1864" s="4">
        <v>0</v>
      </c>
      <c r="AG1864" s="4">
        <v>0</v>
      </c>
      <c r="AH1864" s="4">
        <v>49</v>
      </c>
      <c r="AI1864" s="4">
        <v>49</v>
      </c>
      <c r="AJ1864" s="4">
        <v>2</v>
      </c>
      <c r="AK1864" s="4">
        <v>2</v>
      </c>
      <c r="AL1864" s="4">
        <v>34</v>
      </c>
      <c r="AM1864" s="4">
        <v>34</v>
      </c>
      <c r="AN1864" s="4">
        <v>0</v>
      </c>
      <c r="AO1864" s="4">
        <v>0</v>
      </c>
      <c r="AP1864" s="4">
        <v>2</v>
      </c>
      <c r="AQ1864" s="4">
        <v>2</v>
      </c>
      <c r="AR1864" s="3" t="s">
        <v>64</v>
      </c>
      <c r="AS1864" s="3" t="s">
        <v>64</v>
      </c>
      <c r="AT1864" s="3" t="s">
        <v>64</v>
      </c>
      <c r="AV1864" s="6" t="str">
        <f>HYPERLINK("http://mcgill.on.worldcat.org/oclc/818143738","Catalog Record")</f>
        <v>Catalog Record</v>
      </c>
      <c r="AW1864" s="6" t="str">
        <f>HYPERLINK("http://www.worldcat.org/oclc/818143738","WorldCat Record")</f>
        <v>WorldCat Record</v>
      </c>
      <c r="AX1864" s="3" t="s">
        <v>19362</v>
      </c>
      <c r="AY1864" s="3" t="s">
        <v>19363</v>
      </c>
      <c r="AZ1864" s="3" t="s">
        <v>19364</v>
      </c>
      <c r="BA1864" s="3" t="s">
        <v>19364</v>
      </c>
      <c r="BB1864" s="3" t="s">
        <v>19365</v>
      </c>
      <c r="BC1864" s="3" t="s">
        <v>78</v>
      </c>
      <c r="BD1864" s="3" t="s">
        <v>79</v>
      </c>
      <c r="BE1864" s="3" t="s">
        <v>19366</v>
      </c>
      <c r="BF1864" s="3" t="s">
        <v>19365</v>
      </c>
      <c r="BG1864" s="3" t="s">
        <v>19367</v>
      </c>
    </row>
    <row r="1865" spans="1:59" ht="58" x14ac:dyDescent="0.35">
      <c r="A1865" s="2" t="s">
        <v>59</v>
      </c>
      <c r="B1865" s="2" t="s">
        <v>94</v>
      </c>
      <c r="C1865" s="2" t="s">
        <v>19368</v>
      </c>
      <c r="D1865" s="2" t="s">
        <v>19369</v>
      </c>
      <c r="E1865" s="2" t="s">
        <v>19370</v>
      </c>
      <c r="G1865" s="3" t="s">
        <v>64</v>
      </c>
      <c r="I1865" s="3" t="s">
        <v>64</v>
      </c>
      <c r="J1865" s="3" t="s">
        <v>64</v>
      </c>
      <c r="K1865" s="3" t="s">
        <v>65</v>
      </c>
      <c r="L1865" s="2" t="s">
        <v>19371</v>
      </c>
      <c r="M1865" s="2" t="s">
        <v>2042</v>
      </c>
      <c r="N1865" s="3" t="s">
        <v>473</v>
      </c>
      <c r="P1865" s="3" t="s">
        <v>69</v>
      </c>
      <c r="R1865" s="3" t="s">
        <v>16939</v>
      </c>
      <c r="S1865" s="4">
        <v>39</v>
      </c>
      <c r="T1865" s="4">
        <v>39</v>
      </c>
      <c r="U1865" s="5" t="s">
        <v>19372</v>
      </c>
      <c r="V1865" s="5" t="s">
        <v>19372</v>
      </c>
      <c r="W1865" s="5" t="s">
        <v>72</v>
      </c>
      <c r="X1865" s="5" t="s">
        <v>72</v>
      </c>
      <c r="Y1865" s="4">
        <v>529</v>
      </c>
      <c r="Z1865" s="4">
        <v>33</v>
      </c>
      <c r="AA1865" s="4">
        <v>104</v>
      </c>
      <c r="AB1865" s="4">
        <v>2</v>
      </c>
      <c r="AC1865" s="4">
        <v>17</v>
      </c>
      <c r="AD1865" s="4">
        <v>114</v>
      </c>
      <c r="AE1865" s="4">
        <v>146</v>
      </c>
      <c r="AF1865" s="4">
        <v>1</v>
      </c>
      <c r="AG1865" s="4">
        <v>8</v>
      </c>
      <c r="AH1865" s="4">
        <v>98</v>
      </c>
      <c r="AI1865" s="4">
        <v>108</v>
      </c>
      <c r="AJ1865" s="4">
        <v>18</v>
      </c>
      <c r="AK1865" s="4">
        <v>26</v>
      </c>
      <c r="AL1865" s="4">
        <v>54</v>
      </c>
      <c r="AM1865" s="4">
        <v>56</v>
      </c>
      <c r="AN1865" s="4">
        <v>0</v>
      </c>
      <c r="AO1865" s="4">
        <v>0</v>
      </c>
      <c r="AP1865" s="4">
        <v>26</v>
      </c>
      <c r="AQ1865" s="4">
        <v>49</v>
      </c>
      <c r="AR1865" s="3" t="s">
        <v>64</v>
      </c>
      <c r="AS1865" s="3" t="s">
        <v>64</v>
      </c>
      <c r="AT1865" s="3" t="s">
        <v>64</v>
      </c>
      <c r="AV1865" s="6" t="str">
        <f>HYPERLINK("http://mcgill.on.worldcat.org/oclc/19623942","Catalog Record")</f>
        <v>Catalog Record</v>
      </c>
      <c r="AW1865" s="6" t="str">
        <f>HYPERLINK("http://www.worldcat.org/oclc/19623942","WorldCat Record")</f>
        <v>WorldCat Record</v>
      </c>
      <c r="AX1865" s="3" t="s">
        <v>19373</v>
      </c>
      <c r="AY1865" s="3" t="s">
        <v>19374</v>
      </c>
      <c r="AZ1865" s="3" t="s">
        <v>19375</v>
      </c>
      <c r="BA1865" s="3" t="s">
        <v>19375</v>
      </c>
      <c r="BB1865" s="3" t="s">
        <v>19376</v>
      </c>
      <c r="BC1865" s="3" t="s">
        <v>78</v>
      </c>
      <c r="BD1865" s="3" t="s">
        <v>414</v>
      </c>
      <c r="BE1865" s="3" t="s">
        <v>19377</v>
      </c>
      <c r="BF1865" s="3" t="s">
        <v>19376</v>
      </c>
      <c r="BG1865" s="3" t="s">
        <v>19378</v>
      </c>
    </row>
    <row r="1866" spans="1:59" ht="58" x14ac:dyDescent="0.35">
      <c r="A1866" s="2" t="s">
        <v>59</v>
      </c>
      <c r="B1866" s="2" t="s">
        <v>94</v>
      </c>
      <c r="C1866" s="2" t="s">
        <v>19379</v>
      </c>
      <c r="D1866" s="2" t="s">
        <v>19380</v>
      </c>
      <c r="E1866" s="2" t="s">
        <v>19381</v>
      </c>
      <c r="G1866" s="3" t="s">
        <v>64</v>
      </c>
      <c r="I1866" s="3" t="s">
        <v>64</v>
      </c>
      <c r="J1866" s="3" t="s">
        <v>64</v>
      </c>
      <c r="K1866" s="3" t="s">
        <v>65</v>
      </c>
      <c r="L1866" s="2" t="s">
        <v>19382</v>
      </c>
      <c r="M1866" s="2" t="s">
        <v>19383</v>
      </c>
      <c r="N1866" s="3" t="s">
        <v>1530</v>
      </c>
      <c r="P1866" s="3" t="s">
        <v>69</v>
      </c>
      <c r="R1866" s="3" t="s">
        <v>16939</v>
      </c>
      <c r="S1866" s="4">
        <v>6</v>
      </c>
      <c r="T1866" s="4">
        <v>6</v>
      </c>
      <c r="U1866" s="5" t="s">
        <v>19384</v>
      </c>
      <c r="V1866" s="5" t="s">
        <v>19384</v>
      </c>
      <c r="W1866" s="5" t="s">
        <v>72</v>
      </c>
      <c r="X1866" s="5" t="s">
        <v>72</v>
      </c>
      <c r="Y1866" s="4">
        <v>192</v>
      </c>
      <c r="Z1866" s="4">
        <v>16</v>
      </c>
      <c r="AA1866" s="4">
        <v>19</v>
      </c>
      <c r="AB1866" s="4">
        <v>1</v>
      </c>
      <c r="AC1866" s="4">
        <v>4</v>
      </c>
      <c r="AD1866" s="4">
        <v>69</v>
      </c>
      <c r="AE1866" s="4">
        <v>71</v>
      </c>
      <c r="AF1866" s="4">
        <v>0</v>
      </c>
      <c r="AG1866" s="4">
        <v>2</v>
      </c>
      <c r="AH1866" s="4">
        <v>61</v>
      </c>
      <c r="AI1866" s="4">
        <v>62</v>
      </c>
      <c r="AJ1866" s="4">
        <v>10</v>
      </c>
      <c r="AK1866" s="4">
        <v>12</v>
      </c>
      <c r="AL1866" s="4">
        <v>39</v>
      </c>
      <c r="AM1866" s="4">
        <v>39</v>
      </c>
      <c r="AN1866" s="4">
        <v>0</v>
      </c>
      <c r="AO1866" s="4">
        <v>0</v>
      </c>
      <c r="AP1866" s="4">
        <v>11</v>
      </c>
      <c r="AQ1866" s="4">
        <v>13</v>
      </c>
      <c r="AR1866" s="3" t="s">
        <v>64</v>
      </c>
      <c r="AS1866" s="3" t="s">
        <v>64</v>
      </c>
      <c r="AT1866" s="3" t="s">
        <v>64</v>
      </c>
      <c r="AV1866" s="6" t="str">
        <f>HYPERLINK("http://mcgill.on.worldcat.org/oclc/50091631","Catalog Record")</f>
        <v>Catalog Record</v>
      </c>
      <c r="AW1866" s="6" t="str">
        <f>HYPERLINK("http://www.worldcat.org/oclc/50091631","WorldCat Record")</f>
        <v>WorldCat Record</v>
      </c>
      <c r="AX1866" s="3" t="s">
        <v>19385</v>
      </c>
      <c r="AY1866" s="3" t="s">
        <v>19386</v>
      </c>
      <c r="AZ1866" s="3" t="s">
        <v>19387</v>
      </c>
      <c r="BA1866" s="3" t="s">
        <v>19387</v>
      </c>
      <c r="BB1866" s="3" t="s">
        <v>19388</v>
      </c>
      <c r="BC1866" s="3" t="s">
        <v>78</v>
      </c>
      <c r="BD1866" s="3" t="s">
        <v>79</v>
      </c>
      <c r="BE1866" s="3" t="s">
        <v>19389</v>
      </c>
      <c r="BF1866" s="3" t="s">
        <v>19388</v>
      </c>
      <c r="BG1866" s="3" t="s">
        <v>19390</v>
      </c>
    </row>
    <row r="1867" spans="1:59" ht="58" x14ac:dyDescent="0.35">
      <c r="A1867" s="2" t="s">
        <v>59</v>
      </c>
      <c r="B1867" s="2" t="s">
        <v>94</v>
      </c>
      <c r="C1867" s="2" t="s">
        <v>19391</v>
      </c>
      <c r="D1867" s="2" t="s">
        <v>19392</v>
      </c>
      <c r="E1867" s="2" t="s">
        <v>19393</v>
      </c>
      <c r="G1867" s="3" t="s">
        <v>64</v>
      </c>
      <c r="I1867" s="3" t="s">
        <v>64</v>
      </c>
      <c r="J1867" s="3" t="s">
        <v>64</v>
      </c>
      <c r="K1867" s="3" t="s">
        <v>65</v>
      </c>
      <c r="L1867" s="2" t="s">
        <v>19394</v>
      </c>
      <c r="M1867" s="2" t="s">
        <v>19395</v>
      </c>
      <c r="N1867" s="3" t="s">
        <v>328</v>
      </c>
      <c r="P1867" s="3" t="s">
        <v>69</v>
      </c>
      <c r="R1867" s="3" t="s">
        <v>16939</v>
      </c>
      <c r="S1867" s="4">
        <v>4</v>
      </c>
      <c r="T1867" s="4">
        <v>4</v>
      </c>
      <c r="U1867" s="5" t="s">
        <v>809</v>
      </c>
      <c r="V1867" s="5" t="s">
        <v>809</v>
      </c>
      <c r="W1867" s="5" t="s">
        <v>72</v>
      </c>
      <c r="X1867" s="5" t="s">
        <v>72</v>
      </c>
      <c r="Y1867" s="4">
        <v>171</v>
      </c>
      <c r="Z1867" s="4">
        <v>11</v>
      </c>
      <c r="AA1867" s="4">
        <v>83</v>
      </c>
      <c r="AB1867" s="4">
        <v>1</v>
      </c>
      <c r="AC1867" s="4">
        <v>14</v>
      </c>
      <c r="AD1867" s="4">
        <v>60</v>
      </c>
      <c r="AE1867" s="4">
        <v>125</v>
      </c>
      <c r="AF1867" s="4">
        <v>0</v>
      </c>
      <c r="AG1867" s="4">
        <v>8</v>
      </c>
      <c r="AH1867" s="4">
        <v>55</v>
      </c>
      <c r="AI1867" s="4">
        <v>90</v>
      </c>
      <c r="AJ1867" s="4">
        <v>7</v>
      </c>
      <c r="AK1867" s="4">
        <v>22</v>
      </c>
      <c r="AL1867" s="4">
        <v>36</v>
      </c>
      <c r="AM1867" s="4">
        <v>49</v>
      </c>
      <c r="AN1867" s="4">
        <v>0</v>
      </c>
      <c r="AO1867" s="4">
        <v>0</v>
      </c>
      <c r="AP1867" s="4">
        <v>8</v>
      </c>
      <c r="AQ1867" s="4">
        <v>43</v>
      </c>
      <c r="AR1867" s="3" t="s">
        <v>64</v>
      </c>
      <c r="AS1867" s="3" t="s">
        <v>64</v>
      </c>
      <c r="AT1867" s="3" t="s">
        <v>64</v>
      </c>
      <c r="AV1867" s="6" t="str">
        <f>HYPERLINK("http://mcgill.on.worldcat.org/oclc/670375351","Catalog Record")</f>
        <v>Catalog Record</v>
      </c>
      <c r="AW1867" s="6" t="str">
        <f>HYPERLINK("http://www.worldcat.org/oclc/670375351","WorldCat Record")</f>
        <v>WorldCat Record</v>
      </c>
      <c r="AX1867" s="3" t="s">
        <v>19396</v>
      </c>
      <c r="AY1867" s="3" t="s">
        <v>19397</v>
      </c>
      <c r="AZ1867" s="3" t="s">
        <v>19398</v>
      </c>
      <c r="BA1867" s="3" t="s">
        <v>19398</v>
      </c>
      <c r="BB1867" s="3" t="s">
        <v>19399</v>
      </c>
      <c r="BC1867" s="3" t="s">
        <v>78</v>
      </c>
      <c r="BD1867" s="3" t="s">
        <v>79</v>
      </c>
      <c r="BE1867" s="3" t="s">
        <v>19400</v>
      </c>
      <c r="BF1867" s="3" t="s">
        <v>19399</v>
      </c>
      <c r="BG1867" s="3" t="s">
        <v>19401</v>
      </c>
    </row>
    <row r="1868" spans="1:59" ht="58" x14ac:dyDescent="0.35">
      <c r="A1868" s="2" t="s">
        <v>59</v>
      </c>
      <c r="B1868" s="2" t="s">
        <v>94</v>
      </c>
      <c r="C1868" s="2" t="s">
        <v>19402</v>
      </c>
      <c r="D1868" s="2" t="s">
        <v>19403</v>
      </c>
      <c r="E1868" s="2" t="s">
        <v>19404</v>
      </c>
      <c r="G1868" s="3" t="s">
        <v>64</v>
      </c>
      <c r="I1868" s="3" t="s">
        <v>64</v>
      </c>
      <c r="J1868" s="3" t="s">
        <v>64</v>
      </c>
      <c r="K1868" s="3" t="s">
        <v>65</v>
      </c>
      <c r="L1868" s="2" t="s">
        <v>19405</v>
      </c>
      <c r="M1868" s="2" t="s">
        <v>19406</v>
      </c>
      <c r="N1868" s="3" t="s">
        <v>1530</v>
      </c>
      <c r="P1868" s="3" t="s">
        <v>69</v>
      </c>
      <c r="R1868" s="3" t="s">
        <v>16939</v>
      </c>
      <c r="S1868" s="4">
        <v>6</v>
      </c>
      <c r="T1868" s="4">
        <v>6</v>
      </c>
      <c r="U1868" s="5" t="s">
        <v>11217</v>
      </c>
      <c r="V1868" s="5" t="s">
        <v>11217</v>
      </c>
      <c r="W1868" s="5" t="s">
        <v>72</v>
      </c>
      <c r="X1868" s="5" t="s">
        <v>72</v>
      </c>
      <c r="Y1868" s="4">
        <v>170</v>
      </c>
      <c r="Z1868" s="4">
        <v>12</v>
      </c>
      <c r="AA1868" s="4">
        <v>12</v>
      </c>
      <c r="AB1868" s="4">
        <v>1</v>
      </c>
      <c r="AC1868" s="4">
        <v>1</v>
      </c>
      <c r="AD1868" s="4">
        <v>67</v>
      </c>
      <c r="AE1868" s="4">
        <v>67</v>
      </c>
      <c r="AF1868" s="4">
        <v>0</v>
      </c>
      <c r="AG1868" s="4">
        <v>0</v>
      </c>
      <c r="AH1868" s="4">
        <v>61</v>
      </c>
      <c r="AI1868" s="4">
        <v>61</v>
      </c>
      <c r="AJ1868" s="4">
        <v>8</v>
      </c>
      <c r="AK1868" s="4">
        <v>8</v>
      </c>
      <c r="AL1868" s="4">
        <v>37</v>
      </c>
      <c r="AM1868" s="4">
        <v>37</v>
      </c>
      <c r="AN1868" s="4">
        <v>0</v>
      </c>
      <c r="AO1868" s="4">
        <v>0</v>
      </c>
      <c r="AP1868" s="4">
        <v>9</v>
      </c>
      <c r="AQ1868" s="4">
        <v>9</v>
      </c>
      <c r="AR1868" s="3" t="s">
        <v>64</v>
      </c>
      <c r="AS1868" s="3" t="s">
        <v>64</v>
      </c>
      <c r="AT1868" s="3" t="s">
        <v>64</v>
      </c>
      <c r="AV1868" s="6" t="str">
        <f>HYPERLINK("http://mcgill.on.worldcat.org/oclc/48140594","Catalog Record")</f>
        <v>Catalog Record</v>
      </c>
      <c r="AW1868" s="6" t="str">
        <f>HYPERLINK("http://www.worldcat.org/oclc/48140594","WorldCat Record")</f>
        <v>WorldCat Record</v>
      </c>
      <c r="AX1868" s="3" t="s">
        <v>19407</v>
      </c>
      <c r="AY1868" s="3" t="s">
        <v>19408</v>
      </c>
      <c r="AZ1868" s="3" t="s">
        <v>19409</v>
      </c>
      <c r="BA1868" s="3" t="s">
        <v>19409</v>
      </c>
      <c r="BB1868" s="3" t="s">
        <v>19410</v>
      </c>
      <c r="BC1868" s="3" t="s">
        <v>78</v>
      </c>
      <c r="BD1868" s="3" t="s">
        <v>79</v>
      </c>
      <c r="BE1868" s="3" t="s">
        <v>19411</v>
      </c>
      <c r="BF1868" s="3" t="s">
        <v>19410</v>
      </c>
      <c r="BG1868" s="3" t="s">
        <v>19412</v>
      </c>
    </row>
    <row r="1869" spans="1:59" ht="58" x14ac:dyDescent="0.35">
      <c r="A1869" s="2" t="s">
        <v>59</v>
      </c>
      <c r="B1869" s="2" t="s">
        <v>94</v>
      </c>
      <c r="C1869" s="2" t="s">
        <v>19413</v>
      </c>
      <c r="D1869" s="2" t="s">
        <v>19414</v>
      </c>
      <c r="E1869" s="2" t="s">
        <v>19415</v>
      </c>
      <c r="G1869" s="3" t="s">
        <v>64</v>
      </c>
      <c r="I1869" s="3" t="s">
        <v>64</v>
      </c>
      <c r="J1869" s="3" t="s">
        <v>64</v>
      </c>
      <c r="K1869" s="3" t="s">
        <v>65</v>
      </c>
      <c r="L1869" s="2" t="s">
        <v>19416</v>
      </c>
      <c r="M1869" s="2" t="s">
        <v>19417</v>
      </c>
      <c r="N1869" s="3" t="s">
        <v>861</v>
      </c>
      <c r="P1869" s="3" t="s">
        <v>69</v>
      </c>
      <c r="R1869" s="3" t="s">
        <v>16939</v>
      </c>
      <c r="S1869" s="4">
        <v>47</v>
      </c>
      <c r="T1869" s="4">
        <v>47</v>
      </c>
      <c r="U1869" s="5" t="s">
        <v>4777</v>
      </c>
      <c r="V1869" s="5" t="s">
        <v>4777</v>
      </c>
      <c r="W1869" s="5" t="s">
        <v>72</v>
      </c>
      <c r="X1869" s="5" t="s">
        <v>72</v>
      </c>
      <c r="Y1869" s="4">
        <v>696</v>
      </c>
      <c r="Z1869" s="4">
        <v>39</v>
      </c>
      <c r="AA1869" s="4">
        <v>65</v>
      </c>
      <c r="AB1869" s="4">
        <v>2</v>
      </c>
      <c r="AC1869" s="4">
        <v>9</v>
      </c>
      <c r="AD1869" s="4">
        <v>98</v>
      </c>
      <c r="AE1869" s="4">
        <v>116</v>
      </c>
      <c r="AF1869" s="4">
        <v>1</v>
      </c>
      <c r="AG1869" s="4">
        <v>6</v>
      </c>
      <c r="AH1869" s="4">
        <v>83</v>
      </c>
      <c r="AI1869" s="4">
        <v>91</v>
      </c>
      <c r="AJ1869" s="4">
        <v>13</v>
      </c>
      <c r="AK1869" s="4">
        <v>19</v>
      </c>
      <c r="AL1869" s="4">
        <v>45</v>
      </c>
      <c r="AM1869" s="4">
        <v>48</v>
      </c>
      <c r="AN1869" s="4">
        <v>0</v>
      </c>
      <c r="AO1869" s="4">
        <v>0</v>
      </c>
      <c r="AP1869" s="4">
        <v>23</v>
      </c>
      <c r="AQ1869" s="4">
        <v>33</v>
      </c>
      <c r="AR1869" s="3" t="s">
        <v>64</v>
      </c>
      <c r="AS1869" s="3" t="s">
        <v>64</v>
      </c>
      <c r="AT1869" s="3" t="s">
        <v>64</v>
      </c>
      <c r="AV1869" s="6" t="str">
        <f>HYPERLINK("http://mcgill.on.worldcat.org/oclc/53830868","Catalog Record")</f>
        <v>Catalog Record</v>
      </c>
      <c r="AW1869" s="6" t="str">
        <f>HYPERLINK("http://www.worldcat.org/oclc/53830868","WorldCat Record")</f>
        <v>WorldCat Record</v>
      </c>
      <c r="AX1869" s="3" t="s">
        <v>19418</v>
      </c>
      <c r="AY1869" s="3" t="s">
        <v>19419</v>
      </c>
      <c r="AZ1869" s="3" t="s">
        <v>19420</v>
      </c>
      <c r="BA1869" s="3" t="s">
        <v>19420</v>
      </c>
      <c r="BB1869" s="3" t="s">
        <v>19421</v>
      </c>
      <c r="BC1869" s="3" t="s">
        <v>78</v>
      </c>
      <c r="BD1869" s="3" t="s">
        <v>79</v>
      </c>
      <c r="BE1869" s="3" t="s">
        <v>19422</v>
      </c>
      <c r="BF1869" s="3" t="s">
        <v>19421</v>
      </c>
      <c r="BG1869" s="3" t="s">
        <v>19423</v>
      </c>
    </row>
    <row r="1870" spans="1:59" ht="58" x14ac:dyDescent="0.35">
      <c r="A1870" s="2" t="s">
        <v>59</v>
      </c>
      <c r="B1870" s="2" t="s">
        <v>94</v>
      </c>
      <c r="C1870" s="2" t="s">
        <v>19424</v>
      </c>
      <c r="D1870" s="2" t="s">
        <v>19425</v>
      </c>
      <c r="E1870" s="2" t="s">
        <v>19426</v>
      </c>
      <c r="G1870" s="3" t="s">
        <v>64</v>
      </c>
      <c r="I1870" s="3" t="s">
        <v>64</v>
      </c>
      <c r="J1870" s="3" t="s">
        <v>64</v>
      </c>
      <c r="K1870" s="3" t="s">
        <v>65</v>
      </c>
      <c r="M1870" s="2" t="s">
        <v>19427</v>
      </c>
      <c r="N1870" s="3" t="s">
        <v>214</v>
      </c>
      <c r="P1870" s="3" t="s">
        <v>69</v>
      </c>
      <c r="Q1870" s="2" t="s">
        <v>19428</v>
      </c>
      <c r="R1870" s="3" t="s">
        <v>16939</v>
      </c>
      <c r="S1870" s="4">
        <v>7</v>
      </c>
      <c r="T1870" s="4">
        <v>7</v>
      </c>
      <c r="U1870" s="5" t="s">
        <v>19429</v>
      </c>
      <c r="V1870" s="5" t="s">
        <v>19429</v>
      </c>
      <c r="W1870" s="5" t="s">
        <v>72</v>
      </c>
      <c r="X1870" s="5" t="s">
        <v>72</v>
      </c>
      <c r="Y1870" s="4">
        <v>365</v>
      </c>
      <c r="Z1870" s="4">
        <v>20</v>
      </c>
      <c r="AA1870" s="4">
        <v>20</v>
      </c>
      <c r="AB1870" s="4">
        <v>3</v>
      </c>
      <c r="AC1870" s="4">
        <v>3</v>
      </c>
      <c r="AD1870" s="4">
        <v>13</v>
      </c>
      <c r="AE1870" s="4">
        <v>13</v>
      </c>
      <c r="AF1870" s="4">
        <v>1</v>
      </c>
      <c r="AG1870" s="4">
        <v>1</v>
      </c>
      <c r="AH1870" s="4">
        <v>9</v>
      </c>
      <c r="AI1870" s="4">
        <v>9</v>
      </c>
      <c r="AJ1870" s="4">
        <v>0</v>
      </c>
      <c r="AK1870" s="4">
        <v>0</v>
      </c>
      <c r="AL1870" s="4">
        <v>5</v>
      </c>
      <c r="AM1870" s="4">
        <v>5</v>
      </c>
      <c r="AN1870" s="4">
        <v>0</v>
      </c>
      <c r="AO1870" s="4">
        <v>0</v>
      </c>
      <c r="AP1870" s="4">
        <v>3</v>
      </c>
      <c r="AQ1870" s="4">
        <v>3</v>
      </c>
      <c r="AR1870" s="3" t="s">
        <v>64</v>
      </c>
      <c r="AS1870" s="3" t="s">
        <v>64</v>
      </c>
      <c r="AT1870" s="3" t="s">
        <v>64</v>
      </c>
      <c r="AV1870" s="6" t="str">
        <f>HYPERLINK("http://mcgill.on.worldcat.org/oclc/441154109","Catalog Record")</f>
        <v>Catalog Record</v>
      </c>
      <c r="AW1870" s="6" t="str">
        <f>HYPERLINK("http://www.worldcat.org/oclc/441154109","WorldCat Record")</f>
        <v>WorldCat Record</v>
      </c>
      <c r="AX1870" s="3" t="s">
        <v>19430</v>
      </c>
      <c r="AY1870" s="3" t="s">
        <v>19431</v>
      </c>
      <c r="AZ1870" s="3" t="s">
        <v>19432</v>
      </c>
      <c r="BA1870" s="3" t="s">
        <v>19432</v>
      </c>
      <c r="BB1870" s="3" t="s">
        <v>19433</v>
      </c>
      <c r="BC1870" s="3" t="s">
        <v>78</v>
      </c>
      <c r="BD1870" s="3" t="s">
        <v>79</v>
      </c>
      <c r="BE1870" s="3" t="s">
        <v>19434</v>
      </c>
      <c r="BF1870" s="3" t="s">
        <v>19433</v>
      </c>
      <c r="BG1870" s="3" t="s">
        <v>19435</v>
      </c>
    </row>
    <row r="1871" spans="1:59" ht="58" x14ac:dyDescent="0.35">
      <c r="A1871" s="2" t="s">
        <v>59</v>
      </c>
      <c r="B1871" s="2" t="s">
        <v>94</v>
      </c>
      <c r="C1871" s="2" t="s">
        <v>19436</v>
      </c>
      <c r="D1871" s="2" t="s">
        <v>19437</v>
      </c>
      <c r="E1871" s="2" t="s">
        <v>19438</v>
      </c>
      <c r="G1871" s="3" t="s">
        <v>64</v>
      </c>
      <c r="I1871" s="3" t="s">
        <v>64</v>
      </c>
      <c r="J1871" s="3" t="s">
        <v>64</v>
      </c>
      <c r="K1871" s="3" t="s">
        <v>65</v>
      </c>
      <c r="L1871" s="2" t="s">
        <v>19439</v>
      </c>
      <c r="M1871" s="2" t="s">
        <v>19440</v>
      </c>
      <c r="N1871" s="3" t="s">
        <v>214</v>
      </c>
      <c r="P1871" s="3" t="s">
        <v>69</v>
      </c>
      <c r="R1871" s="3" t="s">
        <v>16939</v>
      </c>
      <c r="S1871" s="4">
        <v>19</v>
      </c>
      <c r="T1871" s="4">
        <v>19</v>
      </c>
      <c r="U1871" s="5" t="s">
        <v>11827</v>
      </c>
      <c r="V1871" s="5" t="s">
        <v>11827</v>
      </c>
      <c r="W1871" s="5" t="s">
        <v>72</v>
      </c>
      <c r="X1871" s="5" t="s">
        <v>72</v>
      </c>
      <c r="Y1871" s="4">
        <v>162</v>
      </c>
      <c r="Z1871" s="4">
        <v>107</v>
      </c>
      <c r="AA1871" s="4">
        <v>137</v>
      </c>
      <c r="AB1871" s="4">
        <v>6</v>
      </c>
      <c r="AC1871" s="4">
        <v>8</v>
      </c>
      <c r="AD1871" s="4">
        <v>56</v>
      </c>
      <c r="AE1871" s="4">
        <v>90</v>
      </c>
      <c r="AF1871" s="4">
        <v>1</v>
      </c>
      <c r="AG1871" s="4">
        <v>2</v>
      </c>
      <c r="AH1871" s="4">
        <v>37</v>
      </c>
      <c r="AI1871" s="4">
        <v>66</v>
      </c>
      <c r="AJ1871" s="4">
        <v>15</v>
      </c>
      <c r="AK1871" s="4">
        <v>21</v>
      </c>
      <c r="AL1871" s="4">
        <v>20</v>
      </c>
      <c r="AM1871" s="4">
        <v>34</v>
      </c>
      <c r="AN1871" s="4">
        <v>0</v>
      </c>
      <c r="AO1871" s="4">
        <v>0</v>
      </c>
      <c r="AP1871" s="4">
        <v>26</v>
      </c>
      <c r="AQ1871" s="4">
        <v>33</v>
      </c>
      <c r="AR1871" s="3" t="s">
        <v>73</v>
      </c>
      <c r="AS1871" s="3" t="s">
        <v>64</v>
      </c>
      <c r="AT1871" s="3" t="s">
        <v>64</v>
      </c>
      <c r="AV1871" s="6" t="str">
        <f>HYPERLINK("http://mcgill.on.worldcat.org/oclc/505417148","Catalog Record")</f>
        <v>Catalog Record</v>
      </c>
      <c r="AW1871" s="6" t="str">
        <f>HYPERLINK("http://www.worldcat.org/oclc/505417148","WorldCat Record")</f>
        <v>WorldCat Record</v>
      </c>
      <c r="AX1871" s="3" t="s">
        <v>19441</v>
      </c>
      <c r="AY1871" s="3" t="s">
        <v>19442</v>
      </c>
      <c r="AZ1871" s="3" t="s">
        <v>19443</v>
      </c>
      <c r="BA1871" s="3" t="s">
        <v>19443</v>
      </c>
      <c r="BB1871" s="3" t="s">
        <v>19444</v>
      </c>
      <c r="BC1871" s="3" t="s">
        <v>78</v>
      </c>
      <c r="BD1871" s="3" t="s">
        <v>79</v>
      </c>
      <c r="BE1871" s="3" t="s">
        <v>19445</v>
      </c>
      <c r="BF1871" s="3" t="s">
        <v>19444</v>
      </c>
      <c r="BG1871" s="3" t="s">
        <v>19446</v>
      </c>
    </row>
    <row r="1872" spans="1:59" ht="58" x14ac:dyDescent="0.35">
      <c r="A1872" s="2" t="s">
        <v>59</v>
      </c>
      <c r="B1872" s="2" t="s">
        <v>94</v>
      </c>
      <c r="C1872" s="2" t="s">
        <v>19447</v>
      </c>
      <c r="D1872" s="2" t="s">
        <v>19448</v>
      </c>
      <c r="E1872" s="2" t="s">
        <v>19449</v>
      </c>
      <c r="G1872" s="3" t="s">
        <v>64</v>
      </c>
      <c r="I1872" s="3" t="s">
        <v>64</v>
      </c>
      <c r="J1872" s="3" t="s">
        <v>64</v>
      </c>
      <c r="K1872" s="3" t="s">
        <v>65</v>
      </c>
      <c r="L1872" s="2" t="s">
        <v>19450</v>
      </c>
      <c r="M1872" s="2" t="s">
        <v>19451</v>
      </c>
      <c r="N1872" s="3" t="s">
        <v>473</v>
      </c>
      <c r="P1872" s="3" t="s">
        <v>69</v>
      </c>
      <c r="R1872" s="3" t="s">
        <v>16939</v>
      </c>
      <c r="S1872" s="4">
        <v>11</v>
      </c>
      <c r="T1872" s="4">
        <v>11</v>
      </c>
      <c r="U1872" s="5" t="s">
        <v>19452</v>
      </c>
      <c r="V1872" s="5" t="s">
        <v>19452</v>
      </c>
      <c r="W1872" s="5" t="s">
        <v>72</v>
      </c>
      <c r="X1872" s="5" t="s">
        <v>72</v>
      </c>
      <c r="Y1872" s="4">
        <v>171</v>
      </c>
      <c r="Z1872" s="4">
        <v>32</v>
      </c>
      <c r="AA1872" s="4">
        <v>108</v>
      </c>
      <c r="AB1872" s="4">
        <v>2</v>
      </c>
      <c r="AC1872" s="4">
        <v>20</v>
      </c>
      <c r="AD1872" s="4">
        <v>83</v>
      </c>
      <c r="AE1872" s="4">
        <v>147</v>
      </c>
      <c r="AF1872" s="4">
        <v>0</v>
      </c>
      <c r="AG1872" s="4">
        <v>9</v>
      </c>
      <c r="AH1872" s="4">
        <v>68</v>
      </c>
      <c r="AI1872" s="4">
        <v>96</v>
      </c>
      <c r="AJ1872" s="4">
        <v>20</v>
      </c>
      <c r="AK1872" s="4">
        <v>29</v>
      </c>
      <c r="AL1872" s="4">
        <v>41</v>
      </c>
      <c r="AM1872" s="4">
        <v>54</v>
      </c>
      <c r="AN1872" s="4">
        <v>0</v>
      </c>
      <c r="AO1872" s="4">
        <v>0</v>
      </c>
      <c r="AP1872" s="4">
        <v>24</v>
      </c>
      <c r="AQ1872" s="4">
        <v>59</v>
      </c>
      <c r="AR1872" s="3" t="s">
        <v>73</v>
      </c>
      <c r="AS1872" s="3" t="s">
        <v>64</v>
      </c>
      <c r="AT1872" s="3" t="s">
        <v>64</v>
      </c>
      <c r="AV1872" s="6" t="str">
        <f>HYPERLINK("http://mcgill.on.worldcat.org/oclc/24321344","Catalog Record")</f>
        <v>Catalog Record</v>
      </c>
      <c r="AW1872" s="6" t="str">
        <f>HYPERLINK("http://www.worldcat.org/oclc/24321344","WorldCat Record")</f>
        <v>WorldCat Record</v>
      </c>
      <c r="AX1872" s="3" t="s">
        <v>19453</v>
      </c>
      <c r="AY1872" s="3" t="s">
        <v>19454</v>
      </c>
      <c r="AZ1872" s="3" t="s">
        <v>19455</v>
      </c>
      <c r="BA1872" s="3" t="s">
        <v>19455</v>
      </c>
      <c r="BB1872" s="3" t="s">
        <v>19456</v>
      </c>
      <c r="BC1872" s="3" t="s">
        <v>78</v>
      </c>
      <c r="BD1872" s="3" t="s">
        <v>79</v>
      </c>
      <c r="BE1872" s="3" t="s">
        <v>19457</v>
      </c>
      <c r="BF1872" s="3" t="s">
        <v>19456</v>
      </c>
      <c r="BG1872" s="3" t="s">
        <v>19458</v>
      </c>
    </row>
    <row r="1873" spans="1:59" ht="58" x14ac:dyDescent="0.35">
      <c r="A1873" s="2" t="s">
        <v>59</v>
      </c>
      <c r="B1873" s="2" t="s">
        <v>94</v>
      </c>
      <c r="C1873" s="2" t="s">
        <v>19459</v>
      </c>
      <c r="D1873" s="2" t="s">
        <v>19460</v>
      </c>
      <c r="E1873" s="2" t="s">
        <v>19461</v>
      </c>
      <c r="G1873" s="3" t="s">
        <v>64</v>
      </c>
      <c r="I1873" s="3" t="s">
        <v>64</v>
      </c>
      <c r="J1873" s="3" t="s">
        <v>64</v>
      </c>
      <c r="K1873" s="3" t="s">
        <v>65</v>
      </c>
      <c r="M1873" s="2" t="s">
        <v>19462</v>
      </c>
      <c r="N1873" s="3" t="s">
        <v>1764</v>
      </c>
      <c r="P1873" s="3" t="s">
        <v>69</v>
      </c>
      <c r="Q1873" s="2" t="s">
        <v>19463</v>
      </c>
      <c r="R1873" s="3" t="s">
        <v>16939</v>
      </c>
      <c r="S1873" s="4">
        <v>33</v>
      </c>
      <c r="T1873" s="4">
        <v>33</v>
      </c>
      <c r="U1873" s="5" t="s">
        <v>19464</v>
      </c>
      <c r="V1873" s="5" t="s">
        <v>19464</v>
      </c>
      <c r="W1873" s="5" t="s">
        <v>72</v>
      </c>
      <c r="X1873" s="5" t="s">
        <v>72</v>
      </c>
      <c r="Y1873" s="4">
        <v>703</v>
      </c>
      <c r="Z1873" s="4">
        <v>35</v>
      </c>
      <c r="AA1873" s="4">
        <v>38</v>
      </c>
      <c r="AB1873" s="4">
        <v>2</v>
      </c>
      <c r="AC1873" s="4">
        <v>4</v>
      </c>
      <c r="AD1873" s="4">
        <v>114</v>
      </c>
      <c r="AE1873" s="4">
        <v>117</v>
      </c>
      <c r="AF1873" s="4">
        <v>1</v>
      </c>
      <c r="AG1873" s="4">
        <v>3</v>
      </c>
      <c r="AH1873" s="4">
        <v>97</v>
      </c>
      <c r="AI1873" s="4">
        <v>98</v>
      </c>
      <c r="AJ1873" s="4">
        <v>16</v>
      </c>
      <c r="AK1873" s="4">
        <v>18</v>
      </c>
      <c r="AL1873" s="4">
        <v>53</v>
      </c>
      <c r="AM1873" s="4">
        <v>53</v>
      </c>
      <c r="AN1873" s="4">
        <v>0</v>
      </c>
      <c r="AO1873" s="4">
        <v>0</v>
      </c>
      <c r="AP1873" s="4">
        <v>24</v>
      </c>
      <c r="AQ1873" s="4">
        <v>26</v>
      </c>
      <c r="AR1873" s="3" t="s">
        <v>64</v>
      </c>
      <c r="AS1873" s="3" t="s">
        <v>64</v>
      </c>
      <c r="AT1873" s="3" t="s">
        <v>73</v>
      </c>
      <c r="AU1873" s="6" t="str">
        <f>HYPERLINK("http://catalog.hathitrust.org/Record/000193059","HathiTrust Record")</f>
        <v>HathiTrust Record</v>
      </c>
      <c r="AV1873" s="6" t="str">
        <f>HYPERLINK("http://mcgill.on.worldcat.org/oclc/7876448","Catalog Record")</f>
        <v>Catalog Record</v>
      </c>
      <c r="AW1873" s="6" t="str">
        <f>HYPERLINK("http://www.worldcat.org/oclc/7876448","WorldCat Record")</f>
        <v>WorldCat Record</v>
      </c>
      <c r="AX1873" s="3" t="s">
        <v>19465</v>
      </c>
      <c r="AY1873" s="3" t="s">
        <v>19466</v>
      </c>
      <c r="AZ1873" s="3" t="s">
        <v>19467</v>
      </c>
      <c r="BA1873" s="3" t="s">
        <v>19467</v>
      </c>
      <c r="BB1873" s="3" t="s">
        <v>19468</v>
      </c>
      <c r="BC1873" s="3" t="s">
        <v>78</v>
      </c>
      <c r="BD1873" s="3" t="s">
        <v>79</v>
      </c>
      <c r="BE1873" s="3" t="s">
        <v>19469</v>
      </c>
      <c r="BF1873" s="3" t="s">
        <v>19468</v>
      </c>
      <c r="BG1873" s="3" t="s">
        <v>19470</v>
      </c>
    </row>
    <row r="1874" spans="1:59" ht="58" x14ac:dyDescent="0.35">
      <c r="A1874" s="2" t="s">
        <v>59</v>
      </c>
      <c r="B1874" s="2" t="s">
        <v>94</v>
      </c>
      <c r="C1874" s="2" t="s">
        <v>19471</v>
      </c>
      <c r="D1874" s="2" t="s">
        <v>19472</v>
      </c>
      <c r="E1874" s="2" t="s">
        <v>19473</v>
      </c>
      <c r="G1874" s="3" t="s">
        <v>64</v>
      </c>
      <c r="I1874" s="3" t="s">
        <v>64</v>
      </c>
      <c r="J1874" s="3" t="s">
        <v>64</v>
      </c>
      <c r="K1874" s="3" t="s">
        <v>65</v>
      </c>
      <c r="L1874" s="2" t="s">
        <v>19474</v>
      </c>
      <c r="M1874" s="2" t="s">
        <v>19475</v>
      </c>
      <c r="N1874" s="3" t="s">
        <v>651</v>
      </c>
      <c r="P1874" s="3" t="s">
        <v>162</v>
      </c>
      <c r="R1874" s="3" t="s">
        <v>16939</v>
      </c>
      <c r="S1874" s="4">
        <v>15</v>
      </c>
      <c r="T1874" s="4">
        <v>15</v>
      </c>
      <c r="U1874" s="5" t="s">
        <v>19476</v>
      </c>
      <c r="V1874" s="5" t="s">
        <v>19476</v>
      </c>
      <c r="W1874" s="5" t="s">
        <v>72</v>
      </c>
      <c r="X1874" s="5" t="s">
        <v>72</v>
      </c>
      <c r="Y1874" s="4">
        <v>15</v>
      </c>
      <c r="Z1874" s="4">
        <v>4</v>
      </c>
      <c r="AA1874" s="4">
        <v>10</v>
      </c>
      <c r="AB1874" s="4">
        <v>1</v>
      </c>
      <c r="AC1874" s="4">
        <v>5</v>
      </c>
      <c r="AD1874" s="4">
        <v>11</v>
      </c>
      <c r="AE1874" s="4">
        <v>15</v>
      </c>
      <c r="AF1874" s="4">
        <v>0</v>
      </c>
      <c r="AG1874" s="4">
        <v>2</v>
      </c>
      <c r="AH1874" s="4">
        <v>10</v>
      </c>
      <c r="AI1874" s="4">
        <v>13</v>
      </c>
      <c r="AJ1874" s="4">
        <v>2</v>
      </c>
      <c r="AK1874" s="4">
        <v>6</v>
      </c>
      <c r="AL1874" s="4">
        <v>6</v>
      </c>
      <c r="AM1874" s="4">
        <v>6</v>
      </c>
      <c r="AN1874" s="4">
        <v>0</v>
      </c>
      <c r="AO1874" s="4">
        <v>0</v>
      </c>
      <c r="AP1874" s="4">
        <v>2</v>
      </c>
      <c r="AQ1874" s="4">
        <v>6</v>
      </c>
      <c r="AR1874" s="3" t="s">
        <v>64</v>
      </c>
      <c r="AS1874" s="3" t="s">
        <v>64</v>
      </c>
      <c r="AT1874" s="3" t="s">
        <v>64</v>
      </c>
      <c r="AV1874" s="6" t="str">
        <f>HYPERLINK("http://mcgill.on.worldcat.org/oclc/53144366","Catalog Record")</f>
        <v>Catalog Record</v>
      </c>
      <c r="AW1874" s="6" t="str">
        <f>HYPERLINK("http://www.worldcat.org/oclc/53144366","WorldCat Record")</f>
        <v>WorldCat Record</v>
      </c>
      <c r="AX1874" s="3" t="s">
        <v>19477</v>
      </c>
      <c r="AY1874" s="3" t="s">
        <v>19478</v>
      </c>
      <c r="AZ1874" s="3" t="s">
        <v>19479</v>
      </c>
      <c r="BA1874" s="3" t="s">
        <v>19479</v>
      </c>
      <c r="BB1874" s="3" t="s">
        <v>19480</v>
      </c>
      <c r="BC1874" s="3" t="s">
        <v>78</v>
      </c>
      <c r="BD1874" s="3" t="s">
        <v>79</v>
      </c>
      <c r="BE1874" s="3" t="s">
        <v>19481</v>
      </c>
      <c r="BF1874" s="3" t="s">
        <v>19480</v>
      </c>
      <c r="BG1874" s="3" t="s">
        <v>19482</v>
      </c>
    </row>
    <row r="1875" spans="1:59" ht="58" x14ac:dyDescent="0.35">
      <c r="A1875" s="2" t="s">
        <v>59</v>
      </c>
      <c r="B1875" s="2" t="s">
        <v>94</v>
      </c>
      <c r="C1875" s="2" t="s">
        <v>19483</v>
      </c>
      <c r="D1875" s="2" t="s">
        <v>19484</v>
      </c>
      <c r="E1875" s="2" t="s">
        <v>19485</v>
      </c>
      <c r="G1875" s="3" t="s">
        <v>64</v>
      </c>
      <c r="I1875" s="3" t="s">
        <v>64</v>
      </c>
      <c r="J1875" s="3" t="s">
        <v>64</v>
      </c>
      <c r="K1875" s="3" t="s">
        <v>65</v>
      </c>
      <c r="L1875" s="2" t="s">
        <v>19486</v>
      </c>
      <c r="M1875" s="2" t="s">
        <v>19487</v>
      </c>
      <c r="N1875" s="3" t="s">
        <v>340</v>
      </c>
      <c r="P1875" s="3" t="s">
        <v>69</v>
      </c>
      <c r="Q1875" s="2" t="s">
        <v>450</v>
      </c>
      <c r="R1875" s="3" t="s">
        <v>16939</v>
      </c>
      <c r="S1875" s="4">
        <v>7</v>
      </c>
      <c r="T1875" s="4">
        <v>7</v>
      </c>
      <c r="U1875" s="5" t="s">
        <v>16576</v>
      </c>
      <c r="V1875" s="5" t="s">
        <v>16576</v>
      </c>
      <c r="W1875" s="5" t="s">
        <v>72</v>
      </c>
      <c r="X1875" s="5" t="s">
        <v>72</v>
      </c>
      <c r="Y1875" s="4">
        <v>198</v>
      </c>
      <c r="Z1875" s="4">
        <v>8</v>
      </c>
      <c r="AA1875" s="4">
        <v>8</v>
      </c>
      <c r="AB1875" s="4">
        <v>1</v>
      </c>
      <c r="AC1875" s="4">
        <v>1</v>
      </c>
      <c r="AD1875" s="4">
        <v>84</v>
      </c>
      <c r="AE1875" s="4">
        <v>84</v>
      </c>
      <c r="AF1875" s="4">
        <v>0</v>
      </c>
      <c r="AG1875" s="4">
        <v>0</v>
      </c>
      <c r="AH1875" s="4">
        <v>78</v>
      </c>
      <c r="AI1875" s="4">
        <v>78</v>
      </c>
      <c r="AJ1875" s="4">
        <v>5</v>
      </c>
      <c r="AK1875" s="4">
        <v>5</v>
      </c>
      <c r="AL1875" s="4">
        <v>52</v>
      </c>
      <c r="AM1875" s="4">
        <v>52</v>
      </c>
      <c r="AN1875" s="4">
        <v>0</v>
      </c>
      <c r="AO1875" s="4">
        <v>0</v>
      </c>
      <c r="AP1875" s="4">
        <v>5</v>
      </c>
      <c r="AQ1875" s="4">
        <v>5</v>
      </c>
      <c r="AR1875" s="3" t="s">
        <v>64</v>
      </c>
      <c r="AS1875" s="3" t="s">
        <v>64</v>
      </c>
      <c r="AT1875" s="3" t="s">
        <v>64</v>
      </c>
      <c r="AV1875" s="6" t="str">
        <f>HYPERLINK("http://mcgill.on.worldcat.org/oclc/38106167","Catalog Record")</f>
        <v>Catalog Record</v>
      </c>
      <c r="AW1875" s="6" t="str">
        <f>HYPERLINK("http://www.worldcat.org/oclc/38106167","WorldCat Record")</f>
        <v>WorldCat Record</v>
      </c>
      <c r="AX1875" s="3" t="s">
        <v>19488</v>
      </c>
      <c r="AY1875" s="3" t="s">
        <v>19489</v>
      </c>
      <c r="AZ1875" s="3" t="s">
        <v>19490</v>
      </c>
      <c r="BA1875" s="3" t="s">
        <v>19490</v>
      </c>
      <c r="BB1875" s="3" t="s">
        <v>19491</v>
      </c>
      <c r="BC1875" s="3" t="s">
        <v>78</v>
      </c>
      <c r="BD1875" s="3" t="s">
        <v>79</v>
      </c>
      <c r="BE1875" s="3" t="s">
        <v>19492</v>
      </c>
      <c r="BF1875" s="3" t="s">
        <v>19491</v>
      </c>
      <c r="BG1875" s="3" t="s">
        <v>19493</v>
      </c>
    </row>
    <row r="1876" spans="1:59" ht="58" x14ac:dyDescent="0.35">
      <c r="A1876" s="2" t="s">
        <v>59</v>
      </c>
      <c r="B1876" s="2" t="s">
        <v>94</v>
      </c>
      <c r="C1876" s="2" t="s">
        <v>19494</v>
      </c>
      <c r="D1876" s="2" t="s">
        <v>19495</v>
      </c>
      <c r="E1876" s="2" t="s">
        <v>19496</v>
      </c>
      <c r="G1876" s="3" t="s">
        <v>64</v>
      </c>
      <c r="I1876" s="3" t="s">
        <v>64</v>
      </c>
      <c r="J1876" s="3" t="s">
        <v>64</v>
      </c>
      <c r="K1876" s="3" t="s">
        <v>65</v>
      </c>
      <c r="L1876" s="2" t="s">
        <v>19497</v>
      </c>
      <c r="M1876" s="2" t="s">
        <v>19498</v>
      </c>
      <c r="N1876" s="3" t="s">
        <v>499</v>
      </c>
      <c r="P1876" s="3" t="s">
        <v>69</v>
      </c>
      <c r="Q1876" s="2" t="s">
        <v>19499</v>
      </c>
      <c r="R1876" s="3" t="s">
        <v>16939</v>
      </c>
      <c r="S1876" s="4">
        <v>47</v>
      </c>
      <c r="T1876" s="4">
        <v>47</v>
      </c>
      <c r="U1876" s="5" t="s">
        <v>3774</v>
      </c>
      <c r="V1876" s="5" t="s">
        <v>3774</v>
      </c>
      <c r="W1876" s="5" t="s">
        <v>72</v>
      </c>
      <c r="X1876" s="5" t="s">
        <v>72</v>
      </c>
      <c r="Y1876" s="4">
        <v>592</v>
      </c>
      <c r="Z1876" s="4">
        <v>42</v>
      </c>
      <c r="AA1876" s="4">
        <v>124</v>
      </c>
      <c r="AB1876" s="4">
        <v>2</v>
      </c>
      <c r="AC1876" s="4">
        <v>19</v>
      </c>
      <c r="AD1876" s="4">
        <v>112</v>
      </c>
      <c r="AE1876" s="4">
        <v>152</v>
      </c>
      <c r="AF1876" s="4">
        <v>1</v>
      </c>
      <c r="AG1876" s="4">
        <v>8</v>
      </c>
      <c r="AH1876" s="4">
        <v>93</v>
      </c>
      <c r="AI1876" s="4">
        <v>111</v>
      </c>
      <c r="AJ1876" s="4">
        <v>16</v>
      </c>
      <c r="AK1876" s="4">
        <v>25</v>
      </c>
      <c r="AL1876" s="4">
        <v>54</v>
      </c>
      <c r="AM1876" s="4">
        <v>58</v>
      </c>
      <c r="AN1876" s="4">
        <v>0</v>
      </c>
      <c r="AO1876" s="4">
        <v>0</v>
      </c>
      <c r="AP1876" s="4">
        <v>25</v>
      </c>
      <c r="AQ1876" s="4">
        <v>50</v>
      </c>
      <c r="AR1876" s="3" t="s">
        <v>64</v>
      </c>
      <c r="AS1876" s="3" t="s">
        <v>64</v>
      </c>
      <c r="AT1876" s="3" t="s">
        <v>64</v>
      </c>
      <c r="AV1876" s="6" t="str">
        <f>HYPERLINK("http://mcgill.on.worldcat.org/oclc/55981499","Catalog Record")</f>
        <v>Catalog Record</v>
      </c>
      <c r="AW1876" s="6" t="str">
        <f>HYPERLINK("http://www.worldcat.org/oclc/55981499","WorldCat Record")</f>
        <v>WorldCat Record</v>
      </c>
      <c r="AX1876" s="3" t="s">
        <v>19500</v>
      </c>
      <c r="AY1876" s="3" t="s">
        <v>19501</v>
      </c>
      <c r="AZ1876" s="3" t="s">
        <v>19502</v>
      </c>
      <c r="BA1876" s="3" t="s">
        <v>19502</v>
      </c>
      <c r="BB1876" s="3" t="s">
        <v>19503</v>
      </c>
      <c r="BC1876" s="3" t="s">
        <v>78</v>
      </c>
      <c r="BD1876" s="3" t="s">
        <v>79</v>
      </c>
      <c r="BE1876" s="3" t="s">
        <v>19504</v>
      </c>
      <c r="BF1876" s="3" t="s">
        <v>19503</v>
      </c>
      <c r="BG1876" s="3" t="s">
        <v>19505</v>
      </c>
    </row>
    <row r="1877" spans="1:59" ht="58" x14ac:dyDescent="0.35">
      <c r="A1877" s="2" t="s">
        <v>59</v>
      </c>
      <c r="B1877" s="2" t="s">
        <v>94</v>
      </c>
      <c r="C1877" s="2" t="s">
        <v>19506</v>
      </c>
      <c r="D1877" s="2" t="s">
        <v>19507</v>
      </c>
      <c r="E1877" s="2" t="s">
        <v>19508</v>
      </c>
      <c r="G1877" s="3" t="s">
        <v>64</v>
      </c>
      <c r="I1877" s="3" t="s">
        <v>64</v>
      </c>
      <c r="J1877" s="3" t="s">
        <v>64</v>
      </c>
      <c r="K1877" s="3" t="s">
        <v>65</v>
      </c>
      <c r="L1877" s="2" t="s">
        <v>19509</v>
      </c>
      <c r="M1877" s="2" t="s">
        <v>19510</v>
      </c>
      <c r="N1877" s="3" t="s">
        <v>499</v>
      </c>
      <c r="P1877" s="3" t="s">
        <v>69</v>
      </c>
      <c r="R1877" s="3" t="s">
        <v>16939</v>
      </c>
      <c r="S1877" s="4">
        <v>54</v>
      </c>
      <c r="T1877" s="4">
        <v>54</v>
      </c>
      <c r="U1877" s="5" t="s">
        <v>4777</v>
      </c>
      <c r="V1877" s="5" t="s">
        <v>4777</v>
      </c>
      <c r="W1877" s="5" t="s">
        <v>72</v>
      </c>
      <c r="X1877" s="5" t="s">
        <v>72</v>
      </c>
      <c r="Y1877" s="4">
        <v>1260</v>
      </c>
      <c r="Z1877" s="4">
        <v>62</v>
      </c>
      <c r="AA1877" s="4">
        <v>75</v>
      </c>
      <c r="AB1877" s="4">
        <v>5</v>
      </c>
      <c r="AC1877" s="4">
        <v>10</v>
      </c>
      <c r="AD1877" s="4">
        <v>109</v>
      </c>
      <c r="AE1877" s="4">
        <v>122</v>
      </c>
      <c r="AF1877" s="4">
        <v>1</v>
      </c>
      <c r="AG1877" s="4">
        <v>4</v>
      </c>
      <c r="AH1877" s="4">
        <v>89</v>
      </c>
      <c r="AI1877" s="4">
        <v>96</v>
      </c>
      <c r="AJ1877" s="4">
        <v>18</v>
      </c>
      <c r="AK1877" s="4">
        <v>23</v>
      </c>
      <c r="AL1877" s="4">
        <v>49</v>
      </c>
      <c r="AM1877" s="4">
        <v>54</v>
      </c>
      <c r="AN1877" s="4">
        <v>0</v>
      </c>
      <c r="AO1877" s="4">
        <v>0</v>
      </c>
      <c r="AP1877" s="4">
        <v>27</v>
      </c>
      <c r="AQ1877" s="4">
        <v>33</v>
      </c>
      <c r="AR1877" s="3" t="s">
        <v>64</v>
      </c>
      <c r="AS1877" s="3" t="s">
        <v>64</v>
      </c>
      <c r="AT1877" s="3" t="s">
        <v>73</v>
      </c>
      <c r="AU1877" s="6" t="str">
        <f>HYPERLINK("http://catalog.hathitrust.org/Record/004936650","HathiTrust Record")</f>
        <v>HathiTrust Record</v>
      </c>
      <c r="AV1877" s="6" t="str">
        <f>HYPERLINK("http://mcgill.on.worldcat.org/oclc/55877924","Catalog Record")</f>
        <v>Catalog Record</v>
      </c>
      <c r="AW1877" s="6" t="str">
        <f>HYPERLINK("http://www.worldcat.org/oclc/55877924","WorldCat Record")</f>
        <v>WorldCat Record</v>
      </c>
      <c r="AX1877" s="3" t="s">
        <v>19511</v>
      </c>
      <c r="AY1877" s="3" t="s">
        <v>19512</v>
      </c>
      <c r="AZ1877" s="3" t="s">
        <v>19513</v>
      </c>
      <c r="BA1877" s="3" t="s">
        <v>19513</v>
      </c>
      <c r="BB1877" s="3" t="s">
        <v>19514</v>
      </c>
      <c r="BC1877" s="3" t="s">
        <v>78</v>
      </c>
      <c r="BD1877" s="3" t="s">
        <v>79</v>
      </c>
      <c r="BE1877" s="3" t="s">
        <v>19515</v>
      </c>
      <c r="BF1877" s="3" t="s">
        <v>19514</v>
      </c>
      <c r="BG1877" s="3" t="s">
        <v>19516</v>
      </c>
    </row>
    <row r="1878" spans="1:59" ht="58" x14ac:dyDescent="0.35">
      <c r="A1878" s="2" t="s">
        <v>59</v>
      </c>
      <c r="B1878" s="2" t="s">
        <v>94</v>
      </c>
      <c r="C1878" s="2" t="s">
        <v>19517</v>
      </c>
      <c r="D1878" s="2" t="s">
        <v>19518</v>
      </c>
      <c r="E1878" s="2" t="s">
        <v>19519</v>
      </c>
      <c r="G1878" s="3" t="s">
        <v>64</v>
      </c>
      <c r="I1878" s="3" t="s">
        <v>64</v>
      </c>
      <c r="J1878" s="3" t="s">
        <v>64</v>
      </c>
      <c r="K1878" s="3" t="s">
        <v>65</v>
      </c>
      <c r="M1878" s="2" t="s">
        <v>19520</v>
      </c>
      <c r="N1878" s="3" t="s">
        <v>136</v>
      </c>
      <c r="P1878" s="3" t="s">
        <v>69</v>
      </c>
      <c r="Q1878" s="2" t="s">
        <v>19521</v>
      </c>
      <c r="R1878" s="3" t="s">
        <v>16939</v>
      </c>
      <c r="S1878" s="4">
        <v>14</v>
      </c>
      <c r="T1878" s="4">
        <v>14</v>
      </c>
      <c r="U1878" s="5" t="s">
        <v>19522</v>
      </c>
      <c r="V1878" s="5" t="s">
        <v>19522</v>
      </c>
      <c r="W1878" s="5" t="s">
        <v>72</v>
      </c>
      <c r="X1878" s="5" t="s">
        <v>72</v>
      </c>
      <c r="Y1878" s="4">
        <v>457</v>
      </c>
      <c r="Z1878" s="4">
        <v>15</v>
      </c>
      <c r="AA1878" s="4">
        <v>26</v>
      </c>
      <c r="AB1878" s="4">
        <v>2</v>
      </c>
      <c r="AC1878" s="4">
        <v>6</v>
      </c>
      <c r="AD1878" s="4">
        <v>86</v>
      </c>
      <c r="AE1878" s="4">
        <v>99</v>
      </c>
      <c r="AF1878" s="4">
        <v>1</v>
      </c>
      <c r="AG1878" s="4">
        <v>2</v>
      </c>
      <c r="AH1878" s="4">
        <v>78</v>
      </c>
      <c r="AI1878" s="4">
        <v>88</v>
      </c>
      <c r="AJ1878" s="4">
        <v>8</v>
      </c>
      <c r="AK1878" s="4">
        <v>14</v>
      </c>
      <c r="AL1878" s="4">
        <v>44</v>
      </c>
      <c r="AM1878" s="4">
        <v>47</v>
      </c>
      <c r="AN1878" s="4">
        <v>0</v>
      </c>
      <c r="AO1878" s="4">
        <v>0</v>
      </c>
      <c r="AP1878" s="4">
        <v>10</v>
      </c>
      <c r="AQ1878" s="4">
        <v>16</v>
      </c>
      <c r="AR1878" s="3" t="s">
        <v>64</v>
      </c>
      <c r="AS1878" s="3" t="s">
        <v>64</v>
      </c>
      <c r="AT1878" s="3" t="s">
        <v>73</v>
      </c>
      <c r="AU1878" s="6" t="str">
        <f>HYPERLINK("http://catalog.hathitrust.org/Record/004111580","HathiTrust Record")</f>
        <v>HathiTrust Record</v>
      </c>
      <c r="AV1878" s="6" t="str">
        <f>HYPERLINK("http://mcgill.on.worldcat.org/oclc/43365821","Catalog Record")</f>
        <v>Catalog Record</v>
      </c>
      <c r="AW1878" s="6" t="str">
        <f>HYPERLINK("http://www.worldcat.org/oclc/43365821","WorldCat Record")</f>
        <v>WorldCat Record</v>
      </c>
      <c r="AX1878" s="3" t="s">
        <v>19523</v>
      </c>
      <c r="AY1878" s="3" t="s">
        <v>19524</v>
      </c>
      <c r="AZ1878" s="3" t="s">
        <v>19525</v>
      </c>
      <c r="BA1878" s="3" t="s">
        <v>19525</v>
      </c>
      <c r="BB1878" s="3" t="s">
        <v>19526</v>
      </c>
      <c r="BC1878" s="3" t="s">
        <v>78</v>
      </c>
      <c r="BD1878" s="3" t="s">
        <v>79</v>
      </c>
      <c r="BE1878" s="3" t="s">
        <v>19527</v>
      </c>
      <c r="BF1878" s="3" t="s">
        <v>19526</v>
      </c>
      <c r="BG1878" s="3" t="s">
        <v>19528</v>
      </c>
    </row>
    <row r="1879" spans="1:59" ht="58" x14ac:dyDescent="0.35">
      <c r="A1879" s="2" t="s">
        <v>59</v>
      </c>
      <c r="B1879" s="2" t="s">
        <v>94</v>
      </c>
      <c r="C1879" s="2" t="s">
        <v>19529</v>
      </c>
      <c r="D1879" s="2" t="s">
        <v>19530</v>
      </c>
      <c r="E1879" s="2" t="s">
        <v>19531</v>
      </c>
      <c r="G1879" s="3" t="s">
        <v>64</v>
      </c>
      <c r="I1879" s="3" t="s">
        <v>64</v>
      </c>
      <c r="J1879" s="3" t="s">
        <v>64</v>
      </c>
      <c r="K1879" s="3" t="s">
        <v>65</v>
      </c>
      <c r="M1879" s="2" t="s">
        <v>19532</v>
      </c>
      <c r="N1879" s="3" t="s">
        <v>449</v>
      </c>
      <c r="P1879" s="3" t="s">
        <v>69</v>
      </c>
      <c r="R1879" s="3" t="s">
        <v>16939</v>
      </c>
      <c r="S1879" s="4">
        <v>12</v>
      </c>
      <c r="T1879" s="4">
        <v>12</v>
      </c>
      <c r="U1879" s="5" t="s">
        <v>3774</v>
      </c>
      <c r="V1879" s="5" t="s">
        <v>3774</v>
      </c>
      <c r="W1879" s="5" t="s">
        <v>72</v>
      </c>
      <c r="X1879" s="5" t="s">
        <v>72</v>
      </c>
      <c r="Y1879" s="4">
        <v>170</v>
      </c>
      <c r="Z1879" s="4">
        <v>25</v>
      </c>
      <c r="AA1879" s="4">
        <v>25</v>
      </c>
      <c r="AB1879" s="4">
        <v>2</v>
      </c>
      <c r="AC1879" s="4">
        <v>2</v>
      </c>
      <c r="AD1879" s="4">
        <v>57</v>
      </c>
      <c r="AE1879" s="4">
        <v>57</v>
      </c>
      <c r="AF1879" s="4">
        <v>1</v>
      </c>
      <c r="AG1879" s="4">
        <v>1</v>
      </c>
      <c r="AH1879" s="4">
        <v>44</v>
      </c>
      <c r="AI1879" s="4">
        <v>44</v>
      </c>
      <c r="AJ1879" s="4">
        <v>11</v>
      </c>
      <c r="AK1879" s="4">
        <v>11</v>
      </c>
      <c r="AL1879" s="4">
        <v>24</v>
      </c>
      <c r="AM1879" s="4">
        <v>24</v>
      </c>
      <c r="AN1879" s="4">
        <v>0</v>
      </c>
      <c r="AO1879" s="4">
        <v>0</v>
      </c>
      <c r="AP1879" s="4">
        <v>18</v>
      </c>
      <c r="AQ1879" s="4">
        <v>18</v>
      </c>
      <c r="AR1879" s="3" t="s">
        <v>64</v>
      </c>
      <c r="AS1879" s="3" t="s">
        <v>64</v>
      </c>
      <c r="AT1879" s="3" t="s">
        <v>73</v>
      </c>
      <c r="AU1879" s="6" t="str">
        <f>HYPERLINK("http://catalog.hathitrust.org/Record/005691133","HathiTrust Record")</f>
        <v>HathiTrust Record</v>
      </c>
      <c r="AV1879" s="6" t="str">
        <f>HYPERLINK("http://mcgill.on.worldcat.org/oclc/177070629","Catalog Record")</f>
        <v>Catalog Record</v>
      </c>
      <c r="AW1879" s="6" t="str">
        <f>HYPERLINK("http://www.worldcat.org/oclc/177070629","WorldCat Record")</f>
        <v>WorldCat Record</v>
      </c>
      <c r="AX1879" s="3" t="s">
        <v>19533</v>
      </c>
      <c r="AY1879" s="3" t="s">
        <v>19534</v>
      </c>
      <c r="AZ1879" s="3" t="s">
        <v>19535</v>
      </c>
      <c r="BA1879" s="3" t="s">
        <v>19535</v>
      </c>
      <c r="BB1879" s="3" t="s">
        <v>19536</v>
      </c>
      <c r="BC1879" s="3" t="s">
        <v>78</v>
      </c>
      <c r="BD1879" s="3" t="s">
        <v>79</v>
      </c>
      <c r="BE1879" s="3" t="s">
        <v>19537</v>
      </c>
      <c r="BF1879" s="3" t="s">
        <v>19536</v>
      </c>
      <c r="BG1879" s="3" t="s">
        <v>19538</v>
      </c>
    </row>
    <row r="1880" spans="1:59" ht="58" x14ac:dyDescent="0.35">
      <c r="A1880" s="2" t="s">
        <v>59</v>
      </c>
      <c r="B1880" s="2" t="s">
        <v>94</v>
      </c>
      <c r="C1880" s="2" t="s">
        <v>19539</v>
      </c>
      <c r="D1880" s="2" t="s">
        <v>19540</v>
      </c>
      <c r="E1880" s="2" t="s">
        <v>19541</v>
      </c>
      <c r="G1880" s="3" t="s">
        <v>64</v>
      </c>
      <c r="I1880" s="3" t="s">
        <v>64</v>
      </c>
      <c r="J1880" s="3" t="s">
        <v>64</v>
      </c>
      <c r="K1880" s="3" t="s">
        <v>65</v>
      </c>
      <c r="L1880" s="2" t="s">
        <v>19542</v>
      </c>
      <c r="M1880" s="2" t="s">
        <v>763</v>
      </c>
      <c r="N1880" s="3" t="s">
        <v>68</v>
      </c>
      <c r="P1880" s="3" t="s">
        <v>69</v>
      </c>
      <c r="R1880" s="3" t="s">
        <v>16939</v>
      </c>
      <c r="S1880" s="4">
        <v>40</v>
      </c>
      <c r="T1880" s="4">
        <v>40</v>
      </c>
      <c r="U1880" s="5" t="s">
        <v>4777</v>
      </c>
      <c r="V1880" s="5" t="s">
        <v>4777</v>
      </c>
      <c r="W1880" s="5" t="s">
        <v>72</v>
      </c>
      <c r="X1880" s="5" t="s">
        <v>72</v>
      </c>
      <c r="Y1880" s="4">
        <v>774</v>
      </c>
      <c r="Z1880" s="4">
        <v>47</v>
      </c>
      <c r="AA1880" s="4">
        <v>52</v>
      </c>
      <c r="AB1880" s="4">
        <v>3</v>
      </c>
      <c r="AC1880" s="4">
        <v>7</v>
      </c>
      <c r="AD1880" s="4">
        <v>123</v>
      </c>
      <c r="AE1880" s="4">
        <v>127</v>
      </c>
      <c r="AF1880" s="4">
        <v>1</v>
      </c>
      <c r="AG1880" s="4">
        <v>4</v>
      </c>
      <c r="AH1880" s="4">
        <v>101</v>
      </c>
      <c r="AI1880" s="4">
        <v>102</v>
      </c>
      <c r="AJ1880" s="4">
        <v>20</v>
      </c>
      <c r="AK1880" s="4">
        <v>23</v>
      </c>
      <c r="AL1880" s="4">
        <v>53</v>
      </c>
      <c r="AM1880" s="4">
        <v>53</v>
      </c>
      <c r="AN1880" s="4">
        <v>0</v>
      </c>
      <c r="AO1880" s="4">
        <v>0</v>
      </c>
      <c r="AP1880" s="4">
        <v>30</v>
      </c>
      <c r="AQ1880" s="4">
        <v>33</v>
      </c>
      <c r="AR1880" s="3" t="s">
        <v>64</v>
      </c>
      <c r="AS1880" s="3" t="s">
        <v>64</v>
      </c>
      <c r="AT1880" s="3" t="s">
        <v>64</v>
      </c>
      <c r="AV1880" s="6" t="str">
        <f>HYPERLINK("http://mcgill.on.worldcat.org/oclc/70176973","Catalog Record")</f>
        <v>Catalog Record</v>
      </c>
      <c r="AW1880" s="6" t="str">
        <f>HYPERLINK("http://www.worldcat.org/oclc/70176973","WorldCat Record")</f>
        <v>WorldCat Record</v>
      </c>
      <c r="AX1880" s="3" t="s">
        <v>19543</v>
      </c>
      <c r="AY1880" s="3" t="s">
        <v>19544</v>
      </c>
      <c r="AZ1880" s="3" t="s">
        <v>19545</v>
      </c>
      <c r="BA1880" s="3" t="s">
        <v>19545</v>
      </c>
      <c r="BB1880" s="3" t="s">
        <v>19546</v>
      </c>
      <c r="BC1880" s="3" t="s">
        <v>78</v>
      </c>
      <c r="BD1880" s="3" t="s">
        <v>79</v>
      </c>
      <c r="BE1880" s="3" t="s">
        <v>19547</v>
      </c>
      <c r="BF1880" s="3" t="s">
        <v>19546</v>
      </c>
      <c r="BG1880" s="3" t="s">
        <v>19548</v>
      </c>
    </row>
    <row r="1881" spans="1:59" ht="58" x14ac:dyDescent="0.35">
      <c r="A1881" s="2" t="s">
        <v>59</v>
      </c>
      <c r="B1881" s="2" t="s">
        <v>94</v>
      </c>
      <c r="C1881" s="2" t="s">
        <v>19549</v>
      </c>
      <c r="D1881" s="2" t="s">
        <v>19550</v>
      </c>
      <c r="E1881" s="2" t="s">
        <v>19551</v>
      </c>
      <c r="G1881" s="3" t="s">
        <v>64</v>
      </c>
      <c r="I1881" s="3" t="s">
        <v>64</v>
      </c>
      <c r="J1881" s="3" t="s">
        <v>64</v>
      </c>
      <c r="K1881" s="3" t="s">
        <v>65</v>
      </c>
      <c r="M1881" s="2" t="s">
        <v>19552</v>
      </c>
      <c r="N1881" s="3" t="s">
        <v>377</v>
      </c>
      <c r="P1881" s="3" t="s">
        <v>69</v>
      </c>
      <c r="R1881" s="3" t="s">
        <v>16939</v>
      </c>
      <c r="S1881" s="4">
        <v>4</v>
      </c>
      <c r="T1881" s="4">
        <v>4</v>
      </c>
      <c r="U1881" s="5" t="s">
        <v>3049</v>
      </c>
      <c r="V1881" s="5" t="s">
        <v>3049</v>
      </c>
      <c r="W1881" s="5" t="s">
        <v>72</v>
      </c>
      <c r="X1881" s="5" t="s">
        <v>72</v>
      </c>
      <c r="Y1881" s="4">
        <v>182</v>
      </c>
      <c r="Z1881" s="4">
        <v>19</v>
      </c>
      <c r="AA1881" s="4">
        <v>50</v>
      </c>
      <c r="AB1881" s="4">
        <v>1</v>
      </c>
      <c r="AC1881" s="4">
        <v>3</v>
      </c>
      <c r="AD1881" s="4">
        <v>45</v>
      </c>
      <c r="AE1881" s="4">
        <v>60</v>
      </c>
      <c r="AF1881" s="4">
        <v>0</v>
      </c>
      <c r="AG1881" s="4">
        <v>0</v>
      </c>
      <c r="AH1881" s="4">
        <v>39</v>
      </c>
      <c r="AI1881" s="4">
        <v>45</v>
      </c>
      <c r="AJ1881" s="4">
        <v>9</v>
      </c>
      <c r="AK1881" s="4">
        <v>11</v>
      </c>
      <c r="AL1881" s="4">
        <v>23</v>
      </c>
      <c r="AM1881" s="4">
        <v>25</v>
      </c>
      <c r="AN1881" s="4">
        <v>0</v>
      </c>
      <c r="AO1881" s="4">
        <v>0</v>
      </c>
      <c r="AP1881" s="4">
        <v>11</v>
      </c>
      <c r="AQ1881" s="4">
        <v>18</v>
      </c>
      <c r="AR1881" s="3" t="s">
        <v>64</v>
      </c>
      <c r="AS1881" s="3" t="s">
        <v>64</v>
      </c>
      <c r="AT1881" s="3" t="s">
        <v>64</v>
      </c>
      <c r="AV1881" s="6" t="str">
        <f>HYPERLINK("http://mcgill.on.worldcat.org/oclc/766339016","Catalog Record")</f>
        <v>Catalog Record</v>
      </c>
      <c r="AW1881" s="6" t="str">
        <f>HYPERLINK("http://www.worldcat.org/oclc/766339016","WorldCat Record")</f>
        <v>WorldCat Record</v>
      </c>
      <c r="AX1881" s="3" t="s">
        <v>19553</v>
      </c>
      <c r="AY1881" s="3" t="s">
        <v>19554</v>
      </c>
      <c r="AZ1881" s="3" t="s">
        <v>19555</v>
      </c>
      <c r="BA1881" s="3" t="s">
        <v>19555</v>
      </c>
      <c r="BB1881" s="3" t="s">
        <v>19556</v>
      </c>
      <c r="BC1881" s="3" t="s">
        <v>78</v>
      </c>
      <c r="BD1881" s="3" t="s">
        <v>79</v>
      </c>
      <c r="BE1881" s="3" t="s">
        <v>19557</v>
      </c>
      <c r="BF1881" s="3" t="s">
        <v>19556</v>
      </c>
      <c r="BG1881" s="3" t="s">
        <v>19558</v>
      </c>
    </row>
    <row r="1882" spans="1:59" ht="58" x14ac:dyDescent="0.35">
      <c r="A1882" s="2" t="s">
        <v>59</v>
      </c>
      <c r="B1882" s="2" t="s">
        <v>94</v>
      </c>
      <c r="C1882" s="2" t="s">
        <v>19559</v>
      </c>
      <c r="D1882" s="2" t="s">
        <v>19560</v>
      </c>
      <c r="E1882" s="2" t="s">
        <v>19561</v>
      </c>
      <c r="G1882" s="3" t="s">
        <v>64</v>
      </c>
      <c r="I1882" s="3" t="s">
        <v>64</v>
      </c>
      <c r="J1882" s="3" t="s">
        <v>64</v>
      </c>
      <c r="K1882" s="3" t="s">
        <v>65</v>
      </c>
      <c r="L1882" s="2" t="s">
        <v>11384</v>
      </c>
      <c r="M1882" s="2" t="s">
        <v>6832</v>
      </c>
      <c r="N1882" s="3" t="s">
        <v>377</v>
      </c>
      <c r="P1882" s="3" t="s">
        <v>69</v>
      </c>
      <c r="Q1882" s="2" t="s">
        <v>19562</v>
      </c>
      <c r="R1882" s="3" t="s">
        <v>16939</v>
      </c>
      <c r="S1882" s="4">
        <v>0</v>
      </c>
      <c r="T1882" s="4">
        <v>0</v>
      </c>
      <c r="W1882" s="5" t="s">
        <v>72</v>
      </c>
      <c r="X1882" s="5" t="s">
        <v>72</v>
      </c>
      <c r="Y1882" s="4">
        <v>87</v>
      </c>
      <c r="Z1882" s="4">
        <v>7</v>
      </c>
      <c r="AA1882" s="4">
        <v>9</v>
      </c>
      <c r="AB1882" s="4">
        <v>1</v>
      </c>
      <c r="AC1882" s="4">
        <v>1</v>
      </c>
      <c r="AD1882" s="4">
        <v>48</v>
      </c>
      <c r="AE1882" s="4">
        <v>55</v>
      </c>
      <c r="AF1882" s="4">
        <v>0</v>
      </c>
      <c r="AG1882" s="4">
        <v>0</v>
      </c>
      <c r="AH1882" s="4">
        <v>47</v>
      </c>
      <c r="AI1882" s="4">
        <v>53</v>
      </c>
      <c r="AJ1882" s="4">
        <v>5</v>
      </c>
      <c r="AK1882" s="4">
        <v>7</v>
      </c>
      <c r="AL1882" s="4">
        <v>26</v>
      </c>
      <c r="AM1882" s="4">
        <v>29</v>
      </c>
      <c r="AN1882" s="4">
        <v>0</v>
      </c>
      <c r="AO1882" s="4">
        <v>0</v>
      </c>
      <c r="AP1882" s="4">
        <v>5</v>
      </c>
      <c r="AQ1882" s="4">
        <v>7</v>
      </c>
      <c r="AR1882" s="3" t="s">
        <v>64</v>
      </c>
      <c r="AS1882" s="3" t="s">
        <v>64</v>
      </c>
      <c r="AT1882" s="3" t="s">
        <v>64</v>
      </c>
      <c r="AV1882" s="6" t="str">
        <f>HYPERLINK("http://mcgill.on.worldcat.org/oclc/793421824","Catalog Record")</f>
        <v>Catalog Record</v>
      </c>
      <c r="AW1882" s="6" t="str">
        <f>HYPERLINK("http://www.worldcat.org/oclc/793421824","WorldCat Record")</f>
        <v>WorldCat Record</v>
      </c>
      <c r="AX1882" s="3" t="s">
        <v>19563</v>
      </c>
      <c r="AY1882" s="3" t="s">
        <v>19564</v>
      </c>
      <c r="AZ1882" s="3" t="s">
        <v>19565</v>
      </c>
      <c r="BA1882" s="3" t="s">
        <v>19565</v>
      </c>
      <c r="BB1882" s="3" t="s">
        <v>19566</v>
      </c>
      <c r="BC1882" s="3" t="s">
        <v>78</v>
      </c>
      <c r="BD1882" s="3" t="s">
        <v>79</v>
      </c>
      <c r="BE1882" s="3" t="s">
        <v>19567</v>
      </c>
      <c r="BF1882" s="3" t="s">
        <v>19566</v>
      </c>
      <c r="BG1882" s="3" t="s">
        <v>19568</v>
      </c>
    </row>
    <row r="1883" spans="1:59" ht="58" x14ac:dyDescent="0.35">
      <c r="A1883" s="2" t="s">
        <v>59</v>
      </c>
      <c r="B1883" s="2" t="s">
        <v>94</v>
      </c>
      <c r="C1883" s="2" t="s">
        <v>19569</v>
      </c>
      <c r="D1883" s="2" t="s">
        <v>19570</v>
      </c>
      <c r="E1883" s="2" t="s">
        <v>19571</v>
      </c>
      <c r="G1883" s="3" t="s">
        <v>64</v>
      </c>
      <c r="I1883" s="3" t="s">
        <v>64</v>
      </c>
      <c r="J1883" s="3" t="s">
        <v>64</v>
      </c>
      <c r="K1883" s="3" t="s">
        <v>65</v>
      </c>
      <c r="L1883" s="2" t="s">
        <v>19572</v>
      </c>
      <c r="M1883" s="2" t="s">
        <v>19573</v>
      </c>
      <c r="N1883" s="3" t="s">
        <v>861</v>
      </c>
      <c r="P1883" s="3" t="s">
        <v>69</v>
      </c>
      <c r="Q1883" s="2" t="s">
        <v>19574</v>
      </c>
      <c r="R1883" s="3" t="s">
        <v>16939</v>
      </c>
      <c r="S1883" s="4">
        <v>7</v>
      </c>
      <c r="T1883" s="4">
        <v>7</v>
      </c>
      <c r="U1883" s="5" t="s">
        <v>11240</v>
      </c>
      <c r="V1883" s="5" t="s">
        <v>11240</v>
      </c>
      <c r="W1883" s="5" t="s">
        <v>72</v>
      </c>
      <c r="X1883" s="5" t="s">
        <v>72</v>
      </c>
      <c r="Y1883" s="4">
        <v>200</v>
      </c>
      <c r="Z1883" s="4">
        <v>8</v>
      </c>
      <c r="AA1883" s="4">
        <v>11</v>
      </c>
      <c r="AB1883" s="4">
        <v>1</v>
      </c>
      <c r="AC1883" s="4">
        <v>2</v>
      </c>
      <c r="AD1883" s="4">
        <v>50</v>
      </c>
      <c r="AE1883" s="4">
        <v>53</v>
      </c>
      <c r="AF1883" s="4">
        <v>0</v>
      </c>
      <c r="AG1883" s="4">
        <v>1</v>
      </c>
      <c r="AH1883" s="4">
        <v>47</v>
      </c>
      <c r="AI1883" s="4">
        <v>47</v>
      </c>
      <c r="AJ1883" s="4">
        <v>4</v>
      </c>
      <c r="AK1883" s="4">
        <v>6</v>
      </c>
      <c r="AL1883" s="4">
        <v>27</v>
      </c>
      <c r="AM1883" s="4">
        <v>27</v>
      </c>
      <c r="AN1883" s="4">
        <v>0</v>
      </c>
      <c r="AO1883" s="4">
        <v>0</v>
      </c>
      <c r="AP1883" s="4">
        <v>5</v>
      </c>
      <c r="AQ1883" s="4">
        <v>8</v>
      </c>
      <c r="AR1883" s="3" t="s">
        <v>64</v>
      </c>
      <c r="AS1883" s="3" t="s">
        <v>64</v>
      </c>
      <c r="AT1883" s="3" t="s">
        <v>73</v>
      </c>
      <c r="AU1883" s="6" t="str">
        <f>HYPERLINK("http://catalog.hathitrust.org/Record/004961525","HathiTrust Record")</f>
        <v>HathiTrust Record</v>
      </c>
      <c r="AV1883" s="6" t="str">
        <f>HYPERLINK("http://mcgill.on.worldcat.org/oclc/52970538","Catalog Record")</f>
        <v>Catalog Record</v>
      </c>
      <c r="AW1883" s="6" t="str">
        <f>HYPERLINK("http://www.worldcat.org/oclc/52970538","WorldCat Record")</f>
        <v>WorldCat Record</v>
      </c>
      <c r="AX1883" s="3" t="s">
        <v>19575</v>
      </c>
      <c r="AY1883" s="3" t="s">
        <v>19576</v>
      </c>
      <c r="AZ1883" s="3" t="s">
        <v>19577</v>
      </c>
      <c r="BA1883" s="3" t="s">
        <v>19577</v>
      </c>
      <c r="BB1883" s="3" t="s">
        <v>19578</v>
      </c>
      <c r="BC1883" s="3" t="s">
        <v>78</v>
      </c>
      <c r="BD1883" s="3" t="s">
        <v>79</v>
      </c>
      <c r="BE1883" s="3" t="s">
        <v>19579</v>
      </c>
      <c r="BF1883" s="3" t="s">
        <v>19578</v>
      </c>
      <c r="BG1883" s="3" t="s">
        <v>19580</v>
      </c>
    </row>
    <row r="1884" spans="1:59" ht="58" x14ac:dyDescent="0.35">
      <c r="A1884" s="2" t="s">
        <v>59</v>
      </c>
      <c r="B1884" s="2" t="s">
        <v>94</v>
      </c>
      <c r="C1884" s="2" t="s">
        <v>19581</v>
      </c>
      <c r="D1884" s="2" t="s">
        <v>19582</v>
      </c>
      <c r="E1884" s="2" t="s">
        <v>19583</v>
      </c>
      <c r="G1884" s="3" t="s">
        <v>64</v>
      </c>
      <c r="I1884" s="3" t="s">
        <v>64</v>
      </c>
      <c r="J1884" s="3" t="s">
        <v>64</v>
      </c>
      <c r="K1884" s="3" t="s">
        <v>65</v>
      </c>
      <c r="L1884" s="2" t="s">
        <v>19584</v>
      </c>
      <c r="M1884" s="2" t="s">
        <v>19585</v>
      </c>
      <c r="N1884" s="3" t="s">
        <v>377</v>
      </c>
      <c r="P1884" s="3" t="s">
        <v>69</v>
      </c>
      <c r="Q1884" s="2" t="s">
        <v>19586</v>
      </c>
      <c r="R1884" s="3" t="s">
        <v>16939</v>
      </c>
      <c r="S1884" s="4">
        <v>2</v>
      </c>
      <c r="T1884" s="4">
        <v>2</v>
      </c>
      <c r="U1884" s="5" t="s">
        <v>19587</v>
      </c>
      <c r="V1884" s="5" t="s">
        <v>19587</v>
      </c>
      <c r="W1884" s="5" t="s">
        <v>72</v>
      </c>
      <c r="X1884" s="5" t="s">
        <v>72</v>
      </c>
      <c r="Y1884" s="4">
        <v>652</v>
      </c>
      <c r="Z1884" s="4">
        <v>18</v>
      </c>
      <c r="AA1884" s="4">
        <v>115</v>
      </c>
      <c r="AB1884" s="4">
        <v>1</v>
      </c>
      <c r="AC1884" s="4">
        <v>15</v>
      </c>
      <c r="AD1884" s="4">
        <v>84</v>
      </c>
      <c r="AE1884" s="4">
        <v>146</v>
      </c>
      <c r="AF1884" s="4">
        <v>0</v>
      </c>
      <c r="AG1884" s="4">
        <v>8</v>
      </c>
      <c r="AH1884" s="4">
        <v>77</v>
      </c>
      <c r="AI1884" s="4">
        <v>105</v>
      </c>
      <c r="AJ1884" s="4">
        <v>12</v>
      </c>
      <c r="AK1884" s="4">
        <v>25</v>
      </c>
      <c r="AL1884" s="4">
        <v>44</v>
      </c>
      <c r="AM1884" s="4">
        <v>59</v>
      </c>
      <c r="AN1884" s="4">
        <v>0</v>
      </c>
      <c r="AO1884" s="4">
        <v>0</v>
      </c>
      <c r="AP1884" s="4">
        <v>13</v>
      </c>
      <c r="AQ1884" s="4">
        <v>47</v>
      </c>
      <c r="AR1884" s="3" t="s">
        <v>64</v>
      </c>
      <c r="AS1884" s="3" t="s">
        <v>64</v>
      </c>
      <c r="AT1884" s="3" t="s">
        <v>64</v>
      </c>
      <c r="AV1884" s="6" t="str">
        <f>HYPERLINK("http://mcgill.on.worldcat.org/oclc/711043304","Catalog Record")</f>
        <v>Catalog Record</v>
      </c>
      <c r="AW1884" s="6" t="str">
        <f>HYPERLINK("http://www.worldcat.org/oclc/711043304","WorldCat Record")</f>
        <v>WorldCat Record</v>
      </c>
      <c r="AX1884" s="3" t="s">
        <v>19588</v>
      </c>
      <c r="AY1884" s="3" t="s">
        <v>19589</v>
      </c>
      <c r="AZ1884" s="3" t="s">
        <v>19590</v>
      </c>
      <c r="BA1884" s="3" t="s">
        <v>19590</v>
      </c>
      <c r="BB1884" s="3" t="s">
        <v>19591</v>
      </c>
      <c r="BC1884" s="3" t="s">
        <v>78</v>
      </c>
      <c r="BD1884" s="3" t="s">
        <v>79</v>
      </c>
      <c r="BE1884" s="3" t="s">
        <v>19592</v>
      </c>
      <c r="BF1884" s="3" t="s">
        <v>19591</v>
      </c>
      <c r="BG1884" s="3" t="s">
        <v>19593</v>
      </c>
    </row>
    <row r="1885" spans="1:59" ht="58" x14ac:dyDescent="0.35">
      <c r="A1885" s="2" t="s">
        <v>59</v>
      </c>
      <c r="B1885" s="2" t="s">
        <v>94</v>
      </c>
      <c r="C1885" s="2" t="s">
        <v>19594</v>
      </c>
      <c r="D1885" s="2" t="s">
        <v>19595</v>
      </c>
      <c r="E1885" s="2" t="s">
        <v>19596</v>
      </c>
      <c r="G1885" s="3" t="s">
        <v>64</v>
      </c>
      <c r="I1885" s="3" t="s">
        <v>64</v>
      </c>
      <c r="J1885" s="3" t="s">
        <v>64</v>
      </c>
      <c r="K1885" s="3" t="s">
        <v>65</v>
      </c>
      <c r="M1885" s="2" t="s">
        <v>19597</v>
      </c>
      <c r="N1885" s="3" t="s">
        <v>651</v>
      </c>
      <c r="P1885" s="3" t="s">
        <v>69</v>
      </c>
      <c r="R1885" s="3" t="s">
        <v>16939</v>
      </c>
      <c r="S1885" s="4">
        <v>15</v>
      </c>
      <c r="T1885" s="4">
        <v>15</v>
      </c>
      <c r="U1885" s="5" t="s">
        <v>4370</v>
      </c>
      <c r="V1885" s="5" t="s">
        <v>4370</v>
      </c>
      <c r="W1885" s="5" t="s">
        <v>72</v>
      </c>
      <c r="X1885" s="5" t="s">
        <v>72</v>
      </c>
      <c r="Y1885" s="4">
        <v>559</v>
      </c>
      <c r="Z1885" s="4">
        <v>18</v>
      </c>
      <c r="AA1885" s="4">
        <v>19</v>
      </c>
      <c r="AB1885" s="4">
        <v>2</v>
      </c>
      <c r="AC1885" s="4">
        <v>3</v>
      </c>
      <c r="AD1885" s="4">
        <v>102</v>
      </c>
      <c r="AE1885" s="4">
        <v>103</v>
      </c>
      <c r="AF1885" s="4">
        <v>1</v>
      </c>
      <c r="AG1885" s="4">
        <v>2</v>
      </c>
      <c r="AH1885" s="4">
        <v>90</v>
      </c>
      <c r="AI1885" s="4">
        <v>90</v>
      </c>
      <c r="AJ1885" s="4">
        <v>13</v>
      </c>
      <c r="AK1885" s="4">
        <v>14</v>
      </c>
      <c r="AL1885" s="4">
        <v>54</v>
      </c>
      <c r="AM1885" s="4">
        <v>54</v>
      </c>
      <c r="AN1885" s="4">
        <v>0</v>
      </c>
      <c r="AO1885" s="4">
        <v>0</v>
      </c>
      <c r="AP1885" s="4">
        <v>15</v>
      </c>
      <c r="AQ1885" s="4">
        <v>15</v>
      </c>
      <c r="AR1885" s="3" t="s">
        <v>64</v>
      </c>
      <c r="AS1885" s="3" t="s">
        <v>64</v>
      </c>
      <c r="AT1885" s="3" t="s">
        <v>64</v>
      </c>
      <c r="AV1885" s="6" t="str">
        <f>HYPERLINK("http://mcgill.on.worldcat.org/oclc/50559724","Catalog Record")</f>
        <v>Catalog Record</v>
      </c>
      <c r="AW1885" s="6" t="str">
        <f>HYPERLINK("http://www.worldcat.org/oclc/50559724","WorldCat Record")</f>
        <v>WorldCat Record</v>
      </c>
      <c r="AX1885" s="3" t="s">
        <v>19598</v>
      </c>
      <c r="AY1885" s="3" t="s">
        <v>19599</v>
      </c>
      <c r="AZ1885" s="3" t="s">
        <v>19600</v>
      </c>
      <c r="BA1885" s="3" t="s">
        <v>19600</v>
      </c>
      <c r="BB1885" s="3" t="s">
        <v>19601</v>
      </c>
      <c r="BC1885" s="3" t="s">
        <v>78</v>
      </c>
      <c r="BD1885" s="3" t="s">
        <v>79</v>
      </c>
      <c r="BE1885" s="3" t="s">
        <v>19602</v>
      </c>
      <c r="BF1885" s="3" t="s">
        <v>19601</v>
      </c>
      <c r="BG1885" s="3" t="s">
        <v>19603</v>
      </c>
    </row>
    <row r="1886" spans="1:59" ht="58" x14ac:dyDescent="0.35">
      <c r="A1886" s="2" t="s">
        <v>59</v>
      </c>
      <c r="B1886" s="2" t="s">
        <v>94</v>
      </c>
      <c r="C1886" s="2" t="s">
        <v>19604</v>
      </c>
      <c r="D1886" s="2" t="s">
        <v>19605</v>
      </c>
      <c r="E1886" s="2" t="s">
        <v>19606</v>
      </c>
      <c r="G1886" s="3" t="s">
        <v>64</v>
      </c>
      <c r="I1886" s="3" t="s">
        <v>64</v>
      </c>
      <c r="J1886" s="3" t="s">
        <v>64</v>
      </c>
      <c r="K1886" s="3" t="s">
        <v>65</v>
      </c>
      <c r="M1886" s="2" t="s">
        <v>19607</v>
      </c>
      <c r="N1886" s="3" t="s">
        <v>705</v>
      </c>
      <c r="P1886" s="3" t="s">
        <v>69</v>
      </c>
      <c r="Q1886" s="2" t="s">
        <v>19608</v>
      </c>
      <c r="R1886" s="3" t="s">
        <v>16939</v>
      </c>
      <c r="S1886" s="4">
        <v>22</v>
      </c>
      <c r="T1886" s="4">
        <v>22</v>
      </c>
      <c r="U1886" s="5" t="s">
        <v>19609</v>
      </c>
      <c r="V1886" s="5" t="s">
        <v>19609</v>
      </c>
      <c r="W1886" s="5" t="s">
        <v>72</v>
      </c>
      <c r="X1886" s="5" t="s">
        <v>72</v>
      </c>
      <c r="Y1886" s="4">
        <v>680</v>
      </c>
      <c r="Z1886" s="4">
        <v>26</v>
      </c>
      <c r="AA1886" s="4">
        <v>29</v>
      </c>
      <c r="AB1886" s="4">
        <v>2</v>
      </c>
      <c r="AC1886" s="4">
        <v>5</v>
      </c>
      <c r="AD1886" s="4">
        <v>114</v>
      </c>
      <c r="AE1886" s="4">
        <v>114</v>
      </c>
      <c r="AF1886" s="4">
        <v>1</v>
      </c>
      <c r="AG1886" s="4">
        <v>1</v>
      </c>
      <c r="AH1886" s="4">
        <v>100</v>
      </c>
      <c r="AI1886" s="4">
        <v>100</v>
      </c>
      <c r="AJ1886" s="4">
        <v>14</v>
      </c>
      <c r="AK1886" s="4">
        <v>14</v>
      </c>
      <c r="AL1886" s="4">
        <v>55</v>
      </c>
      <c r="AM1886" s="4">
        <v>55</v>
      </c>
      <c r="AN1886" s="4">
        <v>0</v>
      </c>
      <c r="AO1886" s="4">
        <v>0</v>
      </c>
      <c r="AP1886" s="4">
        <v>19</v>
      </c>
      <c r="AQ1886" s="4">
        <v>19</v>
      </c>
      <c r="AR1886" s="3" t="s">
        <v>64</v>
      </c>
      <c r="AS1886" s="3" t="s">
        <v>64</v>
      </c>
      <c r="AT1886" s="3" t="s">
        <v>64</v>
      </c>
      <c r="AV1886" s="6" t="str">
        <f>HYPERLINK("http://mcgill.on.worldcat.org/oclc/34658819","Catalog Record")</f>
        <v>Catalog Record</v>
      </c>
      <c r="AW1886" s="6" t="str">
        <f>HYPERLINK("http://www.worldcat.org/oclc/34658819","WorldCat Record")</f>
        <v>WorldCat Record</v>
      </c>
      <c r="AX1886" s="3" t="s">
        <v>19610</v>
      </c>
      <c r="AY1886" s="3" t="s">
        <v>19611</v>
      </c>
      <c r="AZ1886" s="3" t="s">
        <v>19612</v>
      </c>
      <c r="BA1886" s="3" t="s">
        <v>19612</v>
      </c>
      <c r="BB1886" s="3" t="s">
        <v>19613</v>
      </c>
      <c r="BC1886" s="3" t="s">
        <v>78</v>
      </c>
      <c r="BD1886" s="3" t="s">
        <v>79</v>
      </c>
      <c r="BE1886" s="3" t="s">
        <v>19614</v>
      </c>
      <c r="BF1886" s="3" t="s">
        <v>19613</v>
      </c>
      <c r="BG1886" s="3" t="s">
        <v>19615</v>
      </c>
    </row>
    <row r="1887" spans="1:59" ht="58" x14ac:dyDescent="0.35">
      <c r="A1887" s="2" t="s">
        <v>59</v>
      </c>
      <c r="B1887" s="2" t="s">
        <v>94</v>
      </c>
      <c r="C1887" s="2" t="s">
        <v>19616</v>
      </c>
      <c r="D1887" s="2" t="s">
        <v>19617</v>
      </c>
      <c r="E1887" s="2" t="s">
        <v>19618</v>
      </c>
      <c r="G1887" s="3" t="s">
        <v>64</v>
      </c>
      <c r="I1887" s="3" t="s">
        <v>64</v>
      </c>
      <c r="J1887" s="3" t="s">
        <v>64</v>
      </c>
      <c r="K1887" s="3" t="s">
        <v>65</v>
      </c>
      <c r="M1887" s="2" t="s">
        <v>19619</v>
      </c>
      <c r="N1887" s="3" t="s">
        <v>1154</v>
      </c>
      <c r="P1887" s="3" t="s">
        <v>69</v>
      </c>
      <c r="Q1887" s="2" t="s">
        <v>19620</v>
      </c>
      <c r="R1887" s="3" t="s">
        <v>16939</v>
      </c>
      <c r="S1887" s="4">
        <v>23</v>
      </c>
      <c r="T1887" s="4">
        <v>23</v>
      </c>
      <c r="U1887" s="5" t="s">
        <v>4370</v>
      </c>
      <c r="V1887" s="5" t="s">
        <v>4370</v>
      </c>
      <c r="W1887" s="5" t="s">
        <v>72</v>
      </c>
      <c r="X1887" s="5" t="s">
        <v>72</v>
      </c>
      <c r="Y1887" s="4">
        <v>624</v>
      </c>
      <c r="Z1887" s="4">
        <v>27</v>
      </c>
      <c r="AA1887" s="4">
        <v>28</v>
      </c>
      <c r="AB1887" s="4">
        <v>1</v>
      </c>
      <c r="AC1887" s="4">
        <v>1</v>
      </c>
      <c r="AD1887" s="4">
        <v>109</v>
      </c>
      <c r="AE1887" s="4">
        <v>110</v>
      </c>
      <c r="AF1887" s="4">
        <v>0</v>
      </c>
      <c r="AG1887" s="4">
        <v>0</v>
      </c>
      <c r="AH1887" s="4">
        <v>96</v>
      </c>
      <c r="AI1887" s="4">
        <v>96</v>
      </c>
      <c r="AJ1887" s="4">
        <v>13</v>
      </c>
      <c r="AK1887" s="4">
        <v>14</v>
      </c>
      <c r="AL1887" s="4">
        <v>52</v>
      </c>
      <c r="AM1887" s="4">
        <v>52</v>
      </c>
      <c r="AN1887" s="4">
        <v>0</v>
      </c>
      <c r="AO1887" s="4">
        <v>0</v>
      </c>
      <c r="AP1887" s="4">
        <v>19</v>
      </c>
      <c r="AQ1887" s="4">
        <v>20</v>
      </c>
      <c r="AR1887" s="3" t="s">
        <v>64</v>
      </c>
      <c r="AS1887" s="3" t="s">
        <v>64</v>
      </c>
      <c r="AT1887" s="3" t="s">
        <v>64</v>
      </c>
      <c r="AV1887" s="6" t="str">
        <f>HYPERLINK("http://mcgill.on.worldcat.org/oclc/30814421","Catalog Record")</f>
        <v>Catalog Record</v>
      </c>
      <c r="AW1887" s="6" t="str">
        <f>HYPERLINK("http://www.worldcat.org/oclc/30814421","WorldCat Record")</f>
        <v>WorldCat Record</v>
      </c>
      <c r="AX1887" s="3" t="s">
        <v>19621</v>
      </c>
      <c r="AY1887" s="3" t="s">
        <v>19622</v>
      </c>
      <c r="AZ1887" s="3" t="s">
        <v>19623</v>
      </c>
      <c r="BA1887" s="3" t="s">
        <v>19623</v>
      </c>
      <c r="BB1887" s="3" t="s">
        <v>19624</v>
      </c>
      <c r="BC1887" s="3" t="s">
        <v>78</v>
      </c>
      <c r="BD1887" s="3" t="s">
        <v>79</v>
      </c>
      <c r="BE1887" s="3" t="s">
        <v>19625</v>
      </c>
      <c r="BF1887" s="3" t="s">
        <v>19624</v>
      </c>
      <c r="BG1887" s="3" t="s">
        <v>19626</v>
      </c>
    </row>
    <row r="1888" spans="1:59" ht="58" x14ac:dyDescent="0.35">
      <c r="A1888" s="2" t="s">
        <v>59</v>
      </c>
      <c r="B1888" s="2" t="s">
        <v>94</v>
      </c>
      <c r="C1888" s="2" t="s">
        <v>19627</v>
      </c>
      <c r="D1888" s="2" t="s">
        <v>19628</v>
      </c>
      <c r="E1888" s="2" t="s">
        <v>19629</v>
      </c>
      <c r="G1888" s="3" t="s">
        <v>64</v>
      </c>
      <c r="I1888" s="3" t="s">
        <v>64</v>
      </c>
      <c r="J1888" s="3" t="s">
        <v>64</v>
      </c>
      <c r="K1888" s="3" t="s">
        <v>65</v>
      </c>
      <c r="L1888" s="2" t="s">
        <v>19630</v>
      </c>
      <c r="M1888" s="2" t="s">
        <v>19631</v>
      </c>
      <c r="N1888" s="3" t="s">
        <v>214</v>
      </c>
      <c r="P1888" s="3" t="s">
        <v>69</v>
      </c>
      <c r="Q1888" s="2" t="s">
        <v>7005</v>
      </c>
      <c r="R1888" s="3" t="s">
        <v>16939</v>
      </c>
      <c r="S1888" s="4">
        <v>1</v>
      </c>
      <c r="T1888" s="4">
        <v>1</v>
      </c>
      <c r="U1888" s="5" t="s">
        <v>19632</v>
      </c>
      <c r="V1888" s="5" t="s">
        <v>19632</v>
      </c>
      <c r="W1888" s="5" t="s">
        <v>72</v>
      </c>
      <c r="X1888" s="5" t="s">
        <v>72</v>
      </c>
      <c r="Y1888" s="4">
        <v>148</v>
      </c>
      <c r="Z1888" s="4">
        <v>11</v>
      </c>
      <c r="AA1888" s="4">
        <v>104</v>
      </c>
      <c r="AB1888" s="4">
        <v>1</v>
      </c>
      <c r="AC1888" s="4">
        <v>20</v>
      </c>
      <c r="AD1888" s="4">
        <v>66</v>
      </c>
      <c r="AE1888" s="4">
        <v>141</v>
      </c>
      <c r="AF1888" s="4">
        <v>0</v>
      </c>
      <c r="AG1888" s="4">
        <v>8</v>
      </c>
      <c r="AH1888" s="4">
        <v>62</v>
      </c>
      <c r="AI1888" s="4">
        <v>100</v>
      </c>
      <c r="AJ1888" s="4">
        <v>7</v>
      </c>
      <c r="AK1888" s="4">
        <v>23</v>
      </c>
      <c r="AL1888" s="4">
        <v>35</v>
      </c>
      <c r="AM1888" s="4">
        <v>54</v>
      </c>
      <c r="AN1888" s="4">
        <v>0</v>
      </c>
      <c r="AO1888" s="4">
        <v>0</v>
      </c>
      <c r="AP1888" s="4">
        <v>9</v>
      </c>
      <c r="AQ1888" s="4">
        <v>47</v>
      </c>
      <c r="AR1888" s="3" t="s">
        <v>64</v>
      </c>
      <c r="AS1888" s="3" t="s">
        <v>64</v>
      </c>
      <c r="AT1888" s="3" t="s">
        <v>64</v>
      </c>
      <c r="AV1888" s="6" t="str">
        <f>HYPERLINK("http://mcgill.on.worldcat.org/oclc/688843154","Catalog Record")</f>
        <v>Catalog Record</v>
      </c>
      <c r="AW1888" s="6" t="str">
        <f>HYPERLINK("http://www.worldcat.org/oclc/688843154","WorldCat Record")</f>
        <v>WorldCat Record</v>
      </c>
      <c r="AX1888" s="3" t="s">
        <v>19633</v>
      </c>
      <c r="AY1888" s="3" t="s">
        <v>19634</v>
      </c>
      <c r="AZ1888" s="3" t="s">
        <v>19635</v>
      </c>
      <c r="BA1888" s="3" t="s">
        <v>19635</v>
      </c>
      <c r="BB1888" s="3" t="s">
        <v>19636</v>
      </c>
      <c r="BC1888" s="3" t="s">
        <v>78</v>
      </c>
      <c r="BD1888" s="3" t="s">
        <v>79</v>
      </c>
      <c r="BE1888" s="3" t="s">
        <v>19637</v>
      </c>
      <c r="BF1888" s="3" t="s">
        <v>19636</v>
      </c>
      <c r="BG1888" s="3" t="s">
        <v>19638</v>
      </c>
    </row>
    <row r="1889" spans="1:59" ht="72.5" x14ac:dyDescent="0.35">
      <c r="A1889" s="2" t="s">
        <v>59</v>
      </c>
      <c r="B1889" s="2" t="s">
        <v>94</v>
      </c>
      <c r="C1889" s="2" t="s">
        <v>19639</v>
      </c>
      <c r="D1889" s="2" t="s">
        <v>19640</v>
      </c>
      <c r="E1889" s="2" t="s">
        <v>19641</v>
      </c>
      <c r="G1889" s="3" t="s">
        <v>64</v>
      </c>
      <c r="I1889" s="3" t="s">
        <v>64</v>
      </c>
      <c r="J1889" s="3" t="s">
        <v>64</v>
      </c>
      <c r="K1889" s="3" t="s">
        <v>65</v>
      </c>
      <c r="M1889" s="2" t="s">
        <v>19642</v>
      </c>
      <c r="N1889" s="3" t="s">
        <v>705</v>
      </c>
      <c r="P1889" s="3" t="s">
        <v>69</v>
      </c>
      <c r="Q1889" s="2" t="s">
        <v>19643</v>
      </c>
      <c r="R1889" s="3" t="s">
        <v>16939</v>
      </c>
      <c r="S1889" s="4">
        <v>18</v>
      </c>
      <c r="T1889" s="4">
        <v>18</v>
      </c>
      <c r="U1889" s="5" t="s">
        <v>11974</v>
      </c>
      <c r="V1889" s="5" t="s">
        <v>11974</v>
      </c>
      <c r="W1889" s="5" t="s">
        <v>72</v>
      </c>
      <c r="X1889" s="5" t="s">
        <v>72</v>
      </c>
      <c r="Y1889" s="4">
        <v>480</v>
      </c>
      <c r="Z1889" s="4">
        <v>23</v>
      </c>
      <c r="AA1889" s="4">
        <v>24</v>
      </c>
      <c r="AB1889" s="4">
        <v>1</v>
      </c>
      <c r="AC1889" s="4">
        <v>2</v>
      </c>
      <c r="AD1889" s="4">
        <v>114</v>
      </c>
      <c r="AE1889" s="4">
        <v>115</v>
      </c>
      <c r="AF1889" s="4">
        <v>0</v>
      </c>
      <c r="AG1889" s="4">
        <v>1</v>
      </c>
      <c r="AH1889" s="4">
        <v>99</v>
      </c>
      <c r="AI1889" s="4">
        <v>99</v>
      </c>
      <c r="AJ1889" s="4">
        <v>14</v>
      </c>
      <c r="AK1889" s="4">
        <v>15</v>
      </c>
      <c r="AL1889" s="4">
        <v>57</v>
      </c>
      <c r="AM1889" s="4">
        <v>57</v>
      </c>
      <c r="AN1889" s="4">
        <v>0</v>
      </c>
      <c r="AO1889" s="4">
        <v>0</v>
      </c>
      <c r="AP1889" s="4">
        <v>18</v>
      </c>
      <c r="AQ1889" s="4">
        <v>19</v>
      </c>
      <c r="AR1889" s="3" t="s">
        <v>64</v>
      </c>
      <c r="AS1889" s="3" t="s">
        <v>64</v>
      </c>
      <c r="AT1889" s="3" t="s">
        <v>64</v>
      </c>
      <c r="AV1889" s="6" t="str">
        <f>HYPERLINK("http://mcgill.on.worldcat.org/oclc/34604330","Catalog Record")</f>
        <v>Catalog Record</v>
      </c>
      <c r="AW1889" s="6" t="str">
        <f>HYPERLINK("http://www.worldcat.org/oclc/34604330","WorldCat Record")</f>
        <v>WorldCat Record</v>
      </c>
      <c r="AX1889" s="3" t="s">
        <v>19644</v>
      </c>
      <c r="AY1889" s="3" t="s">
        <v>19645</v>
      </c>
      <c r="AZ1889" s="3" t="s">
        <v>19646</v>
      </c>
      <c r="BA1889" s="3" t="s">
        <v>19646</v>
      </c>
      <c r="BB1889" s="3" t="s">
        <v>19647</v>
      </c>
      <c r="BC1889" s="3" t="s">
        <v>78</v>
      </c>
      <c r="BD1889" s="3" t="s">
        <v>79</v>
      </c>
      <c r="BE1889" s="3" t="s">
        <v>19648</v>
      </c>
      <c r="BF1889" s="3" t="s">
        <v>19647</v>
      </c>
      <c r="BG1889" s="3" t="s">
        <v>19649</v>
      </c>
    </row>
    <row r="1890" spans="1:59" ht="72.5" x14ac:dyDescent="0.35">
      <c r="A1890" s="2" t="s">
        <v>59</v>
      </c>
      <c r="B1890" s="2" t="s">
        <v>94</v>
      </c>
      <c r="C1890" s="2" t="s">
        <v>19650</v>
      </c>
      <c r="D1890" s="2" t="s">
        <v>19651</v>
      </c>
      <c r="E1890" s="2" t="s">
        <v>19652</v>
      </c>
      <c r="G1890" s="3" t="s">
        <v>64</v>
      </c>
      <c r="I1890" s="3" t="s">
        <v>64</v>
      </c>
      <c r="J1890" s="3" t="s">
        <v>64</v>
      </c>
      <c r="K1890" s="3" t="s">
        <v>65</v>
      </c>
      <c r="M1890" s="2" t="s">
        <v>6841</v>
      </c>
      <c r="N1890" s="3" t="s">
        <v>377</v>
      </c>
      <c r="P1890" s="3" t="s">
        <v>69</v>
      </c>
      <c r="Q1890" s="2" t="s">
        <v>5134</v>
      </c>
      <c r="R1890" s="3" t="s">
        <v>16939</v>
      </c>
      <c r="S1890" s="4">
        <v>1</v>
      </c>
      <c r="T1890" s="4">
        <v>1</v>
      </c>
      <c r="U1890" s="5" t="s">
        <v>19653</v>
      </c>
      <c r="V1890" s="5" t="s">
        <v>19653</v>
      </c>
      <c r="W1890" s="5" t="s">
        <v>72</v>
      </c>
      <c r="X1890" s="5" t="s">
        <v>72</v>
      </c>
      <c r="Y1890" s="4">
        <v>103</v>
      </c>
      <c r="Z1890" s="4">
        <v>8</v>
      </c>
      <c r="AA1890" s="4">
        <v>34</v>
      </c>
      <c r="AB1890" s="4">
        <v>1</v>
      </c>
      <c r="AC1890" s="4">
        <v>6</v>
      </c>
      <c r="AD1890" s="4">
        <v>54</v>
      </c>
      <c r="AE1890" s="4">
        <v>101</v>
      </c>
      <c r="AF1890" s="4">
        <v>0</v>
      </c>
      <c r="AG1890" s="4">
        <v>2</v>
      </c>
      <c r="AH1890" s="4">
        <v>53</v>
      </c>
      <c r="AI1890" s="4">
        <v>84</v>
      </c>
      <c r="AJ1890" s="4">
        <v>5</v>
      </c>
      <c r="AK1890" s="4">
        <v>14</v>
      </c>
      <c r="AL1890" s="4">
        <v>30</v>
      </c>
      <c r="AM1890" s="4">
        <v>47</v>
      </c>
      <c r="AN1890" s="4">
        <v>0</v>
      </c>
      <c r="AO1890" s="4">
        <v>0</v>
      </c>
      <c r="AP1890" s="4">
        <v>6</v>
      </c>
      <c r="AQ1890" s="4">
        <v>24</v>
      </c>
      <c r="AR1890" s="3" t="s">
        <v>64</v>
      </c>
      <c r="AS1890" s="3" t="s">
        <v>64</v>
      </c>
      <c r="AT1890" s="3" t="s">
        <v>64</v>
      </c>
      <c r="AV1890" s="6" t="str">
        <f>HYPERLINK("http://mcgill.on.worldcat.org/oclc/793421819","Catalog Record")</f>
        <v>Catalog Record</v>
      </c>
      <c r="AW1890" s="6" t="str">
        <f>HYPERLINK("http://www.worldcat.org/oclc/793421819","WorldCat Record")</f>
        <v>WorldCat Record</v>
      </c>
      <c r="AX1890" s="3" t="s">
        <v>19654</v>
      </c>
      <c r="AY1890" s="3" t="s">
        <v>19655</v>
      </c>
      <c r="AZ1890" s="3" t="s">
        <v>19656</v>
      </c>
      <c r="BA1890" s="3" t="s">
        <v>19656</v>
      </c>
      <c r="BB1890" s="3" t="s">
        <v>19657</v>
      </c>
      <c r="BC1890" s="3" t="s">
        <v>78</v>
      </c>
      <c r="BD1890" s="3" t="s">
        <v>79</v>
      </c>
      <c r="BE1890" s="3" t="s">
        <v>19658</v>
      </c>
      <c r="BF1890" s="3" t="s">
        <v>19657</v>
      </c>
      <c r="BG1890" s="3" t="s">
        <v>19659</v>
      </c>
    </row>
    <row r="1891" spans="1:59" ht="72.5" x14ac:dyDescent="0.35">
      <c r="A1891" s="2" t="s">
        <v>59</v>
      </c>
      <c r="B1891" s="2" t="s">
        <v>94</v>
      </c>
      <c r="C1891" s="2" t="s">
        <v>19660</v>
      </c>
      <c r="D1891" s="2" t="s">
        <v>19661</v>
      </c>
      <c r="E1891" s="2" t="s">
        <v>19662</v>
      </c>
      <c r="G1891" s="3" t="s">
        <v>64</v>
      </c>
      <c r="I1891" s="3" t="s">
        <v>64</v>
      </c>
      <c r="J1891" s="3" t="s">
        <v>64</v>
      </c>
      <c r="K1891" s="3" t="s">
        <v>65</v>
      </c>
      <c r="L1891" s="2" t="s">
        <v>19663</v>
      </c>
      <c r="M1891" s="2" t="s">
        <v>19664</v>
      </c>
      <c r="N1891" s="3" t="s">
        <v>136</v>
      </c>
      <c r="P1891" s="3" t="s">
        <v>69</v>
      </c>
      <c r="R1891" s="3" t="s">
        <v>16939</v>
      </c>
      <c r="S1891" s="4">
        <v>22</v>
      </c>
      <c r="T1891" s="4">
        <v>22</v>
      </c>
      <c r="U1891" s="5" t="s">
        <v>19384</v>
      </c>
      <c r="V1891" s="5" t="s">
        <v>19384</v>
      </c>
      <c r="W1891" s="5" t="s">
        <v>72</v>
      </c>
      <c r="X1891" s="5" t="s">
        <v>72</v>
      </c>
      <c r="Y1891" s="4">
        <v>418</v>
      </c>
      <c r="Z1891" s="4">
        <v>22</v>
      </c>
      <c r="AA1891" s="4">
        <v>94</v>
      </c>
      <c r="AB1891" s="4">
        <v>2</v>
      </c>
      <c r="AC1891" s="4">
        <v>16</v>
      </c>
      <c r="AD1891" s="4">
        <v>103</v>
      </c>
      <c r="AE1891" s="4">
        <v>144</v>
      </c>
      <c r="AF1891" s="4">
        <v>1</v>
      </c>
      <c r="AG1891" s="4">
        <v>9</v>
      </c>
      <c r="AH1891" s="4">
        <v>92</v>
      </c>
      <c r="AI1891" s="4">
        <v>108</v>
      </c>
      <c r="AJ1891" s="4">
        <v>13</v>
      </c>
      <c r="AK1891" s="4">
        <v>23</v>
      </c>
      <c r="AL1891" s="4">
        <v>49</v>
      </c>
      <c r="AM1891" s="4">
        <v>55</v>
      </c>
      <c r="AN1891" s="4">
        <v>0</v>
      </c>
      <c r="AO1891" s="4">
        <v>0</v>
      </c>
      <c r="AP1891" s="4">
        <v>15</v>
      </c>
      <c r="AQ1891" s="4">
        <v>44</v>
      </c>
      <c r="AR1891" s="3" t="s">
        <v>64</v>
      </c>
      <c r="AS1891" s="3" t="s">
        <v>64</v>
      </c>
      <c r="AT1891" s="3" t="s">
        <v>64</v>
      </c>
      <c r="AV1891" s="6" t="str">
        <f>HYPERLINK("http://mcgill.on.worldcat.org/oclc/41981849","Catalog Record")</f>
        <v>Catalog Record</v>
      </c>
      <c r="AW1891" s="6" t="str">
        <f>HYPERLINK("http://www.worldcat.org/oclc/41981849","WorldCat Record")</f>
        <v>WorldCat Record</v>
      </c>
      <c r="AX1891" s="3" t="s">
        <v>19665</v>
      </c>
      <c r="AY1891" s="3" t="s">
        <v>19666</v>
      </c>
      <c r="AZ1891" s="3" t="s">
        <v>19667</v>
      </c>
      <c r="BA1891" s="3" t="s">
        <v>19667</v>
      </c>
      <c r="BB1891" s="3" t="s">
        <v>19668</v>
      </c>
      <c r="BC1891" s="3" t="s">
        <v>78</v>
      </c>
      <c r="BD1891" s="3" t="s">
        <v>79</v>
      </c>
      <c r="BE1891" s="3" t="s">
        <v>19669</v>
      </c>
      <c r="BF1891" s="3" t="s">
        <v>19668</v>
      </c>
      <c r="BG1891" s="3" t="s">
        <v>19670</v>
      </c>
    </row>
    <row r="1892" spans="1:59" ht="72.5" x14ac:dyDescent="0.35">
      <c r="A1892" s="2" t="s">
        <v>59</v>
      </c>
      <c r="B1892" s="2" t="s">
        <v>94</v>
      </c>
      <c r="C1892" s="2" t="s">
        <v>19671</v>
      </c>
      <c r="D1892" s="2" t="s">
        <v>19672</v>
      </c>
      <c r="E1892" s="2" t="s">
        <v>19673</v>
      </c>
      <c r="G1892" s="3" t="s">
        <v>64</v>
      </c>
      <c r="I1892" s="3" t="s">
        <v>64</v>
      </c>
      <c r="J1892" s="3" t="s">
        <v>64</v>
      </c>
      <c r="K1892" s="3" t="s">
        <v>65</v>
      </c>
      <c r="L1892" s="2" t="s">
        <v>19674</v>
      </c>
      <c r="M1892" s="2" t="s">
        <v>19675</v>
      </c>
      <c r="N1892" s="3" t="s">
        <v>422</v>
      </c>
      <c r="P1892" s="3" t="s">
        <v>69</v>
      </c>
      <c r="Q1892" s="2" t="s">
        <v>19676</v>
      </c>
      <c r="R1892" s="3" t="s">
        <v>16939</v>
      </c>
      <c r="S1892" s="4">
        <v>17</v>
      </c>
      <c r="T1892" s="4">
        <v>17</v>
      </c>
      <c r="U1892" s="5" t="s">
        <v>11240</v>
      </c>
      <c r="V1892" s="5" t="s">
        <v>11240</v>
      </c>
      <c r="W1892" s="5" t="s">
        <v>72</v>
      </c>
      <c r="X1892" s="5" t="s">
        <v>72</v>
      </c>
      <c r="Y1892" s="4">
        <v>569</v>
      </c>
      <c r="Z1892" s="4">
        <v>23</v>
      </c>
      <c r="AA1892" s="4">
        <v>24</v>
      </c>
      <c r="AB1892" s="4">
        <v>2</v>
      </c>
      <c r="AC1892" s="4">
        <v>2</v>
      </c>
      <c r="AD1892" s="4">
        <v>103</v>
      </c>
      <c r="AE1892" s="4">
        <v>104</v>
      </c>
      <c r="AF1892" s="4">
        <v>0</v>
      </c>
      <c r="AG1892" s="4">
        <v>0</v>
      </c>
      <c r="AH1892" s="4">
        <v>92</v>
      </c>
      <c r="AI1892" s="4">
        <v>92</v>
      </c>
      <c r="AJ1892" s="4">
        <v>12</v>
      </c>
      <c r="AK1892" s="4">
        <v>13</v>
      </c>
      <c r="AL1892" s="4">
        <v>50</v>
      </c>
      <c r="AM1892" s="4">
        <v>50</v>
      </c>
      <c r="AN1892" s="4">
        <v>0</v>
      </c>
      <c r="AO1892" s="4">
        <v>0</v>
      </c>
      <c r="AP1892" s="4">
        <v>17</v>
      </c>
      <c r="AQ1892" s="4">
        <v>18</v>
      </c>
      <c r="AR1892" s="3" t="s">
        <v>64</v>
      </c>
      <c r="AS1892" s="3" t="s">
        <v>64</v>
      </c>
      <c r="AT1892" s="3" t="s">
        <v>73</v>
      </c>
      <c r="AU1892" s="6" t="str">
        <f>HYPERLINK("http://catalog.hathitrust.org/Record/004198261","HathiTrust Record")</f>
        <v>HathiTrust Record</v>
      </c>
      <c r="AV1892" s="6" t="str">
        <f>HYPERLINK("http://mcgill.on.worldcat.org/oclc/45890465","Catalog Record")</f>
        <v>Catalog Record</v>
      </c>
      <c r="AW1892" s="6" t="str">
        <f>HYPERLINK("http://www.worldcat.org/oclc/45890465","WorldCat Record")</f>
        <v>WorldCat Record</v>
      </c>
      <c r="AX1892" s="3" t="s">
        <v>19677</v>
      </c>
      <c r="AY1892" s="3" t="s">
        <v>19678</v>
      </c>
      <c r="AZ1892" s="3" t="s">
        <v>19679</v>
      </c>
      <c r="BA1892" s="3" t="s">
        <v>19679</v>
      </c>
      <c r="BB1892" s="3" t="s">
        <v>19680</v>
      </c>
      <c r="BC1892" s="3" t="s">
        <v>78</v>
      </c>
      <c r="BD1892" s="3" t="s">
        <v>79</v>
      </c>
      <c r="BE1892" s="3" t="s">
        <v>19681</v>
      </c>
      <c r="BF1892" s="3" t="s">
        <v>19680</v>
      </c>
      <c r="BG1892" s="3" t="s">
        <v>19682</v>
      </c>
    </row>
    <row r="1893" spans="1:59" ht="72.5" x14ac:dyDescent="0.35">
      <c r="A1893" s="2" t="s">
        <v>59</v>
      </c>
      <c r="B1893" s="2" t="s">
        <v>94</v>
      </c>
      <c r="C1893" s="2" t="s">
        <v>19683</v>
      </c>
      <c r="D1893" s="2" t="s">
        <v>19684</v>
      </c>
      <c r="E1893" s="2" t="s">
        <v>19685</v>
      </c>
      <c r="G1893" s="3" t="s">
        <v>64</v>
      </c>
      <c r="I1893" s="3" t="s">
        <v>64</v>
      </c>
      <c r="J1893" s="3" t="s">
        <v>64</v>
      </c>
      <c r="K1893" s="3" t="s">
        <v>65</v>
      </c>
      <c r="L1893" s="2" t="s">
        <v>19686</v>
      </c>
      <c r="M1893" s="2" t="s">
        <v>19687</v>
      </c>
      <c r="N1893" s="3" t="s">
        <v>226</v>
      </c>
      <c r="P1893" s="3" t="s">
        <v>69</v>
      </c>
      <c r="R1893" s="3" t="s">
        <v>16939</v>
      </c>
      <c r="S1893" s="4">
        <v>15</v>
      </c>
      <c r="T1893" s="4">
        <v>15</v>
      </c>
      <c r="U1893" s="5" t="s">
        <v>11240</v>
      </c>
      <c r="V1893" s="5" t="s">
        <v>11240</v>
      </c>
      <c r="W1893" s="5" t="s">
        <v>72</v>
      </c>
      <c r="X1893" s="5" t="s">
        <v>72</v>
      </c>
      <c r="Y1893" s="4">
        <v>838</v>
      </c>
      <c r="Z1893" s="4">
        <v>28</v>
      </c>
      <c r="AA1893" s="4">
        <v>28</v>
      </c>
      <c r="AB1893" s="4">
        <v>1</v>
      </c>
      <c r="AC1893" s="4">
        <v>1</v>
      </c>
      <c r="AD1893" s="4">
        <v>110</v>
      </c>
      <c r="AE1893" s="4">
        <v>110</v>
      </c>
      <c r="AF1893" s="4">
        <v>0</v>
      </c>
      <c r="AG1893" s="4">
        <v>0</v>
      </c>
      <c r="AH1893" s="4">
        <v>98</v>
      </c>
      <c r="AI1893" s="4">
        <v>98</v>
      </c>
      <c r="AJ1893" s="4">
        <v>14</v>
      </c>
      <c r="AK1893" s="4">
        <v>14</v>
      </c>
      <c r="AL1893" s="4">
        <v>53</v>
      </c>
      <c r="AM1893" s="4">
        <v>53</v>
      </c>
      <c r="AN1893" s="4">
        <v>0</v>
      </c>
      <c r="AO1893" s="4">
        <v>0</v>
      </c>
      <c r="AP1893" s="4">
        <v>16</v>
      </c>
      <c r="AQ1893" s="4">
        <v>16</v>
      </c>
      <c r="AR1893" s="3" t="s">
        <v>64</v>
      </c>
      <c r="AS1893" s="3" t="s">
        <v>64</v>
      </c>
      <c r="AT1893" s="3" t="s">
        <v>73</v>
      </c>
      <c r="AU1893" s="6" t="str">
        <f>HYPERLINK("http://catalog.hathitrust.org/Record/003168749","HathiTrust Record")</f>
        <v>HathiTrust Record</v>
      </c>
      <c r="AV1893" s="6" t="str">
        <f>HYPERLINK("http://mcgill.on.worldcat.org/oclc/36705721","Catalog Record")</f>
        <v>Catalog Record</v>
      </c>
      <c r="AW1893" s="6" t="str">
        <f>HYPERLINK("http://www.worldcat.org/oclc/36705721","WorldCat Record")</f>
        <v>WorldCat Record</v>
      </c>
      <c r="AX1893" s="3" t="s">
        <v>19688</v>
      </c>
      <c r="AY1893" s="3" t="s">
        <v>19689</v>
      </c>
      <c r="AZ1893" s="3" t="s">
        <v>19690</v>
      </c>
      <c r="BA1893" s="3" t="s">
        <v>19690</v>
      </c>
      <c r="BB1893" s="3" t="s">
        <v>19691</v>
      </c>
      <c r="BC1893" s="3" t="s">
        <v>78</v>
      </c>
      <c r="BD1893" s="3" t="s">
        <v>79</v>
      </c>
      <c r="BE1893" s="3" t="s">
        <v>19692</v>
      </c>
      <c r="BF1893" s="3" t="s">
        <v>19691</v>
      </c>
      <c r="BG1893" s="3" t="s">
        <v>19693</v>
      </c>
    </row>
    <row r="1894" spans="1:59" ht="72.5" x14ac:dyDescent="0.35">
      <c r="A1894" s="2" t="s">
        <v>59</v>
      </c>
      <c r="B1894" s="2" t="s">
        <v>94</v>
      </c>
      <c r="C1894" s="2" t="s">
        <v>19694</v>
      </c>
      <c r="D1894" s="2" t="s">
        <v>19695</v>
      </c>
      <c r="E1894" s="2" t="s">
        <v>19696</v>
      </c>
      <c r="G1894" s="3" t="s">
        <v>64</v>
      </c>
      <c r="I1894" s="3" t="s">
        <v>64</v>
      </c>
      <c r="J1894" s="3" t="s">
        <v>64</v>
      </c>
      <c r="K1894" s="3" t="s">
        <v>65</v>
      </c>
      <c r="L1894" s="2" t="s">
        <v>19697</v>
      </c>
      <c r="M1894" s="2" t="s">
        <v>19698</v>
      </c>
      <c r="N1894" s="3" t="s">
        <v>705</v>
      </c>
      <c r="P1894" s="3" t="s">
        <v>69</v>
      </c>
      <c r="Q1894" s="2" t="s">
        <v>19699</v>
      </c>
      <c r="R1894" s="3" t="s">
        <v>16939</v>
      </c>
      <c r="S1894" s="4">
        <v>4</v>
      </c>
      <c r="T1894" s="4">
        <v>4</v>
      </c>
      <c r="U1894" s="5" t="s">
        <v>4730</v>
      </c>
      <c r="V1894" s="5" t="s">
        <v>4730</v>
      </c>
      <c r="W1894" s="5" t="s">
        <v>72</v>
      </c>
      <c r="X1894" s="5" t="s">
        <v>72</v>
      </c>
      <c r="Y1894" s="4">
        <v>519</v>
      </c>
      <c r="Z1894" s="4">
        <v>14</v>
      </c>
      <c r="AA1894" s="4">
        <v>14</v>
      </c>
      <c r="AB1894" s="4">
        <v>1</v>
      </c>
      <c r="AC1894" s="4">
        <v>1</v>
      </c>
      <c r="AD1894" s="4">
        <v>109</v>
      </c>
      <c r="AE1894" s="4">
        <v>109</v>
      </c>
      <c r="AF1894" s="4">
        <v>0</v>
      </c>
      <c r="AG1894" s="4">
        <v>0</v>
      </c>
      <c r="AH1894" s="4">
        <v>101</v>
      </c>
      <c r="AI1894" s="4">
        <v>101</v>
      </c>
      <c r="AJ1894" s="4">
        <v>10</v>
      </c>
      <c r="AK1894" s="4">
        <v>10</v>
      </c>
      <c r="AL1894" s="4">
        <v>55</v>
      </c>
      <c r="AM1894" s="4">
        <v>55</v>
      </c>
      <c r="AN1894" s="4">
        <v>0</v>
      </c>
      <c r="AO1894" s="4">
        <v>0</v>
      </c>
      <c r="AP1894" s="4">
        <v>11</v>
      </c>
      <c r="AQ1894" s="4">
        <v>11</v>
      </c>
      <c r="AR1894" s="3" t="s">
        <v>64</v>
      </c>
      <c r="AS1894" s="3" t="s">
        <v>64</v>
      </c>
      <c r="AT1894" s="3" t="s">
        <v>73</v>
      </c>
      <c r="AU1894" s="6" t="str">
        <f>HYPERLINK("http://catalog.hathitrust.org/Record/003143893","HathiTrust Record")</f>
        <v>HathiTrust Record</v>
      </c>
      <c r="AV1894" s="6" t="str">
        <f>HYPERLINK("http://mcgill.on.worldcat.org/oclc/34354652","Catalog Record")</f>
        <v>Catalog Record</v>
      </c>
      <c r="AW1894" s="6" t="str">
        <f>HYPERLINK("http://www.worldcat.org/oclc/34354652","WorldCat Record")</f>
        <v>WorldCat Record</v>
      </c>
      <c r="AX1894" s="3" t="s">
        <v>19700</v>
      </c>
      <c r="AY1894" s="3" t="s">
        <v>19701</v>
      </c>
      <c r="AZ1894" s="3" t="s">
        <v>19702</v>
      </c>
      <c r="BA1894" s="3" t="s">
        <v>19702</v>
      </c>
      <c r="BB1894" s="3" t="s">
        <v>19703</v>
      </c>
      <c r="BC1894" s="3" t="s">
        <v>78</v>
      </c>
      <c r="BD1894" s="3" t="s">
        <v>79</v>
      </c>
      <c r="BE1894" s="3" t="s">
        <v>19704</v>
      </c>
      <c r="BF1894" s="3" t="s">
        <v>19703</v>
      </c>
      <c r="BG1894" s="3" t="s">
        <v>19705</v>
      </c>
    </row>
    <row r="1895" spans="1:59" ht="72.5" x14ac:dyDescent="0.35">
      <c r="A1895" s="2" t="s">
        <v>59</v>
      </c>
      <c r="B1895" s="2" t="s">
        <v>94</v>
      </c>
      <c r="C1895" s="2" t="s">
        <v>19706</v>
      </c>
      <c r="D1895" s="2" t="s">
        <v>19707</v>
      </c>
      <c r="E1895" s="2" t="s">
        <v>19708</v>
      </c>
      <c r="G1895" s="3" t="s">
        <v>64</v>
      </c>
      <c r="I1895" s="3" t="s">
        <v>64</v>
      </c>
      <c r="J1895" s="3" t="s">
        <v>64</v>
      </c>
      <c r="K1895" s="3" t="s">
        <v>65</v>
      </c>
      <c r="M1895" s="2" t="s">
        <v>19709</v>
      </c>
      <c r="N1895" s="3" t="s">
        <v>1064</v>
      </c>
      <c r="P1895" s="3" t="s">
        <v>69</v>
      </c>
      <c r="R1895" s="3" t="s">
        <v>16939</v>
      </c>
      <c r="S1895" s="4">
        <v>22</v>
      </c>
      <c r="T1895" s="4">
        <v>22</v>
      </c>
      <c r="U1895" s="5" t="s">
        <v>19710</v>
      </c>
      <c r="V1895" s="5" t="s">
        <v>19710</v>
      </c>
      <c r="W1895" s="5" t="s">
        <v>72</v>
      </c>
      <c r="X1895" s="5" t="s">
        <v>72</v>
      </c>
      <c r="Y1895" s="4">
        <v>485</v>
      </c>
      <c r="Z1895" s="4">
        <v>23</v>
      </c>
      <c r="AA1895" s="4">
        <v>24</v>
      </c>
      <c r="AB1895" s="4">
        <v>2</v>
      </c>
      <c r="AC1895" s="4">
        <v>3</v>
      </c>
      <c r="AD1895" s="4">
        <v>110</v>
      </c>
      <c r="AE1895" s="4">
        <v>111</v>
      </c>
      <c r="AF1895" s="4">
        <v>1</v>
      </c>
      <c r="AG1895" s="4">
        <v>2</v>
      </c>
      <c r="AH1895" s="4">
        <v>96</v>
      </c>
      <c r="AI1895" s="4">
        <v>97</v>
      </c>
      <c r="AJ1895" s="4">
        <v>16</v>
      </c>
      <c r="AK1895" s="4">
        <v>17</v>
      </c>
      <c r="AL1895" s="4">
        <v>55</v>
      </c>
      <c r="AM1895" s="4">
        <v>55</v>
      </c>
      <c r="AN1895" s="4">
        <v>0</v>
      </c>
      <c r="AO1895" s="4">
        <v>0</v>
      </c>
      <c r="AP1895" s="4">
        <v>19</v>
      </c>
      <c r="AQ1895" s="4">
        <v>20</v>
      </c>
      <c r="AR1895" s="3" t="s">
        <v>64</v>
      </c>
      <c r="AS1895" s="3" t="s">
        <v>64</v>
      </c>
      <c r="AT1895" s="3" t="s">
        <v>64</v>
      </c>
      <c r="AV1895" s="6" t="str">
        <f>HYPERLINK("http://mcgill.on.worldcat.org/oclc/39951636","Catalog Record")</f>
        <v>Catalog Record</v>
      </c>
      <c r="AW1895" s="6" t="str">
        <f>HYPERLINK("http://www.worldcat.org/oclc/39951636","WorldCat Record")</f>
        <v>WorldCat Record</v>
      </c>
      <c r="AX1895" s="3" t="s">
        <v>19711</v>
      </c>
      <c r="AY1895" s="3" t="s">
        <v>19712</v>
      </c>
      <c r="AZ1895" s="3" t="s">
        <v>19713</v>
      </c>
      <c r="BA1895" s="3" t="s">
        <v>19713</v>
      </c>
      <c r="BB1895" s="3" t="s">
        <v>19714</v>
      </c>
      <c r="BC1895" s="3" t="s">
        <v>78</v>
      </c>
      <c r="BD1895" s="3" t="s">
        <v>79</v>
      </c>
      <c r="BE1895" s="3" t="s">
        <v>19715</v>
      </c>
      <c r="BF1895" s="3" t="s">
        <v>19714</v>
      </c>
      <c r="BG1895" s="3" t="s">
        <v>19716</v>
      </c>
    </row>
    <row r="1896" spans="1:59" ht="72.5" x14ac:dyDescent="0.35">
      <c r="A1896" s="2" t="s">
        <v>59</v>
      </c>
      <c r="B1896" s="2" t="s">
        <v>94</v>
      </c>
      <c r="C1896" s="2" t="s">
        <v>19717</v>
      </c>
      <c r="D1896" s="2" t="s">
        <v>19718</v>
      </c>
      <c r="E1896" s="2" t="s">
        <v>19719</v>
      </c>
      <c r="G1896" s="3" t="s">
        <v>64</v>
      </c>
      <c r="I1896" s="3" t="s">
        <v>64</v>
      </c>
      <c r="J1896" s="3" t="s">
        <v>64</v>
      </c>
      <c r="K1896" s="3" t="s">
        <v>65</v>
      </c>
      <c r="M1896" s="2" t="s">
        <v>19720</v>
      </c>
      <c r="N1896" s="3" t="s">
        <v>705</v>
      </c>
      <c r="P1896" s="3" t="s">
        <v>69</v>
      </c>
      <c r="Q1896" s="2" t="s">
        <v>19721</v>
      </c>
      <c r="R1896" s="3" t="s">
        <v>16939</v>
      </c>
      <c r="S1896" s="4">
        <v>27</v>
      </c>
      <c r="T1896" s="4">
        <v>27</v>
      </c>
      <c r="U1896" s="5" t="s">
        <v>19722</v>
      </c>
      <c r="V1896" s="5" t="s">
        <v>19722</v>
      </c>
      <c r="W1896" s="5" t="s">
        <v>72</v>
      </c>
      <c r="X1896" s="5" t="s">
        <v>72</v>
      </c>
      <c r="Y1896" s="4">
        <v>453</v>
      </c>
      <c r="Z1896" s="4">
        <v>16</v>
      </c>
      <c r="AA1896" s="4">
        <v>24</v>
      </c>
      <c r="AB1896" s="4">
        <v>2</v>
      </c>
      <c r="AC1896" s="4">
        <v>4</v>
      </c>
      <c r="AD1896" s="4">
        <v>96</v>
      </c>
      <c r="AE1896" s="4">
        <v>104</v>
      </c>
      <c r="AF1896" s="4">
        <v>1</v>
      </c>
      <c r="AG1896" s="4">
        <v>1</v>
      </c>
      <c r="AH1896" s="4">
        <v>86</v>
      </c>
      <c r="AI1896" s="4">
        <v>92</v>
      </c>
      <c r="AJ1896" s="4">
        <v>9</v>
      </c>
      <c r="AK1896" s="4">
        <v>10</v>
      </c>
      <c r="AL1896" s="4">
        <v>50</v>
      </c>
      <c r="AM1896" s="4">
        <v>52</v>
      </c>
      <c r="AN1896" s="4">
        <v>0</v>
      </c>
      <c r="AO1896" s="4">
        <v>0</v>
      </c>
      <c r="AP1896" s="4">
        <v>12</v>
      </c>
      <c r="AQ1896" s="4">
        <v>15</v>
      </c>
      <c r="AR1896" s="3" t="s">
        <v>64</v>
      </c>
      <c r="AS1896" s="3" t="s">
        <v>64</v>
      </c>
      <c r="AT1896" s="3" t="s">
        <v>64</v>
      </c>
      <c r="AV1896" s="6" t="str">
        <f>HYPERLINK("http://mcgill.on.worldcat.org/oclc/33667214","Catalog Record")</f>
        <v>Catalog Record</v>
      </c>
      <c r="AW1896" s="6" t="str">
        <f>HYPERLINK("http://www.worldcat.org/oclc/33667214","WorldCat Record")</f>
        <v>WorldCat Record</v>
      </c>
      <c r="AX1896" s="3" t="s">
        <v>19723</v>
      </c>
      <c r="AY1896" s="3" t="s">
        <v>19724</v>
      </c>
      <c r="AZ1896" s="3" t="s">
        <v>19725</v>
      </c>
      <c r="BA1896" s="3" t="s">
        <v>19725</v>
      </c>
      <c r="BB1896" s="3" t="s">
        <v>19726</v>
      </c>
      <c r="BC1896" s="3" t="s">
        <v>78</v>
      </c>
      <c r="BD1896" s="3" t="s">
        <v>79</v>
      </c>
      <c r="BE1896" s="3" t="s">
        <v>19727</v>
      </c>
      <c r="BF1896" s="3" t="s">
        <v>19726</v>
      </c>
      <c r="BG1896" s="3" t="s">
        <v>19728</v>
      </c>
    </row>
    <row r="1897" spans="1:59" ht="72.5" x14ac:dyDescent="0.35">
      <c r="A1897" s="2" t="s">
        <v>59</v>
      </c>
      <c r="B1897" s="2" t="s">
        <v>94</v>
      </c>
      <c r="C1897" s="2" t="s">
        <v>19729</v>
      </c>
      <c r="D1897" s="2" t="s">
        <v>19730</v>
      </c>
      <c r="E1897" s="2" t="s">
        <v>19731</v>
      </c>
      <c r="G1897" s="3" t="s">
        <v>64</v>
      </c>
      <c r="I1897" s="3" t="s">
        <v>64</v>
      </c>
      <c r="J1897" s="3" t="s">
        <v>64</v>
      </c>
      <c r="K1897" s="3" t="s">
        <v>65</v>
      </c>
      <c r="L1897" s="2" t="s">
        <v>19732</v>
      </c>
      <c r="M1897" s="2" t="s">
        <v>19733</v>
      </c>
      <c r="N1897" s="3" t="s">
        <v>214</v>
      </c>
      <c r="O1897" s="2" t="s">
        <v>1294</v>
      </c>
      <c r="P1897" s="3" t="s">
        <v>69</v>
      </c>
      <c r="R1897" s="3" t="s">
        <v>16939</v>
      </c>
      <c r="S1897" s="4">
        <v>3</v>
      </c>
      <c r="T1897" s="4">
        <v>3</v>
      </c>
      <c r="U1897" s="5" t="s">
        <v>19734</v>
      </c>
      <c r="V1897" s="5" t="s">
        <v>19734</v>
      </c>
      <c r="W1897" s="5" t="s">
        <v>72</v>
      </c>
      <c r="X1897" s="5" t="s">
        <v>72</v>
      </c>
      <c r="Y1897" s="4">
        <v>1354</v>
      </c>
      <c r="Z1897" s="4">
        <v>25</v>
      </c>
      <c r="AA1897" s="4">
        <v>27</v>
      </c>
      <c r="AB1897" s="4">
        <v>3</v>
      </c>
      <c r="AC1897" s="4">
        <v>4</v>
      </c>
      <c r="AD1897" s="4">
        <v>81</v>
      </c>
      <c r="AE1897" s="4">
        <v>86</v>
      </c>
      <c r="AF1897" s="4">
        <v>1</v>
      </c>
      <c r="AG1897" s="4">
        <v>1</v>
      </c>
      <c r="AH1897" s="4">
        <v>73</v>
      </c>
      <c r="AI1897" s="4">
        <v>77</v>
      </c>
      <c r="AJ1897" s="4">
        <v>13</v>
      </c>
      <c r="AK1897" s="4">
        <v>14</v>
      </c>
      <c r="AL1897" s="4">
        <v>44</v>
      </c>
      <c r="AM1897" s="4">
        <v>45</v>
      </c>
      <c r="AN1897" s="4">
        <v>0</v>
      </c>
      <c r="AO1897" s="4">
        <v>0</v>
      </c>
      <c r="AP1897" s="4">
        <v>14</v>
      </c>
      <c r="AQ1897" s="4">
        <v>15</v>
      </c>
      <c r="AR1897" s="3" t="s">
        <v>64</v>
      </c>
      <c r="AS1897" s="3" t="s">
        <v>64</v>
      </c>
      <c r="AT1897" s="3" t="s">
        <v>64</v>
      </c>
      <c r="AV1897" s="6" t="str">
        <f>HYPERLINK("http://mcgill.on.worldcat.org/oclc/419798772","Catalog Record")</f>
        <v>Catalog Record</v>
      </c>
      <c r="AW1897" s="6" t="str">
        <f>HYPERLINK("http://www.worldcat.org/oclc/419798772","WorldCat Record")</f>
        <v>WorldCat Record</v>
      </c>
      <c r="AX1897" s="3" t="s">
        <v>19735</v>
      </c>
      <c r="AY1897" s="3" t="s">
        <v>19736</v>
      </c>
      <c r="AZ1897" s="3" t="s">
        <v>19737</v>
      </c>
      <c r="BA1897" s="3" t="s">
        <v>19737</v>
      </c>
      <c r="BB1897" s="3" t="s">
        <v>19738</v>
      </c>
      <c r="BC1897" s="3" t="s">
        <v>78</v>
      </c>
      <c r="BD1897" s="3" t="s">
        <v>79</v>
      </c>
      <c r="BE1897" s="3" t="s">
        <v>19739</v>
      </c>
      <c r="BF1897" s="3" t="s">
        <v>19738</v>
      </c>
      <c r="BG1897" s="3" t="s">
        <v>19740</v>
      </c>
    </row>
    <row r="1898" spans="1:59" ht="72.5" x14ac:dyDescent="0.35">
      <c r="A1898" s="2" t="s">
        <v>59</v>
      </c>
      <c r="B1898" s="2" t="s">
        <v>94</v>
      </c>
      <c r="C1898" s="2" t="s">
        <v>19741</v>
      </c>
      <c r="D1898" s="2" t="s">
        <v>19742</v>
      </c>
      <c r="E1898" s="2" t="s">
        <v>19743</v>
      </c>
      <c r="G1898" s="3" t="s">
        <v>64</v>
      </c>
      <c r="I1898" s="3" t="s">
        <v>64</v>
      </c>
      <c r="J1898" s="3" t="s">
        <v>64</v>
      </c>
      <c r="K1898" s="3" t="s">
        <v>65</v>
      </c>
      <c r="M1898" s="2" t="s">
        <v>19744</v>
      </c>
      <c r="N1898" s="3" t="s">
        <v>1530</v>
      </c>
      <c r="P1898" s="3" t="s">
        <v>69</v>
      </c>
      <c r="R1898" s="3" t="s">
        <v>16939</v>
      </c>
      <c r="S1898" s="4">
        <v>10</v>
      </c>
      <c r="T1898" s="4">
        <v>10</v>
      </c>
      <c r="U1898" s="5" t="s">
        <v>12609</v>
      </c>
      <c r="V1898" s="5" t="s">
        <v>12609</v>
      </c>
      <c r="W1898" s="5" t="s">
        <v>72</v>
      </c>
      <c r="X1898" s="5" t="s">
        <v>72</v>
      </c>
      <c r="Y1898" s="4">
        <v>253</v>
      </c>
      <c r="Z1898" s="4">
        <v>10</v>
      </c>
      <c r="AA1898" s="4">
        <v>93</v>
      </c>
      <c r="AB1898" s="4">
        <v>1</v>
      </c>
      <c r="AC1898" s="4">
        <v>17</v>
      </c>
      <c r="AD1898" s="4">
        <v>94</v>
      </c>
      <c r="AE1898" s="4">
        <v>138</v>
      </c>
      <c r="AF1898" s="4">
        <v>0</v>
      </c>
      <c r="AG1898" s="4">
        <v>8</v>
      </c>
      <c r="AH1898" s="4">
        <v>89</v>
      </c>
      <c r="AI1898" s="4">
        <v>102</v>
      </c>
      <c r="AJ1898" s="4">
        <v>7</v>
      </c>
      <c r="AK1898" s="4">
        <v>21</v>
      </c>
      <c r="AL1898" s="4">
        <v>50</v>
      </c>
      <c r="AM1898" s="4">
        <v>55</v>
      </c>
      <c r="AN1898" s="4">
        <v>0</v>
      </c>
      <c r="AO1898" s="4">
        <v>0</v>
      </c>
      <c r="AP1898" s="4">
        <v>8</v>
      </c>
      <c r="AQ1898" s="4">
        <v>41</v>
      </c>
      <c r="AR1898" s="3" t="s">
        <v>64</v>
      </c>
      <c r="AS1898" s="3" t="s">
        <v>64</v>
      </c>
      <c r="AT1898" s="3" t="s">
        <v>64</v>
      </c>
      <c r="AV1898" s="6" t="str">
        <f>HYPERLINK("http://mcgill.on.worldcat.org/oclc/49525757","Catalog Record")</f>
        <v>Catalog Record</v>
      </c>
      <c r="AW1898" s="6" t="str">
        <f>HYPERLINK("http://www.worldcat.org/oclc/49525757","WorldCat Record")</f>
        <v>WorldCat Record</v>
      </c>
      <c r="AX1898" s="3" t="s">
        <v>19745</v>
      </c>
      <c r="AY1898" s="3" t="s">
        <v>19746</v>
      </c>
      <c r="AZ1898" s="3" t="s">
        <v>19747</v>
      </c>
      <c r="BA1898" s="3" t="s">
        <v>19747</v>
      </c>
      <c r="BB1898" s="3" t="s">
        <v>19748</v>
      </c>
      <c r="BC1898" s="3" t="s">
        <v>78</v>
      </c>
      <c r="BD1898" s="3" t="s">
        <v>79</v>
      </c>
      <c r="BE1898" s="3" t="s">
        <v>19749</v>
      </c>
      <c r="BF1898" s="3" t="s">
        <v>19748</v>
      </c>
      <c r="BG1898" s="3" t="s">
        <v>19750</v>
      </c>
    </row>
    <row r="1899" spans="1:59" ht="58" x14ac:dyDescent="0.35">
      <c r="A1899" s="2" t="s">
        <v>59</v>
      </c>
      <c r="B1899" s="2" t="s">
        <v>94</v>
      </c>
      <c r="C1899" s="2" t="s">
        <v>19751</v>
      </c>
      <c r="D1899" s="2" t="s">
        <v>19752</v>
      </c>
      <c r="E1899" s="2" t="s">
        <v>19753</v>
      </c>
      <c r="G1899" s="3" t="s">
        <v>64</v>
      </c>
      <c r="I1899" s="3" t="s">
        <v>64</v>
      </c>
      <c r="J1899" s="3" t="s">
        <v>64</v>
      </c>
      <c r="K1899" s="3" t="s">
        <v>65</v>
      </c>
      <c r="L1899" s="2" t="s">
        <v>19754</v>
      </c>
      <c r="M1899" s="2" t="s">
        <v>19755</v>
      </c>
      <c r="N1899" s="3" t="s">
        <v>340</v>
      </c>
      <c r="P1899" s="3" t="s">
        <v>69</v>
      </c>
      <c r="R1899" s="3" t="s">
        <v>16939</v>
      </c>
      <c r="S1899" s="4">
        <v>15</v>
      </c>
      <c r="T1899" s="4">
        <v>15</v>
      </c>
      <c r="U1899" s="5" t="s">
        <v>19756</v>
      </c>
      <c r="V1899" s="5" t="s">
        <v>19756</v>
      </c>
      <c r="W1899" s="5" t="s">
        <v>72</v>
      </c>
      <c r="X1899" s="5" t="s">
        <v>72</v>
      </c>
      <c r="Y1899" s="4">
        <v>438</v>
      </c>
      <c r="Z1899" s="4">
        <v>16</v>
      </c>
      <c r="AA1899" s="4">
        <v>25</v>
      </c>
      <c r="AB1899" s="4">
        <v>2</v>
      </c>
      <c r="AC1899" s="4">
        <v>4</v>
      </c>
      <c r="AD1899" s="4">
        <v>103</v>
      </c>
      <c r="AE1899" s="4">
        <v>115</v>
      </c>
      <c r="AF1899" s="4">
        <v>1</v>
      </c>
      <c r="AG1899" s="4">
        <v>3</v>
      </c>
      <c r="AH1899" s="4">
        <v>95</v>
      </c>
      <c r="AI1899" s="4">
        <v>103</v>
      </c>
      <c r="AJ1899" s="4">
        <v>9</v>
      </c>
      <c r="AK1899" s="4">
        <v>14</v>
      </c>
      <c r="AL1899" s="4">
        <v>50</v>
      </c>
      <c r="AM1899" s="4">
        <v>56</v>
      </c>
      <c r="AN1899" s="4">
        <v>0</v>
      </c>
      <c r="AO1899" s="4">
        <v>0</v>
      </c>
      <c r="AP1899" s="4">
        <v>13</v>
      </c>
      <c r="AQ1899" s="4">
        <v>18</v>
      </c>
      <c r="AR1899" s="3" t="s">
        <v>64</v>
      </c>
      <c r="AS1899" s="3" t="s">
        <v>64</v>
      </c>
      <c r="AT1899" s="3" t="s">
        <v>64</v>
      </c>
      <c r="AV1899" s="6" t="str">
        <f>HYPERLINK("http://mcgill.on.worldcat.org/oclc/38132681","Catalog Record")</f>
        <v>Catalog Record</v>
      </c>
      <c r="AW1899" s="6" t="str">
        <f>HYPERLINK("http://www.worldcat.org/oclc/38132681","WorldCat Record")</f>
        <v>WorldCat Record</v>
      </c>
      <c r="AX1899" s="3" t="s">
        <v>19757</v>
      </c>
      <c r="AY1899" s="3" t="s">
        <v>19758</v>
      </c>
      <c r="AZ1899" s="3" t="s">
        <v>19759</v>
      </c>
      <c r="BA1899" s="3" t="s">
        <v>19759</v>
      </c>
      <c r="BB1899" s="3" t="s">
        <v>19760</v>
      </c>
      <c r="BC1899" s="3" t="s">
        <v>78</v>
      </c>
      <c r="BD1899" s="3" t="s">
        <v>79</v>
      </c>
      <c r="BE1899" s="3" t="s">
        <v>19761</v>
      </c>
      <c r="BF1899" s="3" t="s">
        <v>19760</v>
      </c>
      <c r="BG1899" s="3" t="s">
        <v>19762</v>
      </c>
    </row>
    <row r="1900" spans="1:59" ht="58" x14ac:dyDescent="0.35">
      <c r="A1900" s="2" t="s">
        <v>59</v>
      </c>
      <c r="B1900" s="2" t="s">
        <v>94</v>
      </c>
      <c r="C1900" s="2" t="s">
        <v>19763</v>
      </c>
      <c r="D1900" s="2" t="s">
        <v>19764</v>
      </c>
      <c r="E1900" s="2" t="s">
        <v>19765</v>
      </c>
      <c r="G1900" s="3" t="s">
        <v>64</v>
      </c>
      <c r="I1900" s="3" t="s">
        <v>64</v>
      </c>
      <c r="J1900" s="3" t="s">
        <v>64</v>
      </c>
      <c r="K1900" s="3" t="s">
        <v>65</v>
      </c>
      <c r="L1900" s="2" t="s">
        <v>19766</v>
      </c>
      <c r="M1900" s="2" t="s">
        <v>19767</v>
      </c>
      <c r="N1900" s="3" t="s">
        <v>87</v>
      </c>
      <c r="P1900" s="3" t="s">
        <v>69</v>
      </c>
      <c r="Q1900" s="2" t="s">
        <v>19768</v>
      </c>
      <c r="R1900" s="3" t="s">
        <v>16939</v>
      </c>
      <c r="S1900" s="4">
        <v>0</v>
      </c>
      <c r="T1900" s="4">
        <v>0</v>
      </c>
      <c r="W1900" s="5" t="s">
        <v>72</v>
      </c>
      <c r="X1900" s="5" t="s">
        <v>72</v>
      </c>
      <c r="Y1900" s="4">
        <v>30</v>
      </c>
      <c r="Z1900" s="4">
        <v>23</v>
      </c>
      <c r="AA1900" s="4">
        <v>24</v>
      </c>
      <c r="AB1900" s="4">
        <v>2</v>
      </c>
      <c r="AC1900" s="4">
        <v>3</v>
      </c>
      <c r="AD1900" s="4">
        <v>12</v>
      </c>
      <c r="AE1900" s="4">
        <v>12</v>
      </c>
      <c r="AF1900" s="4">
        <v>0</v>
      </c>
      <c r="AG1900" s="4">
        <v>0</v>
      </c>
      <c r="AH1900" s="4">
        <v>5</v>
      </c>
      <c r="AI1900" s="4">
        <v>5</v>
      </c>
      <c r="AJ1900" s="4">
        <v>5</v>
      </c>
      <c r="AK1900" s="4">
        <v>5</v>
      </c>
      <c r="AL1900" s="4">
        <v>4</v>
      </c>
      <c r="AM1900" s="4">
        <v>4</v>
      </c>
      <c r="AN1900" s="4">
        <v>0</v>
      </c>
      <c r="AO1900" s="4">
        <v>0</v>
      </c>
      <c r="AP1900" s="4">
        <v>7</v>
      </c>
      <c r="AQ1900" s="4">
        <v>7</v>
      </c>
      <c r="AR1900" s="3" t="s">
        <v>73</v>
      </c>
      <c r="AS1900" s="3" t="s">
        <v>64</v>
      </c>
      <c r="AT1900" s="3" t="s">
        <v>64</v>
      </c>
      <c r="AV1900" s="6" t="str">
        <f>HYPERLINK("http://mcgill.on.worldcat.org/oclc/921576178","Catalog Record")</f>
        <v>Catalog Record</v>
      </c>
      <c r="AW1900" s="6" t="str">
        <f>HYPERLINK("http://www.worldcat.org/oclc/921576178","WorldCat Record")</f>
        <v>WorldCat Record</v>
      </c>
      <c r="AX1900" s="3" t="s">
        <v>19769</v>
      </c>
      <c r="AY1900" s="3" t="s">
        <v>19770</v>
      </c>
      <c r="AZ1900" s="3" t="s">
        <v>19771</v>
      </c>
      <c r="BA1900" s="3" t="s">
        <v>19771</v>
      </c>
      <c r="BB1900" s="3" t="s">
        <v>19772</v>
      </c>
      <c r="BC1900" s="3" t="s">
        <v>78</v>
      </c>
      <c r="BD1900" s="3" t="s">
        <v>79</v>
      </c>
      <c r="BE1900" s="3" t="s">
        <v>19773</v>
      </c>
      <c r="BF1900" s="3" t="s">
        <v>19772</v>
      </c>
      <c r="BG1900" s="3" t="s">
        <v>19774</v>
      </c>
    </row>
    <row r="1901" spans="1:59" ht="58" x14ac:dyDescent="0.35">
      <c r="A1901" s="2" t="s">
        <v>59</v>
      </c>
      <c r="B1901" s="2" t="s">
        <v>94</v>
      </c>
      <c r="C1901" s="2" t="s">
        <v>19775</v>
      </c>
      <c r="D1901" s="2" t="s">
        <v>19776</v>
      </c>
      <c r="E1901" s="2" t="s">
        <v>19777</v>
      </c>
      <c r="G1901" s="3" t="s">
        <v>64</v>
      </c>
      <c r="I1901" s="3" t="s">
        <v>73</v>
      </c>
      <c r="J1901" s="3" t="s">
        <v>64</v>
      </c>
      <c r="K1901" s="3" t="s">
        <v>65</v>
      </c>
      <c r="L1901" s="2" t="s">
        <v>19778</v>
      </c>
      <c r="M1901" s="2" t="s">
        <v>19779</v>
      </c>
      <c r="N1901" s="3" t="s">
        <v>136</v>
      </c>
      <c r="P1901" s="3" t="s">
        <v>69</v>
      </c>
      <c r="R1901" s="3" t="s">
        <v>16939</v>
      </c>
      <c r="S1901" s="4">
        <v>18</v>
      </c>
      <c r="T1901" s="4">
        <v>30</v>
      </c>
      <c r="U1901" s="5" t="s">
        <v>19780</v>
      </c>
      <c r="V1901" s="5" t="s">
        <v>19780</v>
      </c>
      <c r="W1901" s="5" t="s">
        <v>72</v>
      </c>
      <c r="X1901" s="5" t="s">
        <v>72</v>
      </c>
      <c r="Y1901" s="4">
        <v>177</v>
      </c>
      <c r="Z1901" s="4">
        <v>128</v>
      </c>
      <c r="AA1901" s="4">
        <v>129</v>
      </c>
      <c r="AB1901" s="4">
        <v>7</v>
      </c>
      <c r="AC1901" s="4">
        <v>7</v>
      </c>
      <c r="AD1901" s="4">
        <v>67</v>
      </c>
      <c r="AE1901" s="4">
        <v>68</v>
      </c>
      <c r="AF1901" s="4">
        <v>2</v>
      </c>
      <c r="AG1901" s="4">
        <v>2</v>
      </c>
      <c r="AH1901" s="4">
        <v>30</v>
      </c>
      <c r="AI1901" s="4">
        <v>30</v>
      </c>
      <c r="AJ1901" s="4">
        <v>24</v>
      </c>
      <c r="AK1901" s="4">
        <v>25</v>
      </c>
      <c r="AL1901" s="4">
        <v>12</v>
      </c>
      <c r="AM1901" s="4">
        <v>12</v>
      </c>
      <c r="AN1901" s="4">
        <v>0</v>
      </c>
      <c r="AO1901" s="4">
        <v>0</v>
      </c>
      <c r="AP1901" s="4">
        <v>48</v>
      </c>
      <c r="AQ1901" s="4">
        <v>49</v>
      </c>
      <c r="AR1901" s="3" t="s">
        <v>73</v>
      </c>
      <c r="AS1901" s="3" t="s">
        <v>64</v>
      </c>
      <c r="AT1901" s="3" t="s">
        <v>64</v>
      </c>
      <c r="AV1901" s="6" t="str">
        <f>HYPERLINK("http://mcgill.on.worldcat.org/oclc/43978875","Catalog Record")</f>
        <v>Catalog Record</v>
      </c>
      <c r="AW1901" s="6" t="str">
        <f>HYPERLINK("http://www.worldcat.org/oclc/43978875","WorldCat Record")</f>
        <v>WorldCat Record</v>
      </c>
      <c r="AX1901" s="3" t="s">
        <v>19781</v>
      </c>
      <c r="AY1901" s="3" t="s">
        <v>19782</v>
      </c>
      <c r="AZ1901" s="3" t="s">
        <v>19783</v>
      </c>
      <c r="BA1901" s="3" t="s">
        <v>19783</v>
      </c>
      <c r="BB1901" s="3" t="s">
        <v>19784</v>
      </c>
      <c r="BC1901" s="3" t="s">
        <v>78</v>
      </c>
      <c r="BD1901" s="3" t="s">
        <v>79</v>
      </c>
      <c r="BE1901" s="3" t="s">
        <v>19785</v>
      </c>
      <c r="BF1901" s="3" t="s">
        <v>19784</v>
      </c>
      <c r="BG1901" s="3" t="s">
        <v>19786</v>
      </c>
    </row>
    <row r="1902" spans="1:59" ht="58" x14ac:dyDescent="0.35">
      <c r="A1902" s="2" t="s">
        <v>59</v>
      </c>
      <c r="B1902" s="2" t="s">
        <v>94</v>
      </c>
      <c r="C1902" s="2" t="s">
        <v>19775</v>
      </c>
      <c r="D1902" s="2" t="s">
        <v>19776</v>
      </c>
      <c r="E1902" s="2" t="s">
        <v>19777</v>
      </c>
      <c r="G1902" s="3" t="s">
        <v>64</v>
      </c>
      <c r="I1902" s="3" t="s">
        <v>73</v>
      </c>
      <c r="J1902" s="3" t="s">
        <v>64</v>
      </c>
      <c r="K1902" s="3" t="s">
        <v>65</v>
      </c>
      <c r="L1902" s="2" t="s">
        <v>19778</v>
      </c>
      <c r="M1902" s="2" t="s">
        <v>19779</v>
      </c>
      <c r="N1902" s="3" t="s">
        <v>136</v>
      </c>
      <c r="P1902" s="3" t="s">
        <v>69</v>
      </c>
      <c r="R1902" s="3" t="s">
        <v>16939</v>
      </c>
      <c r="S1902" s="4">
        <v>12</v>
      </c>
      <c r="T1902" s="4">
        <v>30</v>
      </c>
      <c r="U1902" s="5" t="s">
        <v>19787</v>
      </c>
      <c r="V1902" s="5" t="s">
        <v>19780</v>
      </c>
      <c r="W1902" s="5" t="s">
        <v>72</v>
      </c>
      <c r="X1902" s="5" t="s">
        <v>72</v>
      </c>
      <c r="Y1902" s="4">
        <v>177</v>
      </c>
      <c r="Z1902" s="4">
        <v>128</v>
      </c>
      <c r="AA1902" s="4">
        <v>129</v>
      </c>
      <c r="AB1902" s="4">
        <v>7</v>
      </c>
      <c r="AC1902" s="4">
        <v>7</v>
      </c>
      <c r="AD1902" s="4">
        <v>67</v>
      </c>
      <c r="AE1902" s="4">
        <v>68</v>
      </c>
      <c r="AF1902" s="4">
        <v>2</v>
      </c>
      <c r="AG1902" s="4">
        <v>2</v>
      </c>
      <c r="AH1902" s="4">
        <v>30</v>
      </c>
      <c r="AI1902" s="4">
        <v>30</v>
      </c>
      <c r="AJ1902" s="4">
        <v>24</v>
      </c>
      <c r="AK1902" s="4">
        <v>25</v>
      </c>
      <c r="AL1902" s="4">
        <v>12</v>
      </c>
      <c r="AM1902" s="4">
        <v>12</v>
      </c>
      <c r="AN1902" s="4">
        <v>0</v>
      </c>
      <c r="AO1902" s="4">
        <v>0</v>
      </c>
      <c r="AP1902" s="4">
        <v>48</v>
      </c>
      <c r="AQ1902" s="4">
        <v>49</v>
      </c>
      <c r="AR1902" s="3" t="s">
        <v>73</v>
      </c>
      <c r="AS1902" s="3" t="s">
        <v>64</v>
      </c>
      <c r="AT1902" s="3" t="s">
        <v>64</v>
      </c>
      <c r="AV1902" s="6" t="str">
        <f>HYPERLINK("http://mcgill.on.worldcat.org/oclc/43978875","Catalog Record")</f>
        <v>Catalog Record</v>
      </c>
      <c r="AW1902" s="6" t="str">
        <f>HYPERLINK("http://www.worldcat.org/oclc/43978875","WorldCat Record")</f>
        <v>WorldCat Record</v>
      </c>
      <c r="AX1902" s="3" t="s">
        <v>19781</v>
      </c>
      <c r="AY1902" s="3" t="s">
        <v>19782</v>
      </c>
      <c r="AZ1902" s="3" t="s">
        <v>19783</v>
      </c>
      <c r="BA1902" s="3" t="s">
        <v>19783</v>
      </c>
      <c r="BB1902" s="3" t="s">
        <v>19788</v>
      </c>
      <c r="BC1902" s="3" t="s">
        <v>78</v>
      </c>
      <c r="BD1902" s="3" t="s">
        <v>79</v>
      </c>
      <c r="BE1902" s="3" t="s">
        <v>19785</v>
      </c>
      <c r="BF1902" s="3" t="s">
        <v>19788</v>
      </c>
      <c r="BG1902" s="3" t="s">
        <v>19789</v>
      </c>
    </row>
    <row r="1903" spans="1:59" ht="58" x14ac:dyDescent="0.35">
      <c r="A1903" s="2" t="s">
        <v>59</v>
      </c>
      <c r="B1903" s="2" t="s">
        <v>94</v>
      </c>
      <c r="C1903" s="2" t="s">
        <v>19790</v>
      </c>
      <c r="D1903" s="2" t="s">
        <v>19791</v>
      </c>
      <c r="E1903" s="2" t="s">
        <v>19792</v>
      </c>
      <c r="G1903" s="3" t="s">
        <v>64</v>
      </c>
      <c r="I1903" s="3" t="s">
        <v>64</v>
      </c>
      <c r="J1903" s="3" t="s">
        <v>64</v>
      </c>
      <c r="K1903" s="3" t="s">
        <v>65</v>
      </c>
      <c r="L1903" s="2" t="s">
        <v>19793</v>
      </c>
      <c r="M1903" s="2" t="s">
        <v>19794</v>
      </c>
      <c r="N1903" s="3" t="s">
        <v>87</v>
      </c>
      <c r="P1903" s="3" t="s">
        <v>69</v>
      </c>
      <c r="R1903" s="3" t="s">
        <v>16939</v>
      </c>
      <c r="S1903" s="4">
        <v>1</v>
      </c>
      <c r="T1903" s="4">
        <v>1</v>
      </c>
      <c r="U1903" s="5" t="s">
        <v>19795</v>
      </c>
      <c r="V1903" s="5" t="s">
        <v>19795</v>
      </c>
      <c r="W1903" s="5" t="s">
        <v>72</v>
      </c>
      <c r="X1903" s="5" t="s">
        <v>72</v>
      </c>
      <c r="Y1903" s="4">
        <v>16</v>
      </c>
      <c r="Z1903" s="4">
        <v>12</v>
      </c>
      <c r="AA1903" s="4">
        <v>16</v>
      </c>
      <c r="AB1903" s="4">
        <v>1</v>
      </c>
      <c r="AC1903" s="4">
        <v>2</v>
      </c>
      <c r="AD1903" s="4">
        <v>7</v>
      </c>
      <c r="AE1903" s="4">
        <v>10</v>
      </c>
      <c r="AF1903" s="4">
        <v>0</v>
      </c>
      <c r="AG1903" s="4">
        <v>1</v>
      </c>
      <c r="AH1903" s="4">
        <v>4</v>
      </c>
      <c r="AI1903" s="4">
        <v>6</v>
      </c>
      <c r="AJ1903" s="4">
        <v>5</v>
      </c>
      <c r="AK1903" s="4">
        <v>8</v>
      </c>
      <c r="AL1903" s="4">
        <v>1</v>
      </c>
      <c r="AM1903" s="4">
        <v>1</v>
      </c>
      <c r="AN1903" s="4">
        <v>0</v>
      </c>
      <c r="AO1903" s="4">
        <v>0</v>
      </c>
      <c r="AP1903" s="4">
        <v>5</v>
      </c>
      <c r="AQ1903" s="4">
        <v>8</v>
      </c>
      <c r="AR1903" s="3" t="s">
        <v>73</v>
      </c>
      <c r="AS1903" s="3" t="s">
        <v>64</v>
      </c>
      <c r="AT1903" s="3" t="s">
        <v>64</v>
      </c>
      <c r="AV1903" s="6" t="str">
        <f>HYPERLINK("http://mcgill.on.worldcat.org/oclc/896787069","Catalog Record")</f>
        <v>Catalog Record</v>
      </c>
      <c r="AW1903" s="6" t="str">
        <f>HYPERLINK("http://www.worldcat.org/oclc/896787069","WorldCat Record")</f>
        <v>WorldCat Record</v>
      </c>
      <c r="AX1903" s="3" t="s">
        <v>19796</v>
      </c>
      <c r="AY1903" s="3" t="s">
        <v>19797</v>
      </c>
      <c r="AZ1903" s="3" t="s">
        <v>19798</v>
      </c>
      <c r="BA1903" s="3" t="s">
        <v>19798</v>
      </c>
      <c r="BB1903" s="3" t="s">
        <v>19799</v>
      </c>
      <c r="BC1903" s="3" t="s">
        <v>78</v>
      </c>
      <c r="BD1903" s="3" t="s">
        <v>79</v>
      </c>
      <c r="BE1903" s="3" t="s">
        <v>19800</v>
      </c>
      <c r="BF1903" s="3" t="s">
        <v>19799</v>
      </c>
      <c r="BG1903" s="3" t="s">
        <v>19801</v>
      </c>
    </row>
    <row r="1904" spans="1:59" ht="58" x14ac:dyDescent="0.35">
      <c r="A1904" s="2" t="s">
        <v>59</v>
      </c>
      <c r="B1904" s="2" t="s">
        <v>94</v>
      </c>
      <c r="C1904" s="2" t="s">
        <v>19802</v>
      </c>
      <c r="D1904" s="2" t="s">
        <v>19803</v>
      </c>
      <c r="E1904" s="2" t="s">
        <v>19804</v>
      </c>
      <c r="G1904" s="3" t="s">
        <v>64</v>
      </c>
      <c r="I1904" s="3" t="s">
        <v>64</v>
      </c>
      <c r="J1904" s="3" t="s">
        <v>64</v>
      </c>
      <c r="K1904" s="3" t="s">
        <v>65</v>
      </c>
      <c r="M1904" s="2" t="s">
        <v>19805</v>
      </c>
      <c r="N1904" s="3" t="s">
        <v>538</v>
      </c>
      <c r="P1904" s="3" t="s">
        <v>69</v>
      </c>
      <c r="R1904" s="3" t="s">
        <v>16939</v>
      </c>
      <c r="S1904" s="4">
        <v>10</v>
      </c>
      <c r="T1904" s="4">
        <v>10</v>
      </c>
      <c r="U1904" s="5" t="s">
        <v>19384</v>
      </c>
      <c r="V1904" s="5" t="s">
        <v>19384</v>
      </c>
      <c r="W1904" s="5" t="s">
        <v>72</v>
      </c>
      <c r="X1904" s="5" t="s">
        <v>72</v>
      </c>
      <c r="Y1904" s="4">
        <v>86</v>
      </c>
      <c r="Z1904" s="4">
        <v>68</v>
      </c>
      <c r="AA1904" s="4">
        <v>71</v>
      </c>
      <c r="AB1904" s="4">
        <v>4</v>
      </c>
      <c r="AC1904" s="4">
        <v>7</v>
      </c>
      <c r="AD1904" s="4">
        <v>50</v>
      </c>
      <c r="AE1904" s="4">
        <v>52</v>
      </c>
      <c r="AF1904" s="4">
        <v>2</v>
      </c>
      <c r="AG1904" s="4">
        <v>4</v>
      </c>
      <c r="AH1904" s="4">
        <v>16</v>
      </c>
      <c r="AI1904" s="4">
        <v>17</v>
      </c>
      <c r="AJ1904" s="4">
        <v>23</v>
      </c>
      <c r="AK1904" s="4">
        <v>25</v>
      </c>
      <c r="AL1904" s="4">
        <v>3</v>
      </c>
      <c r="AM1904" s="4">
        <v>3</v>
      </c>
      <c r="AN1904" s="4">
        <v>0</v>
      </c>
      <c r="AO1904" s="4">
        <v>0</v>
      </c>
      <c r="AP1904" s="4">
        <v>44</v>
      </c>
      <c r="AQ1904" s="4">
        <v>45</v>
      </c>
      <c r="AR1904" s="3" t="s">
        <v>73</v>
      </c>
      <c r="AS1904" s="3" t="s">
        <v>64</v>
      </c>
      <c r="AT1904" s="3" t="s">
        <v>64</v>
      </c>
      <c r="AV1904" s="6" t="str">
        <f>HYPERLINK("http://mcgill.on.worldcat.org/oclc/198453253","Catalog Record")</f>
        <v>Catalog Record</v>
      </c>
      <c r="AW1904" s="6" t="str">
        <f>HYPERLINK("http://www.worldcat.org/oclc/198453253","WorldCat Record")</f>
        <v>WorldCat Record</v>
      </c>
      <c r="AX1904" s="3" t="s">
        <v>19806</v>
      </c>
      <c r="AY1904" s="3" t="s">
        <v>19807</v>
      </c>
      <c r="AZ1904" s="3" t="s">
        <v>19808</v>
      </c>
      <c r="BA1904" s="3" t="s">
        <v>19808</v>
      </c>
      <c r="BB1904" s="3" t="s">
        <v>19809</v>
      </c>
      <c r="BC1904" s="3" t="s">
        <v>78</v>
      </c>
      <c r="BD1904" s="3" t="s">
        <v>79</v>
      </c>
      <c r="BE1904" s="3" t="s">
        <v>19810</v>
      </c>
      <c r="BF1904" s="3" t="s">
        <v>19809</v>
      </c>
      <c r="BG1904" s="3" t="s">
        <v>19811</v>
      </c>
    </row>
    <row r="1905" spans="1:59" ht="58" x14ac:dyDescent="0.35">
      <c r="A1905" s="2" t="s">
        <v>59</v>
      </c>
      <c r="B1905" s="2" t="s">
        <v>94</v>
      </c>
      <c r="C1905" s="2" t="s">
        <v>19812</v>
      </c>
      <c r="D1905" s="2" t="s">
        <v>19813</v>
      </c>
      <c r="E1905" s="2" t="s">
        <v>19814</v>
      </c>
      <c r="G1905" s="3" t="s">
        <v>64</v>
      </c>
      <c r="I1905" s="3" t="s">
        <v>64</v>
      </c>
      <c r="J1905" s="3" t="s">
        <v>64</v>
      </c>
      <c r="K1905" s="3" t="s">
        <v>65</v>
      </c>
      <c r="L1905" s="2" t="s">
        <v>19815</v>
      </c>
      <c r="M1905" s="2" t="s">
        <v>19816</v>
      </c>
      <c r="N1905" s="3" t="s">
        <v>68</v>
      </c>
      <c r="P1905" s="3" t="s">
        <v>69</v>
      </c>
      <c r="Q1905" s="2" t="s">
        <v>13223</v>
      </c>
      <c r="R1905" s="3" t="s">
        <v>16939</v>
      </c>
      <c r="S1905" s="4">
        <v>15</v>
      </c>
      <c r="T1905" s="4">
        <v>15</v>
      </c>
      <c r="U1905" s="5" t="s">
        <v>5786</v>
      </c>
      <c r="V1905" s="5" t="s">
        <v>5786</v>
      </c>
      <c r="W1905" s="5" t="s">
        <v>72</v>
      </c>
      <c r="X1905" s="5" t="s">
        <v>72</v>
      </c>
      <c r="Y1905" s="4">
        <v>192</v>
      </c>
      <c r="Z1905" s="4">
        <v>21</v>
      </c>
      <c r="AA1905" s="4">
        <v>25</v>
      </c>
      <c r="AB1905" s="4">
        <v>1</v>
      </c>
      <c r="AC1905" s="4">
        <v>3</v>
      </c>
      <c r="AD1905" s="4">
        <v>65</v>
      </c>
      <c r="AE1905" s="4">
        <v>70</v>
      </c>
      <c r="AF1905" s="4">
        <v>0</v>
      </c>
      <c r="AG1905" s="4">
        <v>0</v>
      </c>
      <c r="AH1905" s="4">
        <v>54</v>
      </c>
      <c r="AI1905" s="4">
        <v>58</v>
      </c>
      <c r="AJ1905" s="4">
        <v>9</v>
      </c>
      <c r="AK1905" s="4">
        <v>10</v>
      </c>
      <c r="AL1905" s="4">
        <v>38</v>
      </c>
      <c r="AM1905" s="4">
        <v>38</v>
      </c>
      <c r="AN1905" s="4">
        <v>0</v>
      </c>
      <c r="AO1905" s="4">
        <v>0</v>
      </c>
      <c r="AP1905" s="4">
        <v>15</v>
      </c>
      <c r="AQ1905" s="4">
        <v>17</v>
      </c>
      <c r="AR1905" s="3" t="s">
        <v>64</v>
      </c>
      <c r="AS1905" s="3" t="s">
        <v>64</v>
      </c>
      <c r="AT1905" s="3" t="s">
        <v>64</v>
      </c>
      <c r="AV1905" s="6" t="str">
        <f>HYPERLINK("http://mcgill.on.worldcat.org/oclc/64336145","Catalog Record")</f>
        <v>Catalog Record</v>
      </c>
      <c r="AW1905" s="6" t="str">
        <f>HYPERLINK("http://www.worldcat.org/oclc/64336145","WorldCat Record")</f>
        <v>WorldCat Record</v>
      </c>
      <c r="AX1905" s="3" t="s">
        <v>19817</v>
      </c>
      <c r="AY1905" s="3" t="s">
        <v>19818</v>
      </c>
      <c r="AZ1905" s="3" t="s">
        <v>19819</v>
      </c>
      <c r="BA1905" s="3" t="s">
        <v>19819</v>
      </c>
      <c r="BB1905" s="3" t="s">
        <v>19820</v>
      </c>
      <c r="BC1905" s="3" t="s">
        <v>78</v>
      </c>
      <c r="BD1905" s="3" t="s">
        <v>79</v>
      </c>
      <c r="BE1905" s="3" t="s">
        <v>19821</v>
      </c>
      <c r="BF1905" s="3" t="s">
        <v>19820</v>
      </c>
      <c r="BG1905" s="3" t="s">
        <v>19822</v>
      </c>
    </row>
    <row r="1906" spans="1:59" ht="58" x14ac:dyDescent="0.35">
      <c r="A1906" s="2" t="s">
        <v>59</v>
      </c>
      <c r="B1906" s="2" t="s">
        <v>94</v>
      </c>
      <c r="C1906" s="2" t="s">
        <v>19823</v>
      </c>
      <c r="D1906" s="2" t="s">
        <v>19824</v>
      </c>
      <c r="E1906" s="2" t="s">
        <v>19825</v>
      </c>
      <c r="G1906" s="3" t="s">
        <v>64</v>
      </c>
      <c r="I1906" s="3" t="s">
        <v>64</v>
      </c>
      <c r="J1906" s="3" t="s">
        <v>64</v>
      </c>
      <c r="K1906" s="3" t="s">
        <v>65</v>
      </c>
      <c r="L1906" s="2" t="s">
        <v>19826</v>
      </c>
      <c r="M1906" s="2" t="s">
        <v>19827</v>
      </c>
      <c r="N1906" s="3" t="s">
        <v>68</v>
      </c>
      <c r="P1906" s="3" t="s">
        <v>69</v>
      </c>
      <c r="Q1906" s="2" t="s">
        <v>19828</v>
      </c>
      <c r="R1906" s="3" t="s">
        <v>16939</v>
      </c>
      <c r="S1906" s="4">
        <v>7</v>
      </c>
      <c r="T1906" s="4">
        <v>7</v>
      </c>
      <c r="U1906" s="5" t="s">
        <v>6894</v>
      </c>
      <c r="V1906" s="5" t="s">
        <v>6894</v>
      </c>
      <c r="W1906" s="5" t="s">
        <v>72</v>
      </c>
      <c r="X1906" s="5" t="s">
        <v>72</v>
      </c>
      <c r="Y1906" s="4">
        <v>224</v>
      </c>
      <c r="Z1906" s="4">
        <v>23</v>
      </c>
      <c r="AA1906" s="4">
        <v>26</v>
      </c>
      <c r="AB1906" s="4">
        <v>1</v>
      </c>
      <c r="AC1906" s="4">
        <v>4</v>
      </c>
      <c r="AD1906" s="4">
        <v>84</v>
      </c>
      <c r="AE1906" s="4">
        <v>87</v>
      </c>
      <c r="AF1906" s="4">
        <v>0</v>
      </c>
      <c r="AG1906" s="4">
        <v>0</v>
      </c>
      <c r="AH1906" s="4">
        <v>69</v>
      </c>
      <c r="AI1906" s="4">
        <v>72</v>
      </c>
      <c r="AJ1906" s="4">
        <v>12</v>
      </c>
      <c r="AK1906" s="4">
        <v>12</v>
      </c>
      <c r="AL1906" s="4">
        <v>43</v>
      </c>
      <c r="AM1906" s="4">
        <v>45</v>
      </c>
      <c r="AN1906" s="4">
        <v>0</v>
      </c>
      <c r="AO1906" s="4">
        <v>0</v>
      </c>
      <c r="AP1906" s="4">
        <v>19</v>
      </c>
      <c r="AQ1906" s="4">
        <v>19</v>
      </c>
      <c r="AR1906" s="3" t="s">
        <v>64</v>
      </c>
      <c r="AS1906" s="3" t="s">
        <v>64</v>
      </c>
      <c r="AT1906" s="3" t="s">
        <v>64</v>
      </c>
      <c r="AV1906" s="6" t="str">
        <f>HYPERLINK("http://mcgill.on.worldcat.org/oclc/61456559","Catalog Record")</f>
        <v>Catalog Record</v>
      </c>
      <c r="AW1906" s="6" t="str">
        <f>HYPERLINK("http://www.worldcat.org/oclc/61456559","WorldCat Record")</f>
        <v>WorldCat Record</v>
      </c>
      <c r="AX1906" s="3" t="s">
        <v>19829</v>
      </c>
      <c r="AY1906" s="3" t="s">
        <v>19830</v>
      </c>
      <c r="AZ1906" s="3" t="s">
        <v>19831</v>
      </c>
      <c r="BA1906" s="3" t="s">
        <v>19831</v>
      </c>
      <c r="BB1906" s="3" t="s">
        <v>19832</v>
      </c>
      <c r="BC1906" s="3" t="s">
        <v>78</v>
      </c>
      <c r="BD1906" s="3" t="s">
        <v>79</v>
      </c>
      <c r="BE1906" s="3" t="s">
        <v>19833</v>
      </c>
      <c r="BF1906" s="3" t="s">
        <v>19832</v>
      </c>
      <c r="BG1906" s="3" t="s">
        <v>19834</v>
      </c>
    </row>
    <row r="1907" spans="1:59" ht="58" x14ac:dyDescent="0.35">
      <c r="A1907" s="2" t="s">
        <v>59</v>
      </c>
      <c r="B1907" s="2" t="s">
        <v>94</v>
      </c>
      <c r="C1907" s="2" t="s">
        <v>19835</v>
      </c>
      <c r="D1907" s="2" t="s">
        <v>19836</v>
      </c>
      <c r="E1907" s="2" t="s">
        <v>19837</v>
      </c>
      <c r="G1907" s="3" t="s">
        <v>64</v>
      </c>
      <c r="I1907" s="3" t="s">
        <v>64</v>
      </c>
      <c r="J1907" s="3" t="s">
        <v>64</v>
      </c>
      <c r="K1907" s="3" t="s">
        <v>65</v>
      </c>
      <c r="L1907" s="2" t="s">
        <v>19838</v>
      </c>
      <c r="M1907" s="2" t="s">
        <v>19839</v>
      </c>
      <c r="N1907" s="3" t="s">
        <v>1029</v>
      </c>
      <c r="P1907" s="3" t="s">
        <v>69</v>
      </c>
      <c r="Q1907" s="2" t="s">
        <v>19840</v>
      </c>
      <c r="R1907" s="3" t="s">
        <v>16939</v>
      </c>
      <c r="S1907" s="4">
        <v>3</v>
      </c>
      <c r="T1907" s="4">
        <v>3</v>
      </c>
      <c r="U1907" s="5" t="s">
        <v>5845</v>
      </c>
      <c r="V1907" s="5" t="s">
        <v>5845</v>
      </c>
      <c r="W1907" s="5" t="s">
        <v>72</v>
      </c>
      <c r="X1907" s="5" t="s">
        <v>72</v>
      </c>
      <c r="Y1907" s="4">
        <v>254</v>
      </c>
      <c r="Z1907" s="4">
        <v>14</v>
      </c>
      <c r="AA1907" s="4">
        <v>86</v>
      </c>
      <c r="AB1907" s="4">
        <v>2</v>
      </c>
      <c r="AC1907" s="4">
        <v>14</v>
      </c>
      <c r="AD1907" s="4">
        <v>72</v>
      </c>
      <c r="AE1907" s="4">
        <v>124</v>
      </c>
      <c r="AF1907" s="4">
        <v>1</v>
      </c>
      <c r="AG1907" s="4">
        <v>8</v>
      </c>
      <c r="AH1907" s="4">
        <v>64</v>
      </c>
      <c r="AI1907" s="4">
        <v>89</v>
      </c>
      <c r="AJ1907" s="4">
        <v>8</v>
      </c>
      <c r="AK1907" s="4">
        <v>21</v>
      </c>
      <c r="AL1907" s="4">
        <v>45</v>
      </c>
      <c r="AM1907" s="4">
        <v>51</v>
      </c>
      <c r="AN1907" s="4">
        <v>0</v>
      </c>
      <c r="AO1907" s="4">
        <v>0</v>
      </c>
      <c r="AP1907" s="4">
        <v>11</v>
      </c>
      <c r="AQ1907" s="4">
        <v>42</v>
      </c>
      <c r="AR1907" s="3" t="s">
        <v>64</v>
      </c>
      <c r="AS1907" s="3" t="s">
        <v>64</v>
      </c>
      <c r="AT1907" s="3" t="s">
        <v>64</v>
      </c>
      <c r="AV1907" s="6" t="str">
        <f>HYPERLINK("http://mcgill.on.worldcat.org/oclc/225875963","Catalog Record")</f>
        <v>Catalog Record</v>
      </c>
      <c r="AW1907" s="6" t="str">
        <f>HYPERLINK("http://www.worldcat.org/oclc/225875963","WorldCat Record")</f>
        <v>WorldCat Record</v>
      </c>
      <c r="AX1907" s="3" t="s">
        <v>19841</v>
      </c>
      <c r="AY1907" s="3" t="s">
        <v>19842</v>
      </c>
      <c r="AZ1907" s="3" t="s">
        <v>19843</v>
      </c>
      <c r="BA1907" s="3" t="s">
        <v>19843</v>
      </c>
      <c r="BB1907" s="3" t="s">
        <v>19844</v>
      </c>
      <c r="BC1907" s="3" t="s">
        <v>78</v>
      </c>
      <c r="BD1907" s="3" t="s">
        <v>79</v>
      </c>
      <c r="BE1907" s="3" t="s">
        <v>19845</v>
      </c>
      <c r="BF1907" s="3" t="s">
        <v>19844</v>
      </c>
      <c r="BG1907" s="3" t="s">
        <v>19846</v>
      </c>
    </row>
    <row r="1908" spans="1:59" ht="72.5" x14ac:dyDescent="0.35">
      <c r="A1908" s="2" t="s">
        <v>59</v>
      </c>
      <c r="B1908" s="2" t="s">
        <v>94</v>
      </c>
      <c r="C1908" s="2" t="s">
        <v>19847</v>
      </c>
      <c r="D1908" s="2" t="s">
        <v>19848</v>
      </c>
      <c r="E1908" s="2" t="s">
        <v>19849</v>
      </c>
      <c r="G1908" s="3" t="s">
        <v>64</v>
      </c>
      <c r="I1908" s="3" t="s">
        <v>64</v>
      </c>
      <c r="J1908" s="3" t="s">
        <v>64</v>
      </c>
      <c r="K1908" s="3" t="s">
        <v>65</v>
      </c>
      <c r="L1908" s="2" t="s">
        <v>19850</v>
      </c>
      <c r="M1908" s="2" t="s">
        <v>19851</v>
      </c>
      <c r="N1908" s="3" t="s">
        <v>473</v>
      </c>
      <c r="O1908" s="2" t="s">
        <v>1294</v>
      </c>
      <c r="P1908" s="3" t="s">
        <v>69</v>
      </c>
      <c r="R1908" s="3" t="s">
        <v>16939</v>
      </c>
      <c r="S1908" s="4">
        <v>16</v>
      </c>
      <c r="T1908" s="4">
        <v>16</v>
      </c>
      <c r="U1908" s="5" t="s">
        <v>2523</v>
      </c>
      <c r="V1908" s="5" t="s">
        <v>2523</v>
      </c>
      <c r="W1908" s="5" t="s">
        <v>72</v>
      </c>
      <c r="X1908" s="5" t="s">
        <v>72</v>
      </c>
      <c r="Y1908" s="4">
        <v>674</v>
      </c>
      <c r="Z1908" s="4">
        <v>27</v>
      </c>
      <c r="AA1908" s="4">
        <v>30</v>
      </c>
      <c r="AB1908" s="4">
        <v>1</v>
      </c>
      <c r="AC1908" s="4">
        <v>3</v>
      </c>
      <c r="AD1908" s="4">
        <v>120</v>
      </c>
      <c r="AE1908" s="4">
        <v>122</v>
      </c>
      <c r="AF1908" s="4">
        <v>0</v>
      </c>
      <c r="AG1908" s="4">
        <v>0</v>
      </c>
      <c r="AH1908" s="4">
        <v>106</v>
      </c>
      <c r="AI1908" s="4">
        <v>106</v>
      </c>
      <c r="AJ1908" s="4">
        <v>15</v>
      </c>
      <c r="AK1908" s="4">
        <v>16</v>
      </c>
      <c r="AL1908" s="4">
        <v>57</v>
      </c>
      <c r="AM1908" s="4">
        <v>58</v>
      </c>
      <c r="AN1908" s="4">
        <v>0</v>
      </c>
      <c r="AO1908" s="4">
        <v>0</v>
      </c>
      <c r="AP1908" s="4">
        <v>23</v>
      </c>
      <c r="AQ1908" s="4">
        <v>24</v>
      </c>
      <c r="AR1908" s="3" t="s">
        <v>64</v>
      </c>
      <c r="AS1908" s="3" t="s">
        <v>64</v>
      </c>
      <c r="AT1908" s="3" t="s">
        <v>73</v>
      </c>
      <c r="AU1908" s="6" t="str">
        <f>HYPERLINK("http://catalog.hathitrust.org/Record/002235010","HathiTrust Record")</f>
        <v>HathiTrust Record</v>
      </c>
      <c r="AV1908" s="6" t="str">
        <f>HYPERLINK("http://mcgill.on.worldcat.org/oclc/20723387","Catalog Record")</f>
        <v>Catalog Record</v>
      </c>
      <c r="AW1908" s="6" t="str">
        <f>HYPERLINK("http://www.worldcat.org/oclc/20723387","WorldCat Record")</f>
        <v>WorldCat Record</v>
      </c>
      <c r="AX1908" s="3" t="s">
        <v>19852</v>
      </c>
      <c r="AY1908" s="3" t="s">
        <v>19853</v>
      </c>
      <c r="AZ1908" s="3" t="s">
        <v>19854</v>
      </c>
      <c r="BA1908" s="3" t="s">
        <v>19854</v>
      </c>
      <c r="BB1908" s="3" t="s">
        <v>19855</v>
      </c>
      <c r="BC1908" s="3" t="s">
        <v>78</v>
      </c>
      <c r="BD1908" s="3" t="s">
        <v>79</v>
      </c>
      <c r="BE1908" s="3" t="s">
        <v>19856</v>
      </c>
      <c r="BF1908" s="3" t="s">
        <v>19855</v>
      </c>
      <c r="BG1908" s="3" t="s">
        <v>19857</v>
      </c>
    </row>
    <row r="1909" spans="1:59" ht="58" x14ac:dyDescent="0.35">
      <c r="A1909" s="2" t="s">
        <v>59</v>
      </c>
      <c r="B1909" s="2" t="s">
        <v>94</v>
      </c>
      <c r="C1909" s="2" t="s">
        <v>19858</v>
      </c>
      <c r="D1909" s="2" t="s">
        <v>19859</v>
      </c>
      <c r="E1909" s="2" t="s">
        <v>19860</v>
      </c>
      <c r="G1909" s="3" t="s">
        <v>64</v>
      </c>
      <c r="I1909" s="3" t="s">
        <v>64</v>
      </c>
      <c r="J1909" s="3" t="s">
        <v>64</v>
      </c>
      <c r="K1909" s="3" t="s">
        <v>65</v>
      </c>
      <c r="L1909" s="2" t="s">
        <v>19861</v>
      </c>
      <c r="M1909" s="2" t="s">
        <v>19862</v>
      </c>
      <c r="N1909" s="3" t="s">
        <v>377</v>
      </c>
      <c r="P1909" s="3" t="s">
        <v>69</v>
      </c>
      <c r="Q1909" s="2" t="s">
        <v>19863</v>
      </c>
      <c r="R1909" s="3" t="s">
        <v>16939</v>
      </c>
      <c r="S1909" s="4">
        <v>3</v>
      </c>
      <c r="T1909" s="4">
        <v>3</v>
      </c>
      <c r="U1909" s="5" t="s">
        <v>6117</v>
      </c>
      <c r="V1909" s="5" t="s">
        <v>6117</v>
      </c>
      <c r="W1909" s="5" t="s">
        <v>72</v>
      </c>
      <c r="X1909" s="5" t="s">
        <v>72</v>
      </c>
      <c r="Y1909" s="4">
        <v>155</v>
      </c>
      <c r="Z1909" s="4">
        <v>12</v>
      </c>
      <c r="AA1909" s="4">
        <v>103</v>
      </c>
      <c r="AB1909" s="4">
        <v>2</v>
      </c>
      <c r="AC1909" s="4">
        <v>18</v>
      </c>
      <c r="AD1909" s="4">
        <v>66</v>
      </c>
      <c r="AE1909" s="4">
        <v>121</v>
      </c>
      <c r="AF1909" s="4">
        <v>1</v>
      </c>
      <c r="AG1909" s="4">
        <v>8</v>
      </c>
      <c r="AH1909" s="4">
        <v>61</v>
      </c>
      <c r="AI1909" s="4">
        <v>85</v>
      </c>
      <c r="AJ1909" s="4">
        <v>7</v>
      </c>
      <c r="AK1909" s="4">
        <v>21</v>
      </c>
      <c r="AL1909" s="4">
        <v>41</v>
      </c>
      <c r="AM1909" s="4">
        <v>50</v>
      </c>
      <c r="AN1909" s="4">
        <v>0</v>
      </c>
      <c r="AO1909" s="4">
        <v>0</v>
      </c>
      <c r="AP1909" s="4">
        <v>7</v>
      </c>
      <c r="AQ1909" s="4">
        <v>43</v>
      </c>
      <c r="AR1909" s="3" t="s">
        <v>64</v>
      </c>
      <c r="AS1909" s="3" t="s">
        <v>64</v>
      </c>
      <c r="AT1909" s="3" t="s">
        <v>64</v>
      </c>
      <c r="AV1909" s="6" t="str">
        <f>HYPERLINK("http://mcgill.on.worldcat.org/oclc/781077501","Catalog Record")</f>
        <v>Catalog Record</v>
      </c>
      <c r="AW1909" s="6" t="str">
        <f>HYPERLINK("http://www.worldcat.org/oclc/781077501","WorldCat Record")</f>
        <v>WorldCat Record</v>
      </c>
      <c r="AX1909" s="3" t="s">
        <v>19864</v>
      </c>
      <c r="AY1909" s="3" t="s">
        <v>19865</v>
      </c>
      <c r="AZ1909" s="3" t="s">
        <v>19866</v>
      </c>
      <c r="BA1909" s="3" t="s">
        <v>19866</v>
      </c>
      <c r="BB1909" s="3" t="s">
        <v>19867</v>
      </c>
      <c r="BC1909" s="3" t="s">
        <v>78</v>
      </c>
      <c r="BD1909" s="3" t="s">
        <v>79</v>
      </c>
      <c r="BE1909" s="3" t="s">
        <v>19868</v>
      </c>
      <c r="BF1909" s="3" t="s">
        <v>19867</v>
      </c>
      <c r="BG1909" s="3" t="s">
        <v>19869</v>
      </c>
    </row>
    <row r="1910" spans="1:59" ht="58" x14ac:dyDescent="0.35">
      <c r="A1910" s="2" t="s">
        <v>59</v>
      </c>
      <c r="B1910" s="2" t="s">
        <v>94</v>
      </c>
      <c r="C1910" s="2" t="s">
        <v>19870</v>
      </c>
      <c r="D1910" s="2" t="s">
        <v>19871</v>
      </c>
      <c r="E1910" s="2" t="s">
        <v>19872</v>
      </c>
      <c r="G1910" s="3" t="s">
        <v>64</v>
      </c>
      <c r="I1910" s="3" t="s">
        <v>64</v>
      </c>
      <c r="J1910" s="3" t="s">
        <v>64</v>
      </c>
      <c r="K1910" s="3" t="s">
        <v>65</v>
      </c>
      <c r="L1910" s="2" t="s">
        <v>19873</v>
      </c>
      <c r="M1910" s="2" t="s">
        <v>1633</v>
      </c>
      <c r="N1910" s="3" t="s">
        <v>214</v>
      </c>
      <c r="P1910" s="3" t="s">
        <v>69</v>
      </c>
      <c r="R1910" s="3" t="s">
        <v>16939</v>
      </c>
      <c r="S1910" s="4">
        <v>0</v>
      </c>
      <c r="T1910" s="4">
        <v>0</v>
      </c>
      <c r="W1910" s="5" t="s">
        <v>72</v>
      </c>
      <c r="X1910" s="5" t="s">
        <v>72</v>
      </c>
      <c r="Y1910" s="4">
        <v>136</v>
      </c>
      <c r="Z1910" s="4">
        <v>3</v>
      </c>
      <c r="AA1910" s="4">
        <v>7</v>
      </c>
      <c r="AB1910" s="4">
        <v>1</v>
      </c>
      <c r="AC1910" s="4">
        <v>3</v>
      </c>
      <c r="AD1910" s="4">
        <v>28</v>
      </c>
      <c r="AE1910" s="4">
        <v>35</v>
      </c>
      <c r="AF1910" s="4">
        <v>0</v>
      </c>
      <c r="AG1910" s="4">
        <v>0</v>
      </c>
      <c r="AH1910" s="4">
        <v>27</v>
      </c>
      <c r="AI1910" s="4">
        <v>34</v>
      </c>
      <c r="AJ1910" s="4">
        <v>1</v>
      </c>
      <c r="AK1910" s="4">
        <v>2</v>
      </c>
      <c r="AL1910" s="4">
        <v>17</v>
      </c>
      <c r="AM1910" s="4">
        <v>20</v>
      </c>
      <c r="AN1910" s="4">
        <v>0</v>
      </c>
      <c r="AO1910" s="4">
        <v>0</v>
      </c>
      <c r="AP1910" s="4">
        <v>1</v>
      </c>
      <c r="AQ1910" s="4">
        <v>2</v>
      </c>
      <c r="AR1910" s="3" t="s">
        <v>64</v>
      </c>
      <c r="AS1910" s="3" t="s">
        <v>64</v>
      </c>
      <c r="AT1910" s="3" t="s">
        <v>64</v>
      </c>
      <c r="AV1910" s="6" t="str">
        <f>HYPERLINK("http://mcgill.on.worldcat.org/oclc/502037165","Catalog Record")</f>
        <v>Catalog Record</v>
      </c>
      <c r="AW1910" s="6" t="str">
        <f>HYPERLINK("http://www.worldcat.org/oclc/502037165","WorldCat Record")</f>
        <v>WorldCat Record</v>
      </c>
      <c r="AX1910" s="3" t="s">
        <v>19874</v>
      </c>
      <c r="AY1910" s="3" t="s">
        <v>19875</v>
      </c>
      <c r="AZ1910" s="3" t="s">
        <v>19876</v>
      </c>
      <c r="BA1910" s="3" t="s">
        <v>19876</v>
      </c>
      <c r="BB1910" s="3" t="s">
        <v>19877</v>
      </c>
      <c r="BC1910" s="3" t="s">
        <v>78</v>
      </c>
      <c r="BD1910" s="3" t="s">
        <v>79</v>
      </c>
      <c r="BE1910" s="3" t="s">
        <v>19878</v>
      </c>
      <c r="BF1910" s="3" t="s">
        <v>19877</v>
      </c>
      <c r="BG1910" s="3" t="s">
        <v>19879</v>
      </c>
    </row>
    <row r="1911" spans="1:59" ht="58" x14ac:dyDescent="0.35">
      <c r="A1911" s="2" t="s">
        <v>59</v>
      </c>
      <c r="B1911" s="2" t="s">
        <v>94</v>
      </c>
      <c r="C1911" s="2" t="s">
        <v>19880</v>
      </c>
      <c r="D1911" s="2" t="s">
        <v>19881</v>
      </c>
      <c r="E1911" s="2" t="s">
        <v>19882</v>
      </c>
      <c r="G1911" s="3" t="s">
        <v>64</v>
      </c>
      <c r="I1911" s="3" t="s">
        <v>64</v>
      </c>
      <c r="J1911" s="3" t="s">
        <v>64</v>
      </c>
      <c r="K1911" s="3" t="s">
        <v>65</v>
      </c>
      <c r="L1911" s="2" t="s">
        <v>19883</v>
      </c>
      <c r="M1911" s="2" t="s">
        <v>19884</v>
      </c>
      <c r="N1911" s="3" t="s">
        <v>538</v>
      </c>
      <c r="O1911" s="2" t="s">
        <v>14219</v>
      </c>
      <c r="P1911" s="3" t="s">
        <v>2192</v>
      </c>
      <c r="R1911" s="3" t="s">
        <v>16939</v>
      </c>
      <c r="S1911" s="4">
        <v>2</v>
      </c>
      <c r="T1911" s="4">
        <v>2</v>
      </c>
      <c r="U1911" s="5" t="s">
        <v>19885</v>
      </c>
      <c r="V1911" s="5" t="s">
        <v>19885</v>
      </c>
      <c r="W1911" s="5" t="s">
        <v>72</v>
      </c>
      <c r="X1911" s="5" t="s">
        <v>72</v>
      </c>
      <c r="Y1911" s="4">
        <v>44</v>
      </c>
      <c r="Z1911" s="4">
        <v>2</v>
      </c>
      <c r="AA1911" s="4">
        <v>2</v>
      </c>
      <c r="AB1911" s="4">
        <v>1</v>
      </c>
      <c r="AC1911" s="4">
        <v>1</v>
      </c>
      <c r="AD1911" s="4">
        <v>6</v>
      </c>
      <c r="AE1911" s="4">
        <v>7</v>
      </c>
      <c r="AF1911" s="4">
        <v>0</v>
      </c>
      <c r="AG1911" s="4">
        <v>0</v>
      </c>
      <c r="AH1911" s="4">
        <v>6</v>
      </c>
      <c r="AI1911" s="4">
        <v>7</v>
      </c>
      <c r="AJ1911" s="4">
        <v>1</v>
      </c>
      <c r="AK1911" s="4">
        <v>1</v>
      </c>
      <c r="AL1911" s="4">
        <v>4</v>
      </c>
      <c r="AM1911" s="4">
        <v>5</v>
      </c>
      <c r="AN1911" s="4">
        <v>0</v>
      </c>
      <c r="AO1911" s="4">
        <v>0</v>
      </c>
      <c r="AP1911" s="4">
        <v>1</v>
      </c>
      <c r="AQ1911" s="4">
        <v>1</v>
      </c>
      <c r="AR1911" s="3" t="s">
        <v>64</v>
      </c>
      <c r="AS1911" s="3" t="s">
        <v>64</v>
      </c>
      <c r="AT1911" s="3" t="s">
        <v>64</v>
      </c>
      <c r="AV1911" s="6" t="str">
        <f>HYPERLINK("http://mcgill.on.worldcat.org/oclc/173251847","Catalog Record")</f>
        <v>Catalog Record</v>
      </c>
      <c r="AW1911" s="6" t="str">
        <f>HYPERLINK("http://www.worldcat.org/oclc/173251847","WorldCat Record")</f>
        <v>WorldCat Record</v>
      </c>
      <c r="AX1911" s="3" t="s">
        <v>19886</v>
      </c>
      <c r="AY1911" s="3" t="s">
        <v>19887</v>
      </c>
      <c r="AZ1911" s="3" t="s">
        <v>19888</v>
      </c>
      <c r="BA1911" s="3" t="s">
        <v>19888</v>
      </c>
      <c r="BB1911" s="3" t="s">
        <v>19889</v>
      </c>
      <c r="BC1911" s="3" t="s">
        <v>78</v>
      </c>
      <c r="BD1911" s="3" t="s">
        <v>79</v>
      </c>
      <c r="BE1911" s="3" t="s">
        <v>19890</v>
      </c>
      <c r="BF1911" s="3" t="s">
        <v>19889</v>
      </c>
      <c r="BG1911" s="3" t="s">
        <v>19891</v>
      </c>
    </row>
    <row r="1912" spans="1:59" ht="58" x14ac:dyDescent="0.35">
      <c r="A1912" s="2" t="s">
        <v>59</v>
      </c>
      <c r="B1912" s="2" t="s">
        <v>94</v>
      </c>
      <c r="C1912" s="2" t="s">
        <v>19892</v>
      </c>
      <c r="D1912" s="2" t="s">
        <v>19893</v>
      </c>
      <c r="E1912" s="2" t="s">
        <v>19894</v>
      </c>
      <c r="G1912" s="3" t="s">
        <v>64</v>
      </c>
      <c r="I1912" s="3" t="s">
        <v>64</v>
      </c>
      <c r="J1912" s="3" t="s">
        <v>64</v>
      </c>
      <c r="K1912" s="3" t="s">
        <v>65</v>
      </c>
      <c r="L1912" s="2" t="s">
        <v>19895</v>
      </c>
      <c r="M1912" s="2" t="s">
        <v>19896</v>
      </c>
      <c r="N1912" s="3" t="s">
        <v>287</v>
      </c>
      <c r="P1912" s="3" t="s">
        <v>69</v>
      </c>
      <c r="R1912" s="3" t="s">
        <v>16939</v>
      </c>
      <c r="S1912" s="4">
        <v>8</v>
      </c>
      <c r="T1912" s="4">
        <v>8</v>
      </c>
      <c r="U1912" s="5" t="s">
        <v>19897</v>
      </c>
      <c r="V1912" s="5" t="s">
        <v>19897</v>
      </c>
      <c r="W1912" s="5" t="s">
        <v>72</v>
      </c>
      <c r="X1912" s="5" t="s">
        <v>72</v>
      </c>
      <c r="Y1912" s="4">
        <v>243</v>
      </c>
      <c r="Z1912" s="4">
        <v>13</v>
      </c>
      <c r="AA1912" s="4">
        <v>24</v>
      </c>
      <c r="AB1912" s="4">
        <v>2</v>
      </c>
      <c r="AC1912" s="4">
        <v>2</v>
      </c>
      <c r="AD1912" s="4">
        <v>88</v>
      </c>
      <c r="AE1912" s="4">
        <v>104</v>
      </c>
      <c r="AF1912" s="4">
        <v>1</v>
      </c>
      <c r="AG1912" s="4">
        <v>1</v>
      </c>
      <c r="AH1912" s="4">
        <v>82</v>
      </c>
      <c r="AI1912" s="4">
        <v>94</v>
      </c>
      <c r="AJ1912" s="4">
        <v>7</v>
      </c>
      <c r="AK1912" s="4">
        <v>13</v>
      </c>
      <c r="AL1912" s="4">
        <v>48</v>
      </c>
      <c r="AM1912" s="4">
        <v>54</v>
      </c>
      <c r="AN1912" s="4">
        <v>0</v>
      </c>
      <c r="AO1912" s="4">
        <v>0</v>
      </c>
      <c r="AP1912" s="4">
        <v>10</v>
      </c>
      <c r="AQ1912" s="4">
        <v>18</v>
      </c>
      <c r="AR1912" s="3" t="s">
        <v>64</v>
      </c>
      <c r="AS1912" s="3" t="s">
        <v>64</v>
      </c>
      <c r="AT1912" s="3" t="s">
        <v>64</v>
      </c>
      <c r="AV1912" s="6" t="str">
        <f>HYPERLINK("http://mcgill.on.worldcat.org/oclc/7464710","Catalog Record")</f>
        <v>Catalog Record</v>
      </c>
      <c r="AW1912" s="6" t="str">
        <f>HYPERLINK("http://www.worldcat.org/oclc/7464710","WorldCat Record")</f>
        <v>WorldCat Record</v>
      </c>
      <c r="AX1912" s="3" t="s">
        <v>19898</v>
      </c>
      <c r="AY1912" s="3" t="s">
        <v>19899</v>
      </c>
      <c r="AZ1912" s="3" t="s">
        <v>19900</v>
      </c>
      <c r="BA1912" s="3" t="s">
        <v>19900</v>
      </c>
      <c r="BB1912" s="3" t="s">
        <v>19901</v>
      </c>
      <c r="BC1912" s="3" t="s">
        <v>78</v>
      </c>
      <c r="BD1912" s="3" t="s">
        <v>79</v>
      </c>
      <c r="BE1912" s="3" t="s">
        <v>19902</v>
      </c>
      <c r="BF1912" s="3" t="s">
        <v>19901</v>
      </c>
      <c r="BG1912" s="3" t="s">
        <v>19903</v>
      </c>
    </row>
    <row r="1913" spans="1:59" ht="58" x14ac:dyDescent="0.35">
      <c r="A1913" s="2" t="s">
        <v>59</v>
      </c>
      <c r="B1913" s="2" t="s">
        <v>94</v>
      </c>
      <c r="C1913" s="2" t="s">
        <v>19904</v>
      </c>
      <c r="D1913" s="2" t="s">
        <v>19905</v>
      </c>
      <c r="E1913" s="2" t="s">
        <v>19906</v>
      </c>
      <c r="G1913" s="3" t="s">
        <v>64</v>
      </c>
      <c r="I1913" s="3" t="s">
        <v>64</v>
      </c>
      <c r="J1913" s="3" t="s">
        <v>64</v>
      </c>
      <c r="K1913" s="3" t="s">
        <v>65</v>
      </c>
      <c r="L1913" s="2" t="s">
        <v>19907</v>
      </c>
      <c r="M1913" s="2" t="s">
        <v>19908</v>
      </c>
      <c r="N1913" s="3" t="s">
        <v>524</v>
      </c>
      <c r="P1913" s="3" t="s">
        <v>69</v>
      </c>
      <c r="R1913" s="3" t="s">
        <v>16939</v>
      </c>
      <c r="S1913" s="4">
        <v>0</v>
      </c>
      <c r="T1913" s="4">
        <v>0</v>
      </c>
      <c r="W1913" s="5" t="s">
        <v>72</v>
      </c>
      <c r="X1913" s="5" t="s">
        <v>72</v>
      </c>
      <c r="Y1913" s="4">
        <v>125</v>
      </c>
      <c r="Z1913" s="4">
        <v>9</v>
      </c>
      <c r="AA1913" s="4">
        <v>12</v>
      </c>
      <c r="AB1913" s="4">
        <v>1</v>
      </c>
      <c r="AC1913" s="4">
        <v>3</v>
      </c>
      <c r="AD1913" s="4">
        <v>27</v>
      </c>
      <c r="AE1913" s="4">
        <v>29</v>
      </c>
      <c r="AF1913" s="4">
        <v>0</v>
      </c>
      <c r="AG1913" s="4">
        <v>0</v>
      </c>
      <c r="AH1913" s="4">
        <v>26</v>
      </c>
      <c r="AI1913" s="4">
        <v>28</v>
      </c>
      <c r="AJ1913" s="4">
        <v>3</v>
      </c>
      <c r="AK1913" s="4">
        <v>3</v>
      </c>
      <c r="AL1913" s="4">
        <v>17</v>
      </c>
      <c r="AM1913" s="4">
        <v>19</v>
      </c>
      <c r="AN1913" s="4">
        <v>0</v>
      </c>
      <c r="AO1913" s="4">
        <v>0</v>
      </c>
      <c r="AP1913" s="4">
        <v>3</v>
      </c>
      <c r="AQ1913" s="4">
        <v>3</v>
      </c>
      <c r="AR1913" s="3" t="s">
        <v>64</v>
      </c>
      <c r="AS1913" s="3" t="s">
        <v>64</v>
      </c>
      <c r="AT1913" s="3" t="s">
        <v>64</v>
      </c>
      <c r="AV1913" s="6" t="str">
        <f>HYPERLINK("http://mcgill.on.worldcat.org/oclc/855558127","Catalog Record")</f>
        <v>Catalog Record</v>
      </c>
      <c r="AW1913" s="6" t="str">
        <f>HYPERLINK("http://www.worldcat.org/oclc/855558127","WorldCat Record")</f>
        <v>WorldCat Record</v>
      </c>
      <c r="AX1913" s="3" t="s">
        <v>19909</v>
      </c>
      <c r="AY1913" s="3" t="s">
        <v>19910</v>
      </c>
      <c r="AZ1913" s="3" t="s">
        <v>19911</v>
      </c>
      <c r="BA1913" s="3" t="s">
        <v>19911</v>
      </c>
      <c r="BB1913" s="3" t="s">
        <v>19912</v>
      </c>
      <c r="BC1913" s="3" t="s">
        <v>78</v>
      </c>
      <c r="BD1913" s="3" t="s">
        <v>79</v>
      </c>
      <c r="BE1913" s="3" t="s">
        <v>19913</v>
      </c>
      <c r="BF1913" s="3" t="s">
        <v>19912</v>
      </c>
      <c r="BG1913" s="3" t="s">
        <v>19914</v>
      </c>
    </row>
    <row r="1914" spans="1:59" ht="58" x14ac:dyDescent="0.35">
      <c r="A1914" s="2" t="s">
        <v>59</v>
      </c>
      <c r="B1914" s="2" t="s">
        <v>94</v>
      </c>
      <c r="C1914" s="2" t="s">
        <v>19915</v>
      </c>
      <c r="D1914" s="2" t="s">
        <v>19916</v>
      </c>
      <c r="E1914" s="2" t="s">
        <v>19917</v>
      </c>
      <c r="G1914" s="3" t="s">
        <v>64</v>
      </c>
      <c r="I1914" s="3" t="s">
        <v>64</v>
      </c>
      <c r="J1914" s="3" t="s">
        <v>64</v>
      </c>
      <c r="K1914" s="3" t="s">
        <v>65</v>
      </c>
      <c r="L1914" s="2" t="s">
        <v>19918</v>
      </c>
      <c r="M1914" s="2" t="s">
        <v>19919</v>
      </c>
      <c r="N1914" s="3" t="s">
        <v>19920</v>
      </c>
      <c r="P1914" s="3" t="s">
        <v>69</v>
      </c>
      <c r="R1914" s="3" t="s">
        <v>16939</v>
      </c>
      <c r="S1914" s="4">
        <v>3</v>
      </c>
      <c r="T1914" s="4">
        <v>3</v>
      </c>
      <c r="U1914" s="5" t="s">
        <v>19921</v>
      </c>
      <c r="V1914" s="5" t="s">
        <v>19921</v>
      </c>
      <c r="W1914" s="5" t="s">
        <v>72</v>
      </c>
      <c r="X1914" s="5" t="s">
        <v>72</v>
      </c>
      <c r="Y1914" s="4">
        <v>246</v>
      </c>
      <c r="Z1914" s="4">
        <v>2</v>
      </c>
      <c r="AA1914" s="4">
        <v>99</v>
      </c>
      <c r="AB1914" s="4">
        <v>1</v>
      </c>
      <c r="AC1914" s="4">
        <v>17</v>
      </c>
      <c r="AD1914" s="4">
        <v>62</v>
      </c>
      <c r="AE1914" s="4">
        <v>152</v>
      </c>
      <c r="AF1914" s="4">
        <v>0</v>
      </c>
      <c r="AG1914" s="4">
        <v>8</v>
      </c>
      <c r="AH1914" s="4">
        <v>61</v>
      </c>
      <c r="AI1914" s="4">
        <v>113</v>
      </c>
      <c r="AJ1914" s="4">
        <v>1</v>
      </c>
      <c r="AK1914" s="4">
        <v>25</v>
      </c>
      <c r="AL1914" s="4">
        <v>39</v>
      </c>
      <c r="AM1914" s="4">
        <v>58</v>
      </c>
      <c r="AN1914" s="4">
        <v>0</v>
      </c>
      <c r="AO1914" s="4">
        <v>0</v>
      </c>
      <c r="AP1914" s="4">
        <v>1</v>
      </c>
      <c r="AQ1914" s="4">
        <v>47</v>
      </c>
      <c r="AR1914" s="3" t="s">
        <v>64</v>
      </c>
      <c r="AS1914" s="3" t="s">
        <v>73</v>
      </c>
      <c r="AT1914" s="3" t="s">
        <v>64</v>
      </c>
      <c r="AU1914" s="6" t="str">
        <f>HYPERLINK("http://catalog.hathitrust.org/Record/000604003","HathiTrust Record")</f>
        <v>HathiTrust Record</v>
      </c>
      <c r="AV1914" s="6" t="str">
        <f>HYPERLINK("http://mcgill.on.worldcat.org/oclc/491766","Catalog Record")</f>
        <v>Catalog Record</v>
      </c>
      <c r="AW1914" s="6" t="str">
        <f>HYPERLINK("http://www.worldcat.org/oclc/491766","WorldCat Record")</f>
        <v>WorldCat Record</v>
      </c>
      <c r="AX1914" s="3" t="s">
        <v>19922</v>
      </c>
      <c r="AY1914" s="3" t="s">
        <v>19923</v>
      </c>
      <c r="AZ1914" s="3" t="s">
        <v>19924</v>
      </c>
      <c r="BA1914" s="3" t="s">
        <v>19924</v>
      </c>
      <c r="BB1914" s="3" t="s">
        <v>19925</v>
      </c>
      <c r="BC1914" s="3" t="s">
        <v>78</v>
      </c>
      <c r="BD1914" s="3" t="s">
        <v>79</v>
      </c>
      <c r="BF1914" s="3" t="s">
        <v>19925</v>
      </c>
      <c r="BG1914" s="3" t="s">
        <v>19926</v>
      </c>
    </row>
    <row r="1915" spans="1:59" ht="58" x14ac:dyDescent="0.35">
      <c r="A1915" s="2" t="s">
        <v>59</v>
      </c>
      <c r="B1915" s="2" t="s">
        <v>94</v>
      </c>
      <c r="C1915" s="2" t="s">
        <v>19927</v>
      </c>
      <c r="D1915" s="2" t="s">
        <v>19928</v>
      </c>
      <c r="E1915" s="2" t="s">
        <v>19929</v>
      </c>
      <c r="G1915" s="3" t="s">
        <v>64</v>
      </c>
      <c r="I1915" s="3" t="s">
        <v>64</v>
      </c>
      <c r="J1915" s="3" t="s">
        <v>64</v>
      </c>
      <c r="K1915" s="3" t="s">
        <v>65</v>
      </c>
      <c r="M1915" s="2" t="s">
        <v>5877</v>
      </c>
      <c r="N1915" s="3" t="s">
        <v>214</v>
      </c>
      <c r="P1915" s="3" t="s">
        <v>69</v>
      </c>
      <c r="R1915" s="3" t="s">
        <v>16939</v>
      </c>
      <c r="S1915" s="4">
        <v>7</v>
      </c>
      <c r="T1915" s="4">
        <v>7</v>
      </c>
      <c r="U1915" s="5" t="s">
        <v>1906</v>
      </c>
      <c r="V1915" s="5" t="s">
        <v>1906</v>
      </c>
      <c r="W1915" s="5" t="s">
        <v>72</v>
      </c>
      <c r="X1915" s="5" t="s">
        <v>72</v>
      </c>
      <c r="Y1915" s="4">
        <v>249</v>
      </c>
      <c r="Z1915" s="4">
        <v>16</v>
      </c>
      <c r="AA1915" s="4">
        <v>36</v>
      </c>
      <c r="AB1915" s="4">
        <v>2</v>
      </c>
      <c r="AC1915" s="4">
        <v>5</v>
      </c>
      <c r="AD1915" s="4">
        <v>61</v>
      </c>
      <c r="AE1915" s="4">
        <v>93</v>
      </c>
      <c r="AF1915" s="4">
        <v>1</v>
      </c>
      <c r="AG1915" s="4">
        <v>2</v>
      </c>
      <c r="AH1915" s="4">
        <v>52</v>
      </c>
      <c r="AI1915" s="4">
        <v>77</v>
      </c>
      <c r="AJ1915" s="4">
        <v>10</v>
      </c>
      <c r="AK1915" s="4">
        <v>15</v>
      </c>
      <c r="AL1915" s="4">
        <v>36</v>
      </c>
      <c r="AM1915" s="4">
        <v>43</v>
      </c>
      <c r="AN1915" s="4">
        <v>0</v>
      </c>
      <c r="AO1915" s="4">
        <v>0</v>
      </c>
      <c r="AP1915" s="4">
        <v>12</v>
      </c>
      <c r="AQ1915" s="4">
        <v>23</v>
      </c>
      <c r="AR1915" s="3" t="s">
        <v>64</v>
      </c>
      <c r="AS1915" s="3" t="s">
        <v>64</v>
      </c>
      <c r="AT1915" s="3" t="s">
        <v>64</v>
      </c>
      <c r="AV1915" s="6" t="str">
        <f>HYPERLINK("http://mcgill.on.worldcat.org/oclc/461268445","Catalog Record")</f>
        <v>Catalog Record</v>
      </c>
      <c r="AW1915" s="6" t="str">
        <f>HYPERLINK("http://www.worldcat.org/oclc/461268445","WorldCat Record")</f>
        <v>WorldCat Record</v>
      </c>
      <c r="AX1915" s="3" t="s">
        <v>19930</v>
      </c>
      <c r="AY1915" s="3" t="s">
        <v>19931</v>
      </c>
      <c r="AZ1915" s="3" t="s">
        <v>19932</v>
      </c>
      <c r="BA1915" s="3" t="s">
        <v>19932</v>
      </c>
      <c r="BB1915" s="3" t="s">
        <v>19933</v>
      </c>
      <c r="BC1915" s="3" t="s">
        <v>78</v>
      </c>
      <c r="BD1915" s="3" t="s">
        <v>414</v>
      </c>
      <c r="BE1915" s="3" t="s">
        <v>19934</v>
      </c>
      <c r="BF1915" s="3" t="s">
        <v>19933</v>
      </c>
      <c r="BG1915" s="3" t="s">
        <v>19935</v>
      </c>
    </row>
    <row r="1916" spans="1:59" ht="58" x14ac:dyDescent="0.35">
      <c r="A1916" s="2" t="s">
        <v>59</v>
      </c>
      <c r="B1916" s="2" t="s">
        <v>94</v>
      </c>
      <c r="C1916" s="2" t="s">
        <v>19936</v>
      </c>
      <c r="D1916" s="2" t="s">
        <v>19937</v>
      </c>
      <c r="E1916" s="2" t="s">
        <v>19938</v>
      </c>
      <c r="G1916" s="3" t="s">
        <v>64</v>
      </c>
      <c r="I1916" s="3" t="s">
        <v>64</v>
      </c>
      <c r="J1916" s="3" t="s">
        <v>64</v>
      </c>
      <c r="K1916" s="3" t="s">
        <v>65</v>
      </c>
      <c r="M1916" s="2" t="s">
        <v>19939</v>
      </c>
      <c r="N1916" s="3" t="s">
        <v>328</v>
      </c>
      <c r="P1916" s="3" t="s">
        <v>69</v>
      </c>
      <c r="Q1916" s="2" t="s">
        <v>19940</v>
      </c>
      <c r="R1916" s="3" t="s">
        <v>16939</v>
      </c>
      <c r="S1916" s="4">
        <v>0</v>
      </c>
      <c r="T1916" s="4">
        <v>0</v>
      </c>
      <c r="W1916" s="5" t="s">
        <v>72</v>
      </c>
      <c r="X1916" s="5" t="s">
        <v>72</v>
      </c>
      <c r="Y1916" s="4">
        <v>147</v>
      </c>
      <c r="Z1916" s="4">
        <v>5</v>
      </c>
      <c r="AA1916" s="4">
        <v>100</v>
      </c>
      <c r="AB1916" s="4">
        <v>1</v>
      </c>
      <c r="AC1916" s="4">
        <v>20</v>
      </c>
      <c r="AD1916" s="4">
        <v>55</v>
      </c>
      <c r="AE1916" s="4">
        <v>133</v>
      </c>
      <c r="AF1916" s="4">
        <v>0</v>
      </c>
      <c r="AG1916" s="4">
        <v>8</v>
      </c>
      <c r="AH1916" s="4">
        <v>53</v>
      </c>
      <c r="AI1916" s="4">
        <v>94</v>
      </c>
      <c r="AJ1916" s="4">
        <v>3</v>
      </c>
      <c r="AK1916" s="4">
        <v>21</v>
      </c>
      <c r="AL1916" s="4">
        <v>30</v>
      </c>
      <c r="AM1916" s="4">
        <v>51</v>
      </c>
      <c r="AN1916" s="4">
        <v>0</v>
      </c>
      <c r="AO1916" s="4">
        <v>0</v>
      </c>
      <c r="AP1916" s="4">
        <v>3</v>
      </c>
      <c r="AQ1916" s="4">
        <v>43</v>
      </c>
      <c r="AR1916" s="3" t="s">
        <v>64</v>
      </c>
      <c r="AS1916" s="3" t="s">
        <v>64</v>
      </c>
      <c r="AT1916" s="3" t="s">
        <v>64</v>
      </c>
      <c r="AV1916" s="6" t="str">
        <f>HYPERLINK("http://mcgill.on.worldcat.org/oclc/692230742","Catalog Record")</f>
        <v>Catalog Record</v>
      </c>
      <c r="AW1916" s="6" t="str">
        <f>HYPERLINK("http://www.worldcat.org/oclc/692230742","WorldCat Record")</f>
        <v>WorldCat Record</v>
      </c>
      <c r="AX1916" s="3" t="s">
        <v>19941</v>
      </c>
      <c r="AY1916" s="3" t="s">
        <v>19942</v>
      </c>
      <c r="AZ1916" s="3" t="s">
        <v>19943</v>
      </c>
      <c r="BA1916" s="3" t="s">
        <v>19943</v>
      </c>
      <c r="BB1916" s="3" t="s">
        <v>19944</v>
      </c>
      <c r="BC1916" s="3" t="s">
        <v>78</v>
      </c>
      <c r="BD1916" s="3" t="s">
        <v>79</v>
      </c>
      <c r="BE1916" s="3" t="s">
        <v>19945</v>
      </c>
      <c r="BF1916" s="3" t="s">
        <v>19944</v>
      </c>
      <c r="BG1916" s="3" t="s">
        <v>19946</v>
      </c>
    </row>
    <row r="1917" spans="1:59" ht="58" x14ac:dyDescent="0.35">
      <c r="A1917" s="2" t="s">
        <v>59</v>
      </c>
      <c r="B1917" s="2" t="s">
        <v>94</v>
      </c>
      <c r="C1917" s="2" t="s">
        <v>19947</v>
      </c>
      <c r="D1917" s="2" t="s">
        <v>19948</v>
      </c>
      <c r="E1917" s="2" t="s">
        <v>19949</v>
      </c>
      <c r="G1917" s="3" t="s">
        <v>64</v>
      </c>
      <c r="I1917" s="3" t="s">
        <v>64</v>
      </c>
      <c r="J1917" s="3" t="s">
        <v>64</v>
      </c>
      <c r="K1917" s="3" t="s">
        <v>65</v>
      </c>
      <c r="L1917" s="2" t="s">
        <v>19950</v>
      </c>
      <c r="M1917" s="2" t="s">
        <v>19951</v>
      </c>
      <c r="N1917" s="3" t="s">
        <v>214</v>
      </c>
      <c r="P1917" s="3" t="s">
        <v>69</v>
      </c>
      <c r="R1917" s="3" t="s">
        <v>16939</v>
      </c>
      <c r="S1917" s="4">
        <v>1</v>
      </c>
      <c r="T1917" s="4">
        <v>1</v>
      </c>
      <c r="U1917" s="5" t="s">
        <v>7950</v>
      </c>
      <c r="V1917" s="5" t="s">
        <v>7950</v>
      </c>
      <c r="W1917" s="5" t="s">
        <v>72</v>
      </c>
      <c r="X1917" s="5" t="s">
        <v>72</v>
      </c>
      <c r="Y1917" s="4">
        <v>751</v>
      </c>
      <c r="Z1917" s="4">
        <v>16</v>
      </c>
      <c r="AA1917" s="4">
        <v>53</v>
      </c>
      <c r="AB1917" s="4">
        <v>2</v>
      </c>
      <c r="AC1917" s="4">
        <v>8</v>
      </c>
      <c r="AD1917" s="4">
        <v>85</v>
      </c>
      <c r="AE1917" s="4">
        <v>105</v>
      </c>
      <c r="AF1917" s="4">
        <v>1</v>
      </c>
      <c r="AG1917" s="4">
        <v>1</v>
      </c>
      <c r="AH1917" s="4">
        <v>76</v>
      </c>
      <c r="AI1917" s="4">
        <v>90</v>
      </c>
      <c r="AJ1917" s="4">
        <v>10</v>
      </c>
      <c r="AK1917" s="4">
        <v>12</v>
      </c>
      <c r="AL1917" s="4">
        <v>42</v>
      </c>
      <c r="AM1917" s="4">
        <v>47</v>
      </c>
      <c r="AN1917" s="4">
        <v>0</v>
      </c>
      <c r="AO1917" s="4">
        <v>0</v>
      </c>
      <c r="AP1917" s="4">
        <v>12</v>
      </c>
      <c r="AQ1917" s="4">
        <v>18</v>
      </c>
      <c r="AR1917" s="3" t="s">
        <v>64</v>
      </c>
      <c r="AS1917" s="3" t="s">
        <v>64</v>
      </c>
      <c r="AT1917" s="3" t="s">
        <v>64</v>
      </c>
      <c r="AV1917" s="6" t="str">
        <f>HYPERLINK("http://mcgill.on.worldcat.org/oclc/460059221","Catalog Record")</f>
        <v>Catalog Record</v>
      </c>
      <c r="AW1917" s="6" t="str">
        <f>HYPERLINK("http://www.worldcat.org/oclc/460059221","WorldCat Record")</f>
        <v>WorldCat Record</v>
      </c>
      <c r="AX1917" s="3" t="s">
        <v>19952</v>
      </c>
      <c r="AY1917" s="3" t="s">
        <v>19953</v>
      </c>
      <c r="AZ1917" s="3" t="s">
        <v>19954</v>
      </c>
      <c r="BA1917" s="3" t="s">
        <v>19954</v>
      </c>
      <c r="BB1917" s="3" t="s">
        <v>19955</v>
      </c>
      <c r="BC1917" s="3" t="s">
        <v>78</v>
      </c>
      <c r="BD1917" s="3" t="s">
        <v>79</v>
      </c>
      <c r="BE1917" s="3" t="s">
        <v>19956</v>
      </c>
      <c r="BF1917" s="3" t="s">
        <v>19955</v>
      </c>
      <c r="BG1917" s="3" t="s">
        <v>19957</v>
      </c>
    </row>
    <row r="1918" spans="1:59" ht="58" x14ac:dyDescent="0.35">
      <c r="A1918" s="2" t="s">
        <v>59</v>
      </c>
      <c r="B1918" s="2" t="s">
        <v>94</v>
      </c>
      <c r="C1918" s="2" t="s">
        <v>19958</v>
      </c>
      <c r="D1918" s="2" t="s">
        <v>19959</v>
      </c>
      <c r="E1918" s="2" t="s">
        <v>19960</v>
      </c>
      <c r="G1918" s="3" t="s">
        <v>64</v>
      </c>
      <c r="I1918" s="3" t="s">
        <v>64</v>
      </c>
      <c r="J1918" s="3" t="s">
        <v>64</v>
      </c>
      <c r="K1918" s="3" t="s">
        <v>65</v>
      </c>
      <c r="L1918" s="2" t="s">
        <v>19961</v>
      </c>
      <c r="M1918" s="2" t="s">
        <v>19962</v>
      </c>
      <c r="N1918" s="3" t="s">
        <v>214</v>
      </c>
      <c r="P1918" s="3" t="s">
        <v>69</v>
      </c>
      <c r="Q1918" s="2" t="s">
        <v>1996</v>
      </c>
      <c r="R1918" s="3" t="s">
        <v>16939</v>
      </c>
      <c r="S1918" s="4">
        <v>1</v>
      </c>
      <c r="T1918" s="4">
        <v>1</v>
      </c>
      <c r="U1918" s="5" t="s">
        <v>19963</v>
      </c>
      <c r="V1918" s="5" t="s">
        <v>19963</v>
      </c>
      <c r="W1918" s="5" t="s">
        <v>72</v>
      </c>
      <c r="X1918" s="5" t="s">
        <v>72</v>
      </c>
      <c r="Y1918" s="4">
        <v>729</v>
      </c>
      <c r="Z1918" s="4">
        <v>19</v>
      </c>
      <c r="AA1918" s="4">
        <v>22</v>
      </c>
      <c r="AB1918" s="4">
        <v>2</v>
      </c>
      <c r="AC1918" s="4">
        <v>4</v>
      </c>
      <c r="AD1918" s="4">
        <v>92</v>
      </c>
      <c r="AE1918" s="4">
        <v>94</v>
      </c>
      <c r="AF1918" s="4">
        <v>1</v>
      </c>
      <c r="AG1918" s="4">
        <v>1</v>
      </c>
      <c r="AH1918" s="4">
        <v>82</v>
      </c>
      <c r="AI1918" s="4">
        <v>83</v>
      </c>
      <c r="AJ1918" s="4">
        <v>13</v>
      </c>
      <c r="AK1918" s="4">
        <v>13</v>
      </c>
      <c r="AL1918" s="4">
        <v>45</v>
      </c>
      <c r="AM1918" s="4">
        <v>45</v>
      </c>
      <c r="AN1918" s="4">
        <v>0</v>
      </c>
      <c r="AO1918" s="4">
        <v>0</v>
      </c>
      <c r="AP1918" s="4">
        <v>15</v>
      </c>
      <c r="AQ1918" s="4">
        <v>16</v>
      </c>
      <c r="AR1918" s="3" t="s">
        <v>64</v>
      </c>
      <c r="AS1918" s="3" t="s">
        <v>64</v>
      </c>
      <c r="AT1918" s="3" t="s">
        <v>64</v>
      </c>
      <c r="AV1918" s="6" t="str">
        <f>HYPERLINK("http://mcgill.on.worldcat.org/oclc/461895705","Catalog Record")</f>
        <v>Catalog Record</v>
      </c>
      <c r="AW1918" s="6" t="str">
        <f>HYPERLINK("http://www.worldcat.org/oclc/461895705","WorldCat Record")</f>
        <v>WorldCat Record</v>
      </c>
      <c r="AX1918" s="3" t="s">
        <v>19964</v>
      </c>
      <c r="AY1918" s="3" t="s">
        <v>19965</v>
      </c>
      <c r="AZ1918" s="3" t="s">
        <v>19966</v>
      </c>
      <c r="BA1918" s="3" t="s">
        <v>19966</v>
      </c>
      <c r="BB1918" s="3" t="s">
        <v>19967</v>
      </c>
      <c r="BC1918" s="3" t="s">
        <v>78</v>
      </c>
      <c r="BD1918" s="3" t="s">
        <v>79</v>
      </c>
      <c r="BE1918" s="3" t="s">
        <v>19968</v>
      </c>
      <c r="BF1918" s="3" t="s">
        <v>19967</v>
      </c>
      <c r="BG1918" s="3" t="s">
        <v>19969</v>
      </c>
    </row>
    <row r="1919" spans="1:59" ht="58" x14ac:dyDescent="0.35">
      <c r="A1919" s="2" t="s">
        <v>59</v>
      </c>
      <c r="B1919" s="2" t="s">
        <v>94</v>
      </c>
      <c r="C1919" s="2" t="s">
        <v>19970</v>
      </c>
      <c r="D1919" s="2" t="s">
        <v>19971</v>
      </c>
      <c r="E1919" s="2" t="s">
        <v>19972</v>
      </c>
      <c r="G1919" s="3" t="s">
        <v>64</v>
      </c>
      <c r="I1919" s="3" t="s">
        <v>64</v>
      </c>
      <c r="J1919" s="3" t="s">
        <v>64</v>
      </c>
      <c r="K1919" s="3" t="s">
        <v>65</v>
      </c>
      <c r="L1919" s="2" t="s">
        <v>19973</v>
      </c>
      <c r="M1919" s="2" t="s">
        <v>19974</v>
      </c>
      <c r="N1919" s="3" t="s">
        <v>1645</v>
      </c>
      <c r="P1919" s="3" t="s">
        <v>69</v>
      </c>
      <c r="R1919" s="3" t="s">
        <v>16939</v>
      </c>
      <c r="S1919" s="4">
        <v>0</v>
      </c>
      <c r="T1919" s="4">
        <v>0</v>
      </c>
      <c r="W1919" s="5" t="s">
        <v>72</v>
      </c>
      <c r="X1919" s="5" t="s">
        <v>72</v>
      </c>
      <c r="Y1919" s="4">
        <v>39</v>
      </c>
      <c r="Z1919" s="4">
        <v>2</v>
      </c>
      <c r="AA1919" s="4">
        <v>7</v>
      </c>
      <c r="AB1919" s="4">
        <v>1</v>
      </c>
      <c r="AC1919" s="4">
        <v>4</v>
      </c>
      <c r="AD1919" s="4">
        <v>19</v>
      </c>
      <c r="AE1919" s="4">
        <v>24</v>
      </c>
      <c r="AF1919" s="4">
        <v>0</v>
      </c>
      <c r="AG1919" s="4">
        <v>1</v>
      </c>
      <c r="AH1919" s="4">
        <v>18</v>
      </c>
      <c r="AI1919" s="4">
        <v>20</v>
      </c>
      <c r="AJ1919" s="4">
        <v>1</v>
      </c>
      <c r="AK1919" s="4">
        <v>3</v>
      </c>
      <c r="AL1919" s="4">
        <v>14</v>
      </c>
      <c r="AM1919" s="4">
        <v>16</v>
      </c>
      <c r="AN1919" s="4">
        <v>0</v>
      </c>
      <c r="AO1919" s="4">
        <v>0</v>
      </c>
      <c r="AP1919" s="4">
        <v>1</v>
      </c>
      <c r="AQ1919" s="4">
        <v>4</v>
      </c>
      <c r="AR1919" s="3" t="s">
        <v>64</v>
      </c>
      <c r="AS1919" s="3" t="s">
        <v>64</v>
      </c>
      <c r="AT1919" s="3" t="s">
        <v>64</v>
      </c>
      <c r="AV1919" s="6" t="str">
        <f>HYPERLINK("http://mcgill.on.worldcat.org/oclc/964336936","Catalog Record")</f>
        <v>Catalog Record</v>
      </c>
      <c r="AW1919" s="6" t="str">
        <f>HYPERLINK("http://www.worldcat.org/oclc/964336936","WorldCat Record")</f>
        <v>WorldCat Record</v>
      </c>
      <c r="AX1919" s="3" t="s">
        <v>19975</v>
      </c>
      <c r="AY1919" s="3" t="s">
        <v>19976</v>
      </c>
      <c r="AZ1919" s="3" t="s">
        <v>19977</v>
      </c>
      <c r="BA1919" s="3" t="s">
        <v>19977</v>
      </c>
      <c r="BB1919" s="3" t="s">
        <v>19978</v>
      </c>
      <c r="BC1919" s="3" t="s">
        <v>78</v>
      </c>
      <c r="BD1919" s="3" t="s">
        <v>79</v>
      </c>
      <c r="BE1919" s="3" t="s">
        <v>19979</v>
      </c>
      <c r="BF1919" s="3" t="s">
        <v>19978</v>
      </c>
      <c r="BG1919" s="3" t="s">
        <v>19980</v>
      </c>
    </row>
    <row r="1920" spans="1:59" ht="101.5" x14ac:dyDescent="0.35">
      <c r="A1920" s="2" t="s">
        <v>59</v>
      </c>
      <c r="B1920" s="2" t="s">
        <v>94</v>
      </c>
      <c r="C1920" s="2" t="s">
        <v>19981</v>
      </c>
      <c r="D1920" s="2" t="s">
        <v>19982</v>
      </c>
      <c r="E1920" s="2" t="s">
        <v>19983</v>
      </c>
      <c r="G1920" s="3" t="s">
        <v>64</v>
      </c>
      <c r="I1920" s="3" t="s">
        <v>64</v>
      </c>
      <c r="J1920" s="3" t="s">
        <v>64</v>
      </c>
      <c r="K1920" s="3" t="s">
        <v>65</v>
      </c>
      <c r="L1920" s="2" t="s">
        <v>19984</v>
      </c>
      <c r="M1920" s="2" t="s">
        <v>19985</v>
      </c>
      <c r="N1920" s="3" t="s">
        <v>524</v>
      </c>
      <c r="P1920" s="3" t="s">
        <v>69</v>
      </c>
      <c r="R1920" s="3" t="s">
        <v>19986</v>
      </c>
      <c r="S1920" s="4">
        <v>0</v>
      </c>
      <c r="T1920" s="4">
        <v>0</v>
      </c>
      <c r="W1920" s="5" t="s">
        <v>72</v>
      </c>
      <c r="X1920" s="5" t="s">
        <v>72</v>
      </c>
      <c r="Y1920" s="4">
        <v>69</v>
      </c>
      <c r="Z1920" s="4">
        <v>3</v>
      </c>
      <c r="AA1920" s="4">
        <v>105</v>
      </c>
      <c r="AB1920" s="4">
        <v>1</v>
      </c>
      <c r="AC1920" s="4">
        <v>17</v>
      </c>
      <c r="AD1920" s="4">
        <v>41</v>
      </c>
      <c r="AE1920" s="4">
        <v>128</v>
      </c>
      <c r="AF1920" s="4">
        <v>0</v>
      </c>
      <c r="AG1920" s="4">
        <v>8</v>
      </c>
      <c r="AH1920" s="4">
        <v>40</v>
      </c>
      <c r="AI1920" s="4">
        <v>88</v>
      </c>
      <c r="AJ1920" s="4">
        <v>2</v>
      </c>
      <c r="AK1920" s="4">
        <v>21</v>
      </c>
      <c r="AL1920" s="4">
        <v>22</v>
      </c>
      <c r="AM1920" s="4">
        <v>47</v>
      </c>
      <c r="AN1920" s="4">
        <v>0</v>
      </c>
      <c r="AO1920" s="4">
        <v>0</v>
      </c>
      <c r="AP1920" s="4">
        <v>2</v>
      </c>
      <c r="AQ1920" s="4">
        <v>44</v>
      </c>
      <c r="AR1920" s="3" t="s">
        <v>64</v>
      </c>
      <c r="AS1920" s="3" t="s">
        <v>64</v>
      </c>
      <c r="AT1920" s="3" t="s">
        <v>64</v>
      </c>
      <c r="AV1920" s="6" t="str">
        <f>HYPERLINK("http://mcgill.on.worldcat.org/oclc/829739242","Catalog Record")</f>
        <v>Catalog Record</v>
      </c>
      <c r="AW1920" s="6" t="str">
        <f>HYPERLINK("http://www.worldcat.org/oclc/829739242","WorldCat Record")</f>
        <v>WorldCat Record</v>
      </c>
      <c r="AX1920" s="3" t="s">
        <v>19987</v>
      </c>
      <c r="AY1920" s="3" t="s">
        <v>19988</v>
      </c>
      <c r="AZ1920" s="3" t="s">
        <v>19989</v>
      </c>
      <c r="BA1920" s="3" t="s">
        <v>19989</v>
      </c>
      <c r="BB1920" s="3" t="s">
        <v>19990</v>
      </c>
      <c r="BC1920" s="3" t="s">
        <v>78</v>
      </c>
      <c r="BD1920" s="3" t="s">
        <v>79</v>
      </c>
      <c r="BE1920" s="3" t="s">
        <v>19991</v>
      </c>
      <c r="BF1920" s="3" t="s">
        <v>19990</v>
      </c>
      <c r="BG1920" s="3" t="s">
        <v>19992</v>
      </c>
    </row>
    <row r="1921" spans="1:59" ht="58" x14ac:dyDescent="0.35">
      <c r="A1921" s="2" t="s">
        <v>59</v>
      </c>
      <c r="B1921" s="2" t="s">
        <v>94</v>
      </c>
      <c r="C1921" s="2" t="s">
        <v>19993</v>
      </c>
      <c r="D1921" s="2" t="s">
        <v>19994</v>
      </c>
      <c r="E1921" s="2" t="s">
        <v>19995</v>
      </c>
      <c r="G1921" s="3" t="s">
        <v>64</v>
      </c>
      <c r="I1921" s="3" t="s">
        <v>64</v>
      </c>
      <c r="J1921" s="3" t="s">
        <v>64</v>
      </c>
      <c r="K1921" s="3" t="s">
        <v>65</v>
      </c>
      <c r="M1921" s="2" t="s">
        <v>7192</v>
      </c>
      <c r="N1921" s="3" t="s">
        <v>214</v>
      </c>
      <c r="P1921" s="3" t="s">
        <v>69</v>
      </c>
      <c r="Q1921" s="2" t="s">
        <v>19996</v>
      </c>
      <c r="R1921" s="3" t="s">
        <v>19986</v>
      </c>
      <c r="S1921" s="4">
        <v>0</v>
      </c>
      <c r="T1921" s="4">
        <v>0</v>
      </c>
      <c r="W1921" s="5" t="s">
        <v>72</v>
      </c>
      <c r="X1921" s="5" t="s">
        <v>72</v>
      </c>
      <c r="Y1921" s="4">
        <v>100</v>
      </c>
      <c r="Z1921" s="4">
        <v>5</v>
      </c>
      <c r="AA1921" s="4">
        <v>10</v>
      </c>
      <c r="AB1921" s="4">
        <v>1</v>
      </c>
      <c r="AC1921" s="4">
        <v>1</v>
      </c>
      <c r="AD1921" s="4">
        <v>53</v>
      </c>
      <c r="AE1921" s="4">
        <v>62</v>
      </c>
      <c r="AF1921" s="4">
        <v>0</v>
      </c>
      <c r="AG1921" s="4">
        <v>0</v>
      </c>
      <c r="AH1921" s="4">
        <v>51</v>
      </c>
      <c r="AI1921" s="4">
        <v>59</v>
      </c>
      <c r="AJ1921" s="4">
        <v>3</v>
      </c>
      <c r="AK1921" s="4">
        <v>7</v>
      </c>
      <c r="AL1921" s="4">
        <v>29</v>
      </c>
      <c r="AM1921" s="4">
        <v>31</v>
      </c>
      <c r="AN1921" s="4">
        <v>0</v>
      </c>
      <c r="AO1921" s="4">
        <v>0</v>
      </c>
      <c r="AP1921" s="4">
        <v>3</v>
      </c>
      <c r="AQ1921" s="4">
        <v>8</v>
      </c>
      <c r="AR1921" s="3" t="s">
        <v>64</v>
      </c>
      <c r="AS1921" s="3" t="s">
        <v>64</v>
      </c>
      <c r="AT1921" s="3" t="s">
        <v>64</v>
      </c>
      <c r="AV1921" s="6" t="str">
        <f>HYPERLINK("http://mcgill.on.worldcat.org/oclc/635475290","Catalog Record")</f>
        <v>Catalog Record</v>
      </c>
      <c r="AW1921" s="6" t="str">
        <f>HYPERLINK("http://www.worldcat.org/oclc/635475290","WorldCat Record")</f>
        <v>WorldCat Record</v>
      </c>
      <c r="AX1921" s="3" t="s">
        <v>19997</v>
      </c>
      <c r="AY1921" s="3" t="s">
        <v>19998</v>
      </c>
      <c r="AZ1921" s="3" t="s">
        <v>19999</v>
      </c>
      <c r="BA1921" s="3" t="s">
        <v>19999</v>
      </c>
      <c r="BB1921" s="3" t="s">
        <v>20000</v>
      </c>
      <c r="BC1921" s="3" t="s">
        <v>78</v>
      </c>
      <c r="BD1921" s="3" t="s">
        <v>79</v>
      </c>
      <c r="BE1921" s="3" t="s">
        <v>20001</v>
      </c>
      <c r="BF1921" s="3" t="s">
        <v>20000</v>
      </c>
      <c r="BG1921" s="3" t="s">
        <v>20002</v>
      </c>
    </row>
    <row r="1922" spans="1:59" ht="58" x14ac:dyDescent="0.35">
      <c r="A1922" s="2" t="s">
        <v>59</v>
      </c>
      <c r="B1922" s="2" t="s">
        <v>94</v>
      </c>
      <c r="C1922" s="2" t="s">
        <v>20003</v>
      </c>
      <c r="D1922" s="2" t="s">
        <v>20004</v>
      </c>
      <c r="E1922" s="2" t="s">
        <v>20005</v>
      </c>
      <c r="G1922" s="3" t="s">
        <v>64</v>
      </c>
      <c r="I1922" s="3" t="s">
        <v>64</v>
      </c>
      <c r="J1922" s="3" t="s">
        <v>64</v>
      </c>
      <c r="K1922" s="3" t="s">
        <v>65</v>
      </c>
      <c r="L1922" s="2" t="s">
        <v>20006</v>
      </c>
      <c r="M1922" s="2" t="s">
        <v>20007</v>
      </c>
      <c r="N1922" s="3" t="s">
        <v>328</v>
      </c>
      <c r="P1922" s="3" t="s">
        <v>69</v>
      </c>
      <c r="Q1922" s="2" t="s">
        <v>7005</v>
      </c>
      <c r="R1922" s="3" t="s">
        <v>19986</v>
      </c>
      <c r="S1922" s="4">
        <v>0</v>
      </c>
      <c r="T1922" s="4">
        <v>0</v>
      </c>
      <c r="W1922" s="5" t="s">
        <v>72</v>
      </c>
      <c r="X1922" s="5" t="s">
        <v>72</v>
      </c>
      <c r="Y1922" s="4">
        <v>92</v>
      </c>
      <c r="Z1922" s="4">
        <v>5</v>
      </c>
      <c r="AA1922" s="4">
        <v>7</v>
      </c>
      <c r="AB1922" s="4">
        <v>1</v>
      </c>
      <c r="AC1922" s="4">
        <v>1</v>
      </c>
      <c r="AD1922" s="4">
        <v>48</v>
      </c>
      <c r="AE1922" s="4">
        <v>54</v>
      </c>
      <c r="AF1922" s="4">
        <v>0</v>
      </c>
      <c r="AG1922" s="4">
        <v>0</v>
      </c>
      <c r="AH1922" s="4">
        <v>47</v>
      </c>
      <c r="AI1922" s="4">
        <v>52</v>
      </c>
      <c r="AJ1922" s="4">
        <v>3</v>
      </c>
      <c r="AK1922" s="4">
        <v>5</v>
      </c>
      <c r="AL1922" s="4">
        <v>26</v>
      </c>
      <c r="AM1922" s="4">
        <v>28</v>
      </c>
      <c r="AN1922" s="4">
        <v>0</v>
      </c>
      <c r="AO1922" s="4">
        <v>0</v>
      </c>
      <c r="AP1922" s="4">
        <v>3</v>
      </c>
      <c r="AQ1922" s="4">
        <v>5</v>
      </c>
      <c r="AR1922" s="3" t="s">
        <v>64</v>
      </c>
      <c r="AS1922" s="3" t="s">
        <v>64</v>
      </c>
      <c r="AT1922" s="3" t="s">
        <v>64</v>
      </c>
      <c r="AV1922" s="6" t="str">
        <f>HYPERLINK("http://mcgill.on.worldcat.org/oclc/729347948","Catalog Record")</f>
        <v>Catalog Record</v>
      </c>
      <c r="AW1922" s="6" t="str">
        <f>HYPERLINK("http://www.worldcat.org/oclc/729347948","WorldCat Record")</f>
        <v>WorldCat Record</v>
      </c>
      <c r="AX1922" s="3" t="s">
        <v>20008</v>
      </c>
      <c r="AY1922" s="3" t="s">
        <v>20009</v>
      </c>
      <c r="AZ1922" s="3" t="s">
        <v>20010</v>
      </c>
      <c r="BA1922" s="3" t="s">
        <v>20010</v>
      </c>
      <c r="BB1922" s="3" t="s">
        <v>20011</v>
      </c>
      <c r="BC1922" s="3" t="s">
        <v>78</v>
      </c>
      <c r="BD1922" s="3" t="s">
        <v>79</v>
      </c>
      <c r="BE1922" s="3" t="s">
        <v>20012</v>
      </c>
      <c r="BF1922" s="3" t="s">
        <v>20011</v>
      </c>
      <c r="BG1922" s="3" t="s">
        <v>20013</v>
      </c>
    </row>
    <row r="1923" spans="1:59" ht="58" x14ac:dyDescent="0.35">
      <c r="A1923" s="2" t="s">
        <v>59</v>
      </c>
      <c r="B1923" s="2" t="s">
        <v>94</v>
      </c>
      <c r="C1923" s="2" t="s">
        <v>20014</v>
      </c>
      <c r="D1923" s="2" t="s">
        <v>20015</v>
      </c>
      <c r="E1923" s="2" t="s">
        <v>20016</v>
      </c>
      <c r="G1923" s="3" t="s">
        <v>64</v>
      </c>
      <c r="I1923" s="3" t="s">
        <v>64</v>
      </c>
      <c r="J1923" s="3" t="s">
        <v>64</v>
      </c>
      <c r="K1923" s="3" t="s">
        <v>65</v>
      </c>
      <c r="L1923" s="2" t="s">
        <v>20017</v>
      </c>
      <c r="M1923" s="2" t="s">
        <v>20018</v>
      </c>
      <c r="N1923" s="3" t="s">
        <v>377</v>
      </c>
      <c r="P1923" s="3" t="s">
        <v>69</v>
      </c>
      <c r="Q1923" s="2" t="s">
        <v>20019</v>
      </c>
      <c r="R1923" s="3" t="s">
        <v>19986</v>
      </c>
      <c r="S1923" s="4">
        <v>0</v>
      </c>
      <c r="T1923" s="4">
        <v>0</v>
      </c>
      <c r="W1923" s="5" t="s">
        <v>72</v>
      </c>
      <c r="X1923" s="5" t="s">
        <v>72</v>
      </c>
      <c r="Y1923" s="4">
        <v>72</v>
      </c>
      <c r="Z1923" s="4">
        <v>6</v>
      </c>
      <c r="AA1923" s="4">
        <v>7</v>
      </c>
      <c r="AB1923" s="4">
        <v>1</v>
      </c>
      <c r="AC1923" s="4">
        <v>1</v>
      </c>
      <c r="AD1923" s="4">
        <v>45</v>
      </c>
      <c r="AE1923" s="4">
        <v>51</v>
      </c>
      <c r="AF1923" s="4">
        <v>0</v>
      </c>
      <c r="AG1923" s="4">
        <v>0</v>
      </c>
      <c r="AH1923" s="4">
        <v>44</v>
      </c>
      <c r="AI1923" s="4">
        <v>49</v>
      </c>
      <c r="AJ1923" s="4">
        <v>4</v>
      </c>
      <c r="AK1923" s="4">
        <v>5</v>
      </c>
      <c r="AL1923" s="4">
        <v>25</v>
      </c>
      <c r="AM1923" s="4">
        <v>28</v>
      </c>
      <c r="AN1923" s="4">
        <v>0</v>
      </c>
      <c r="AO1923" s="4">
        <v>0</v>
      </c>
      <c r="AP1923" s="4">
        <v>4</v>
      </c>
      <c r="AQ1923" s="4">
        <v>5</v>
      </c>
      <c r="AR1923" s="3" t="s">
        <v>64</v>
      </c>
      <c r="AS1923" s="3" t="s">
        <v>64</v>
      </c>
      <c r="AT1923" s="3" t="s">
        <v>64</v>
      </c>
      <c r="AV1923" s="6" t="str">
        <f>HYPERLINK("http://mcgill.on.worldcat.org/oclc/804049276","Catalog Record")</f>
        <v>Catalog Record</v>
      </c>
      <c r="AW1923" s="6" t="str">
        <f>HYPERLINK("http://www.worldcat.org/oclc/804049276","WorldCat Record")</f>
        <v>WorldCat Record</v>
      </c>
      <c r="AX1923" s="3" t="s">
        <v>20020</v>
      </c>
      <c r="AY1923" s="3" t="s">
        <v>20021</v>
      </c>
      <c r="AZ1923" s="3" t="s">
        <v>20022</v>
      </c>
      <c r="BA1923" s="3" t="s">
        <v>20022</v>
      </c>
      <c r="BB1923" s="3" t="s">
        <v>20023</v>
      </c>
      <c r="BC1923" s="3" t="s">
        <v>78</v>
      </c>
      <c r="BD1923" s="3" t="s">
        <v>79</v>
      </c>
      <c r="BE1923" s="3" t="s">
        <v>20024</v>
      </c>
      <c r="BF1923" s="3" t="s">
        <v>20023</v>
      </c>
      <c r="BG1923" s="3" t="s">
        <v>20025</v>
      </c>
    </row>
    <row r="1924" spans="1:59" ht="58" x14ac:dyDescent="0.35">
      <c r="A1924" s="2" t="s">
        <v>59</v>
      </c>
      <c r="B1924" s="2" t="s">
        <v>94</v>
      </c>
      <c r="C1924" s="2" t="s">
        <v>20026</v>
      </c>
      <c r="D1924" s="2" t="s">
        <v>20027</v>
      </c>
      <c r="E1924" s="2" t="s">
        <v>20028</v>
      </c>
      <c r="G1924" s="3" t="s">
        <v>64</v>
      </c>
      <c r="I1924" s="3" t="s">
        <v>64</v>
      </c>
      <c r="J1924" s="3" t="s">
        <v>64</v>
      </c>
      <c r="K1924" s="3" t="s">
        <v>65</v>
      </c>
      <c r="L1924" s="2" t="s">
        <v>20029</v>
      </c>
      <c r="M1924" s="2" t="s">
        <v>20030</v>
      </c>
      <c r="N1924" s="3" t="s">
        <v>3437</v>
      </c>
      <c r="P1924" s="3" t="s">
        <v>69</v>
      </c>
      <c r="R1924" s="3" t="s">
        <v>19986</v>
      </c>
      <c r="S1924" s="4">
        <v>6</v>
      </c>
      <c r="T1924" s="4">
        <v>6</v>
      </c>
      <c r="U1924" s="5" t="s">
        <v>7627</v>
      </c>
      <c r="V1924" s="5" t="s">
        <v>7627</v>
      </c>
      <c r="W1924" s="5" t="s">
        <v>72</v>
      </c>
      <c r="X1924" s="5" t="s">
        <v>72</v>
      </c>
      <c r="Y1924" s="4">
        <v>48</v>
      </c>
      <c r="Z1924" s="4">
        <v>30</v>
      </c>
      <c r="AA1924" s="4">
        <v>36</v>
      </c>
      <c r="AB1924" s="4">
        <v>3</v>
      </c>
      <c r="AC1924" s="4">
        <v>5</v>
      </c>
      <c r="AD1924" s="4">
        <v>26</v>
      </c>
      <c r="AE1924" s="4">
        <v>29</v>
      </c>
      <c r="AF1924" s="4">
        <v>1</v>
      </c>
      <c r="AG1924" s="4">
        <v>2</v>
      </c>
      <c r="AH1924" s="4">
        <v>18</v>
      </c>
      <c r="AI1924" s="4">
        <v>18</v>
      </c>
      <c r="AJ1924" s="4">
        <v>12</v>
      </c>
      <c r="AK1924" s="4">
        <v>14</v>
      </c>
      <c r="AL1924" s="4">
        <v>7</v>
      </c>
      <c r="AM1924" s="4">
        <v>7</v>
      </c>
      <c r="AN1924" s="4">
        <v>0</v>
      </c>
      <c r="AO1924" s="4">
        <v>0</v>
      </c>
      <c r="AP1924" s="4">
        <v>16</v>
      </c>
      <c r="AQ1924" s="4">
        <v>17</v>
      </c>
      <c r="AR1924" s="3" t="s">
        <v>73</v>
      </c>
      <c r="AS1924" s="3" t="s">
        <v>64</v>
      </c>
      <c r="AT1924" s="3" t="s">
        <v>64</v>
      </c>
      <c r="AV1924" s="6" t="str">
        <f>HYPERLINK("http://mcgill.on.worldcat.org/oclc/13036382","Catalog Record")</f>
        <v>Catalog Record</v>
      </c>
      <c r="AW1924" s="6" t="str">
        <f>HYPERLINK("http://www.worldcat.org/oclc/13036382","WorldCat Record")</f>
        <v>WorldCat Record</v>
      </c>
      <c r="AX1924" s="3" t="s">
        <v>20031</v>
      </c>
      <c r="AY1924" s="3" t="s">
        <v>20032</v>
      </c>
      <c r="AZ1924" s="3" t="s">
        <v>20033</v>
      </c>
      <c r="BA1924" s="3" t="s">
        <v>20033</v>
      </c>
      <c r="BB1924" s="3" t="s">
        <v>20034</v>
      </c>
      <c r="BC1924" s="3" t="s">
        <v>78</v>
      </c>
      <c r="BD1924" s="3" t="s">
        <v>79</v>
      </c>
      <c r="BF1924" s="3" t="s">
        <v>20034</v>
      </c>
      <c r="BG1924" s="3" t="s">
        <v>20035</v>
      </c>
    </row>
    <row r="1925" spans="1:59" ht="72.5" x14ac:dyDescent="0.35">
      <c r="A1925" s="2" t="s">
        <v>59</v>
      </c>
      <c r="B1925" s="2" t="s">
        <v>94</v>
      </c>
      <c r="C1925" s="2" t="s">
        <v>20036</v>
      </c>
      <c r="D1925" s="2" t="s">
        <v>20037</v>
      </c>
      <c r="E1925" s="2" t="s">
        <v>20038</v>
      </c>
      <c r="G1925" s="3" t="s">
        <v>64</v>
      </c>
      <c r="I1925" s="3" t="s">
        <v>64</v>
      </c>
      <c r="J1925" s="3" t="s">
        <v>64</v>
      </c>
      <c r="K1925" s="3" t="s">
        <v>65</v>
      </c>
      <c r="L1925" s="2" t="s">
        <v>20039</v>
      </c>
      <c r="M1925" s="2" t="s">
        <v>20040</v>
      </c>
      <c r="N1925" s="3" t="s">
        <v>524</v>
      </c>
      <c r="P1925" s="3" t="s">
        <v>69</v>
      </c>
      <c r="Q1925" s="2" t="s">
        <v>20041</v>
      </c>
      <c r="R1925" s="3" t="s">
        <v>19986</v>
      </c>
      <c r="S1925" s="4">
        <v>0</v>
      </c>
      <c r="T1925" s="4">
        <v>0</v>
      </c>
      <c r="W1925" s="5" t="s">
        <v>72</v>
      </c>
      <c r="X1925" s="5" t="s">
        <v>72</v>
      </c>
      <c r="Y1925" s="4">
        <v>45</v>
      </c>
      <c r="Z1925" s="4">
        <v>3</v>
      </c>
      <c r="AA1925" s="4">
        <v>7</v>
      </c>
      <c r="AB1925" s="4">
        <v>1</v>
      </c>
      <c r="AC1925" s="4">
        <v>4</v>
      </c>
      <c r="AD1925" s="4">
        <v>9</v>
      </c>
      <c r="AE1925" s="4">
        <v>13</v>
      </c>
      <c r="AF1925" s="4">
        <v>0</v>
      </c>
      <c r="AG1925" s="4">
        <v>0</v>
      </c>
      <c r="AH1925" s="4">
        <v>9</v>
      </c>
      <c r="AI1925" s="4">
        <v>12</v>
      </c>
      <c r="AJ1925" s="4">
        <v>2</v>
      </c>
      <c r="AK1925" s="4">
        <v>3</v>
      </c>
      <c r="AL1925" s="4">
        <v>5</v>
      </c>
      <c r="AM1925" s="4">
        <v>7</v>
      </c>
      <c r="AN1925" s="4">
        <v>0</v>
      </c>
      <c r="AO1925" s="4">
        <v>0</v>
      </c>
      <c r="AP1925" s="4">
        <v>2</v>
      </c>
      <c r="AQ1925" s="4">
        <v>2</v>
      </c>
      <c r="AR1925" s="3" t="s">
        <v>64</v>
      </c>
      <c r="AS1925" s="3" t="s">
        <v>64</v>
      </c>
      <c r="AT1925" s="3" t="s">
        <v>64</v>
      </c>
      <c r="AV1925" s="6" t="str">
        <f>HYPERLINK("http://mcgill.on.worldcat.org/oclc/862348979","Catalog Record")</f>
        <v>Catalog Record</v>
      </c>
      <c r="AW1925" s="6" t="str">
        <f>HYPERLINK("http://www.worldcat.org/oclc/862348979","WorldCat Record")</f>
        <v>WorldCat Record</v>
      </c>
      <c r="AX1925" s="3" t="s">
        <v>20042</v>
      </c>
      <c r="AY1925" s="3" t="s">
        <v>20043</v>
      </c>
      <c r="AZ1925" s="3" t="s">
        <v>20044</v>
      </c>
      <c r="BA1925" s="3" t="s">
        <v>20044</v>
      </c>
      <c r="BB1925" s="3" t="s">
        <v>20045</v>
      </c>
      <c r="BC1925" s="3" t="s">
        <v>78</v>
      </c>
      <c r="BD1925" s="3" t="s">
        <v>79</v>
      </c>
      <c r="BE1925" s="3" t="s">
        <v>20046</v>
      </c>
      <c r="BF1925" s="3" t="s">
        <v>20045</v>
      </c>
      <c r="BG1925" s="3" t="s">
        <v>20047</v>
      </c>
    </row>
    <row r="1926" spans="1:59" ht="58" x14ac:dyDescent="0.35">
      <c r="A1926" s="2" t="s">
        <v>59</v>
      </c>
      <c r="B1926" s="2" t="s">
        <v>94</v>
      </c>
      <c r="C1926" s="2" t="s">
        <v>20048</v>
      </c>
      <c r="D1926" s="2" t="s">
        <v>20049</v>
      </c>
      <c r="E1926" s="2" t="s">
        <v>20050</v>
      </c>
      <c r="G1926" s="3" t="s">
        <v>64</v>
      </c>
      <c r="I1926" s="3" t="s">
        <v>64</v>
      </c>
      <c r="J1926" s="3" t="s">
        <v>64</v>
      </c>
      <c r="K1926" s="3" t="s">
        <v>65</v>
      </c>
      <c r="L1926" s="2" t="s">
        <v>20051</v>
      </c>
      <c r="M1926" s="2" t="s">
        <v>17102</v>
      </c>
      <c r="N1926" s="3" t="s">
        <v>175</v>
      </c>
      <c r="P1926" s="3" t="s">
        <v>69</v>
      </c>
      <c r="R1926" s="3" t="s">
        <v>19986</v>
      </c>
      <c r="S1926" s="4">
        <v>0</v>
      </c>
      <c r="T1926" s="4">
        <v>0</v>
      </c>
      <c r="W1926" s="5" t="s">
        <v>4195</v>
      </c>
      <c r="X1926" s="5" t="s">
        <v>4195</v>
      </c>
      <c r="Y1926" s="4">
        <v>67</v>
      </c>
      <c r="Z1926" s="4">
        <v>4</v>
      </c>
      <c r="AA1926" s="4">
        <v>34</v>
      </c>
      <c r="AB1926" s="4">
        <v>1</v>
      </c>
      <c r="AC1926" s="4">
        <v>6</v>
      </c>
      <c r="AD1926" s="4">
        <v>43</v>
      </c>
      <c r="AE1926" s="4">
        <v>95</v>
      </c>
      <c r="AF1926" s="4">
        <v>0</v>
      </c>
      <c r="AG1926" s="4">
        <v>2</v>
      </c>
      <c r="AH1926" s="4">
        <v>42</v>
      </c>
      <c r="AI1926" s="4">
        <v>78</v>
      </c>
      <c r="AJ1926" s="4">
        <v>2</v>
      </c>
      <c r="AK1926" s="4">
        <v>14</v>
      </c>
      <c r="AL1926" s="4">
        <v>26</v>
      </c>
      <c r="AM1926" s="4">
        <v>43</v>
      </c>
      <c r="AN1926" s="4">
        <v>0</v>
      </c>
      <c r="AO1926" s="4">
        <v>0</v>
      </c>
      <c r="AP1926" s="4">
        <v>2</v>
      </c>
      <c r="AQ1926" s="4">
        <v>24</v>
      </c>
      <c r="AR1926" s="3" t="s">
        <v>64</v>
      </c>
      <c r="AS1926" s="3" t="s">
        <v>64</v>
      </c>
      <c r="AT1926" s="3" t="s">
        <v>64</v>
      </c>
      <c r="AV1926" s="6" t="str">
        <f>HYPERLINK("http://mcgill.on.worldcat.org/oclc/876882483","Catalog Record")</f>
        <v>Catalog Record</v>
      </c>
      <c r="AW1926" s="6" t="str">
        <f>HYPERLINK("http://www.worldcat.org/oclc/876882483","WorldCat Record")</f>
        <v>WorldCat Record</v>
      </c>
      <c r="AX1926" s="3" t="s">
        <v>20052</v>
      </c>
      <c r="AY1926" s="3" t="s">
        <v>20053</v>
      </c>
      <c r="AZ1926" s="3" t="s">
        <v>20054</v>
      </c>
      <c r="BA1926" s="3" t="s">
        <v>20054</v>
      </c>
      <c r="BB1926" s="3" t="s">
        <v>20055</v>
      </c>
      <c r="BC1926" s="3" t="s">
        <v>78</v>
      </c>
      <c r="BD1926" s="3" t="s">
        <v>79</v>
      </c>
      <c r="BE1926" s="3" t="s">
        <v>20056</v>
      </c>
      <c r="BF1926" s="3" t="s">
        <v>20055</v>
      </c>
      <c r="BG1926" s="3" t="s">
        <v>20057</v>
      </c>
    </row>
    <row r="1927" spans="1:59" ht="72.5" x14ac:dyDescent="0.35">
      <c r="A1927" s="2" t="s">
        <v>59</v>
      </c>
      <c r="B1927" s="2" t="s">
        <v>94</v>
      </c>
      <c r="C1927" s="2" t="s">
        <v>20058</v>
      </c>
      <c r="D1927" s="2" t="s">
        <v>20059</v>
      </c>
      <c r="E1927" s="2" t="s">
        <v>20060</v>
      </c>
      <c r="G1927" s="3" t="s">
        <v>64</v>
      </c>
      <c r="I1927" s="3" t="s">
        <v>64</v>
      </c>
      <c r="J1927" s="3" t="s">
        <v>64</v>
      </c>
      <c r="K1927" s="3" t="s">
        <v>65</v>
      </c>
      <c r="L1927" s="2" t="s">
        <v>20061</v>
      </c>
      <c r="M1927" s="2" t="s">
        <v>18901</v>
      </c>
      <c r="N1927" s="3" t="s">
        <v>524</v>
      </c>
      <c r="P1927" s="3" t="s">
        <v>69</v>
      </c>
      <c r="R1927" s="3" t="s">
        <v>19986</v>
      </c>
      <c r="S1927" s="4">
        <v>0</v>
      </c>
      <c r="T1927" s="4">
        <v>0</v>
      </c>
      <c r="W1927" s="5" t="s">
        <v>72</v>
      </c>
      <c r="X1927" s="5" t="s">
        <v>72</v>
      </c>
      <c r="Y1927" s="4">
        <v>66</v>
      </c>
      <c r="Z1927" s="4">
        <v>4</v>
      </c>
      <c r="AA1927" s="4">
        <v>32</v>
      </c>
      <c r="AB1927" s="4">
        <v>1</v>
      </c>
      <c r="AC1927" s="4">
        <v>6</v>
      </c>
      <c r="AD1927" s="4">
        <v>42</v>
      </c>
      <c r="AE1927" s="4">
        <v>93</v>
      </c>
      <c r="AF1927" s="4">
        <v>0</v>
      </c>
      <c r="AG1927" s="4">
        <v>2</v>
      </c>
      <c r="AH1927" s="4">
        <v>41</v>
      </c>
      <c r="AI1927" s="4">
        <v>76</v>
      </c>
      <c r="AJ1927" s="4">
        <v>3</v>
      </c>
      <c r="AK1927" s="4">
        <v>13</v>
      </c>
      <c r="AL1927" s="4">
        <v>22</v>
      </c>
      <c r="AM1927" s="4">
        <v>40</v>
      </c>
      <c r="AN1927" s="4">
        <v>0</v>
      </c>
      <c r="AO1927" s="4">
        <v>0</v>
      </c>
      <c r="AP1927" s="4">
        <v>3</v>
      </c>
      <c r="AQ1927" s="4">
        <v>23</v>
      </c>
      <c r="AR1927" s="3" t="s">
        <v>64</v>
      </c>
      <c r="AS1927" s="3" t="s">
        <v>64</v>
      </c>
      <c r="AT1927" s="3" t="s">
        <v>64</v>
      </c>
      <c r="AV1927" s="6" t="str">
        <f>HYPERLINK("http://mcgill.on.worldcat.org/oclc/854906250","Catalog Record")</f>
        <v>Catalog Record</v>
      </c>
      <c r="AW1927" s="6" t="str">
        <f>HYPERLINK("http://www.worldcat.org/oclc/854906250","WorldCat Record")</f>
        <v>WorldCat Record</v>
      </c>
      <c r="AX1927" s="3" t="s">
        <v>20062</v>
      </c>
      <c r="AY1927" s="3" t="s">
        <v>20063</v>
      </c>
      <c r="AZ1927" s="3" t="s">
        <v>20064</v>
      </c>
      <c r="BA1927" s="3" t="s">
        <v>20064</v>
      </c>
      <c r="BB1927" s="3" t="s">
        <v>20065</v>
      </c>
      <c r="BC1927" s="3" t="s">
        <v>78</v>
      </c>
      <c r="BD1927" s="3" t="s">
        <v>79</v>
      </c>
      <c r="BE1927" s="3" t="s">
        <v>20066</v>
      </c>
      <c r="BF1927" s="3" t="s">
        <v>20065</v>
      </c>
      <c r="BG1927" s="3" t="s">
        <v>20067</v>
      </c>
    </row>
    <row r="1928" spans="1:59" ht="58" x14ac:dyDescent="0.35">
      <c r="A1928" s="2" t="s">
        <v>59</v>
      </c>
      <c r="B1928" s="2" t="s">
        <v>94</v>
      </c>
      <c r="C1928" s="2" t="s">
        <v>20068</v>
      </c>
      <c r="D1928" s="2" t="s">
        <v>20069</v>
      </c>
      <c r="E1928" s="2" t="s">
        <v>20070</v>
      </c>
      <c r="G1928" s="3" t="s">
        <v>64</v>
      </c>
      <c r="I1928" s="3" t="s">
        <v>64</v>
      </c>
      <c r="J1928" s="3" t="s">
        <v>64</v>
      </c>
      <c r="K1928" s="3" t="s">
        <v>65</v>
      </c>
      <c r="L1928" s="2" t="s">
        <v>20071</v>
      </c>
      <c r="M1928" s="2" t="s">
        <v>20072</v>
      </c>
      <c r="N1928" s="3" t="s">
        <v>524</v>
      </c>
      <c r="P1928" s="3" t="s">
        <v>69</v>
      </c>
      <c r="Q1928" s="2" t="s">
        <v>20073</v>
      </c>
      <c r="R1928" s="3" t="s">
        <v>19986</v>
      </c>
      <c r="S1928" s="4">
        <v>0</v>
      </c>
      <c r="T1928" s="4">
        <v>0</v>
      </c>
      <c r="W1928" s="5" t="s">
        <v>72</v>
      </c>
      <c r="X1928" s="5" t="s">
        <v>72</v>
      </c>
      <c r="Y1928" s="4">
        <v>68</v>
      </c>
      <c r="Z1928" s="4">
        <v>4</v>
      </c>
      <c r="AA1928" s="4">
        <v>32</v>
      </c>
      <c r="AB1928" s="4">
        <v>1</v>
      </c>
      <c r="AC1928" s="4">
        <v>6</v>
      </c>
      <c r="AD1928" s="4">
        <v>42</v>
      </c>
      <c r="AE1928" s="4">
        <v>93</v>
      </c>
      <c r="AF1928" s="4">
        <v>0</v>
      </c>
      <c r="AG1928" s="4">
        <v>2</v>
      </c>
      <c r="AH1928" s="4">
        <v>41</v>
      </c>
      <c r="AI1928" s="4">
        <v>76</v>
      </c>
      <c r="AJ1928" s="4">
        <v>3</v>
      </c>
      <c r="AK1928" s="4">
        <v>13</v>
      </c>
      <c r="AL1928" s="4">
        <v>21</v>
      </c>
      <c r="AM1928" s="4">
        <v>40</v>
      </c>
      <c r="AN1928" s="4">
        <v>0</v>
      </c>
      <c r="AO1928" s="4">
        <v>0</v>
      </c>
      <c r="AP1928" s="4">
        <v>3</v>
      </c>
      <c r="AQ1928" s="4">
        <v>23</v>
      </c>
      <c r="AR1928" s="3" t="s">
        <v>64</v>
      </c>
      <c r="AS1928" s="3" t="s">
        <v>64</v>
      </c>
      <c r="AT1928" s="3" t="s">
        <v>64</v>
      </c>
      <c r="AV1928" s="6" t="str">
        <f>HYPERLINK("http://mcgill.on.worldcat.org/oclc/855362833","Catalog Record")</f>
        <v>Catalog Record</v>
      </c>
      <c r="AW1928" s="6" t="str">
        <f>HYPERLINK("http://www.worldcat.org/oclc/855362833","WorldCat Record")</f>
        <v>WorldCat Record</v>
      </c>
      <c r="AX1928" s="3" t="s">
        <v>20074</v>
      </c>
      <c r="AY1928" s="3" t="s">
        <v>20075</v>
      </c>
      <c r="AZ1928" s="3" t="s">
        <v>20076</v>
      </c>
      <c r="BA1928" s="3" t="s">
        <v>20076</v>
      </c>
      <c r="BB1928" s="3" t="s">
        <v>20077</v>
      </c>
      <c r="BC1928" s="3" t="s">
        <v>78</v>
      </c>
      <c r="BD1928" s="3" t="s">
        <v>79</v>
      </c>
      <c r="BE1928" s="3" t="s">
        <v>20078</v>
      </c>
      <c r="BF1928" s="3" t="s">
        <v>20077</v>
      </c>
      <c r="BG1928" s="3" t="s">
        <v>20079</v>
      </c>
    </row>
    <row r="1929" spans="1:59" ht="58" x14ac:dyDescent="0.35">
      <c r="A1929" s="2" t="s">
        <v>59</v>
      </c>
      <c r="B1929" s="2" t="s">
        <v>94</v>
      </c>
      <c r="C1929" s="2" t="s">
        <v>20080</v>
      </c>
      <c r="D1929" s="2" t="s">
        <v>20081</v>
      </c>
      <c r="E1929" s="2" t="s">
        <v>20082</v>
      </c>
      <c r="G1929" s="3" t="s">
        <v>64</v>
      </c>
      <c r="I1929" s="3" t="s">
        <v>64</v>
      </c>
      <c r="J1929" s="3" t="s">
        <v>64</v>
      </c>
      <c r="K1929" s="3" t="s">
        <v>65</v>
      </c>
      <c r="M1929" s="2" t="s">
        <v>20083</v>
      </c>
      <c r="N1929" s="3" t="s">
        <v>1154</v>
      </c>
      <c r="P1929" s="3" t="s">
        <v>69</v>
      </c>
      <c r="Q1929" s="2" t="s">
        <v>14901</v>
      </c>
      <c r="R1929" s="3" t="s">
        <v>19986</v>
      </c>
      <c r="S1929" s="4">
        <v>1</v>
      </c>
      <c r="T1929" s="4">
        <v>1</v>
      </c>
      <c r="U1929" s="5" t="s">
        <v>20084</v>
      </c>
      <c r="V1929" s="5" t="s">
        <v>20084</v>
      </c>
      <c r="W1929" s="5" t="s">
        <v>72</v>
      </c>
      <c r="X1929" s="5" t="s">
        <v>72</v>
      </c>
      <c r="Y1929" s="4">
        <v>147</v>
      </c>
      <c r="Z1929" s="4">
        <v>9</v>
      </c>
      <c r="AA1929" s="4">
        <v>10</v>
      </c>
      <c r="AB1929" s="4">
        <v>1</v>
      </c>
      <c r="AC1929" s="4">
        <v>1</v>
      </c>
      <c r="AD1929" s="4">
        <v>77</v>
      </c>
      <c r="AE1929" s="4">
        <v>81</v>
      </c>
      <c r="AF1929" s="4">
        <v>0</v>
      </c>
      <c r="AG1929" s="4">
        <v>0</v>
      </c>
      <c r="AH1929" s="4">
        <v>74</v>
      </c>
      <c r="AI1929" s="4">
        <v>77</v>
      </c>
      <c r="AJ1929" s="4">
        <v>7</v>
      </c>
      <c r="AK1929" s="4">
        <v>8</v>
      </c>
      <c r="AL1929" s="4">
        <v>39</v>
      </c>
      <c r="AM1929" s="4">
        <v>40</v>
      </c>
      <c r="AN1929" s="4">
        <v>0</v>
      </c>
      <c r="AO1929" s="4">
        <v>0</v>
      </c>
      <c r="AP1929" s="4">
        <v>7</v>
      </c>
      <c r="AQ1929" s="4">
        <v>8</v>
      </c>
      <c r="AR1929" s="3" t="s">
        <v>64</v>
      </c>
      <c r="AS1929" s="3" t="s">
        <v>64</v>
      </c>
      <c r="AT1929" s="3" t="s">
        <v>64</v>
      </c>
      <c r="AV1929" s="6" t="str">
        <f>HYPERLINK("http://mcgill.on.worldcat.org/oclc/31385799","Catalog Record")</f>
        <v>Catalog Record</v>
      </c>
      <c r="AW1929" s="6" t="str">
        <f>HYPERLINK("http://www.worldcat.org/oclc/31385799","WorldCat Record")</f>
        <v>WorldCat Record</v>
      </c>
      <c r="AX1929" s="3" t="s">
        <v>20085</v>
      </c>
      <c r="AY1929" s="3" t="s">
        <v>20086</v>
      </c>
      <c r="AZ1929" s="3" t="s">
        <v>20087</v>
      </c>
      <c r="BA1929" s="3" t="s">
        <v>20087</v>
      </c>
      <c r="BB1929" s="3" t="s">
        <v>20088</v>
      </c>
      <c r="BC1929" s="3" t="s">
        <v>78</v>
      </c>
      <c r="BD1929" s="3" t="s">
        <v>79</v>
      </c>
      <c r="BE1929" s="3" t="s">
        <v>20089</v>
      </c>
      <c r="BF1929" s="3" t="s">
        <v>20088</v>
      </c>
      <c r="BG1929" s="3" t="s">
        <v>20090</v>
      </c>
    </row>
    <row r="1930" spans="1:59" ht="72.5" x14ac:dyDescent="0.35">
      <c r="A1930" s="2" t="s">
        <v>59</v>
      </c>
      <c r="B1930" s="2" t="s">
        <v>94</v>
      </c>
      <c r="C1930" s="2" t="s">
        <v>20091</v>
      </c>
      <c r="D1930" s="2" t="s">
        <v>20092</v>
      </c>
      <c r="E1930" s="2" t="s">
        <v>20093</v>
      </c>
      <c r="G1930" s="3" t="s">
        <v>64</v>
      </c>
      <c r="I1930" s="3" t="s">
        <v>64</v>
      </c>
      <c r="J1930" s="3" t="s">
        <v>64</v>
      </c>
      <c r="K1930" s="3" t="s">
        <v>65</v>
      </c>
      <c r="M1930" s="2" t="s">
        <v>7117</v>
      </c>
      <c r="N1930" s="3" t="s">
        <v>214</v>
      </c>
      <c r="P1930" s="3" t="s">
        <v>69</v>
      </c>
      <c r="Q1930" s="2" t="s">
        <v>5134</v>
      </c>
      <c r="R1930" s="3" t="s">
        <v>19986</v>
      </c>
      <c r="S1930" s="4">
        <v>0</v>
      </c>
      <c r="T1930" s="4">
        <v>0</v>
      </c>
      <c r="W1930" s="5" t="s">
        <v>72</v>
      </c>
      <c r="X1930" s="5" t="s">
        <v>72</v>
      </c>
      <c r="Y1930" s="4">
        <v>105</v>
      </c>
      <c r="Z1930" s="4">
        <v>8</v>
      </c>
      <c r="AA1930" s="4">
        <v>10</v>
      </c>
      <c r="AB1930" s="4">
        <v>1</v>
      </c>
      <c r="AC1930" s="4">
        <v>1</v>
      </c>
      <c r="AD1930" s="4">
        <v>57</v>
      </c>
      <c r="AE1930" s="4">
        <v>60</v>
      </c>
      <c r="AF1930" s="4">
        <v>0</v>
      </c>
      <c r="AG1930" s="4">
        <v>0</v>
      </c>
      <c r="AH1930" s="4">
        <v>54</v>
      </c>
      <c r="AI1930" s="4">
        <v>57</v>
      </c>
      <c r="AJ1930" s="4">
        <v>5</v>
      </c>
      <c r="AK1930" s="4">
        <v>7</v>
      </c>
      <c r="AL1930" s="4">
        <v>29</v>
      </c>
      <c r="AM1930" s="4">
        <v>29</v>
      </c>
      <c r="AN1930" s="4">
        <v>0</v>
      </c>
      <c r="AO1930" s="4">
        <v>0</v>
      </c>
      <c r="AP1930" s="4">
        <v>6</v>
      </c>
      <c r="AQ1930" s="4">
        <v>8</v>
      </c>
      <c r="AR1930" s="3" t="s">
        <v>64</v>
      </c>
      <c r="AS1930" s="3" t="s">
        <v>64</v>
      </c>
      <c r="AT1930" s="3" t="s">
        <v>64</v>
      </c>
      <c r="AV1930" s="6" t="str">
        <f>HYPERLINK("http://mcgill.on.worldcat.org/oclc/669161857","Catalog Record")</f>
        <v>Catalog Record</v>
      </c>
      <c r="AW1930" s="6" t="str">
        <f>HYPERLINK("http://www.worldcat.org/oclc/669161857","WorldCat Record")</f>
        <v>WorldCat Record</v>
      </c>
      <c r="AX1930" s="3" t="s">
        <v>20094</v>
      </c>
      <c r="AY1930" s="3" t="s">
        <v>20095</v>
      </c>
      <c r="AZ1930" s="3" t="s">
        <v>20096</v>
      </c>
      <c r="BA1930" s="3" t="s">
        <v>20096</v>
      </c>
      <c r="BB1930" s="3" t="s">
        <v>20097</v>
      </c>
      <c r="BC1930" s="3" t="s">
        <v>78</v>
      </c>
      <c r="BD1930" s="3" t="s">
        <v>79</v>
      </c>
      <c r="BE1930" s="3" t="s">
        <v>20098</v>
      </c>
      <c r="BF1930" s="3" t="s">
        <v>20097</v>
      </c>
      <c r="BG1930" s="3" t="s">
        <v>20099</v>
      </c>
    </row>
    <row r="1931" spans="1:59" ht="58" x14ac:dyDescent="0.35">
      <c r="A1931" s="2" t="s">
        <v>59</v>
      </c>
      <c r="B1931" s="2" t="s">
        <v>94</v>
      </c>
      <c r="C1931" s="2" t="s">
        <v>20100</v>
      </c>
      <c r="D1931" s="2" t="s">
        <v>20101</v>
      </c>
      <c r="E1931" s="2" t="s">
        <v>20102</v>
      </c>
      <c r="G1931" s="3" t="s">
        <v>64</v>
      </c>
      <c r="I1931" s="3" t="s">
        <v>64</v>
      </c>
      <c r="J1931" s="3" t="s">
        <v>64</v>
      </c>
      <c r="K1931" s="3" t="s">
        <v>65</v>
      </c>
      <c r="L1931" s="2" t="s">
        <v>20103</v>
      </c>
      <c r="M1931" s="2" t="s">
        <v>7249</v>
      </c>
      <c r="N1931" s="3" t="s">
        <v>214</v>
      </c>
      <c r="P1931" s="3" t="s">
        <v>69</v>
      </c>
      <c r="Q1931" s="2" t="s">
        <v>20104</v>
      </c>
      <c r="R1931" s="3" t="s">
        <v>19986</v>
      </c>
      <c r="S1931" s="4">
        <v>0</v>
      </c>
      <c r="T1931" s="4">
        <v>0</v>
      </c>
      <c r="W1931" s="5" t="s">
        <v>72</v>
      </c>
      <c r="X1931" s="5" t="s">
        <v>72</v>
      </c>
      <c r="Y1931" s="4">
        <v>85</v>
      </c>
      <c r="Z1931" s="4">
        <v>5</v>
      </c>
      <c r="AA1931" s="4">
        <v>10</v>
      </c>
      <c r="AB1931" s="4">
        <v>1</v>
      </c>
      <c r="AC1931" s="4">
        <v>1</v>
      </c>
      <c r="AD1931" s="4">
        <v>50</v>
      </c>
      <c r="AE1931" s="4">
        <v>58</v>
      </c>
      <c r="AF1931" s="4">
        <v>0</v>
      </c>
      <c r="AG1931" s="4">
        <v>0</v>
      </c>
      <c r="AH1931" s="4">
        <v>48</v>
      </c>
      <c r="AI1931" s="4">
        <v>54</v>
      </c>
      <c r="AJ1931" s="4">
        <v>3</v>
      </c>
      <c r="AK1931" s="4">
        <v>7</v>
      </c>
      <c r="AL1931" s="4">
        <v>28</v>
      </c>
      <c r="AM1931" s="4">
        <v>29</v>
      </c>
      <c r="AN1931" s="4">
        <v>0</v>
      </c>
      <c r="AO1931" s="4">
        <v>0</v>
      </c>
      <c r="AP1931" s="4">
        <v>3</v>
      </c>
      <c r="AQ1931" s="4">
        <v>8</v>
      </c>
      <c r="AR1931" s="3" t="s">
        <v>64</v>
      </c>
      <c r="AS1931" s="3" t="s">
        <v>64</v>
      </c>
      <c r="AT1931" s="3" t="s">
        <v>64</v>
      </c>
      <c r="AV1931" s="6" t="str">
        <f>HYPERLINK("http://mcgill.on.worldcat.org/oclc/503595897","Catalog Record")</f>
        <v>Catalog Record</v>
      </c>
      <c r="AW1931" s="6" t="str">
        <f>HYPERLINK("http://www.worldcat.org/oclc/503595897","WorldCat Record")</f>
        <v>WorldCat Record</v>
      </c>
      <c r="AX1931" s="3" t="s">
        <v>20105</v>
      </c>
      <c r="AY1931" s="3" t="s">
        <v>20106</v>
      </c>
      <c r="AZ1931" s="3" t="s">
        <v>20107</v>
      </c>
      <c r="BA1931" s="3" t="s">
        <v>20107</v>
      </c>
      <c r="BB1931" s="3" t="s">
        <v>20108</v>
      </c>
      <c r="BC1931" s="3" t="s">
        <v>78</v>
      </c>
      <c r="BD1931" s="3" t="s">
        <v>79</v>
      </c>
      <c r="BE1931" s="3" t="s">
        <v>20109</v>
      </c>
      <c r="BF1931" s="3" t="s">
        <v>20108</v>
      </c>
      <c r="BG1931" s="3" t="s">
        <v>20110</v>
      </c>
    </row>
    <row r="1932" spans="1:59" ht="58" x14ac:dyDescent="0.35">
      <c r="A1932" s="2" t="s">
        <v>59</v>
      </c>
      <c r="B1932" s="2" t="s">
        <v>94</v>
      </c>
      <c r="C1932" s="2" t="s">
        <v>20111</v>
      </c>
      <c r="D1932" s="2" t="s">
        <v>20112</v>
      </c>
      <c r="E1932" s="2" t="s">
        <v>20113</v>
      </c>
      <c r="G1932" s="3" t="s">
        <v>64</v>
      </c>
      <c r="I1932" s="3" t="s">
        <v>64</v>
      </c>
      <c r="J1932" s="3" t="s">
        <v>64</v>
      </c>
      <c r="K1932" s="3" t="s">
        <v>65</v>
      </c>
      <c r="L1932" s="2" t="s">
        <v>20114</v>
      </c>
      <c r="M1932" s="2" t="s">
        <v>20115</v>
      </c>
      <c r="N1932" s="3" t="s">
        <v>274</v>
      </c>
      <c r="P1932" s="3" t="s">
        <v>69</v>
      </c>
      <c r="R1932" s="3" t="s">
        <v>19986</v>
      </c>
      <c r="S1932" s="4">
        <v>4</v>
      </c>
      <c r="T1932" s="4">
        <v>4</v>
      </c>
      <c r="U1932" s="5" t="s">
        <v>6072</v>
      </c>
      <c r="V1932" s="5" t="s">
        <v>6072</v>
      </c>
      <c r="W1932" s="5" t="s">
        <v>72</v>
      </c>
      <c r="X1932" s="5" t="s">
        <v>72</v>
      </c>
      <c r="Y1932" s="4">
        <v>235</v>
      </c>
      <c r="Z1932" s="4">
        <v>11</v>
      </c>
      <c r="AA1932" s="4">
        <v>11</v>
      </c>
      <c r="AB1932" s="4">
        <v>2</v>
      </c>
      <c r="AC1932" s="4">
        <v>2</v>
      </c>
      <c r="AD1932" s="4">
        <v>82</v>
      </c>
      <c r="AE1932" s="4">
        <v>82</v>
      </c>
      <c r="AF1932" s="4">
        <v>1</v>
      </c>
      <c r="AG1932" s="4">
        <v>1</v>
      </c>
      <c r="AH1932" s="4">
        <v>76</v>
      </c>
      <c r="AI1932" s="4">
        <v>76</v>
      </c>
      <c r="AJ1932" s="4">
        <v>8</v>
      </c>
      <c r="AK1932" s="4">
        <v>8</v>
      </c>
      <c r="AL1932" s="4">
        <v>47</v>
      </c>
      <c r="AM1932" s="4">
        <v>47</v>
      </c>
      <c r="AN1932" s="4">
        <v>0</v>
      </c>
      <c r="AO1932" s="4">
        <v>0</v>
      </c>
      <c r="AP1932" s="4">
        <v>8</v>
      </c>
      <c r="AQ1932" s="4">
        <v>8</v>
      </c>
      <c r="AR1932" s="3" t="s">
        <v>64</v>
      </c>
      <c r="AS1932" s="3" t="s">
        <v>64</v>
      </c>
      <c r="AT1932" s="3" t="s">
        <v>73</v>
      </c>
      <c r="AU1932" s="6" t="str">
        <f>HYPERLINK("http://catalog.hathitrust.org/Record/001081170","HathiTrust Record")</f>
        <v>HathiTrust Record</v>
      </c>
      <c r="AV1932" s="6" t="str">
        <f>HYPERLINK("http://mcgill.on.worldcat.org/oclc/16874766","Catalog Record")</f>
        <v>Catalog Record</v>
      </c>
      <c r="AW1932" s="6" t="str">
        <f>HYPERLINK("http://www.worldcat.org/oclc/16874766","WorldCat Record")</f>
        <v>WorldCat Record</v>
      </c>
      <c r="AX1932" s="3" t="s">
        <v>20116</v>
      </c>
      <c r="AY1932" s="3" t="s">
        <v>20117</v>
      </c>
      <c r="AZ1932" s="3" t="s">
        <v>20118</v>
      </c>
      <c r="BA1932" s="3" t="s">
        <v>20118</v>
      </c>
      <c r="BB1932" s="3" t="s">
        <v>20119</v>
      </c>
      <c r="BC1932" s="3" t="s">
        <v>78</v>
      </c>
      <c r="BD1932" s="3" t="s">
        <v>414</v>
      </c>
      <c r="BE1932" s="3" t="s">
        <v>20120</v>
      </c>
      <c r="BF1932" s="3" t="s">
        <v>20119</v>
      </c>
      <c r="BG1932" s="3" t="s">
        <v>20121</v>
      </c>
    </row>
    <row r="1933" spans="1:59" ht="58" x14ac:dyDescent="0.35">
      <c r="A1933" s="2" t="s">
        <v>59</v>
      </c>
      <c r="B1933" s="2" t="s">
        <v>94</v>
      </c>
      <c r="C1933" s="2" t="s">
        <v>20122</v>
      </c>
      <c r="D1933" s="2" t="s">
        <v>20123</v>
      </c>
      <c r="E1933" s="2" t="s">
        <v>20124</v>
      </c>
      <c r="G1933" s="3" t="s">
        <v>64</v>
      </c>
      <c r="I1933" s="3" t="s">
        <v>64</v>
      </c>
      <c r="J1933" s="3" t="s">
        <v>64</v>
      </c>
      <c r="K1933" s="3" t="s">
        <v>65</v>
      </c>
      <c r="L1933" s="2" t="s">
        <v>20125</v>
      </c>
      <c r="M1933" s="2" t="s">
        <v>20126</v>
      </c>
      <c r="N1933" s="3" t="s">
        <v>689</v>
      </c>
      <c r="P1933" s="3" t="s">
        <v>69</v>
      </c>
      <c r="R1933" s="3" t="s">
        <v>19986</v>
      </c>
      <c r="S1933" s="4">
        <v>6</v>
      </c>
      <c r="T1933" s="4">
        <v>6</v>
      </c>
      <c r="U1933" s="5" t="s">
        <v>1778</v>
      </c>
      <c r="V1933" s="5" t="s">
        <v>1778</v>
      </c>
      <c r="W1933" s="5" t="s">
        <v>72</v>
      </c>
      <c r="X1933" s="5" t="s">
        <v>72</v>
      </c>
      <c r="Y1933" s="4">
        <v>462</v>
      </c>
      <c r="Z1933" s="4">
        <v>17</v>
      </c>
      <c r="AA1933" s="4">
        <v>20</v>
      </c>
      <c r="AB1933" s="4">
        <v>2</v>
      </c>
      <c r="AC1933" s="4">
        <v>3</v>
      </c>
      <c r="AD1933" s="4">
        <v>102</v>
      </c>
      <c r="AE1933" s="4">
        <v>105</v>
      </c>
      <c r="AF1933" s="4">
        <v>1</v>
      </c>
      <c r="AG1933" s="4">
        <v>2</v>
      </c>
      <c r="AH1933" s="4">
        <v>93</v>
      </c>
      <c r="AI1933" s="4">
        <v>93</v>
      </c>
      <c r="AJ1933" s="4">
        <v>12</v>
      </c>
      <c r="AK1933" s="4">
        <v>15</v>
      </c>
      <c r="AL1933" s="4">
        <v>51</v>
      </c>
      <c r="AM1933" s="4">
        <v>51</v>
      </c>
      <c r="AN1933" s="4">
        <v>0</v>
      </c>
      <c r="AO1933" s="4">
        <v>0</v>
      </c>
      <c r="AP1933" s="4">
        <v>14</v>
      </c>
      <c r="AQ1933" s="4">
        <v>15</v>
      </c>
      <c r="AR1933" s="3" t="s">
        <v>64</v>
      </c>
      <c r="AS1933" s="3" t="s">
        <v>64</v>
      </c>
      <c r="AT1933" s="3" t="s">
        <v>64</v>
      </c>
      <c r="AV1933" s="6" t="str">
        <f>HYPERLINK("http://mcgill.on.worldcat.org/oclc/23655216","Catalog Record")</f>
        <v>Catalog Record</v>
      </c>
      <c r="AW1933" s="6" t="str">
        <f>HYPERLINK("http://www.worldcat.org/oclc/23655216","WorldCat Record")</f>
        <v>WorldCat Record</v>
      </c>
      <c r="AX1933" s="3" t="s">
        <v>20127</v>
      </c>
      <c r="AY1933" s="3" t="s">
        <v>20128</v>
      </c>
      <c r="AZ1933" s="3" t="s">
        <v>20129</v>
      </c>
      <c r="BA1933" s="3" t="s">
        <v>20129</v>
      </c>
      <c r="BB1933" s="3" t="s">
        <v>20130</v>
      </c>
      <c r="BC1933" s="3" t="s">
        <v>78</v>
      </c>
      <c r="BD1933" s="3" t="s">
        <v>79</v>
      </c>
      <c r="BE1933" s="3" t="s">
        <v>20131</v>
      </c>
      <c r="BF1933" s="3" t="s">
        <v>20130</v>
      </c>
      <c r="BG1933" s="3" t="s">
        <v>20132</v>
      </c>
    </row>
    <row r="1934" spans="1:59" ht="58" x14ac:dyDescent="0.35">
      <c r="A1934" s="2" t="s">
        <v>59</v>
      </c>
      <c r="B1934" s="2" t="s">
        <v>94</v>
      </c>
      <c r="C1934" s="2" t="s">
        <v>20133</v>
      </c>
      <c r="D1934" s="2" t="s">
        <v>20134</v>
      </c>
      <c r="E1934" s="2" t="s">
        <v>20135</v>
      </c>
      <c r="G1934" s="3" t="s">
        <v>64</v>
      </c>
      <c r="I1934" s="3" t="s">
        <v>64</v>
      </c>
      <c r="J1934" s="3" t="s">
        <v>64</v>
      </c>
      <c r="K1934" s="3" t="s">
        <v>65</v>
      </c>
      <c r="M1934" s="2" t="s">
        <v>5077</v>
      </c>
      <c r="N1934" s="3" t="s">
        <v>328</v>
      </c>
      <c r="P1934" s="3" t="s">
        <v>69</v>
      </c>
      <c r="Q1934" s="2" t="s">
        <v>20136</v>
      </c>
      <c r="R1934" s="3" t="s">
        <v>19986</v>
      </c>
      <c r="S1934" s="4">
        <v>0</v>
      </c>
      <c r="T1934" s="4">
        <v>0</v>
      </c>
      <c r="W1934" s="5" t="s">
        <v>72</v>
      </c>
      <c r="X1934" s="5" t="s">
        <v>72</v>
      </c>
      <c r="Y1934" s="4">
        <v>84</v>
      </c>
      <c r="Z1934" s="4">
        <v>5</v>
      </c>
      <c r="AA1934" s="4">
        <v>8</v>
      </c>
      <c r="AB1934" s="4">
        <v>1</v>
      </c>
      <c r="AC1934" s="4">
        <v>1</v>
      </c>
      <c r="AD1934" s="4">
        <v>48</v>
      </c>
      <c r="AE1934" s="4">
        <v>55</v>
      </c>
      <c r="AF1934" s="4">
        <v>0</v>
      </c>
      <c r="AG1934" s="4">
        <v>0</v>
      </c>
      <c r="AH1934" s="4">
        <v>47</v>
      </c>
      <c r="AI1934" s="4">
        <v>53</v>
      </c>
      <c r="AJ1934" s="4">
        <v>3</v>
      </c>
      <c r="AK1934" s="4">
        <v>6</v>
      </c>
      <c r="AL1934" s="4">
        <v>27</v>
      </c>
      <c r="AM1934" s="4">
        <v>29</v>
      </c>
      <c r="AN1934" s="4">
        <v>0</v>
      </c>
      <c r="AO1934" s="4">
        <v>0</v>
      </c>
      <c r="AP1934" s="4">
        <v>3</v>
      </c>
      <c r="AQ1934" s="4">
        <v>6</v>
      </c>
      <c r="AR1934" s="3" t="s">
        <v>64</v>
      </c>
      <c r="AS1934" s="3" t="s">
        <v>64</v>
      </c>
      <c r="AT1934" s="3" t="s">
        <v>64</v>
      </c>
      <c r="AV1934" s="6" t="str">
        <f>HYPERLINK("http://mcgill.on.worldcat.org/oclc/733546839","Catalog Record")</f>
        <v>Catalog Record</v>
      </c>
      <c r="AW1934" s="6" t="str">
        <f>HYPERLINK("http://www.worldcat.org/oclc/733546839","WorldCat Record")</f>
        <v>WorldCat Record</v>
      </c>
      <c r="AX1934" s="3" t="s">
        <v>20137</v>
      </c>
      <c r="AY1934" s="3" t="s">
        <v>20138</v>
      </c>
      <c r="AZ1934" s="3" t="s">
        <v>20139</v>
      </c>
      <c r="BA1934" s="3" t="s">
        <v>20139</v>
      </c>
      <c r="BB1934" s="3" t="s">
        <v>20140</v>
      </c>
      <c r="BC1934" s="3" t="s">
        <v>78</v>
      </c>
      <c r="BD1934" s="3" t="s">
        <v>79</v>
      </c>
      <c r="BE1934" s="3" t="s">
        <v>20141</v>
      </c>
      <c r="BF1934" s="3" t="s">
        <v>20140</v>
      </c>
      <c r="BG1934" s="3" t="s">
        <v>20142</v>
      </c>
    </row>
    <row r="1935" spans="1:59" ht="87" x14ac:dyDescent="0.35">
      <c r="A1935" s="2" t="s">
        <v>59</v>
      </c>
      <c r="B1935" s="2" t="s">
        <v>94</v>
      </c>
      <c r="C1935" s="2" t="s">
        <v>20143</v>
      </c>
      <c r="D1935" s="2" t="s">
        <v>20144</v>
      </c>
      <c r="E1935" s="2" t="s">
        <v>20145</v>
      </c>
      <c r="G1935" s="3" t="s">
        <v>64</v>
      </c>
      <c r="I1935" s="3" t="s">
        <v>64</v>
      </c>
      <c r="J1935" s="3" t="s">
        <v>64</v>
      </c>
      <c r="K1935" s="3" t="s">
        <v>65</v>
      </c>
      <c r="L1935" s="2" t="s">
        <v>20146</v>
      </c>
      <c r="M1935" s="2" t="s">
        <v>20147</v>
      </c>
      <c r="N1935" s="3" t="s">
        <v>175</v>
      </c>
      <c r="P1935" s="3" t="s">
        <v>69</v>
      </c>
      <c r="R1935" s="3" t="s">
        <v>19986</v>
      </c>
      <c r="S1935" s="4">
        <v>0</v>
      </c>
      <c r="T1935" s="4">
        <v>0</v>
      </c>
      <c r="W1935" s="5" t="s">
        <v>72</v>
      </c>
      <c r="X1935" s="5" t="s">
        <v>72</v>
      </c>
      <c r="Y1935" s="4">
        <v>62</v>
      </c>
      <c r="Z1935" s="4">
        <v>2</v>
      </c>
      <c r="AA1935" s="4">
        <v>5</v>
      </c>
      <c r="AB1935" s="4">
        <v>1</v>
      </c>
      <c r="AC1935" s="4">
        <v>1</v>
      </c>
      <c r="AD1935" s="4">
        <v>41</v>
      </c>
      <c r="AE1935" s="4">
        <v>49</v>
      </c>
      <c r="AF1935" s="4">
        <v>0</v>
      </c>
      <c r="AG1935" s="4">
        <v>0</v>
      </c>
      <c r="AH1935" s="4">
        <v>40</v>
      </c>
      <c r="AI1935" s="4">
        <v>47</v>
      </c>
      <c r="AJ1935" s="4">
        <v>1</v>
      </c>
      <c r="AK1935" s="4">
        <v>4</v>
      </c>
      <c r="AL1935" s="4">
        <v>24</v>
      </c>
      <c r="AM1935" s="4">
        <v>28</v>
      </c>
      <c r="AN1935" s="4">
        <v>0</v>
      </c>
      <c r="AO1935" s="4">
        <v>0</v>
      </c>
      <c r="AP1935" s="4">
        <v>1</v>
      </c>
      <c r="AQ1935" s="4">
        <v>4</v>
      </c>
      <c r="AR1935" s="3" t="s">
        <v>64</v>
      </c>
      <c r="AS1935" s="3" t="s">
        <v>64</v>
      </c>
      <c r="AT1935" s="3" t="s">
        <v>64</v>
      </c>
      <c r="AV1935" s="6" t="str">
        <f>HYPERLINK("http://mcgill.on.worldcat.org/oclc/881208126","Catalog Record")</f>
        <v>Catalog Record</v>
      </c>
      <c r="AW1935" s="6" t="str">
        <f>HYPERLINK("http://www.worldcat.org/oclc/881208126","WorldCat Record")</f>
        <v>WorldCat Record</v>
      </c>
      <c r="AX1935" s="3" t="s">
        <v>20148</v>
      </c>
      <c r="AY1935" s="3" t="s">
        <v>20149</v>
      </c>
      <c r="AZ1935" s="3" t="s">
        <v>20150</v>
      </c>
      <c r="BA1935" s="3" t="s">
        <v>20150</v>
      </c>
      <c r="BB1935" s="3" t="s">
        <v>20151</v>
      </c>
      <c r="BC1935" s="3" t="s">
        <v>78</v>
      </c>
      <c r="BD1935" s="3" t="s">
        <v>79</v>
      </c>
      <c r="BE1935" s="3" t="s">
        <v>20152</v>
      </c>
      <c r="BF1935" s="3" t="s">
        <v>20151</v>
      </c>
      <c r="BG1935" s="3" t="s">
        <v>20153</v>
      </c>
    </row>
    <row r="1936" spans="1:59" ht="58" x14ac:dyDescent="0.35">
      <c r="A1936" s="2" t="s">
        <v>59</v>
      </c>
      <c r="B1936" s="2" t="s">
        <v>94</v>
      </c>
      <c r="C1936" s="2" t="s">
        <v>20154</v>
      </c>
      <c r="D1936" s="2" t="s">
        <v>20155</v>
      </c>
      <c r="E1936" s="2" t="s">
        <v>20156</v>
      </c>
      <c r="G1936" s="3" t="s">
        <v>64</v>
      </c>
      <c r="I1936" s="3" t="s">
        <v>64</v>
      </c>
      <c r="J1936" s="3" t="s">
        <v>64</v>
      </c>
      <c r="K1936" s="3" t="s">
        <v>65</v>
      </c>
      <c r="L1936" s="2" t="s">
        <v>20146</v>
      </c>
      <c r="M1936" s="2" t="s">
        <v>20157</v>
      </c>
      <c r="N1936" s="3" t="s">
        <v>377</v>
      </c>
      <c r="P1936" s="3" t="s">
        <v>69</v>
      </c>
      <c r="Q1936" s="2" t="s">
        <v>20158</v>
      </c>
      <c r="R1936" s="3" t="s">
        <v>19986</v>
      </c>
      <c r="S1936" s="4">
        <v>0</v>
      </c>
      <c r="T1936" s="4">
        <v>0</v>
      </c>
      <c r="W1936" s="5" t="s">
        <v>72</v>
      </c>
      <c r="X1936" s="5" t="s">
        <v>72</v>
      </c>
      <c r="Y1936" s="4">
        <v>77</v>
      </c>
      <c r="Z1936" s="4">
        <v>3</v>
      </c>
      <c r="AA1936" s="4">
        <v>67</v>
      </c>
      <c r="AB1936" s="4">
        <v>1</v>
      </c>
      <c r="AC1936" s="4">
        <v>8</v>
      </c>
      <c r="AD1936" s="4">
        <v>43</v>
      </c>
      <c r="AE1936" s="4">
        <v>109</v>
      </c>
      <c r="AF1936" s="4">
        <v>0</v>
      </c>
      <c r="AG1936" s="4">
        <v>2</v>
      </c>
      <c r="AH1936" s="4">
        <v>42</v>
      </c>
      <c r="AI1936" s="4">
        <v>83</v>
      </c>
      <c r="AJ1936" s="4">
        <v>2</v>
      </c>
      <c r="AK1936" s="4">
        <v>15</v>
      </c>
      <c r="AL1936" s="4">
        <v>24</v>
      </c>
      <c r="AM1936" s="4">
        <v>45</v>
      </c>
      <c r="AN1936" s="4">
        <v>0</v>
      </c>
      <c r="AO1936" s="4">
        <v>0</v>
      </c>
      <c r="AP1936" s="4">
        <v>2</v>
      </c>
      <c r="AQ1936" s="4">
        <v>31</v>
      </c>
      <c r="AR1936" s="3" t="s">
        <v>64</v>
      </c>
      <c r="AS1936" s="3" t="s">
        <v>64</v>
      </c>
      <c r="AT1936" s="3" t="s">
        <v>64</v>
      </c>
      <c r="AV1936" s="6" t="str">
        <f>HYPERLINK("http://mcgill.on.worldcat.org/oclc/806456441","Catalog Record")</f>
        <v>Catalog Record</v>
      </c>
      <c r="AW1936" s="6" t="str">
        <f>HYPERLINK("http://www.worldcat.org/oclc/806456441","WorldCat Record")</f>
        <v>WorldCat Record</v>
      </c>
      <c r="AX1936" s="3" t="s">
        <v>20159</v>
      </c>
      <c r="AY1936" s="3" t="s">
        <v>20160</v>
      </c>
      <c r="AZ1936" s="3" t="s">
        <v>20161</v>
      </c>
      <c r="BA1936" s="3" t="s">
        <v>20161</v>
      </c>
      <c r="BB1936" s="3" t="s">
        <v>20162</v>
      </c>
      <c r="BC1936" s="3" t="s">
        <v>78</v>
      </c>
      <c r="BD1936" s="3" t="s">
        <v>79</v>
      </c>
      <c r="BE1936" s="3" t="s">
        <v>20163</v>
      </c>
      <c r="BF1936" s="3" t="s">
        <v>20162</v>
      </c>
      <c r="BG1936" s="3" t="s">
        <v>20164</v>
      </c>
    </row>
    <row r="1937" spans="1:59" ht="101.5" x14ac:dyDescent="0.35">
      <c r="A1937" s="2" t="s">
        <v>59</v>
      </c>
      <c r="B1937" s="2" t="s">
        <v>94</v>
      </c>
      <c r="C1937" s="2" t="s">
        <v>20165</v>
      </c>
      <c r="D1937" s="2" t="s">
        <v>20166</v>
      </c>
      <c r="E1937" s="2" t="s">
        <v>20167</v>
      </c>
      <c r="G1937" s="3" t="s">
        <v>64</v>
      </c>
      <c r="I1937" s="3" t="s">
        <v>64</v>
      </c>
      <c r="J1937" s="3" t="s">
        <v>64</v>
      </c>
      <c r="K1937" s="3" t="s">
        <v>65</v>
      </c>
      <c r="L1937" s="2" t="s">
        <v>20168</v>
      </c>
      <c r="M1937" s="2" t="s">
        <v>20169</v>
      </c>
      <c r="N1937" s="3" t="s">
        <v>377</v>
      </c>
      <c r="P1937" s="3" t="s">
        <v>69</v>
      </c>
      <c r="R1937" s="3" t="s">
        <v>19986</v>
      </c>
      <c r="S1937" s="4">
        <v>0</v>
      </c>
      <c r="T1937" s="4">
        <v>0</v>
      </c>
      <c r="W1937" s="5" t="s">
        <v>72</v>
      </c>
      <c r="X1937" s="5" t="s">
        <v>72</v>
      </c>
      <c r="Y1937" s="4">
        <v>90</v>
      </c>
      <c r="Z1937" s="4">
        <v>5</v>
      </c>
      <c r="AA1937" s="4">
        <v>34</v>
      </c>
      <c r="AB1937" s="4">
        <v>1</v>
      </c>
      <c r="AC1937" s="4">
        <v>6</v>
      </c>
      <c r="AD1937" s="4">
        <v>48</v>
      </c>
      <c r="AE1937" s="4">
        <v>98</v>
      </c>
      <c r="AF1937" s="4">
        <v>0</v>
      </c>
      <c r="AG1937" s="4">
        <v>2</v>
      </c>
      <c r="AH1937" s="4">
        <v>47</v>
      </c>
      <c r="AI1937" s="4">
        <v>81</v>
      </c>
      <c r="AJ1937" s="4">
        <v>3</v>
      </c>
      <c r="AK1937" s="4">
        <v>14</v>
      </c>
      <c r="AL1937" s="4">
        <v>27</v>
      </c>
      <c r="AM1937" s="4">
        <v>44</v>
      </c>
      <c r="AN1937" s="4">
        <v>0</v>
      </c>
      <c r="AO1937" s="4">
        <v>0</v>
      </c>
      <c r="AP1937" s="4">
        <v>3</v>
      </c>
      <c r="AQ1937" s="4">
        <v>24</v>
      </c>
      <c r="AR1937" s="3" t="s">
        <v>64</v>
      </c>
      <c r="AS1937" s="3" t="s">
        <v>64</v>
      </c>
      <c r="AT1937" s="3" t="s">
        <v>64</v>
      </c>
      <c r="AV1937" s="6" t="str">
        <f>HYPERLINK("http://mcgill.on.worldcat.org/oclc/818327364","Catalog Record")</f>
        <v>Catalog Record</v>
      </c>
      <c r="AW1937" s="6" t="str">
        <f>HYPERLINK("http://www.worldcat.org/oclc/818327364","WorldCat Record")</f>
        <v>WorldCat Record</v>
      </c>
      <c r="AX1937" s="3" t="s">
        <v>20170</v>
      </c>
      <c r="AY1937" s="3" t="s">
        <v>20171</v>
      </c>
      <c r="AZ1937" s="3" t="s">
        <v>20172</v>
      </c>
      <c r="BA1937" s="3" t="s">
        <v>20172</v>
      </c>
      <c r="BB1937" s="3" t="s">
        <v>20173</v>
      </c>
      <c r="BC1937" s="3" t="s">
        <v>78</v>
      </c>
      <c r="BD1937" s="3" t="s">
        <v>79</v>
      </c>
      <c r="BE1937" s="3" t="s">
        <v>20174</v>
      </c>
      <c r="BF1937" s="3" t="s">
        <v>20173</v>
      </c>
      <c r="BG1937" s="3" t="s">
        <v>20175</v>
      </c>
    </row>
    <row r="1938" spans="1:59" ht="58" x14ac:dyDescent="0.35">
      <c r="A1938" s="2" t="s">
        <v>59</v>
      </c>
      <c r="B1938" s="2" t="s">
        <v>94</v>
      </c>
      <c r="C1938" s="2" t="s">
        <v>20176</v>
      </c>
      <c r="D1938" s="2" t="s">
        <v>20177</v>
      </c>
      <c r="E1938" s="2" t="s">
        <v>20178</v>
      </c>
      <c r="G1938" s="3" t="s">
        <v>64</v>
      </c>
      <c r="I1938" s="3" t="s">
        <v>64</v>
      </c>
      <c r="J1938" s="3" t="s">
        <v>64</v>
      </c>
      <c r="K1938" s="3" t="s">
        <v>65</v>
      </c>
      <c r="L1938" s="2" t="s">
        <v>20179</v>
      </c>
      <c r="M1938" s="2" t="s">
        <v>5066</v>
      </c>
      <c r="N1938" s="3" t="s">
        <v>175</v>
      </c>
      <c r="P1938" s="3" t="s">
        <v>69</v>
      </c>
      <c r="R1938" s="3" t="s">
        <v>19986</v>
      </c>
      <c r="S1938" s="4">
        <v>0</v>
      </c>
      <c r="T1938" s="4">
        <v>0</v>
      </c>
      <c r="W1938" s="5" t="s">
        <v>72</v>
      </c>
      <c r="X1938" s="5" t="s">
        <v>72</v>
      </c>
      <c r="Y1938" s="4">
        <v>49</v>
      </c>
      <c r="Z1938" s="4">
        <v>3</v>
      </c>
      <c r="AA1938" s="4">
        <v>32</v>
      </c>
      <c r="AB1938" s="4">
        <v>1</v>
      </c>
      <c r="AC1938" s="4">
        <v>6</v>
      </c>
      <c r="AD1938" s="4">
        <v>33</v>
      </c>
      <c r="AE1938" s="4">
        <v>89</v>
      </c>
      <c r="AF1938" s="4">
        <v>0</v>
      </c>
      <c r="AG1938" s="4">
        <v>2</v>
      </c>
      <c r="AH1938" s="4">
        <v>32</v>
      </c>
      <c r="AI1938" s="4">
        <v>72</v>
      </c>
      <c r="AJ1938" s="4">
        <v>2</v>
      </c>
      <c r="AK1938" s="4">
        <v>13</v>
      </c>
      <c r="AL1938" s="4">
        <v>19</v>
      </c>
      <c r="AM1938" s="4">
        <v>40</v>
      </c>
      <c r="AN1938" s="4">
        <v>0</v>
      </c>
      <c r="AO1938" s="4">
        <v>0</v>
      </c>
      <c r="AP1938" s="4">
        <v>2</v>
      </c>
      <c r="AQ1938" s="4">
        <v>23</v>
      </c>
      <c r="AR1938" s="3" t="s">
        <v>64</v>
      </c>
      <c r="AS1938" s="3" t="s">
        <v>64</v>
      </c>
      <c r="AT1938" s="3" t="s">
        <v>64</v>
      </c>
      <c r="AV1938" s="6" t="str">
        <f>HYPERLINK("http://mcgill.on.worldcat.org/oclc/875921124","Catalog Record")</f>
        <v>Catalog Record</v>
      </c>
      <c r="AW1938" s="6" t="str">
        <f>HYPERLINK("http://www.worldcat.org/oclc/875921124","WorldCat Record")</f>
        <v>WorldCat Record</v>
      </c>
      <c r="AX1938" s="3" t="s">
        <v>20180</v>
      </c>
      <c r="AY1938" s="3" t="s">
        <v>20181</v>
      </c>
      <c r="AZ1938" s="3" t="s">
        <v>20182</v>
      </c>
      <c r="BA1938" s="3" t="s">
        <v>20182</v>
      </c>
      <c r="BB1938" s="3" t="s">
        <v>20183</v>
      </c>
      <c r="BC1938" s="3" t="s">
        <v>78</v>
      </c>
      <c r="BD1938" s="3" t="s">
        <v>79</v>
      </c>
      <c r="BE1938" s="3" t="s">
        <v>20184</v>
      </c>
      <c r="BF1938" s="3" t="s">
        <v>20183</v>
      </c>
      <c r="BG1938" s="3" t="s">
        <v>20185</v>
      </c>
    </row>
    <row r="1939" spans="1:59" ht="58" x14ac:dyDescent="0.35">
      <c r="A1939" s="2" t="s">
        <v>59</v>
      </c>
      <c r="B1939" s="2" t="s">
        <v>94</v>
      </c>
      <c r="C1939" s="2" t="s">
        <v>20186</v>
      </c>
      <c r="D1939" s="2" t="s">
        <v>20187</v>
      </c>
      <c r="E1939" s="2" t="s">
        <v>20188</v>
      </c>
      <c r="F1939" s="3" t="s">
        <v>559</v>
      </c>
      <c r="G1939" s="3" t="s">
        <v>73</v>
      </c>
      <c r="I1939" s="3" t="s">
        <v>64</v>
      </c>
      <c r="J1939" s="3" t="s">
        <v>64</v>
      </c>
      <c r="K1939" s="3" t="s">
        <v>65</v>
      </c>
      <c r="M1939" s="2" t="s">
        <v>20189</v>
      </c>
      <c r="N1939" s="3" t="s">
        <v>340</v>
      </c>
      <c r="P1939" s="3" t="s">
        <v>69</v>
      </c>
      <c r="R1939" s="3" t="s">
        <v>19986</v>
      </c>
      <c r="S1939" s="4">
        <v>2</v>
      </c>
      <c r="T1939" s="4">
        <v>7</v>
      </c>
      <c r="U1939" s="5" t="s">
        <v>12399</v>
      </c>
      <c r="V1939" s="5" t="s">
        <v>12399</v>
      </c>
      <c r="W1939" s="5" t="s">
        <v>72</v>
      </c>
      <c r="X1939" s="5" t="s">
        <v>72</v>
      </c>
      <c r="Y1939" s="4">
        <v>176</v>
      </c>
      <c r="Z1939" s="4">
        <v>7</v>
      </c>
      <c r="AA1939" s="4">
        <v>7</v>
      </c>
      <c r="AB1939" s="4">
        <v>1</v>
      </c>
      <c r="AC1939" s="4">
        <v>1</v>
      </c>
      <c r="AD1939" s="4">
        <v>74</v>
      </c>
      <c r="AE1939" s="4">
        <v>74</v>
      </c>
      <c r="AF1939" s="4">
        <v>0</v>
      </c>
      <c r="AG1939" s="4">
        <v>0</v>
      </c>
      <c r="AH1939" s="4">
        <v>69</v>
      </c>
      <c r="AI1939" s="4">
        <v>69</v>
      </c>
      <c r="AJ1939" s="4">
        <v>4</v>
      </c>
      <c r="AK1939" s="4">
        <v>4</v>
      </c>
      <c r="AL1939" s="4">
        <v>44</v>
      </c>
      <c r="AM1939" s="4">
        <v>44</v>
      </c>
      <c r="AN1939" s="4">
        <v>0</v>
      </c>
      <c r="AO1939" s="4">
        <v>0</v>
      </c>
      <c r="AP1939" s="4">
        <v>5</v>
      </c>
      <c r="AQ1939" s="4">
        <v>5</v>
      </c>
      <c r="AR1939" s="3" t="s">
        <v>64</v>
      </c>
      <c r="AS1939" s="3" t="s">
        <v>64</v>
      </c>
      <c r="AT1939" s="3" t="s">
        <v>73</v>
      </c>
      <c r="AU1939" s="6" t="str">
        <f>HYPERLINK("http://catalog.hathitrust.org/Record/004007619","HathiTrust Record")</f>
        <v>HathiTrust Record</v>
      </c>
      <c r="AV1939" s="6" t="str">
        <f>HYPERLINK("http://mcgill.on.worldcat.org/oclc/38144384","Catalog Record")</f>
        <v>Catalog Record</v>
      </c>
      <c r="AW1939" s="6" t="str">
        <f>HYPERLINK("http://www.worldcat.org/oclc/38144384","WorldCat Record")</f>
        <v>WorldCat Record</v>
      </c>
      <c r="AX1939" s="3" t="s">
        <v>20190</v>
      </c>
      <c r="AY1939" s="3" t="s">
        <v>20191</v>
      </c>
      <c r="AZ1939" s="3" t="s">
        <v>20192</v>
      </c>
      <c r="BA1939" s="3" t="s">
        <v>20192</v>
      </c>
      <c r="BB1939" s="3" t="s">
        <v>20193</v>
      </c>
      <c r="BC1939" s="3" t="s">
        <v>78</v>
      </c>
      <c r="BD1939" s="3" t="s">
        <v>79</v>
      </c>
      <c r="BE1939" s="3" t="s">
        <v>20194</v>
      </c>
      <c r="BF1939" s="3" t="s">
        <v>20193</v>
      </c>
      <c r="BG1939" s="3" t="s">
        <v>20195</v>
      </c>
    </row>
    <row r="1940" spans="1:59" ht="58" x14ac:dyDescent="0.35">
      <c r="A1940" s="2" t="s">
        <v>59</v>
      </c>
      <c r="B1940" s="2" t="s">
        <v>94</v>
      </c>
      <c r="C1940" s="2" t="s">
        <v>20186</v>
      </c>
      <c r="D1940" s="2" t="s">
        <v>20187</v>
      </c>
      <c r="E1940" s="2" t="s">
        <v>20188</v>
      </c>
      <c r="F1940" s="3" t="s">
        <v>550</v>
      </c>
      <c r="G1940" s="3" t="s">
        <v>73</v>
      </c>
      <c r="I1940" s="3" t="s">
        <v>64</v>
      </c>
      <c r="J1940" s="3" t="s">
        <v>64</v>
      </c>
      <c r="K1940" s="3" t="s">
        <v>65</v>
      </c>
      <c r="M1940" s="2" t="s">
        <v>20189</v>
      </c>
      <c r="N1940" s="3" t="s">
        <v>340</v>
      </c>
      <c r="P1940" s="3" t="s">
        <v>69</v>
      </c>
      <c r="R1940" s="3" t="s">
        <v>19986</v>
      </c>
      <c r="S1940" s="4">
        <v>5</v>
      </c>
      <c r="T1940" s="4">
        <v>7</v>
      </c>
      <c r="U1940" s="5" t="s">
        <v>20196</v>
      </c>
      <c r="V1940" s="5" t="s">
        <v>12399</v>
      </c>
      <c r="W1940" s="5" t="s">
        <v>72</v>
      </c>
      <c r="X1940" s="5" t="s">
        <v>72</v>
      </c>
      <c r="Y1940" s="4">
        <v>176</v>
      </c>
      <c r="Z1940" s="4">
        <v>7</v>
      </c>
      <c r="AA1940" s="4">
        <v>7</v>
      </c>
      <c r="AB1940" s="4">
        <v>1</v>
      </c>
      <c r="AC1940" s="4">
        <v>1</v>
      </c>
      <c r="AD1940" s="4">
        <v>74</v>
      </c>
      <c r="AE1940" s="4">
        <v>74</v>
      </c>
      <c r="AF1940" s="4">
        <v>0</v>
      </c>
      <c r="AG1940" s="4">
        <v>0</v>
      </c>
      <c r="AH1940" s="4">
        <v>69</v>
      </c>
      <c r="AI1940" s="4">
        <v>69</v>
      </c>
      <c r="AJ1940" s="4">
        <v>4</v>
      </c>
      <c r="AK1940" s="4">
        <v>4</v>
      </c>
      <c r="AL1940" s="4">
        <v>44</v>
      </c>
      <c r="AM1940" s="4">
        <v>44</v>
      </c>
      <c r="AN1940" s="4">
        <v>0</v>
      </c>
      <c r="AO1940" s="4">
        <v>0</v>
      </c>
      <c r="AP1940" s="4">
        <v>5</v>
      </c>
      <c r="AQ1940" s="4">
        <v>5</v>
      </c>
      <c r="AR1940" s="3" t="s">
        <v>64</v>
      </c>
      <c r="AS1940" s="3" t="s">
        <v>64</v>
      </c>
      <c r="AT1940" s="3" t="s">
        <v>73</v>
      </c>
      <c r="AU1940" s="6" t="str">
        <f>HYPERLINK("http://catalog.hathitrust.org/Record/004007619","HathiTrust Record")</f>
        <v>HathiTrust Record</v>
      </c>
      <c r="AV1940" s="6" t="str">
        <f>HYPERLINK("http://mcgill.on.worldcat.org/oclc/38144384","Catalog Record")</f>
        <v>Catalog Record</v>
      </c>
      <c r="AW1940" s="6" t="str">
        <f>HYPERLINK("http://www.worldcat.org/oclc/38144384","WorldCat Record")</f>
        <v>WorldCat Record</v>
      </c>
      <c r="AX1940" s="3" t="s">
        <v>20190</v>
      </c>
      <c r="AY1940" s="3" t="s">
        <v>20191</v>
      </c>
      <c r="AZ1940" s="3" t="s">
        <v>20192</v>
      </c>
      <c r="BA1940" s="3" t="s">
        <v>20192</v>
      </c>
      <c r="BB1940" s="3" t="s">
        <v>20197</v>
      </c>
      <c r="BC1940" s="3" t="s">
        <v>78</v>
      </c>
      <c r="BD1940" s="3" t="s">
        <v>79</v>
      </c>
      <c r="BE1940" s="3" t="s">
        <v>20194</v>
      </c>
      <c r="BF1940" s="3" t="s">
        <v>20197</v>
      </c>
      <c r="BG1940" s="3" t="s">
        <v>20198</v>
      </c>
    </row>
    <row r="1941" spans="1:59" ht="58" x14ac:dyDescent="0.35">
      <c r="A1941" s="2" t="s">
        <v>59</v>
      </c>
      <c r="B1941" s="2" t="s">
        <v>94</v>
      </c>
      <c r="C1941" s="2" t="s">
        <v>20199</v>
      </c>
      <c r="D1941" s="2" t="s">
        <v>20200</v>
      </c>
      <c r="E1941" s="2" t="s">
        <v>20201</v>
      </c>
      <c r="G1941" s="3" t="s">
        <v>64</v>
      </c>
      <c r="I1941" s="3" t="s">
        <v>64</v>
      </c>
      <c r="J1941" s="3" t="s">
        <v>64</v>
      </c>
      <c r="K1941" s="3" t="s">
        <v>65</v>
      </c>
      <c r="L1941" s="2" t="s">
        <v>20202</v>
      </c>
      <c r="M1941" s="2" t="s">
        <v>20203</v>
      </c>
      <c r="N1941" s="3" t="s">
        <v>1813</v>
      </c>
      <c r="P1941" s="3" t="s">
        <v>69</v>
      </c>
      <c r="Q1941" s="2" t="s">
        <v>20204</v>
      </c>
      <c r="R1941" s="3" t="s">
        <v>19986</v>
      </c>
      <c r="S1941" s="4">
        <v>0</v>
      </c>
      <c r="T1941" s="4">
        <v>0</v>
      </c>
      <c r="W1941" s="5" t="s">
        <v>72</v>
      </c>
      <c r="X1941" s="5" t="s">
        <v>72</v>
      </c>
      <c r="Y1941" s="4">
        <v>32</v>
      </c>
      <c r="Z1941" s="4">
        <v>18</v>
      </c>
      <c r="AA1941" s="4">
        <v>38</v>
      </c>
      <c r="AB1941" s="4">
        <v>1</v>
      </c>
      <c r="AC1941" s="4">
        <v>6</v>
      </c>
      <c r="AD1941" s="4">
        <v>14</v>
      </c>
      <c r="AE1941" s="4">
        <v>27</v>
      </c>
      <c r="AF1941" s="4">
        <v>0</v>
      </c>
      <c r="AG1941" s="4">
        <v>3</v>
      </c>
      <c r="AH1941" s="4">
        <v>7</v>
      </c>
      <c r="AI1941" s="4">
        <v>11</v>
      </c>
      <c r="AJ1941" s="4">
        <v>6</v>
      </c>
      <c r="AK1941" s="4">
        <v>11</v>
      </c>
      <c r="AL1941" s="4">
        <v>4</v>
      </c>
      <c r="AM1941" s="4">
        <v>4</v>
      </c>
      <c r="AN1941" s="4">
        <v>0</v>
      </c>
      <c r="AO1941" s="4">
        <v>0</v>
      </c>
      <c r="AP1941" s="4">
        <v>6</v>
      </c>
      <c r="AQ1941" s="4">
        <v>16</v>
      </c>
      <c r="AR1941" s="3" t="s">
        <v>73</v>
      </c>
      <c r="AS1941" s="3" t="s">
        <v>64</v>
      </c>
      <c r="AT1941" s="3" t="s">
        <v>64</v>
      </c>
      <c r="AV1941" s="6" t="str">
        <f>HYPERLINK("http://mcgill.on.worldcat.org/oclc/957030747","Catalog Record")</f>
        <v>Catalog Record</v>
      </c>
      <c r="AW1941" s="6" t="str">
        <f>HYPERLINK("http://www.worldcat.org/oclc/957030747","WorldCat Record")</f>
        <v>WorldCat Record</v>
      </c>
      <c r="AX1941" s="3" t="s">
        <v>20205</v>
      </c>
      <c r="AY1941" s="3" t="s">
        <v>20206</v>
      </c>
      <c r="AZ1941" s="3" t="s">
        <v>20207</v>
      </c>
      <c r="BA1941" s="3" t="s">
        <v>20207</v>
      </c>
      <c r="BB1941" s="3" t="s">
        <v>20208</v>
      </c>
      <c r="BC1941" s="3" t="s">
        <v>78</v>
      </c>
      <c r="BD1941" s="3" t="s">
        <v>79</v>
      </c>
      <c r="BE1941" s="3" t="s">
        <v>20209</v>
      </c>
      <c r="BF1941" s="3" t="s">
        <v>20208</v>
      </c>
      <c r="BG1941" s="3" t="s">
        <v>20210</v>
      </c>
    </row>
    <row r="1942" spans="1:59" ht="58" x14ac:dyDescent="0.35">
      <c r="A1942" s="2" t="s">
        <v>59</v>
      </c>
      <c r="B1942" s="2" t="s">
        <v>94</v>
      </c>
      <c r="C1942" s="2" t="s">
        <v>20211</v>
      </c>
      <c r="D1942" s="2" t="s">
        <v>20212</v>
      </c>
      <c r="E1942" s="2" t="s">
        <v>20213</v>
      </c>
      <c r="G1942" s="3" t="s">
        <v>64</v>
      </c>
      <c r="I1942" s="3" t="s">
        <v>64</v>
      </c>
      <c r="J1942" s="3" t="s">
        <v>64</v>
      </c>
      <c r="K1942" s="3" t="s">
        <v>65</v>
      </c>
      <c r="L1942" s="2" t="s">
        <v>20214</v>
      </c>
      <c r="M1942" s="2" t="s">
        <v>20215</v>
      </c>
      <c r="N1942" s="3" t="s">
        <v>377</v>
      </c>
      <c r="P1942" s="3" t="s">
        <v>69</v>
      </c>
      <c r="Q1942" s="2" t="s">
        <v>20216</v>
      </c>
      <c r="R1942" s="3" t="s">
        <v>19986</v>
      </c>
      <c r="S1942" s="4">
        <v>1</v>
      </c>
      <c r="T1942" s="4">
        <v>1</v>
      </c>
      <c r="U1942" s="5" t="s">
        <v>20217</v>
      </c>
      <c r="V1942" s="5" t="s">
        <v>20217</v>
      </c>
      <c r="W1942" s="5" t="s">
        <v>72</v>
      </c>
      <c r="X1942" s="5" t="s">
        <v>72</v>
      </c>
      <c r="Y1942" s="4">
        <v>21</v>
      </c>
      <c r="Z1942" s="4">
        <v>15</v>
      </c>
      <c r="AA1942" s="4">
        <v>15</v>
      </c>
      <c r="AB1942" s="4">
        <v>3</v>
      </c>
      <c r="AC1942" s="4">
        <v>3</v>
      </c>
      <c r="AD1942" s="4">
        <v>14</v>
      </c>
      <c r="AE1942" s="4">
        <v>14</v>
      </c>
      <c r="AF1942" s="4">
        <v>1</v>
      </c>
      <c r="AG1942" s="4">
        <v>1</v>
      </c>
      <c r="AH1942" s="4">
        <v>8</v>
      </c>
      <c r="AI1942" s="4">
        <v>8</v>
      </c>
      <c r="AJ1942" s="4">
        <v>10</v>
      </c>
      <c r="AK1942" s="4">
        <v>10</v>
      </c>
      <c r="AL1942" s="4">
        <v>3</v>
      </c>
      <c r="AM1942" s="4">
        <v>3</v>
      </c>
      <c r="AN1942" s="4">
        <v>0</v>
      </c>
      <c r="AO1942" s="4">
        <v>0</v>
      </c>
      <c r="AP1942" s="4">
        <v>7</v>
      </c>
      <c r="AQ1942" s="4">
        <v>7</v>
      </c>
      <c r="AR1942" s="3" t="s">
        <v>73</v>
      </c>
      <c r="AS1942" s="3" t="s">
        <v>64</v>
      </c>
      <c r="AT1942" s="3" t="s">
        <v>64</v>
      </c>
      <c r="AV1942" s="6" t="str">
        <f>HYPERLINK("http://mcgill.on.worldcat.org/oclc/779683283","Catalog Record")</f>
        <v>Catalog Record</v>
      </c>
      <c r="AW1942" s="6" t="str">
        <f>HYPERLINK("http://www.worldcat.org/oclc/779683283","WorldCat Record")</f>
        <v>WorldCat Record</v>
      </c>
      <c r="AX1942" s="3" t="s">
        <v>20218</v>
      </c>
      <c r="AY1942" s="3" t="s">
        <v>20219</v>
      </c>
      <c r="AZ1942" s="3" t="s">
        <v>20220</v>
      </c>
      <c r="BA1942" s="3" t="s">
        <v>20220</v>
      </c>
      <c r="BB1942" s="3" t="s">
        <v>20221</v>
      </c>
      <c r="BC1942" s="3" t="s">
        <v>78</v>
      </c>
      <c r="BD1942" s="3" t="s">
        <v>79</v>
      </c>
      <c r="BE1942" s="3" t="s">
        <v>20222</v>
      </c>
      <c r="BF1942" s="3" t="s">
        <v>20221</v>
      </c>
      <c r="BG1942" s="3" t="s">
        <v>20223</v>
      </c>
    </row>
    <row r="1943" spans="1:59" ht="58" x14ac:dyDescent="0.35">
      <c r="A1943" s="2" t="s">
        <v>59</v>
      </c>
      <c r="B1943" s="2" t="s">
        <v>94</v>
      </c>
      <c r="C1943" s="2" t="s">
        <v>20224</v>
      </c>
      <c r="D1943" s="2" t="s">
        <v>20225</v>
      </c>
      <c r="E1943" s="2" t="s">
        <v>20226</v>
      </c>
      <c r="G1943" s="3" t="s">
        <v>64</v>
      </c>
      <c r="I1943" s="3" t="s">
        <v>64</v>
      </c>
      <c r="J1943" s="3" t="s">
        <v>64</v>
      </c>
      <c r="K1943" s="3" t="s">
        <v>65</v>
      </c>
      <c r="L1943" s="2" t="s">
        <v>20227</v>
      </c>
      <c r="M1943" s="2" t="s">
        <v>20228</v>
      </c>
      <c r="N1943" s="3" t="s">
        <v>315</v>
      </c>
      <c r="P1943" s="3" t="s">
        <v>69</v>
      </c>
      <c r="R1943" s="3" t="s">
        <v>19986</v>
      </c>
      <c r="S1943" s="4">
        <v>10</v>
      </c>
      <c r="T1943" s="4">
        <v>10</v>
      </c>
      <c r="U1943" s="5" t="s">
        <v>12399</v>
      </c>
      <c r="V1943" s="5" t="s">
        <v>12399</v>
      </c>
      <c r="W1943" s="5" t="s">
        <v>72</v>
      </c>
      <c r="X1943" s="5" t="s">
        <v>72</v>
      </c>
      <c r="Y1943" s="4">
        <v>30</v>
      </c>
      <c r="Z1943" s="4">
        <v>4</v>
      </c>
      <c r="AA1943" s="4">
        <v>4</v>
      </c>
      <c r="AB1943" s="4">
        <v>1</v>
      </c>
      <c r="AC1943" s="4">
        <v>1</v>
      </c>
      <c r="AD1943" s="4">
        <v>23</v>
      </c>
      <c r="AE1943" s="4">
        <v>23</v>
      </c>
      <c r="AF1943" s="4">
        <v>0</v>
      </c>
      <c r="AG1943" s="4">
        <v>0</v>
      </c>
      <c r="AH1943" s="4">
        <v>22</v>
      </c>
      <c r="AI1943" s="4">
        <v>22</v>
      </c>
      <c r="AJ1943" s="4">
        <v>2</v>
      </c>
      <c r="AK1943" s="4">
        <v>2</v>
      </c>
      <c r="AL1943" s="4">
        <v>18</v>
      </c>
      <c r="AM1943" s="4">
        <v>18</v>
      </c>
      <c r="AN1943" s="4">
        <v>0</v>
      </c>
      <c r="AO1943" s="4">
        <v>0</v>
      </c>
      <c r="AP1943" s="4">
        <v>2</v>
      </c>
      <c r="AQ1943" s="4">
        <v>2</v>
      </c>
      <c r="AR1943" s="3" t="s">
        <v>64</v>
      </c>
      <c r="AS1943" s="3" t="s">
        <v>64</v>
      </c>
      <c r="AT1943" s="3" t="s">
        <v>73</v>
      </c>
      <c r="AU1943" s="6" t="str">
        <f>HYPERLINK("http://catalog.hathitrust.org/Record/001540921","HathiTrust Record")</f>
        <v>HathiTrust Record</v>
      </c>
      <c r="AV1943" s="6" t="str">
        <f>HYPERLINK("http://mcgill.on.worldcat.org/oclc/18052775","Catalog Record")</f>
        <v>Catalog Record</v>
      </c>
      <c r="AW1943" s="6" t="str">
        <f>HYPERLINK("http://www.worldcat.org/oclc/18052775","WorldCat Record")</f>
        <v>WorldCat Record</v>
      </c>
      <c r="AX1943" s="3" t="s">
        <v>20229</v>
      </c>
      <c r="AY1943" s="3" t="s">
        <v>20230</v>
      </c>
      <c r="AZ1943" s="3" t="s">
        <v>20231</v>
      </c>
      <c r="BA1943" s="3" t="s">
        <v>20231</v>
      </c>
      <c r="BB1943" s="3" t="s">
        <v>20232</v>
      </c>
      <c r="BC1943" s="3" t="s">
        <v>78</v>
      </c>
      <c r="BD1943" s="3" t="s">
        <v>79</v>
      </c>
      <c r="BF1943" s="3" t="s">
        <v>20232</v>
      </c>
      <c r="BG1943" s="3" t="s">
        <v>20233</v>
      </c>
    </row>
    <row r="1944" spans="1:59" ht="58" x14ac:dyDescent="0.35">
      <c r="A1944" s="2" t="s">
        <v>59</v>
      </c>
      <c r="B1944" s="2" t="s">
        <v>94</v>
      </c>
      <c r="C1944" s="2" t="s">
        <v>20234</v>
      </c>
      <c r="D1944" s="2" t="s">
        <v>20235</v>
      </c>
      <c r="E1944" s="2" t="s">
        <v>20236</v>
      </c>
      <c r="G1944" s="3" t="s">
        <v>64</v>
      </c>
      <c r="I1944" s="3" t="s">
        <v>64</v>
      </c>
      <c r="J1944" s="3" t="s">
        <v>64</v>
      </c>
      <c r="K1944" s="3" t="s">
        <v>65</v>
      </c>
      <c r="L1944" s="2" t="s">
        <v>20237</v>
      </c>
      <c r="M1944" s="2" t="s">
        <v>20238</v>
      </c>
      <c r="N1944" s="3" t="s">
        <v>872</v>
      </c>
      <c r="P1944" s="3" t="s">
        <v>69</v>
      </c>
      <c r="R1944" s="3" t="s">
        <v>19986</v>
      </c>
      <c r="S1944" s="4">
        <v>8</v>
      </c>
      <c r="T1944" s="4">
        <v>8</v>
      </c>
      <c r="U1944" s="5" t="s">
        <v>12399</v>
      </c>
      <c r="V1944" s="5" t="s">
        <v>12399</v>
      </c>
      <c r="W1944" s="5" t="s">
        <v>72</v>
      </c>
      <c r="X1944" s="5" t="s">
        <v>72</v>
      </c>
      <c r="Y1944" s="4">
        <v>25</v>
      </c>
      <c r="Z1944" s="4">
        <v>4</v>
      </c>
      <c r="AA1944" s="4">
        <v>4</v>
      </c>
      <c r="AB1944" s="4">
        <v>1</v>
      </c>
      <c r="AC1944" s="4">
        <v>1</v>
      </c>
      <c r="AD1944" s="4">
        <v>21</v>
      </c>
      <c r="AE1944" s="4">
        <v>21</v>
      </c>
      <c r="AF1944" s="4">
        <v>0</v>
      </c>
      <c r="AG1944" s="4">
        <v>0</v>
      </c>
      <c r="AH1944" s="4">
        <v>21</v>
      </c>
      <c r="AI1944" s="4">
        <v>21</v>
      </c>
      <c r="AJ1944" s="4">
        <v>2</v>
      </c>
      <c r="AK1944" s="4">
        <v>2</v>
      </c>
      <c r="AL1944" s="4">
        <v>16</v>
      </c>
      <c r="AM1944" s="4">
        <v>16</v>
      </c>
      <c r="AN1944" s="4">
        <v>0</v>
      </c>
      <c r="AO1944" s="4">
        <v>0</v>
      </c>
      <c r="AP1944" s="4">
        <v>2</v>
      </c>
      <c r="AQ1944" s="4">
        <v>2</v>
      </c>
      <c r="AR1944" s="3" t="s">
        <v>64</v>
      </c>
      <c r="AS1944" s="3" t="s">
        <v>64</v>
      </c>
      <c r="AT1944" s="3" t="s">
        <v>73</v>
      </c>
      <c r="AU1944" s="6" t="str">
        <f>HYPERLINK("http://catalog.hathitrust.org/Record/002543058","HathiTrust Record")</f>
        <v>HathiTrust Record</v>
      </c>
      <c r="AV1944" s="6" t="str">
        <f>HYPERLINK("http://mcgill.on.worldcat.org/oclc/21517491","Catalog Record")</f>
        <v>Catalog Record</v>
      </c>
      <c r="AW1944" s="6" t="str">
        <f>HYPERLINK("http://www.worldcat.org/oclc/21517491","WorldCat Record")</f>
        <v>WorldCat Record</v>
      </c>
      <c r="AX1944" s="3" t="s">
        <v>20239</v>
      </c>
      <c r="AY1944" s="3" t="s">
        <v>20240</v>
      </c>
      <c r="AZ1944" s="3" t="s">
        <v>20241</v>
      </c>
      <c r="BA1944" s="3" t="s">
        <v>20241</v>
      </c>
      <c r="BB1944" s="3" t="s">
        <v>20242</v>
      </c>
      <c r="BC1944" s="3" t="s">
        <v>78</v>
      </c>
      <c r="BD1944" s="3" t="s">
        <v>79</v>
      </c>
      <c r="BE1944" s="3" t="s">
        <v>20243</v>
      </c>
      <c r="BF1944" s="3" t="s">
        <v>20242</v>
      </c>
      <c r="BG1944" s="3" t="s">
        <v>20244</v>
      </c>
    </row>
    <row r="1945" spans="1:59" ht="58" x14ac:dyDescent="0.35">
      <c r="A1945" s="2" t="s">
        <v>59</v>
      </c>
      <c r="B1945" s="2" t="s">
        <v>94</v>
      </c>
      <c r="C1945" s="2" t="s">
        <v>20245</v>
      </c>
      <c r="D1945" s="2" t="s">
        <v>20246</v>
      </c>
      <c r="E1945" s="2" t="s">
        <v>20247</v>
      </c>
      <c r="G1945" s="3" t="s">
        <v>64</v>
      </c>
      <c r="I1945" s="3" t="s">
        <v>64</v>
      </c>
      <c r="J1945" s="3" t="s">
        <v>64</v>
      </c>
      <c r="K1945" s="3" t="s">
        <v>65</v>
      </c>
      <c r="L1945" s="2" t="s">
        <v>20248</v>
      </c>
      <c r="M1945" s="2" t="s">
        <v>20249</v>
      </c>
      <c r="N1945" s="3" t="s">
        <v>473</v>
      </c>
      <c r="P1945" s="3" t="s">
        <v>69</v>
      </c>
      <c r="R1945" s="3" t="s">
        <v>19986</v>
      </c>
      <c r="S1945" s="4">
        <v>8</v>
      </c>
      <c r="T1945" s="4">
        <v>8</v>
      </c>
      <c r="U1945" s="5" t="s">
        <v>12399</v>
      </c>
      <c r="V1945" s="5" t="s">
        <v>12399</v>
      </c>
      <c r="W1945" s="5" t="s">
        <v>72</v>
      </c>
      <c r="X1945" s="5" t="s">
        <v>72</v>
      </c>
      <c r="Y1945" s="4">
        <v>41</v>
      </c>
      <c r="Z1945" s="4">
        <v>4</v>
      </c>
      <c r="AA1945" s="4">
        <v>5</v>
      </c>
      <c r="AB1945" s="4">
        <v>1</v>
      </c>
      <c r="AC1945" s="4">
        <v>1</v>
      </c>
      <c r="AD1945" s="4">
        <v>25</v>
      </c>
      <c r="AE1945" s="4">
        <v>26</v>
      </c>
      <c r="AF1945" s="4">
        <v>0</v>
      </c>
      <c r="AG1945" s="4">
        <v>0</v>
      </c>
      <c r="AH1945" s="4">
        <v>25</v>
      </c>
      <c r="AI1945" s="4">
        <v>25</v>
      </c>
      <c r="AJ1945" s="4">
        <v>2</v>
      </c>
      <c r="AK1945" s="4">
        <v>3</v>
      </c>
      <c r="AL1945" s="4">
        <v>18</v>
      </c>
      <c r="AM1945" s="4">
        <v>18</v>
      </c>
      <c r="AN1945" s="4">
        <v>0</v>
      </c>
      <c r="AO1945" s="4">
        <v>0</v>
      </c>
      <c r="AP1945" s="4">
        <v>2</v>
      </c>
      <c r="AQ1945" s="4">
        <v>3</v>
      </c>
      <c r="AR1945" s="3" t="s">
        <v>64</v>
      </c>
      <c r="AS1945" s="3" t="s">
        <v>64</v>
      </c>
      <c r="AT1945" s="3" t="s">
        <v>73</v>
      </c>
      <c r="AU1945" s="6" t="str">
        <f>HYPERLINK("http://catalog.hathitrust.org/Record/002523987","HathiTrust Record")</f>
        <v>HathiTrust Record</v>
      </c>
      <c r="AV1945" s="6" t="str">
        <f>HYPERLINK("http://mcgill.on.worldcat.org/oclc/24407582","Catalog Record")</f>
        <v>Catalog Record</v>
      </c>
      <c r="AW1945" s="6" t="str">
        <f>HYPERLINK("http://www.worldcat.org/oclc/24407582","WorldCat Record")</f>
        <v>WorldCat Record</v>
      </c>
      <c r="AX1945" s="3" t="s">
        <v>20250</v>
      </c>
      <c r="AY1945" s="3" t="s">
        <v>20251</v>
      </c>
      <c r="AZ1945" s="3" t="s">
        <v>20252</v>
      </c>
      <c r="BA1945" s="3" t="s">
        <v>20252</v>
      </c>
      <c r="BB1945" s="3" t="s">
        <v>20253</v>
      </c>
      <c r="BC1945" s="3" t="s">
        <v>78</v>
      </c>
      <c r="BD1945" s="3" t="s">
        <v>79</v>
      </c>
      <c r="BE1945" s="3" t="s">
        <v>20254</v>
      </c>
      <c r="BF1945" s="3" t="s">
        <v>20253</v>
      </c>
      <c r="BG1945" s="3" t="s">
        <v>20255</v>
      </c>
    </row>
    <row r="1946" spans="1:59" ht="58" x14ac:dyDescent="0.35">
      <c r="A1946" s="2" t="s">
        <v>59</v>
      </c>
      <c r="B1946" s="2" t="s">
        <v>94</v>
      </c>
      <c r="C1946" s="2" t="s">
        <v>20256</v>
      </c>
      <c r="D1946" s="2" t="s">
        <v>20257</v>
      </c>
      <c r="E1946" s="2" t="s">
        <v>20258</v>
      </c>
      <c r="G1946" s="3" t="s">
        <v>64</v>
      </c>
      <c r="I1946" s="3" t="s">
        <v>64</v>
      </c>
      <c r="J1946" s="3" t="s">
        <v>64</v>
      </c>
      <c r="K1946" s="3" t="s">
        <v>65</v>
      </c>
      <c r="L1946" s="2" t="s">
        <v>20259</v>
      </c>
      <c r="M1946" s="2" t="s">
        <v>20260</v>
      </c>
      <c r="N1946" s="3" t="s">
        <v>524</v>
      </c>
      <c r="P1946" s="3" t="s">
        <v>2192</v>
      </c>
      <c r="Q1946" s="2" t="s">
        <v>20261</v>
      </c>
      <c r="R1946" s="3" t="s">
        <v>19986</v>
      </c>
      <c r="S1946" s="4">
        <v>0</v>
      </c>
      <c r="T1946" s="4">
        <v>0</v>
      </c>
      <c r="W1946" s="5" t="s">
        <v>72</v>
      </c>
      <c r="X1946" s="5" t="s">
        <v>72</v>
      </c>
      <c r="Y1946" s="4">
        <v>36</v>
      </c>
      <c r="Z1946" s="4">
        <v>1</v>
      </c>
      <c r="AA1946" s="4">
        <v>2</v>
      </c>
      <c r="AB1946" s="4">
        <v>1</v>
      </c>
      <c r="AC1946" s="4">
        <v>2</v>
      </c>
      <c r="AD1946" s="4">
        <v>14</v>
      </c>
      <c r="AE1946" s="4">
        <v>14</v>
      </c>
      <c r="AF1946" s="4">
        <v>0</v>
      </c>
      <c r="AG1946" s="4">
        <v>0</v>
      </c>
      <c r="AH1946" s="4">
        <v>13</v>
      </c>
      <c r="AI1946" s="4">
        <v>13</v>
      </c>
      <c r="AJ1946" s="4">
        <v>0</v>
      </c>
      <c r="AK1946" s="4">
        <v>0</v>
      </c>
      <c r="AL1946" s="4">
        <v>11</v>
      </c>
      <c r="AM1946" s="4">
        <v>11</v>
      </c>
      <c r="AN1946" s="4">
        <v>0</v>
      </c>
      <c r="AO1946" s="4">
        <v>0</v>
      </c>
      <c r="AP1946" s="4">
        <v>0</v>
      </c>
      <c r="AQ1946" s="4">
        <v>0</v>
      </c>
      <c r="AR1946" s="3" t="s">
        <v>64</v>
      </c>
      <c r="AS1946" s="3" t="s">
        <v>64</v>
      </c>
      <c r="AT1946" s="3" t="s">
        <v>64</v>
      </c>
      <c r="AV1946" s="6" t="str">
        <f>HYPERLINK("http://mcgill.on.worldcat.org/oclc/841753651","Catalog Record")</f>
        <v>Catalog Record</v>
      </c>
      <c r="AW1946" s="6" t="str">
        <f>HYPERLINK("http://www.worldcat.org/oclc/841753651","WorldCat Record")</f>
        <v>WorldCat Record</v>
      </c>
      <c r="AX1946" s="3" t="s">
        <v>20262</v>
      </c>
      <c r="AY1946" s="3" t="s">
        <v>20263</v>
      </c>
      <c r="AZ1946" s="3" t="s">
        <v>20264</v>
      </c>
      <c r="BA1946" s="3" t="s">
        <v>20264</v>
      </c>
      <c r="BB1946" s="3" t="s">
        <v>20265</v>
      </c>
      <c r="BC1946" s="3" t="s">
        <v>78</v>
      </c>
      <c r="BD1946" s="3" t="s">
        <v>79</v>
      </c>
      <c r="BE1946" s="3" t="s">
        <v>20266</v>
      </c>
      <c r="BF1946" s="3" t="s">
        <v>20265</v>
      </c>
      <c r="BG1946" s="3" t="s">
        <v>20267</v>
      </c>
    </row>
    <row r="1947" spans="1:59" ht="58" x14ac:dyDescent="0.35">
      <c r="A1947" s="2" t="s">
        <v>59</v>
      </c>
      <c r="B1947" s="2" t="s">
        <v>94</v>
      </c>
      <c r="C1947" s="2" t="s">
        <v>20268</v>
      </c>
      <c r="D1947" s="2" t="s">
        <v>20269</v>
      </c>
      <c r="E1947" s="2" t="s">
        <v>20270</v>
      </c>
      <c r="G1947" s="3" t="s">
        <v>64</v>
      </c>
      <c r="I1947" s="3" t="s">
        <v>64</v>
      </c>
      <c r="J1947" s="3" t="s">
        <v>64</v>
      </c>
      <c r="K1947" s="3" t="s">
        <v>65</v>
      </c>
      <c r="L1947" s="2" t="s">
        <v>14708</v>
      </c>
      <c r="M1947" s="2" t="s">
        <v>20271</v>
      </c>
      <c r="N1947" s="3" t="s">
        <v>1320</v>
      </c>
      <c r="P1947" s="3" t="s">
        <v>69</v>
      </c>
      <c r="R1947" s="3" t="s">
        <v>19986</v>
      </c>
      <c r="S1947" s="4">
        <v>7</v>
      </c>
      <c r="T1947" s="4">
        <v>7</v>
      </c>
      <c r="U1947" s="5" t="s">
        <v>4443</v>
      </c>
      <c r="V1947" s="5" t="s">
        <v>4443</v>
      </c>
      <c r="W1947" s="5" t="s">
        <v>72</v>
      </c>
      <c r="X1947" s="5" t="s">
        <v>72</v>
      </c>
      <c r="Y1947" s="4">
        <v>250</v>
      </c>
      <c r="Z1947" s="4">
        <v>13</v>
      </c>
      <c r="AA1947" s="4">
        <v>14</v>
      </c>
      <c r="AB1947" s="4">
        <v>2</v>
      </c>
      <c r="AC1947" s="4">
        <v>2</v>
      </c>
      <c r="AD1947" s="4">
        <v>92</v>
      </c>
      <c r="AE1947" s="4">
        <v>93</v>
      </c>
      <c r="AF1947" s="4">
        <v>1</v>
      </c>
      <c r="AG1947" s="4">
        <v>1</v>
      </c>
      <c r="AH1947" s="4">
        <v>85</v>
      </c>
      <c r="AI1947" s="4">
        <v>86</v>
      </c>
      <c r="AJ1947" s="4">
        <v>8</v>
      </c>
      <c r="AK1947" s="4">
        <v>9</v>
      </c>
      <c r="AL1947" s="4">
        <v>51</v>
      </c>
      <c r="AM1947" s="4">
        <v>51</v>
      </c>
      <c r="AN1947" s="4">
        <v>0</v>
      </c>
      <c r="AO1947" s="4">
        <v>0</v>
      </c>
      <c r="AP1947" s="4">
        <v>10</v>
      </c>
      <c r="AQ1947" s="4">
        <v>11</v>
      </c>
      <c r="AR1947" s="3" t="s">
        <v>64</v>
      </c>
      <c r="AS1947" s="3" t="s">
        <v>64</v>
      </c>
      <c r="AT1947" s="3" t="s">
        <v>64</v>
      </c>
      <c r="AV1947" s="6" t="str">
        <f>HYPERLINK("http://mcgill.on.worldcat.org/oclc/32090263","Catalog Record")</f>
        <v>Catalog Record</v>
      </c>
      <c r="AW1947" s="6" t="str">
        <f>HYPERLINK("http://www.worldcat.org/oclc/32090263","WorldCat Record")</f>
        <v>WorldCat Record</v>
      </c>
      <c r="AX1947" s="3" t="s">
        <v>20272</v>
      </c>
      <c r="AY1947" s="3" t="s">
        <v>20273</v>
      </c>
      <c r="AZ1947" s="3" t="s">
        <v>20274</v>
      </c>
      <c r="BA1947" s="3" t="s">
        <v>20274</v>
      </c>
      <c r="BB1947" s="3" t="s">
        <v>20275</v>
      </c>
      <c r="BC1947" s="3" t="s">
        <v>78</v>
      </c>
      <c r="BD1947" s="3" t="s">
        <v>79</v>
      </c>
      <c r="BE1947" s="3" t="s">
        <v>20276</v>
      </c>
      <c r="BF1947" s="3" t="s">
        <v>20275</v>
      </c>
      <c r="BG1947" s="3" t="s">
        <v>20277</v>
      </c>
    </row>
    <row r="1948" spans="1:59" ht="101.5" x14ac:dyDescent="0.35">
      <c r="A1948" s="2" t="s">
        <v>59</v>
      </c>
      <c r="B1948" s="2" t="s">
        <v>94</v>
      </c>
      <c r="C1948" s="2" t="s">
        <v>20278</v>
      </c>
      <c r="D1948" s="2" t="s">
        <v>20279</v>
      </c>
      <c r="E1948" s="2" t="s">
        <v>20280</v>
      </c>
      <c r="G1948" s="3" t="s">
        <v>64</v>
      </c>
      <c r="I1948" s="3" t="s">
        <v>64</v>
      </c>
      <c r="J1948" s="3" t="s">
        <v>64</v>
      </c>
      <c r="K1948" s="3" t="s">
        <v>65</v>
      </c>
      <c r="L1948" s="2" t="s">
        <v>20281</v>
      </c>
      <c r="M1948" s="2" t="s">
        <v>20282</v>
      </c>
      <c r="N1948" s="3" t="s">
        <v>524</v>
      </c>
      <c r="P1948" s="3" t="s">
        <v>69</v>
      </c>
      <c r="Q1948" s="2" t="s">
        <v>20283</v>
      </c>
      <c r="R1948" s="3" t="s">
        <v>19986</v>
      </c>
      <c r="S1948" s="4">
        <v>0</v>
      </c>
      <c r="T1948" s="4">
        <v>0</v>
      </c>
      <c r="W1948" s="5" t="s">
        <v>72</v>
      </c>
      <c r="X1948" s="5" t="s">
        <v>72</v>
      </c>
      <c r="Y1948" s="4">
        <v>73</v>
      </c>
      <c r="Z1948" s="4">
        <v>4</v>
      </c>
      <c r="AA1948" s="4">
        <v>32</v>
      </c>
      <c r="AB1948" s="4">
        <v>1</v>
      </c>
      <c r="AC1948" s="4">
        <v>6</v>
      </c>
      <c r="AD1948" s="4">
        <v>43</v>
      </c>
      <c r="AE1948" s="4">
        <v>93</v>
      </c>
      <c r="AF1948" s="4">
        <v>0</v>
      </c>
      <c r="AG1948" s="4">
        <v>2</v>
      </c>
      <c r="AH1948" s="4">
        <v>42</v>
      </c>
      <c r="AI1948" s="4">
        <v>76</v>
      </c>
      <c r="AJ1948" s="4">
        <v>3</v>
      </c>
      <c r="AK1948" s="4">
        <v>13</v>
      </c>
      <c r="AL1948" s="4">
        <v>23</v>
      </c>
      <c r="AM1948" s="4">
        <v>41</v>
      </c>
      <c r="AN1948" s="4">
        <v>0</v>
      </c>
      <c r="AO1948" s="4">
        <v>0</v>
      </c>
      <c r="AP1948" s="4">
        <v>3</v>
      </c>
      <c r="AQ1948" s="4">
        <v>23</v>
      </c>
      <c r="AR1948" s="3" t="s">
        <v>64</v>
      </c>
      <c r="AS1948" s="3" t="s">
        <v>64</v>
      </c>
      <c r="AT1948" s="3" t="s">
        <v>64</v>
      </c>
      <c r="AV1948" s="6" t="str">
        <f>HYPERLINK("http://mcgill.on.worldcat.org/oclc/827010643","Catalog Record")</f>
        <v>Catalog Record</v>
      </c>
      <c r="AW1948" s="6" t="str">
        <f>HYPERLINK("http://www.worldcat.org/oclc/827010643","WorldCat Record")</f>
        <v>WorldCat Record</v>
      </c>
      <c r="AX1948" s="3" t="s">
        <v>20284</v>
      </c>
      <c r="AY1948" s="3" t="s">
        <v>20285</v>
      </c>
      <c r="AZ1948" s="3" t="s">
        <v>20286</v>
      </c>
      <c r="BA1948" s="3" t="s">
        <v>20286</v>
      </c>
      <c r="BB1948" s="3" t="s">
        <v>20287</v>
      </c>
      <c r="BC1948" s="3" t="s">
        <v>78</v>
      </c>
      <c r="BD1948" s="3" t="s">
        <v>79</v>
      </c>
      <c r="BE1948" s="3" t="s">
        <v>20288</v>
      </c>
      <c r="BF1948" s="3" t="s">
        <v>20287</v>
      </c>
      <c r="BG1948" s="3" t="s">
        <v>20289</v>
      </c>
    </row>
    <row r="1949" spans="1:59" ht="58" x14ac:dyDescent="0.35">
      <c r="A1949" s="2" t="s">
        <v>59</v>
      </c>
      <c r="B1949" s="2" t="s">
        <v>94</v>
      </c>
      <c r="C1949" s="2" t="s">
        <v>20290</v>
      </c>
      <c r="D1949" s="2" t="s">
        <v>20291</v>
      </c>
      <c r="E1949" s="2" t="s">
        <v>20292</v>
      </c>
      <c r="G1949" s="3" t="s">
        <v>64</v>
      </c>
      <c r="I1949" s="3" t="s">
        <v>64</v>
      </c>
      <c r="J1949" s="3" t="s">
        <v>64</v>
      </c>
      <c r="K1949" s="3" t="s">
        <v>65</v>
      </c>
      <c r="L1949" s="2" t="s">
        <v>20293</v>
      </c>
      <c r="M1949" s="2" t="s">
        <v>10496</v>
      </c>
      <c r="N1949" s="3" t="s">
        <v>524</v>
      </c>
      <c r="P1949" s="3" t="s">
        <v>69</v>
      </c>
      <c r="Q1949" s="2" t="s">
        <v>7262</v>
      </c>
      <c r="R1949" s="3" t="s">
        <v>19986</v>
      </c>
      <c r="S1949" s="4">
        <v>0</v>
      </c>
      <c r="T1949" s="4">
        <v>0</v>
      </c>
      <c r="W1949" s="5" t="s">
        <v>72</v>
      </c>
      <c r="X1949" s="5" t="s">
        <v>72</v>
      </c>
      <c r="Y1949" s="4">
        <v>63</v>
      </c>
      <c r="Z1949" s="4">
        <v>3</v>
      </c>
      <c r="AA1949" s="4">
        <v>32</v>
      </c>
      <c r="AB1949" s="4">
        <v>1</v>
      </c>
      <c r="AC1949" s="4">
        <v>6</v>
      </c>
      <c r="AD1949" s="4">
        <v>42</v>
      </c>
      <c r="AE1949" s="4">
        <v>94</v>
      </c>
      <c r="AF1949" s="4">
        <v>0</v>
      </c>
      <c r="AG1949" s="4">
        <v>2</v>
      </c>
      <c r="AH1949" s="4">
        <v>41</v>
      </c>
      <c r="AI1949" s="4">
        <v>77</v>
      </c>
      <c r="AJ1949" s="4">
        <v>2</v>
      </c>
      <c r="AK1949" s="4">
        <v>13</v>
      </c>
      <c r="AL1949" s="4">
        <v>23</v>
      </c>
      <c r="AM1949" s="4">
        <v>42</v>
      </c>
      <c r="AN1949" s="4">
        <v>0</v>
      </c>
      <c r="AO1949" s="4">
        <v>0</v>
      </c>
      <c r="AP1949" s="4">
        <v>2</v>
      </c>
      <c r="AQ1949" s="4">
        <v>23</v>
      </c>
      <c r="AR1949" s="3" t="s">
        <v>64</v>
      </c>
      <c r="AS1949" s="3" t="s">
        <v>64</v>
      </c>
      <c r="AT1949" s="3" t="s">
        <v>64</v>
      </c>
      <c r="AV1949" s="6" t="str">
        <f>HYPERLINK("http://mcgill.on.worldcat.org/oclc/835951607","Catalog Record")</f>
        <v>Catalog Record</v>
      </c>
      <c r="AW1949" s="6" t="str">
        <f>HYPERLINK("http://www.worldcat.org/oclc/835951607","WorldCat Record")</f>
        <v>WorldCat Record</v>
      </c>
      <c r="AX1949" s="3" t="s">
        <v>20294</v>
      </c>
      <c r="AY1949" s="3" t="s">
        <v>20295</v>
      </c>
      <c r="AZ1949" s="3" t="s">
        <v>20296</v>
      </c>
      <c r="BA1949" s="3" t="s">
        <v>20296</v>
      </c>
      <c r="BB1949" s="3" t="s">
        <v>20297</v>
      </c>
      <c r="BC1949" s="3" t="s">
        <v>78</v>
      </c>
      <c r="BD1949" s="3" t="s">
        <v>79</v>
      </c>
      <c r="BE1949" s="3" t="s">
        <v>20298</v>
      </c>
      <c r="BF1949" s="3" t="s">
        <v>20297</v>
      </c>
      <c r="BG1949" s="3" t="s">
        <v>20299</v>
      </c>
    </row>
    <row r="1950" spans="1:59" ht="72.5" x14ac:dyDescent="0.35">
      <c r="A1950" s="2" t="s">
        <v>59</v>
      </c>
      <c r="B1950" s="2" t="s">
        <v>94</v>
      </c>
      <c r="C1950" s="2" t="s">
        <v>20300</v>
      </c>
      <c r="D1950" s="2" t="s">
        <v>20301</v>
      </c>
      <c r="E1950" s="2" t="s">
        <v>20302</v>
      </c>
      <c r="G1950" s="3" t="s">
        <v>64</v>
      </c>
      <c r="I1950" s="3" t="s">
        <v>64</v>
      </c>
      <c r="J1950" s="3" t="s">
        <v>64</v>
      </c>
      <c r="K1950" s="3" t="s">
        <v>65</v>
      </c>
      <c r="L1950" s="2" t="s">
        <v>20293</v>
      </c>
      <c r="M1950" s="2" t="s">
        <v>6240</v>
      </c>
      <c r="N1950" s="3" t="s">
        <v>377</v>
      </c>
      <c r="P1950" s="3" t="s">
        <v>69</v>
      </c>
      <c r="Q1950" s="2" t="s">
        <v>5134</v>
      </c>
      <c r="R1950" s="3" t="s">
        <v>19986</v>
      </c>
      <c r="S1950" s="4">
        <v>0</v>
      </c>
      <c r="T1950" s="4">
        <v>0</v>
      </c>
      <c r="W1950" s="5" t="s">
        <v>72</v>
      </c>
      <c r="X1950" s="5" t="s">
        <v>72</v>
      </c>
      <c r="Y1950" s="4">
        <v>69</v>
      </c>
      <c r="Z1950" s="4">
        <v>4</v>
      </c>
      <c r="AA1950" s="4">
        <v>33</v>
      </c>
      <c r="AB1950" s="4">
        <v>1</v>
      </c>
      <c r="AC1950" s="4">
        <v>6</v>
      </c>
      <c r="AD1950" s="4">
        <v>43</v>
      </c>
      <c r="AE1950" s="4">
        <v>97</v>
      </c>
      <c r="AF1950" s="4">
        <v>0</v>
      </c>
      <c r="AG1950" s="4">
        <v>2</v>
      </c>
      <c r="AH1950" s="4">
        <v>42</v>
      </c>
      <c r="AI1950" s="4">
        <v>80</v>
      </c>
      <c r="AJ1950" s="4">
        <v>2</v>
      </c>
      <c r="AK1950" s="4">
        <v>13</v>
      </c>
      <c r="AL1950" s="4">
        <v>24</v>
      </c>
      <c r="AM1950" s="4">
        <v>43</v>
      </c>
      <c r="AN1950" s="4">
        <v>0</v>
      </c>
      <c r="AO1950" s="4">
        <v>0</v>
      </c>
      <c r="AP1950" s="4">
        <v>2</v>
      </c>
      <c r="AQ1950" s="4">
        <v>23</v>
      </c>
      <c r="AR1950" s="3" t="s">
        <v>64</v>
      </c>
      <c r="AS1950" s="3" t="s">
        <v>64</v>
      </c>
      <c r="AT1950" s="3" t="s">
        <v>64</v>
      </c>
      <c r="AV1950" s="6" t="str">
        <f>HYPERLINK("http://mcgill.on.worldcat.org/oclc/820349523","Catalog Record")</f>
        <v>Catalog Record</v>
      </c>
      <c r="AW1950" s="6" t="str">
        <f>HYPERLINK("http://www.worldcat.org/oclc/820349523","WorldCat Record")</f>
        <v>WorldCat Record</v>
      </c>
      <c r="AX1950" s="3" t="s">
        <v>20303</v>
      </c>
      <c r="AY1950" s="3" t="s">
        <v>20304</v>
      </c>
      <c r="AZ1950" s="3" t="s">
        <v>20305</v>
      </c>
      <c r="BA1950" s="3" t="s">
        <v>20305</v>
      </c>
      <c r="BB1950" s="3" t="s">
        <v>20306</v>
      </c>
      <c r="BC1950" s="3" t="s">
        <v>78</v>
      </c>
      <c r="BD1950" s="3" t="s">
        <v>79</v>
      </c>
      <c r="BE1950" s="3" t="s">
        <v>20307</v>
      </c>
      <c r="BF1950" s="3" t="s">
        <v>20306</v>
      </c>
      <c r="BG1950" s="3" t="s">
        <v>20308</v>
      </c>
    </row>
    <row r="1951" spans="1:59" ht="58" x14ac:dyDescent="0.35">
      <c r="A1951" s="2" t="s">
        <v>59</v>
      </c>
      <c r="B1951" s="2" t="s">
        <v>94</v>
      </c>
      <c r="C1951" s="2" t="s">
        <v>20309</v>
      </c>
      <c r="D1951" s="2" t="s">
        <v>20310</v>
      </c>
      <c r="E1951" s="2" t="s">
        <v>20311</v>
      </c>
      <c r="G1951" s="3" t="s">
        <v>64</v>
      </c>
      <c r="I1951" s="3" t="s">
        <v>64</v>
      </c>
      <c r="J1951" s="3" t="s">
        <v>64</v>
      </c>
      <c r="K1951" s="3" t="s">
        <v>65</v>
      </c>
      <c r="L1951" s="2" t="s">
        <v>20312</v>
      </c>
      <c r="M1951" s="2" t="s">
        <v>5100</v>
      </c>
      <c r="N1951" s="3" t="s">
        <v>328</v>
      </c>
      <c r="P1951" s="3" t="s">
        <v>69</v>
      </c>
      <c r="R1951" s="3" t="s">
        <v>19986</v>
      </c>
      <c r="S1951" s="4">
        <v>0</v>
      </c>
      <c r="T1951" s="4">
        <v>0</v>
      </c>
      <c r="W1951" s="5" t="s">
        <v>72</v>
      </c>
      <c r="X1951" s="5" t="s">
        <v>72</v>
      </c>
      <c r="Y1951" s="4">
        <v>83</v>
      </c>
      <c r="Z1951" s="4">
        <v>4</v>
      </c>
      <c r="AA1951" s="4">
        <v>4</v>
      </c>
      <c r="AB1951" s="4">
        <v>1</v>
      </c>
      <c r="AC1951" s="4">
        <v>1</v>
      </c>
      <c r="AD1951" s="4">
        <v>46</v>
      </c>
      <c r="AE1951" s="4">
        <v>48</v>
      </c>
      <c r="AF1951" s="4">
        <v>0</v>
      </c>
      <c r="AG1951" s="4">
        <v>0</v>
      </c>
      <c r="AH1951" s="4">
        <v>45</v>
      </c>
      <c r="AI1951" s="4">
        <v>47</v>
      </c>
      <c r="AJ1951" s="4">
        <v>2</v>
      </c>
      <c r="AK1951" s="4">
        <v>2</v>
      </c>
      <c r="AL1951" s="4">
        <v>25</v>
      </c>
      <c r="AM1951" s="4">
        <v>26</v>
      </c>
      <c r="AN1951" s="4">
        <v>0</v>
      </c>
      <c r="AO1951" s="4">
        <v>0</v>
      </c>
      <c r="AP1951" s="4">
        <v>2</v>
      </c>
      <c r="AQ1951" s="4">
        <v>2</v>
      </c>
      <c r="AR1951" s="3" t="s">
        <v>64</v>
      </c>
      <c r="AS1951" s="3" t="s">
        <v>64</v>
      </c>
      <c r="AT1951" s="3" t="s">
        <v>64</v>
      </c>
      <c r="AV1951" s="6" t="str">
        <f>HYPERLINK("http://mcgill.on.worldcat.org/oclc/436310429","Catalog Record")</f>
        <v>Catalog Record</v>
      </c>
      <c r="AW1951" s="6" t="str">
        <f>HYPERLINK("http://www.worldcat.org/oclc/436310429","WorldCat Record")</f>
        <v>WorldCat Record</v>
      </c>
      <c r="AX1951" s="3" t="s">
        <v>20313</v>
      </c>
      <c r="AY1951" s="3" t="s">
        <v>20314</v>
      </c>
      <c r="AZ1951" s="3" t="s">
        <v>20315</v>
      </c>
      <c r="BA1951" s="3" t="s">
        <v>20315</v>
      </c>
      <c r="BB1951" s="3" t="s">
        <v>20316</v>
      </c>
      <c r="BC1951" s="3" t="s">
        <v>78</v>
      </c>
      <c r="BD1951" s="3" t="s">
        <v>79</v>
      </c>
      <c r="BE1951" s="3" t="s">
        <v>20317</v>
      </c>
      <c r="BF1951" s="3" t="s">
        <v>20316</v>
      </c>
      <c r="BG1951" s="3" t="s">
        <v>20318</v>
      </c>
    </row>
    <row r="1952" spans="1:59" ht="58" x14ac:dyDescent="0.35">
      <c r="A1952" s="2" t="s">
        <v>59</v>
      </c>
      <c r="B1952" s="2" t="s">
        <v>94</v>
      </c>
      <c r="C1952" s="2" t="s">
        <v>20319</v>
      </c>
      <c r="D1952" s="2" t="s">
        <v>20320</v>
      </c>
      <c r="E1952" s="2" t="s">
        <v>20321</v>
      </c>
      <c r="G1952" s="3" t="s">
        <v>64</v>
      </c>
      <c r="I1952" s="3" t="s">
        <v>64</v>
      </c>
      <c r="J1952" s="3" t="s">
        <v>64</v>
      </c>
      <c r="K1952" s="3" t="s">
        <v>65</v>
      </c>
      <c r="M1952" s="2" t="s">
        <v>18549</v>
      </c>
      <c r="N1952" s="3" t="s">
        <v>328</v>
      </c>
      <c r="P1952" s="3" t="s">
        <v>69</v>
      </c>
      <c r="Q1952" s="2" t="s">
        <v>5134</v>
      </c>
      <c r="R1952" s="3" t="s">
        <v>19986</v>
      </c>
      <c r="S1952" s="4">
        <v>0</v>
      </c>
      <c r="T1952" s="4">
        <v>0</v>
      </c>
      <c r="W1952" s="5" t="s">
        <v>72</v>
      </c>
      <c r="X1952" s="5" t="s">
        <v>72</v>
      </c>
      <c r="Y1952" s="4">
        <v>88</v>
      </c>
      <c r="Z1952" s="4">
        <v>4</v>
      </c>
      <c r="AA1952" s="4">
        <v>5</v>
      </c>
      <c r="AB1952" s="4">
        <v>1</v>
      </c>
      <c r="AC1952" s="4">
        <v>1</v>
      </c>
      <c r="AD1952" s="4">
        <v>48</v>
      </c>
      <c r="AE1952" s="4">
        <v>51</v>
      </c>
      <c r="AF1952" s="4">
        <v>0</v>
      </c>
      <c r="AG1952" s="4">
        <v>0</v>
      </c>
      <c r="AH1952" s="4">
        <v>47</v>
      </c>
      <c r="AI1952" s="4">
        <v>50</v>
      </c>
      <c r="AJ1952" s="4">
        <v>2</v>
      </c>
      <c r="AK1952" s="4">
        <v>3</v>
      </c>
      <c r="AL1952" s="4">
        <v>27</v>
      </c>
      <c r="AM1952" s="4">
        <v>27</v>
      </c>
      <c r="AN1952" s="4">
        <v>0</v>
      </c>
      <c r="AO1952" s="4">
        <v>0</v>
      </c>
      <c r="AP1952" s="4">
        <v>2</v>
      </c>
      <c r="AQ1952" s="4">
        <v>3</v>
      </c>
      <c r="AR1952" s="3" t="s">
        <v>64</v>
      </c>
      <c r="AS1952" s="3" t="s">
        <v>64</v>
      </c>
      <c r="AT1952" s="3" t="s">
        <v>64</v>
      </c>
      <c r="AV1952" s="6" t="str">
        <f>HYPERLINK("http://mcgill.on.worldcat.org/oclc/700709105","Catalog Record")</f>
        <v>Catalog Record</v>
      </c>
      <c r="AW1952" s="6" t="str">
        <f>HYPERLINK("http://www.worldcat.org/oclc/700709105","WorldCat Record")</f>
        <v>WorldCat Record</v>
      </c>
      <c r="AX1952" s="3" t="s">
        <v>20322</v>
      </c>
      <c r="AY1952" s="3" t="s">
        <v>20323</v>
      </c>
      <c r="AZ1952" s="3" t="s">
        <v>20324</v>
      </c>
      <c r="BA1952" s="3" t="s">
        <v>20324</v>
      </c>
      <c r="BB1952" s="3" t="s">
        <v>20325</v>
      </c>
      <c r="BC1952" s="3" t="s">
        <v>78</v>
      </c>
      <c r="BD1952" s="3" t="s">
        <v>79</v>
      </c>
      <c r="BE1952" s="3" t="s">
        <v>20326</v>
      </c>
      <c r="BF1952" s="3" t="s">
        <v>20325</v>
      </c>
      <c r="BG1952" s="3" t="s">
        <v>20327</v>
      </c>
    </row>
    <row r="1953" spans="1:59" ht="58" x14ac:dyDescent="0.35">
      <c r="A1953" s="2" t="s">
        <v>59</v>
      </c>
      <c r="B1953" s="2" t="s">
        <v>94</v>
      </c>
      <c r="C1953" s="2" t="s">
        <v>20328</v>
      </c>
      <c r="D1953" s="2" t="s">
        <v>20329</v>
      </c>
      <c r="E1953" s="2" t="s">
        <v>20330</v>
      </c>
      <c r="G1953" s="3" t="s">
        <v>64</v>
      </c>
      <c r="I1953" s="3" t="s">
        <v>64</v>
      </c>
      <c r="J1953" s="3" t="s">
        <v>64</v>
      </c>
      <c r="K1953" s="3" t="s">
        <v>65</v>
      </c>
      <c r="L1953" s="2" t="s">
        <v>20331</v>
      </c>
      <c r="M1953" s="2" t="s">
        <v>5100</v>
      </c>
      <c r="N1953" s="3" t="s">
        <v>328</v>
      </c>
      <c r="P1953" s="3" t="s">
        <v>69</v>
      </c>
      <c r="Q1953" s="2" t="s">
        <v>5134</v>
      </c>
      <c r="R1953" s="3" t="s">
        <v>19986</v>
      </c>
      <c r="S1953" s="4">
        <v>0</v>
      </c>
      <c r="T1953" s="4">
        <v>0</v>
      </c>
      <c r="W1953" s="5" t="s">
        <v>72</v>
      </c>
      <c r="X1953" s="5" t="s">
        <v>72</v>
      </c>
      <c r="Y1953" s="4">
        <v>88</v>
      </c>
      <c r="Z1953" s="4">
        <v>4</v>
      </c>
      <c r="AA1953" s="4">
        <v>5</v>
      </c>
      <c r="AB1953" s="4">
        <v>1</v>
      </c>
      <c r="AC1953" s="4">
        <v>1</v>
      </c>
      <c r="AD1953" s="4">
        <v>47</v>
      </c>
      <c r="AE1953" s="4">
        <v>50</v>
      </c>
      <c r="AF1953" s="4">
        <v>0</v>
      </c>
      <c r="AG1953" s="4">
        <v>0</v>
      </c>
      <c r="AH1953" s="4">
        <v>46</v>
      </c>
      <c r="AI1953" s="4">
        <v>49</v>
      </c>
      <c r="AJ1953" s="4">
        <v>2</v>
      </c>
      <c r="AK1953" s="4">
        <v>3</v>
      </c>
      <c r="AL1953" s="4">
        <v>26</v>
      </c>
      <c r="AM1953" s="4">
        <v>27</v>
      </c>
      <c r="AN1953" s="4">
        <v>0</v>
      </c>
      <c r="AO1953" s="4">
        <v>0</v>
      </c>
      <c r="AP1953" s="4">
        <v>2</v>
      </c>
      <c r="AQ1953" s="4">
        <v>3</v>
      </c>
      <c r="AR1953" s="3" t="s">
        <v>64</v>
      </c>
      <c r="AS1953" s="3" t="s">
        <v>64</v>
      </c>
      <c r="AT1953" s="3" t="s">
        <v>64</v>
      </c>
      <c r="AV1953" s="6" t="str">
        <f>HYPERLINK("http://mcgill.on.worldcat.org/oclc/427541901","Catalog Record")</f>
        <v>Catalog Record</v>
      </c>
      <c r="AW1953" s="6" t="str">
        <f>HYPERLINK("http://www.worldcat.org/oclc/427541901","WorldCat Record")</f>
        <v>WorldCat Record</v>
      </c>
      <c r="AX1953" s="3" t="s">
        <v>20332</v>
      </c>
      <c r="AY1953" s="3" t="s">
        <v>20333</v>
      </c>
      <c r="AZ1953" s="3" t="s">
        <v>20334</v>
      </c>
      <c r="BA1953" s="3" t="s">
        <v>20334</v>
      </c>
      <c r="BB1953" s="3" t="s">
        <v>20335</v>
      </c>
      <c r="BC1953" s="3" t="s">
        <v>78</v>
      </c>
      <c r="BD1953" s="3" t="s">
        <v>79</v>
      </c>
      <c r="BE1953" s="3" t="s">
        <v>20336</v>
      </c>
      <c r="BF1953" s="3" t="s">
        <v>20335</v>
      </c>
      <c r="BG1953" s="3" t="s">
        <v>20337</v>
      </c>
    </row>
    <row r="1954" spans="1:59" ht="87" x14ac:dyDescent="0.35">
      <c r="A1954" s="2" t="s">
        <v>59</v>
      </c>
      <c r="B1954" s="2" t="s">
        <v>94</v>
      </c>
      <c r="C1954" s="2" t="s">
        <v>20338</v>
      </c>
      <c r="D1954" s="2" t="s">
        <v>20339</v>
      </c>
      <c r="E1954" s="2" t="s">
        <v>20340</v>
      </c>
      <c r="G1954" s="3" t="s">
        <v>64</v>
      </c>
      <c r="I1954" s="3" t="s">
        <v>64</v>
      </c>
      <c r="J1954" s="3" t="s">
        <v>64</v>
      </c>
      <c r="K1954" s="3" t="s">
        <v>65</v>
      </c>
      <c r="L1954" s="2" t="s">
        <v>20341</v>
      </c>
      <c r="M1954" s="2" t="s">
        <v>10496</v>
      </c>
      <c r="N1954" s="3" t="s">
        <v>524</v>
      </c>
      <c r="P1954" s="3" t="s">
        <v>69</v>
      </c>
      <c r="Q1954" s="2" t="s">
        <v>20342</v>
      </c>
      <c r="R1954" s="3" t="s">
        <v>19986</v>
      </c>
      <c r="S1954" s="4">
        <v>0</v>
      </c>
      <c r="T1954" s="4">
        <v>0</v>
      </c>
      <c r="W1954" s="5" t="s">
        <v>72</v>
      </c>
      <c r="X1954" s="5" t="s">
        <v>72</v>
      </c>
      <c r="Y1954" s="4">
        <v>61</v>
      </c>
      <c r="Z1954" s="4">
        <v>3</v>
      </c>
      <c r="AA1954" s="4">
        <v>110</v>
      </c>
      <c r="AB1954" s="4">
        <v>1</v>
      </c>
      <c r="AC1954" s="4">
        <v>17</v>
      </c>
      <c r="AD1954" s="4">
        <v>41</v>
      </c>
      <c r="AE1954" s="4">
        <v>134</v>
      </c>
      <c r="AF1954" s="4">
        <v>0</v>
      </c>
      <c r="AG1954" s="4">
        <v>8</v>
      </c>
      <c r="AH1954" s="4">
        <v>40</v>
      </c>
      <c r="AI1954" s="4">
        <v>92</v>
      </c>
      <c r="AJ1954" s="4">
        <v>2</v>
      </c>
      <c r="AK1954" s="4">
        <v>22</v>
      </c>
      <c r="AL1954" s="4">
        <v>21</v>
      </c>
      <c r="AM1954" s="4">
        <v>48</v>
      </c>
      <c r="AN1954" s="4">
        <v>0</v>
      </c>
      <c r="AO1954" s="4">
        <v>0</v>
      </c>
      <c r="AP1954" s="4">
        <v>2</v>
      </c>
      <c r="AQ1954" s="4">
        <v>47</v>
      </c>
      <c r="AR1954" s="3" t="s">
        <v>64</v>
      </c>
      <c r="AS1954" s="3" t="s">
        <v>64</v>
      </c>
      <c r="AT1954" s="3" t="s">
        <v>64</v>
      </c>
      <c r="AV1954" s="6" t="str">
        <f>HYPERLINK("http://mcgill.on.worldcat.org/oclc/824536005","Catalog Record")</f>
        <v>Catalog Record</v>
      </c>
      <c r="AW1954" s="6" t="str">
        <f>HYPERLINK("http://www.worldcat.org/oclc/824536005","WorldCat Record")</f>
        <v>WorldCat Record</v>
      </c>
      <c r="AX1954" s="3" t="s">
        <v>20343</v>
      </c>
      <c r="AY1954" s="3" t="s">
        <v>20344</v>
      </c>
      <c r="AZ1954" s="3" t="s">
        <v>20345</v>
      </c>
      <c r="BA1954" s="3" t="s">
        <v>20345</v>
      </c>
      <c r="BB1954" s="3" t="s">
        <v>20346</v>
      </c>
      <c r="BC1954" s="3" t="s">
        <v>78</v>
      </c>
      <c r="BD1954" s="3" t="s">
        <v>79</v>
      </c>
      <c r="BE1954" s="3" t="s">
        <v>20347</v>
      </c>
      <c r="BF1954" s="3" t="s">
        <v>20346</v>
      </c>
      <c r="BG1954" s="3" t="s">
        <v>20348</v>
      </c>
    </row>
    <row r="1955" spans="1:59" ht="58" x14ac:dyDescent="0.35">
      <c r="A1955" s="2" t="s">
        <v>59</v>
      </c>
      <c r="B1955" s="2" t="s">
        <v>94</v>
      </c>
      <c r="C1955" s="2" t="s">
        <v>20349</v>
      </c>
      <c r="D1955" s="2" t="s">
        <v>20350</v>
      </c>
      <c r="E1955" s="2" t="s">
        <v>20351</v>
      </c>
      <c r="G1955" s="3" t="s">
        <v>64</v>
      </c>
      <c r="I1955" s="3" t="s">
        <v>64</v>
      </c>
      <c r="J1955" s="3" t="s">
        <v>64</v>
      </c>
      <c r="K1955" s="3" t="s">
        <v>65</v>
      </c>
      <c r="L1955" s="2" t="s">
        <v>20352</v>
      </c>
      <c r="M1955" s="2" t="s">
        <v>20353</v>
      </c>
      <c r="N1955" s="3" t="s">
        <v>1064</v>
      </c>
      <c r="P1955" s="3" t="s">
        <v>69</v>
      </c>
      <c r="Q1955" s="2" t="s">
        <v>20354</v>
      </c>
      <c r="R1955" s="3" t="s">
        <v>19986</v>
      </c>
      <c r="S1955" s="4">
        <v>2</v>
      </c>
      <c r="T1955" s="4">
        <v>2</v>
      </c>
      <c r="U1955" s="5" t="s">
        <v>20355</v>
      </c>
      <c r="V1955" s="5" t="s">
        <v>20355</v>
      </c>
      <c r="W1955" s="5" t="s">
        <v>72</v>
      </c>
      <c r="X1955" s="5" t="s">
        <v>72</v>
      </c>
      <c r="Y1955" s="4">
        <v>180</v>
      </c>
      <c r="Z1955" s="4">
        <v>15</v>
      </c>
      <c r="AA1955" s="4">
        <v>19</v>
      </c>
      <c r="AB1955" s="4">
        <v>1</v>
      </c>
      <c r="AC1955" s="4">
        <v>2</v>
      </c>
      <c r="AD1955" s="4">
        <v>66</v>
      </c>
      <c r="AE1955" s="4">
        <v>75</v>
      </c>
      <c r="AF1955" s="4">
        <v>0</v>
      </c>
      <c r="AG1955" s="4">
        <v>1</v>
      </c>
      <c r="AH1955" s="4">
        <v>61</v>
      </c>
      <c r="AI1955" s="4">
        <v>66</v>
      </c>
      <c r="AJ1955" s="4">
        <v>10</v>
      </c>
      <c r="AK1955" s="4">
        <v>13</v>
      </c>
      <c r="AL1955" s="4">
        <v>37</v>
      </c>
      <c r="AM1955" s="4">
        <v>39</v>
      </c>
      <c r="AN1955" s="4">
        <v>0</v>
      </c>
      <c r="AO1955" s="4">
        <v>0</v>
      </c>
      <c r="AP1955" s="4">
        <v>9</v>
      </c>
      <c r="AQ1955" s="4">
        <v>13</v>
      </c>
      <c r="AR1955" s="3" t="s">
        <v>64</v>
      </c>
      <c r="AS1955" s="3" t="s">
        <v>64</v>
      </c>
      <c r="AT1955" s="3" t="s">
        <v>73</v>
      </c>
      <c r="AU1955" s="6" t="str">
        <f>HYPERLINK("http://catalog.hathitrust.org/Record/004069717","HathiTrust Record")</f>
        <v>HathiTrust Record</v>
      </c>
      <c r="AV1955" s="6" t="str">
        <f>HYPERLINK("http://mcgill.on.worldcat.org/oclc/41018051","Catalog Record")</f>
        <v>Catalog Record</v>
      </c>
      <c r="AW1955" s="6" t="str">
        <f>HYPERLINK("http://www.worldcat.org/oclc/41018051","WorldCat Record")</f>
        <v>WorldCat Record</v>
      </c>
      <c r="AX1955" s="3" t="s">
        <v>20356</v>
      </c>
      <c r="AY1955" s="3" t="s">
        <v>20357</v>
      </c>
      <c r="AZ1955" s="3" t="s">
        <v>20358</v>
      </c>
      <c r="BA1955" s="3" t="s">
        <v>20358</v>
      </c>
      <c r="BB1955" s="3" t="s">
        <v>20359</v>
      </c>
      <c r="BC1955" s="3" t="s">
        <v>78</v>
      </c>
      <c r="BD1955" s="3" t="s">
        <v>79</v>
      </c>
      <c r="BE1955" s="3" t="s">
        <v>20360</v>
      </c>
      <c r="BF1955" s="3" t="s">
        <v>20359</v>
      </c>
      <c r="BG1955" s="3" t="s">
        <v>20361</v>
      </c>
    </row>
    <row r="1956" spans="1:59" ht="58" x14ac:dyDescent="0.35">
      <c r="A1956" s="2" t="s">
        <v>59</v>
      </c>
      <c r="B1956" s="2" t="s">
        <v>94</v>
      </c>
      <c r="C1956" s="2" t="s">
        <v>20362</v>
      </c>
      <c r="D1956" s="2" t="s">
        <v>20363</v>
      </c>
      <c r="E1956" s="2" t="s">
        <v>20364</v>
      </c>
      <c r="G1956" s="3" t="s">
        <v>64</v>
      </c>
      <c r="I1956" s="3" t="s">
        <v>64</v>
      </c>
      <c r="J1956" s="3" t="s">
        <v>64</v>
      </c>
      <c r="K1956" s="3" t="s">
        <v>65</v>
      </c>
      <c r="L1956" s="2" t="s">
        <v>20365</v>
      </c>
      <c r="M1956" s="2" t="s">
        <v>20366</v>
      </c>
      <c r="N1956" s="3" t="s">
        <v>189</v>
      </c>
      <c r="P1956" s="3" t="s">
        <v>69</v>
      </c>
      <c r="Q1956" s="2" t="s">
        <v>20367</v>
      </c>
      <c r="R1956" s="3" t="s">
        <v>19986</v>
      </c>
      <c r="S1956" s="4">
        <v>9</v>
      </c>
      <c r="T1956" s="4">
        <v>9</v>
      </c>
      <c r="U1956" s="5" t="s">
        <v>20355</v>
      </c>
      <c r="V1956" s="5" t="s">
        <v>20355</v>
      </c>
      <c r="W1956" s="5" t="s">
        <v>72</v>
      </c>
      <c r="X1956" s="5" t="s">
        <v>72</v>
      </c>
      <c r="Y1956" s="4">
        <v>152</v>
      </c>
      <c r="Z1956" s="4">
        <v>24</v>
      </c>
      <c r="AA1956" s="4">
        <v>24</v>
      </c>
      <c r="AB1956" s="4">
        <v>1</v>
      </c>
      <c r="AC1956" s="4">
        <v>1</v>
      </c>
      <c r="AD1956" s="4">
        <v>39</v>
      </c>
      <c r="AE1956" s="4">
        <v>39</v>
      </c>
      <c r="AF1956" s="4">
        <v>0</v>
      </c>
      <c r="AG1956" s="4">
        <v>0</v>
      </c>
      <c r="AH1956" s="4">
        <v>32</v>
      </c>
      <c r="AI1956" s="4">
        <v>32</v>
      </c>
      <c r="AJ1956" s="4">
        <v>7</v>
      </c>
      <c r="AK1956" s="4">
        <v>7</v>
      </c>
      <c r="AL1956" s="4">
        <v>21</v>
      </c>
      <c r="AM1956" s="4">
        <v>21</v>
      </c>
      <c r="AN1956" s="4">
        <v>0</v>
      </c>
      <c r="AO1956" s="4">
        <v>0</v>
      </c>
      <c r="AP1956" s="4">
        <v>10</v>
      </c>
      <c r="AQ1956" s="4">
        <v>10</v>
      </c>
      <c r="AR1956" s="3" t="s">
        <v>64</v>
      </c>
      <c r="AS1956" s="3" t="s">
        <v>64</v>
      </c>
      <c r="AT1956" s="3" t="s">
        <v>73</v>
      </c>
      <c r="AU1956" s="6" t="str">
        <f>HYPERLINK("http://catalog.hathitrust.org/Record/001628182","HathiTrust Record")</f>
        <v>HathiTrust Record</v>
      </c>
      <c r="AV1956" s="6" t="str">
        <f>HYPERLINK("http://mcgill.on.worldcat.org/oclc/1690598","Catalog Record")</f>
        <v>Catalog Record</v>
      </c>
      <c r="AW1956" s="6" t="str">
        <f>HYPERLINK("http://www.worldcat.org/oclc/1690598","WorldCat Record")</f>
        <v>WorldCat Record</v>
      </c>
      <c r="AX1956" s="3" t="s">
        <v>20368</v>
      </c>
      <c r="AY1956" s="3" t="s">
        <v>20369</v>
      </c>
      <c r="AZ1956" s="3" t="s">
        <v>20370</v>
      </c>
      <c r="BA1956" s="3" t="s">
        <v>20370</v>
      </c>
      <c r="BB1956" s="3" t="s">
        <v>20371</v>
      </c>
      <c r="BC1956" s="3" t="s">
        <v>78</v>
      </c>
      <c r="BD1956" s="3" t="s">
        <v>79</v>
      </c>
      <c r="BF1956" s="3" t="s">
        <v>20371</v>
      </c>
      <c r="BG1956" s="3" t="s">
        <v>20372</v>
      </c>
    </row>
    <row r="1957" spans="1:59" ht="58" x14ac:dyDescent="0.35">
      <c r="A1957" s="2" t="s">
        <v>59</v>
      </c>
      <c r="B1957" s="2" t="s">
        <v>94</v>
      </c>
      <c r="C1957" s="2" t="s">
        <v>20373</v>
      </c>
      <c r="D1957" s="2" t="s">
        <v>20374</v>
      </c>
      <c r="E1957" s="2" t="s">
        <v>20375</v>
      </c>
      <c r="G1957" s="3" t="s">
        <v>64</v>
      </c>
      <c r="I1957" s="3" t="s">
        <v>64</v>
      </c>
      <c r="J1957" s="3" t="s">
        <v>64</v>
      </c>
      <c r="K1957" s="3" t="s">
        <v>65</v>
      </c>
      <c r="L1957" s="2" t="s">
        <v>13674</v>
      </c>
      <c r="M1957" s="2" t="s">
        <v>11797</v>
      </c>
      <c r="N1957" s="3" t="s">
        <v>377</v>
      </c>
      <c r="P1957" s="3" t="s">
        <v>69</v>
      </c>
      <c r="R1957" s="3" t="s">
        <v>19986</v>
      </c>
      <c r="S1957" s="4">
        <v>2</v>
      </c>
      <c r="T1957" s="4">
        <v>2</v>
      </c>
      <c r="U1957" s="5" t="s">
        <v>20376</v>
      </c>
      <c r="V1957" s="5" t="s">
        <v>20376</v>
      </c>
      <c r="W1957" s="5" t="s">
        <v>72</v>
      </c>
      <c r="X1957" s="5" t="s">
        <v>72</v>
      </c>
      <c r="Y1957" s="4">
        <v>14</v>
      </c>
      <c r="Z1957" s="4">
        <v>6</v>
      </c>
      <c r="AA1957" s="4">
        <v>15</v>
      </c>
      <c r="AB1957" s="4">
        <v>1</v>
      </c>
      <c r="AC1957" s="4">
        <v>1</v>
      </c>
      <c r="AD1957" s="4">
        <v>8</v>
      </c>
      <c r="AE1957" s="4">
        <v>12</v>
      </c>
      <c r="AF1957" s="4">
        <v>0</v>
      </c>
      <c r="AG1957" s="4">
        <v>0</v>
      </c>
      <c r="AH1957" s="4">
        <v>6</v>
      </c>
      <c r="AI1957" s="4">
        <v>9</v>
      </c>
      <c r="AJ1957" s="4">
        <v>4</v>
      </c>
      <c r="AK1957" s="4">
        <v>8</v>
      </c>
      <c r="AL1957" s="4">
        <v>3</v>
      </c>
      <c r="AM1957" s="4">
        <v>4</v>
      </c>
      <c r="AN1957" s="4">
        <v>0</v>
      </c>
      <c r="AO1957" s="4">
        <v>0</v>
      </c>
      <c r="AP1957" s="4">
        <v>3</v>
      </c>
      <c r="AQ1957" s="4">
        <v>7</v>
      </c>
      <c r="AR1957" s="3" t="s">
        <v>73</v>
      </c>
      <c r="AS1957" s="3" t="s">
        <v>64</v>
      </c>
      <c r="AT1957" s="3" t="s">
        <v>64</v>
      </c>
      <c r="AV1957" s="6" t="str">
        <f>HYPERLINK("http://mcgill.on.worldcat.org/oclc/743390456","Catalog Record")</f>
        <v>Catalog Record</v>
      </c>
      <c r="AW1957" s="6" t="str">
        <f>HYPERLINK("http://www.worldcat.org/oclc/743390456","WorldCat Record")</f>
        <v>WorldCat Record</v>
      </c>
      <c r="AX1957" s="3" t="s">
        <v>20377</v>
      </c>
      <c r="AY1957" s="3" t="s">
        <v>20378</v>
      </c>
      <c r="AZ1957" s="3" t="s">
        <v>20379</v>
      </c>
      <c r="BA1957" s="3" t="s">
        <v>20379</v>
      </c>
      <c r="BB1957" s="3" t="s">
        <v>20380</v>
      </c>
      <c r="BC1957" s="3" t="s">
        <v>78</v>
      </c>
      <c r="BD1957" s="3" t="s">
        <v>79</v>
      </c>
      <c r="BE1957" s="3" t="s">
        <v>20381</v>
      </c>
      <c r="BF1957" s="3" t="s">
        <v>20380</v>
      </c>
      <c r="BG1957" s="3" t="s">
        <v>20382</v>
      </c>
    </row>
    <row r="1958" spans="1:59" ht="58" x14ac:dyDescent="0.35">
      <c r="A1958" s="2" t="s">
        <v>59</v>
      </c>
      <c r="B1958" s="2" t="s">
        <v>94</v>
      </c>
      <c r="C1958" s="2" t="s">
        <v>20383</v>
      </c>
      <c r="D1958" s="2" t="s">
        <v>20384</v>
      </c>
      <c r="E1958" s="2" t="s">
        <v>20385</v>
      </c>
      <c r="F1958" s="3" t="s">
        <v>3653</v>
      </c>
      <c r="G1958" s="3" t="s">
        <v>73</v>
      </c>
      <c r="I1958" s="3" t="s">
        <v>64</v>
      </c>
      <c r="J1958" s="3" t="s">
        <v>64</v>
      </c>
      <c r="K1958" s="3" t="s">
        <v>65</v>
      </c>
      <c r="L1958" s="2" t="s">
        <v>20386</v>
      </c>
      <c r="M1958" s="2" t="s">
        <v>20387</v>
      </c>
      <c r="N1958" s="3" t="s">
        <v>201</v>
      </c>
      <c r="P1958" s="3" t="s">
        <v>69</v>
      </c>
      <c r="R1958" s="3" t="s">
        <v>19986</v>
      </c>
      <c r="S1958" s="4">
        <v>5</v>
      </c>
      <c r="T1958" s="4">
        <v>5</v>
      </c>
      <c r="U1958" s="5" t="s">
        <v>4589</v>
      </c>
      <c r="V1958" s="5" t="s">
        <v>4589</v>
      </c>
      <c r="W1958" s="5" t="s">
        <v>72</v>
      </c>
      <c r="X1958" s="5" t="s">
        <v>72</v>
      </c>
      <c r="Y1958" s="4">
        <v>7</v>
      </c>
      <c r="Z1958" s="4">
        <v>1</v>
      </c>
      <c r="AA1958" s="4">
        <v>7</v>
      </c>
      <c r="AB1958" s="4">
        <v>1</v>
      </c>
      <c r="AC1958" s="4">
        <v>1</v>
      </c>
      <c r="AD1958" s="4">
        <v>1</v>
      </c>
      <c r="AE1958" s="4">
        <v>15</v>
      </c>
      <c r="AF1958" s="4">
        <v>0</v>
      </c>
      <c r="AG1958" s="4">
        <v>0</v>
      </c>
      <c r="AH1958" s="4">
        <v>1</v>
      </c>
      <c r="AI1958" s="4">
        <v>14</v>
      </c>
      <c r="AJ1958" s="4">
        <v>0</v>
      </c>
      <c r="AK1958" s="4">
        <v>3</v>
      </c>
      <c r="AL1958" s="4">
        <v>0</v>
      </c>
      <c r="AM1958" s="4">
        <v>8</v>
      </c>
      <c r="AN1958" s="4">
        <v>0</v>
      </c>
      <c r="AO1958" s="4">
        <v>0</v>
      </c>
      <c r="AP1958" s="4">
        <v>0</v>
      </c>
      <c r="AQ1958" s="4">
        <v>4</v>
      </c>
      <c r="AR1958" s="3" t="s">
        <v>64</v>
      </c>
      <c r="AS1958" s="3" t="s">
        <v>64</v>
      </c>
      <c r="AT1958" s="3" t="s">
        <v>64</v>
      </c>
      <c r="AV1958" s="6" t="str">
        <f>HYPERLINK("http://mcgill.on.worldcat.org/oclc/22330594","Catalog Record")</f>
        <v>Catalog Record</v>
      </c>
      <c r="AW1958" s="6" t="str">
        <f>HYPERLINK("http://www.worldcat.org/oclc/22330594","WorldCat Record")</f>
        <v>WorldCat Record</v>
      </c>
      <c r="AX1958" s="3" t="s">
        <v>20388</v>
      </c>
      <c r="AY1958" s="3" t="s">
        <v>20389</v>
      </c>
      <c r="AZ1958" s="3" t="s">
        <v>20390</v>
      </c>
      <c r="BA1958" s="3" t="s">
        <v>20390</v>
      </c>
      <c r="BB1958" s="3" t="s">
        <v>20391</v>
      </c>
      <c r="BC1958" s="3" t="s">
        <v>78</v>
      </c>
      <c r="BD1958" s="3" t="s">
        <v>79</v>
      </c>
      <c r="BF1958" s="3" t="s">
        <v>20391</v>
      </c>
      <c r="BG1958" s="3" t="s">
        <v>20392</v>
      </c>
    </row>
    <row r="1959" spans="1:59" ht="72.5" x14ac:dyDescent="0.35">
      <c r="A1959" s="2" t="s">
        <v>59</v>
      </c>
      <c r="B1959" s="2" t="s">
        <v>94</v>
      </c>
      <c r="C1959" s="2" t="s">
        <v>20393</v>
      </c>
      <c r="D1959" s="2" t="s">
        <v>20394</v>
      </c>
      <c r="E1959" s="2" t="s">
        <v>20395</v>
      </c>
      <c r="G1959" s="3" t="s">
        <v>73</v>
      </c>
      <c r="I1959" s="3" t="s">
        <v>64</v>
      </c>
      <c r="J1959" s="3" t="s">
        <v>64</v>
      </c>
      <c r="K1959" s="3" t="s">
        <v>65</v>
      </c>
      <c r="L1959" s="2" t="s">
        <v>20396</v>
      </c>
      <c r="M1959" s="2" t="s">
        <v>20397</v>
      </c>
      <c r="N1959" s="3" t="s">
        <v>189</v>
      </c>
      <c r="O1959" s="2" t="s">
        <v>20398</v>
      </c>
      <c r="P1959" s="3" t="s">
        <v>20399</v>
      </c>
      <c r="R1959" s="3" t="s">
        <v>19986</v>
      </c>
      <c r="S1959" s="4">
        <v>1</v>
      </c>
      <c r="T1959" s="4">
        <v>1</v>
      </c>
      <c r="U1959" s="5" t="s">
        <v>20400</v>
      </c>
      <c r="V1959" s="5" t="s">
        <v>20400</v>
      </c>
      <c r="W1959" s="5" t="s">
        <v>72</v>
      </c>
      <c r="X1959" s="5" t="s">
        <v>72</v>
      </c>
      <c r="Y1959" s="4">
        <v>36</v>
      </c>
      <c r="Z1959" s="4">
        <v>4</v>
      </c>
      <c r="AA1959" s="4">
        <v>4</v>
      </c>
      <c r="AB1959" s="4">
        <v>1</v>
      </c>
      <c r="AC1959" s="4">
        <v>1</v>
      </c>
      <c r="AD1959" s="4">
        <v>20</v>
      </c>
      <c r="AE1959" s="4">
        <v>27</v>
      </c>
      <c r="AF1959" s="4">
        <v>0</v>
      </c>
      <c r="AG1959" s="4">
        <v>0</v>
      </c>
      <c r="AH1959" s="4">
        <v>18</v>
      </c>
      <c r="AI1959" s="4">
        <v>25</v>
      </c>
      <c r="AJ1959" s="4">
        <v>1</v>
      </c>
      <c r="AK1959" s="4">
        <v>1</v>
      </c>
      <c r="AL1959" s="4">
        <v>14</v>
      </c>
      <c r="AM1959" s="4">
        <v>19</v>
      </c>
      <c r="AN1959" s="4">
        <v>0</v>
      </c>
      <c r="AO1959" s="4">
        <v>0</v>
      </c>
      <c r="AP1959" s="4">
        <v>1</v>
      </c>
      <c r="AQ1959" s="4">
        <v>1</v>
      </c>
      <c r="AR1959" s="3" t="s">
        <v>64</v>
      </c>
      <c r="AS1959" s="3" t="s">
        <v>64</v>
      </c>
      <c r="AT1959" s="3" t="s">
        <v>64</v>
      </c>
      <c r="AV1959" s="6" t="str">
        <f>HYPERLINK("http://mcgill.on.worldcat.org/oclc/27164807","Catalog Record")</f>
        <v>Catalog Record</v>
      </c>
      <c r="AW1959" s="6" t="str">
        <f>HYPERLINK("http://www.worldcat.org/oclc/27164807","WorldCat Record")</f>
        <v>WorldCat Record</v>
      </c>
      <c r="AX1959" s="3" t="s">
        <v>20401</v>
      </c>
      <c r="AY1959" s="3" t="s">
        <v>20402</v>
      </c>
      <c r="AZ1959" s="3" t="s">
        <v>20403</v>
      </c>
      <c r="BA1959" s="3" t="s">
        <v>20403</v>
      </c>
      <c r="BB1959" s="3" t="s">
        <v>20404</v>
      </c>
      <c r="BC1959" s="3" t="s">
        <v>78</v>
      </c>
      <c r="BD1959" s="3" t="s">
        <v>79</v>
      </c>
      <c r="BF1959" s="3" t="s">
        <v>20404</v>
      </c>
      <c r="BG1959" s="3" t="s">
        <v>20405</v>
      </c>
    </row>
    <row r="1960" spans="1:59" ht="58" x14ac:dyDescent="0.35">
      <c r="A1960" s="2" t="s">
        <v>59</v>
      </c>
      <c r="B1960" s="2" t="s">
        <v>94</v>
      </c>
      <c r="C1960" s="2" t="s">
        <v>20406</v>
      </c>
      <c r="D1960" s="2" t="s">
        <v>20407</v>
      </c>
      <c r="E1960" s="2" t="s">
        <v>20408</v>
      </c>
      <c r="G1960" s="3" t="s">
        <v>64</v>
      </c>
      <c r="I1960" s="3" t="s">
        <v>64</v>
      </c>
      <c r="J1960" s="3" t="s">
        <v>64</v>
      </c>
      <c r="K1960" s="3" t="s">
        <v>65</v>
      </c>
      <c r="L1960" s="2" t="s">
        <v>20409</v>
      </c>
      <c r="M1960" s="2" t="s">
        <v>20410</v>
      </c>
      <c r="N1960" s="3" t="s">
        <v>226</v>
      </c>
      <c r="P1960" s="3" t="s">
        <v>69</v>
      </c>
      <c r="R1960" s="3" t="s">
        <v>19986</v>
      </c>
      <c r="S1960" s="4">
        <v>1</v>
      </c>
      <c r="T1960" s="4">
        <v>1</v>
      </c>
      <c r="U1960" s="5" t="s">
        <v>20411</v>
      </c>
      <c r="V1960" s="5" t="s">
        <v>20411</v>
      </c>
      <c r="W1960" s="5" t="s">
        <v>72</v>
      </c>
      <c r="X1960" s="5" t="s">
        <v>72</v>
      </c>
      <c r="Y1960" s="4">
        <v>209</v>
      </c>
      <c r="Z1960" s="4">
        <v>8</v>
      </c>
      <c r="AA1960" s="4">
        <v>8</v>
      </c>
      <c r="AB1960" s="4">
        <v>1</v>
      </c>
      <c r="AC1960" s="4">
        <v>1</v>
      </c>
      <c r="AD1960" s="4">
        <v>61</v>
      </c>
      <c r="AE1960" s="4">
        <v>61</v>
      </c>
      <c r="AF1960" s="4">
        <v>0</v>
      </c>
      <c r="AG1960" s="4">
        <v>0</v>
      </c>
      <c r="AH1960" s="4">
        <v>59</v>
      </c>
      <c r="AI1960" s="4">
        <v>59</v>
      </c>
      <c r="AJ1960" s="4">
        <v>4</v>
      </c>
      <c r="AK1960" s="4">
        <v>4</v>
      </c>
      <c r="AL1960" s="4">
        <v>37</v>
      </c>
      <c r="AM1960" s="4">
        <v>37</v>
      </c>
      <c r="AN1960" s="4">
        <v>0</v>
      </c>
      <c r="AO1960" s="4">
        <v>0</v>
      </c>
      <c r="AP1960" s="4">
        <v>4</v>
      </c>
      <c r="AQ1960" s="4">
        <v>4</v>
      </c>
      <c r="AR1960" s="3" t="s">
        <v>64</v>
      </c>
      <c r="AS1960" s="3" t="s">
        <v>64</v>
      </c>
      <c r="AT1960" s="3" t="s">
        <v>73</v>
      </c>
      <c r="AU1960" s="6" t="str">
        <f>HYPERLINK("http://catalog.hathitrust.org/Record/003170568","HathiTrust Record")</f>
        <v>HathiTrust Record</v>
      </c>
      <c r="AV1960" s="6" t="str">
        <f>HYPERLINK("http://mcgill.on.worldcat.org/oclc/35961385","Catalog Record")</f>
        <v>Catalog Record</v>
      </c>
      <c r="AW1960" s="6" t="str">
        <f>HYPERLINK("http://www.worldcat.org/oclc/35961385","WorldCat Record")</f>
        <v>WorldCat Record</v>
      </c>
      <c r="AX1960" s="3" t="s">
        <v>20412</v>
      </c>
      <c r="AY1960" s="3" t="s">
        <v>20413</v>
      </c>
      <c r="AZ1960" s="3" t="s">
        <v>20414</v>
      </c>
      <c r="BA1960" s="3" t="s">
        <v>20414</v>
      </c>
      <c r="BB1960" s="3" t="s">
        <v>20415</v>
      </c>
      <c r="BC1960" s="3" t="s">
        <v>78</v>
      </c>
      <c r="BD1960" s="3" t="s">
        <v>79</v>
      </c>
      <c r="BE1960" s="3" t="s">
        <v>20416</v>
      </c>
      <c r="BF1960" s="3" t="s">
        <v>20415</v>
      </c>
      <c r="BG1960" s="3" t="s">
        <v>20417</v>
      </c>
    </row>
    <row r="1961" spans="1:59" ht="58" x14ac:dyDescent="0.35">
      <c r="A1961" s="2" t="s">
        <v>59</v>
      </c>
      <c r="B1961" s="2" t="s">
        <v>94</v>
      </c>
      <c r="C1961" s="2" t="s">
        <v>20418</v>
      </c>
      <c r="D1961" s="2" t="s">
        <v>20419</v>
      </c>
      <c r="E1961" s="2" t="s">
        <v>20420</v>
      </c>
      <c r="G1961" s="3" t="s">
        <v>64</v>
      </c>
      <c r="I1961" s="3" t="s">
        <v>64</v>
      </c>
      <c r="J1961" s="3" t="s">
        <v>64</v>
      </c>
      <c r="K1961" s="3" t="s">
        <v>65</v>
      </c>
      <c r="L1961" s="2" t="s">
        <v>20421</v>
      </c>
      <c r="M1961" s="2" t="s">
        <v>20422</v>
      </c>
      <c r="N1961" s="3" t="s">
        <v>377</v>
      </c>
      <c r="P1961" s="3" t="s">
        <v>69</v>
      </c>
      <c r="R1961" s="3" t="s">
        <v>19986</v>
      </c>
      <c r="S1961" s="4">
        <v>6</v>
      </c>
      <c r="T1961" s="4">
        <v>6</v>
      </c>
      <c r="U1961" s="5" t="s">
        <v>20423</v>
      </c>
      <c r="V1961" s="5" t="s">
        <v>20423</v>
      </c>
      <c r="W1961" s="5" t="s">
        <v>72</v>
      </c>
      <c r="X1961" s="5" t="s">
        <v>72</v>
      </c>
      <c r="Y1961" s="4">
        <v>38</v>
      </c>
      <c r="Z1961" s="4">
        <v>1</v>
      </c>
      <c r="AA1961" s="4">
        <v>2</v>
      </c>
      <c r="AB1961" s="4">
        <v>1</v>
      </c>
      <c r="AC1961" s="4">
        <v>2</v>
      </c>
      <c r="AD1961" s="4">
        <v>8</v>
      </c>
      <c r="AE1961" s="4">
        <v>9</v>
      </c>
      <c r="AF1961" s="4">
        <v>0</v>
      </c>
      <c r="AG1961" s="4">
        <v>1</v>
      </c>
      <c r="AH1961" s="4">
        <v>8</v>
      </c>
      <c r="AI1961" s="4">
        <v>9</v>
      </c>
      <c r="AJ1961" s="4">
        <v>0</v>
      </c>
      <c r="AK1961" s="4">
        <v>1</v>
      </c>
      <c r="AL1961" s="4">
        <v>6</v>
      </c>
      <c r="AM1961" s="4">
        <v>6</v>
      </c>
      <c r="AN1961" s="4">
        <v>0</v>
      </c>
      <c r="AO1961" s="4">
        <v>0</v>
      </c>
      <c r="AP1961" s="4">
        <v>0</v>
      </c>
      <c r="AQ1961" s="4">
        <v>1</v>
      </c>
      <c r="AR1961" s="3" t="s">
        <v>64</v>
      </c>
      <c r="AS1961" s="3" t="s">
        <v>64</v>
      </c>
      <c r="AT1961" s="3" t="s">
        <v>64</v>
      </c>
      <c r="AV1961" s="6" t="str">
        <f>HYPERLINK("http://mcgill.on.worldcat.org/oclc/779454239","Catalog Record")</f>
        <v>Catalog Record</v>
      </c>
      <c r="AW1961" s="6" t="str">
        <f>HYPERLINK("http://www.worldcat.org/oclc/779454239","WorldCat Record")</f>
        <v>WorldCat Record</v>
      </c>
      <c r="AX1961" s="3" t="s">
        <v>20424</v>
      </c>
      <c r="AY1961" s="3" t="s">
        <v>20425</v>
      </c>
      <c r="AZ1961" s="3" t="s">
        <v>20426</v>
      </c>
      <c r="BA1961" s="3" t="s">
        <v>20426</v>
      </c>
      <c r="BB1961" s="3" t="s">
        <v>20427</v>
      </c>
      <c r="BC1961" s="3" t="s">
        <v>78</v>
      </c>
      <c r="BD1961" s="3" t="s">
        <v>79</v>
      </c>
      <c r="BE1961" s="3" t="s">
        <v>20428</v>
      </c>
      <c r="BF1961" s="3" t="s">
        <v>20427</v>
      </c>
      <c r="BG1961" s="3" t="s">
        <v>20429</v>
      </c>
    </row>
    <row r="1962" spans="1:59" ht="58" x14ac:dyDescent="0.35">
      <c r="A1962" s="2" t="s">
        <v>59</v>
      </c>
      <c r="B1962" s="2" t="s">
        <v>94</v>
      </c>
      <c r="C1962" s="2" t="s">
        <v>20430</v>
      </c>
      <c r="D1962" s="2" t="s">
        <v>20431</v>
      </c>
      <c r="E1962" s="2" t="s">
        <v>20432</v>
      </c>
      <c r="G1962" s="3" t="s">
        <v>64</v>
      </c>
      <c r="I1962" s="3" t="s">
        <v>64</v>
      </c>
      <c r="J1962" s="3" t="s">
        <v>64</v>
      </c>
      <c r="K1962" s="3" t="s">
        <v>65</v>
      </c>
      <c r="L1962" s="2" t="s">
        <v>12464</v>
      </c>
      <c r="M1962" s="2" t="s">
        <v>523</v>
      </c>
      <c r="N1962" s="3" t="s">
        <v>524</v>
      </c>
      <c r="P1962" s="3" t="s">
        <v>69</v>
      </c>
      <c r="R1962" s="3" t="s">
        <v>20433</v>
      </c>
      <c r="S1962" s="4">
        <v>1</v>
      </c>
      <c r="T1962" s="4">
        <v>1</v>
      </c>
      <c r="U1962" s="5" t="s">
        <v>20434</v>
      </c>
      <c r="V1962" s="5" t="s">
        <v>20434</v>
      </c>
      <c r="W1962" s="5" t="s">
        <v>72</v>
      </c>
      <c r="X1962" s="5" t="s">
        <v>72</v>
      </c>
      <c r="Y1962" s="4">
        <v>96</v>
      </c>
      <c r="Z1962" s="4">
        <v>7</v>
      </c>
      <c r="AA1962" s="4">
        <v>79</v>
      </c>
      <c r="AB1962" s="4">
        <v>1</v>
      </c>
      <c r="AC1962" s="4">
        <v>16</v>
      </c>
      <c r="AD1962" s="4">
        <v>31</v>
      </c>
      <c r="AE1962" s="4">
        <v>99</v>
      </c>
      <c r="AF1962" s="4">
        <v>0</v>
      </c>
      <c r="AG1962" s="4">
        <v>8</v>
      </c>
      <c r="AH1962" s="4">
        <v>30</v>
      </c>
      <c r="AI1962" s="4">
        <v>67</v>
      </c>
      <c r="AJ1962" s="4">
        <v>5</v>
      </c>
      <c r="AK1962" s="4">
        <v>19</v>
      </c>
      <c r="AL1962" s="4">
        <v>18</v>
      </c>
      <c r="AM1962" s="4">
        <v>36</v>
      </c>
      <c r="AN1962" s="4">
        <v>0</v>
      </c>
      <c r="AO1962" s="4">
        <v>0</v>
      </c>
      <c r="AP1962" s="4">
        <v>5</v>
      </c>
      <c r="AQ1962" s="4">
        <v>40</v>
      </c>
      <c r="AR1962" s="3" t="s">
        <v>64</v>
      </c>
      <c r="AS1962" s="3" t="s">
        <v>64</v>
      </c>
      <c r="AT1962" s="3" t="s">
        <v>64</v>
      </c>
      <c r="AV1962" s="6" t="str">
        <f>HYPERLINK("http://mcgill.on.worldcat.org/oclc/810946818","Catalog Record")</f>
        <v>Catalog Record</v>
      </c>
      <c r="AW1962" s="6" t="str">
        <f>HYPERLINK("http://www.worldcat.org/oclc/810946818","WorldCat Record")</f>
        <v>WorldCat Record</v>
      </c>
      <c r="AX1962" s="3" t="s">
        <v>20435</v>
      </c>
      <c r="AY1962" s="3" t="s">
        <v>20436</v>
      </c>
      <c r="AZ1962" s="3" t="s">
        <v>20437</v>
      </c>
      <c r="BA1962" s="3" t="s">
        <v>20437</v>
      </c>
      <c r="BB1962" s="3" t="s">
        <v>20438</v>
      </c>
      <c r="BC1962" s="3" t="s">
        <v>78</v>
      </c>
      <c r="BD1962" s="3" t="s">
        <v>79</v>
      </c>
      <c r="BE1962" s="3" t="s">
        <v>20439</v>
      </c>
      <c r="BF1962" s="3" t="s">
        <v>20438</v>
      </c>
      <c r="BG1962" s="3" t="s">
        <v>20440</v>
      </c>
    </row>
    <row r="1963" spans="1:59" ht="58" x14ac:dyDescent="0.35">
      <c r="A1963" s="2" t="s">
        <v>59</v>
      </c>
      <c r="B1963" s="2" t="s">
        <v>94</v>
      </c>
      <c r="C1963" s="2" t="s">
        <v>20441</v>
      </c>
      <c r="D1963" s="2" t="s">
        <v>20442</v>
      </c>
      <c r="E1963" s="2" t="s">
        <v>20443</v>
      </c>
      <c r="G1963" s="3" t="s">
        <v>64</v>
      </c>
      <c r="I1963" s="3" t="s">
        <v>64</v>
      </c>
      <c r="J1963" s="3" t="s">
        <v>64</v>
      </c>
      <c r="K1963" s="3" t="s">
        <v>65</v>
      </c>
      <c r="L1963" s="2" t="s">
        <v>20444</v>
      </c>
      <c r="M1963" s="2" t="s">
        <v>20445</v>
      </c>
      <c r="N1963" s="3" t="s">
        <v>1154</v>
      </c>
      <c r="P1963" s="3" t="s">
        <v>69</v>
      </c>
      <c r="R1963" s="3" t="s">
        <v>20433</v>
      </c>
      <c r="S1963" s="4">
        <v>3</v>
      </c>
      <c r="T1963" s="4">
        <v>3</v>
      </c>
      <c r="U1963" s="5" t="s">
        <v>13915</v>
      </c>
      <c r="V1963" s="5" t="s">
        <v>13915</v>
      </c>
      <c r="W1963" s="5" t="s">
        <v>72</v>
      </c>
      <c r="X1963" s="5" t="s">
        <v>72</v>
      </c>
      <c r="Y1963" s="4">
        <v>368</v>
      </c>
      <c r="Z1963" s="4">
        <v>12</v>
      </c>
      <c r="AA1963" s="4">
        <v>95</v>
      </c>
      <c r="AB1963" s="4">
        <v>1</v>
      </c>
      <c r="AC1963" s="4">
        <v>17</v>
      </c>
      <c r="AD1963" s="4">
        <v>83</v>
      </c>
      <c r="AE1963" s="4">
        <v>130</v>
      </c>
      <c r="AF1963" s="4">
        <v>0</v>
      </c>
      <c r="AG1963" s="4">
        <v>8</v>
      </c>
      <c r="AH1963" s="4">
        <v>76</v>
      </c>
      <c r="AI1963" s="4">
        <v>95</v>
      </c>
      <c r="AJ1963" s="4">
        <v>5</v>
      </c>
      <c r="AK1963" s="4">
        <v>19</v>
      </c>
      <c r="AL1963" s="4">
        <v>46</v>
      </c>
      <c r="AM1963" s="4">
        <v>54</v>
      </c>
      <c r="AN1963" s="4">
        <v>0</v>
      </c>
      <c r="AO1963" s="4">
        <v>0</v>
      </c>
      <c r="AP1963" s="4">
        <v>8</v>
      </c>
      <c r="AQ1963" s="4">
        <v>41</v>
      </c>
      <c r="AR1963" s="3" t="s">
        <v>64</v>
      </c>
      <c r="AS1963" s="3" t="s">
        <v>64</v>
      </c>
      <c r="AT1963" s="3" t="s">
        <v>73</v>
      </c>
      <c r="AU1963" s="6" t="str">
        <f>HYPERLINK("http://catalog.hathitrust.org/Record/002891679","HathiTrust Record")</f>
        <v>HathiTrust Record</v>
      </c>
      <c r="AV1963" s="6" t="str">
        <f>HYPERLINK("http://mcgill.on.worldcat.org/oclc/29428003","Catalog Record")</f>
        <v>Catalog Record</v>
      </c>
      <c r="AW1963" s="6" t="str">
        <f>HYPERLINK("http://www.worldcat.org/oclc/29428003","WorldCat Record")</f>
        <v>WorldCat Record</v>
      </c>
      <c r="AX1963" s="3" t="s">
        <v>20446</v>
      </c>
      <c r="AY1963" s="3" t="s">
        <v>20447</v>
      </c>
      <c r="AZ1963" s="3" t="s">
        <v>20448</v>
      </c>
      <c r="BA1963" s="3" t="s">
        <v>20448</v>
      </c>
      <c r="BB1963" s="3" t="s">
        <v>20449</v>
      </c>
      <c r="BC1963" s="3" t="s">
        <v>78</v>
      </c>
      <c r="BD1963" s="3" t="s">
        <v>79</v>
      </c>
      <c r="BE1963" s="3" t="s">
        <v>20450</v>
      </c>
      <c r="BF1963" s="3" t="s">
        <v>20449</v>
      </c>
      <c r="BG1963" s="3" t="s">
        <v>20451</v>
      </c>
    </row>
    <row r="1964" spans="1:59" ht="58" x14ac:dyDescent="0.35">
      <c r="A1964" s="2" t="s">
        <v>59</v>
      </c>
      <c r="B1964" s="2" t="s">
        <v>94</v>
      </c>
      <c r="C1964" s="2" t="s">
        <v>20452</v>
      </c>
      <c r="D1964" s="2" t="s">
        <v>20453</v>
      </c>
      <c r="E1964" s="2" t="s">
        <v>20454</v>
      </c>
      <c r="G1964" s="3" t="s">
        <v>64</v>
      </c>
      <c r="I1964" s="3" t="s">
        <v>64</v>
      </c>
      <c r="J1964" s="3" t="s">
        <v>64</v>
      </c>
      <c r="K1964" s="3" t="s">
        <v>65</v>
      </c>
      <c r="L1964" s="2" t="s">
        <v>20455</v>
      </c>
      <c r="M1964" s="2" t="s">
        <v>20456</v>
      </c>
      <c r="N1964" s="3" t="s">
        <v>274</v>
      </c>
      <c r="P1964" s="3" t="s">
        <v>69</v>
      </c>
      <c r="Q1964" s="2" t="s">
        <v>20457</v>
      </c>
      <c r="R1964" s="3" t="s">
        <v>20433</v>
      </c>
      <c r="S1964" s="4">
        <v>2</v>
      </c>
      <c r="T1964" s="4">
        <v>2</v>
      </c>
      <c r="U1964" s="5" t="s">
        <v>20458</v>
      </c>
      <c r="V1964" s="5" t="s">
        <v>20458</v>
      </c>
      <c r="W1964" s="5" t="s">
        <v>72</v>
      </c>
      <c r="X1964" s="5" t="s">
        <v>72</v>
      </c>
      <c r="Y1964" s="4">
        <v>29</v>
      </c>
      <c r="Z1964" s="4">
        <v>15</v>
      </c>
      <c r="AA1964" s="4">
        <v>16</v>
      </c>
      <c r="AB1964" s="4">
        <v>3</v>
      </c>
      <c r="AC1964" s="4">
        <v>3</v>
      </c>
      <c r="AD1964" s="4">
        <v>11</v>
      </c>
      <c r="AE1964" s="4">
        <v>12</v>
      </c>
      <c r="AF1964" s="4">
        <v>0</v>
      </c>
      <c r="AG1964" s="4">
        <v>0</v>
      </c>
      <c r="AH1964" s="4">
        <v>8</v>
      </c>
      <c r="AI1964" s="4">
        <v>8</v>
      </c>
      <c r="AJ1964" s="4">
        <v>6</v>
      </c>
      <c r="AK1964" s="4">
        <v>7</v>
      </c>
      <c r="AL1964" s="4">
        <v>3</v>
      </c>
      <c r="AM1964" s="4">
        <v>3</v>
      </c>
      <c r="AN1964" s="4">
        <v>0</v>
      </c>
      <c r="AO1964" s="4">
        <v>0</v>
      </c>
      <c r="AP1964" s="4">
        <v>7</v>
      </c>
      <c r="AQ1964" s="4">
        <v>8</v>
      </c>
      <c r="AR1964" s="3" t="s">
        <v>64</v>
      </c>
      <c r="AS1964" s="3" t="s">
        <v>64</v>
      </c>
      <c r="AT1964" s="3" t="s">
        <v>64</v>
      </c>
      <c r="AV1964" s="6" t="str">
        <f>HYPERLINK("http://mcgill.on.worldcat.org/oclc/16180131","Catalog Record")</f>
        <v>Catalog Record</v>
      </c>
      <c r="AW1964" s="6" t="str">
        <f>HYPERLINK("http://www.worldcat.org/oclc/16180131","WorldCat Record")</f>
        <v>WorldCat Record</v>
      </c>
      <c r="AX1964" s="3" t="s">
        <v>20459</v>
      </c>
      <c r="AY1964" s="3" t="s">
        <v>20460</v>
      </c>
      <c r="AZ1964" s="3" t="s">
        <v>20461</v>
      </c>
      <c r="BA1964" s="3" t="s">
        <v>20461</v>
      </c>
      <c r="BB1964" s="3" t="s">
        <v>20462</v>
      </c>
      <c r="BC1964" s="3" t="s">
        <v>78</v>
      </c>
      <c r="BD1964" s="3" t="s">
        <v>79</v>
      </c>
      <c r="BE1964" s="3" t="s">
        <v>20463</v>
      </c>
      <c r="BF1964" s="3" t="s">
        <v>20462</v>
      </c>
      <c r="BG1964" s="3" t="s">
        <v>20464</v>
      </c>
    </row>
    <row r="1965" spans="1:59" ht="58" x14ac:dyDescent="0.35">
      <c r="A1965" s="2" t="s">
        <v>59</v>
      </c>
      <c r="B1965" s="2" t="s">
        <v>94</v>
      </c>
      <c r="C1965" s="2" t="s">
        <v>20465</v>
      </c>
      <c r="D1965" s="2" t="s">
        <v>20466</v>
      </c>
      <c r="E1965" s="2" t="s">
        <v>20467</v>
      </c>
      <c r="G1965" s="3" t="s">
        <v>64</v>
      </c>
      <c r="I1965" s="3" t="s">
        <v>64</v>
      </c>
      <c r="J1965" s="3" t="s">
        <v>64</v>
      </c>
      <c r="K1965" s="3" t="s">
        <v>65</v>
      </c>
      <c r="L1965" s="2" t="s">
        <v>20468</v>
      </c>
      <c r="M1965" s="2" t="s">
        <v>20469</v>
      </c>
      <c r="N1965" s="3" t="s">
        <v>861</v>
      </c>
      <c r="P1965" s="3" t="s">
        <v>69</v>
      </c>
      <c r="R1965" s="3" t="s">
        <v>20433</v>
      </c>
      <c r="S1965" s="4">
        <v>6</v>
      </c>
      <c r="T1965" s="4">
        <v>6</v>
      </c>
      <c r="U1965" s="5" t="s">
        <v>20470</v>
      </c>
      <c r="V1965" s="5" t="s">
        <v>20470</v>
      </c>
      <c r="W1965" s="5" t="s">
        <v>72</v>
      </c>
      <c r="X1965" s="5" t="s">
        <v>72</v>
      </c>
      <c r="Y1965" s="4">
        <v>48</v>
      </c>
      <c r="Z1965" s="4">
        <v>7</v>
      </c>
      <c r="AA1965" s="4">
        <v>7</v>
      </c>
      <c r="AB1965" s="4">
        <v>1</v>
      </c>
      <c r="AC1965" s="4">
        <v>1</v>
      </c>
      <c r="AD1965" s="4">
        <v>19</v>
      </c>
      <c r="AE1965" s="4">
        <v>19</v>
      </c>
      <c r="AF1965" s="4">
        <v>0</v>
      </c>
      <c r="AG1965" s="4">
        <v>0</v>
      </c>
      <c r="AH1965" s="4">
        <v>18</v>
      </c>
      <c r="AI1965" s="4">
        <v>18</v>
      </c>
      <c r="AJ1965" s="4">
        <v>2</v>
      </c>
      <c r="AK1965" s="4">
        <v>2</v>
      </c>
      <c r="AL1965" s="4">
        <v>14</v>
      </c>
      <c r="AM1965" s="4">
        <v>14</v>
      </c>
      <c r="AN1965" s="4">
        <v>0</v>
      </c>
      <c r="AO1965" s="4">
        <v>0</v>
      </c>
      <c r="AP1965" s="4">
        <v>2</v>
      </c>
      <c r="AQ1965" s="4">
        <v>2</v>
      </c>
      <c r="AR1965" s="3" t="s">
        <v>64</v>
      </c>
      <c r="AS1965" s="3" t="s">
        <v>64</v>
      </c>
      <c r="AT1965" s="3" t="s">
        <v>64</v>
      </c>
      <c r="AV1965" s="6" t="str">
        <f>HYPERLINK("http://mcgill.on.worldcat.org/oclc/55623986","Catalog Record")</f>
        <v>Catalog Record</v>
      </c>
      <c r="AW1965" s="6" t="str">
        <f>HYPERLINK("http://www.worldcat.org/oclc/55623986","WorldCat Record")</f>
        <v>WorldCat Record</v>
      </c>
      <c r="AX1965" s="3" t="s">
        <v>20471</v>
      </c>
      <c r="AY1965" s="3" t="s">
        <v>20472</v>
      </c>
      <c r="AZ1965" s="3" t="s">
        <v>20473</v>
      </c>
      <c r="BA1965" s="3" t="s">
        <v>20473</v>
      </c>
      <c r="BB1965" s="3" t="s">
        <v>20474</v>
      </c>
      <c r="BC1965" s="3" t="s">
        <v>78</v>
      </c>
      <c r="BD1965" s="3" t="s">
        <v>79</v>
      </c>
      <c r="BE1965" s="3" t="s">
        <v>20475</v>
      </c>
      <c r="BF1965" s="3" t="s">
        <v>20474</v>
      </c>
      <c r="BG1965" s="3" t="s">
        <v>20476</v>
      </c>
    </row>
    <row r="1966" spans="1:59" ht="58" x14ac:dyDescent="0.35">
      <c r="A1966" s="2" t="s">
        <v>59</v>
      </c>
      <c r="B1966" s="2" t="s">
        <v>94</v>
      </c>
      <c r="C1966" s="2" t="s">
        <v>20477</v>
      </c>
      <c r="D1966" s="2" t="s">
        <v>20478</v>
      </c>
      <c r="E1966" s="2" t="s">
        <v>20479</v>
      </c>
      <c r="G1966" s="3" t="s">
        <v>64</v>
      </c>
      <c r="I1966" s="3" t="s">
        <v>64</v>
      </c>
      <c r="J1966" s="3" t="s">
        <v>64</v>
      </c>
      <c r="K1966" s="3" t="s">
        <v>65</v>
      </c>
      <c r="M1966" s="2" t="s">
        <v>20480</v>
      </c>
      <c r="N1966" s="3" t="s">
        <v>1064</v>
      </c>
      <c r="P1966" s="3" t="s">
        <v>69</v>
      </c>
      <c r="Q1966" s="2" t="s">
        <v>20481</v>
      </c>
      <c r="R1966" s="3" t="s">
        <v>20433</v>
      </c>
      <c r="S1966" s="4">
        <v>10</v>
      </c>
      <c r="T1966" s="4">
        <v>10</v>
      </c>
      <c r="U1966" s="5" t="s">
        <v>11495</v>
      </c>
      <c r="V1966" s="5" t="s">
        <v>11495</v>
      </c>
      <c r="W1966" s="5" t="s">
        <v>72</v>
      </c>
      <c r="X1966" s="5" t="s">
        <v>72</v>
      </c>
      <c r="Y1966" s="4">
        <v>213</v>
      </c>
      <c r="Z1966" s="4">
        <v>15</v>
      </c>
      <c r="AA1966" s="4">
        <v>15</v>
      </c>
      <c r="AB1966" s="4">
        <v>2</v>
      </c>
      <c r="AC1966" s="4">
        <v>2</v>
      </c>
      <c r="AD1966" s="4">
        <v>71</v>
      </c>
      <c r="AE1966" s="4">
        <v>71</v>
      </c>
      <c r="AF1966" s="4">
        <v>0</v>
      </c>
      <c r="AG1966" s="4">
        <v>0</v>
      </c>
      <c r="AH1966" s="4">
        <v>64</v>
      </c>
      <c r="AI1966" s="4">
        <v>64</v>
      </c>
      <c r="AJ1966" s="4">
        <v>7</v>
      </c>
      <c r="AK1966" s="4">
        <v>7</v>
      </c>
      <c r="AL1966" s="4">
        <v>39</v>
      </c>
      <c r="AM1966" s="4">
        <v>39</v>
      </c>
      <c r="AN1966" s="4">
        <v>0</v>
      </c>
      <c r="AO1966" s="4">
        <v>0</v>
      </c>
      <c r="AP1966" s="4">
        <v>8</v>
      </c>
      <c r="AQ1966" s="4">
        <v>8</v>
      </c>
      <c r="AR1966" s="3" t="s">
        <v>64</v>
      </c>
      <c r="AS1966" s="3" t="s">
        <v>64</v>
      </c>
      <c r="AT1966" s="3" t="s">
        <v>73</v>
      </c>
      <c r="AU1966" s="6" t="str">
        <f>HYPERLINK("http://catalog.hathitrust.org/Record/004072029","HathiTrust Record")</f>
        <v>HathiTrust Record</v>
      </c>
      <c r="AV1966" s="6" t="str">
        <f>HYPERLINK("http://mcgill.on.worldcat.org/oclc/40602677","Catalog Record")</f>
        <v>Catalog Record</v>
      </c>
      <c r="AW1966" s="6" t="str">
        <f>HYPERLINK("http://www.worldcat.org/oclc/40602677","WorldCat Record")</f>
        <v>WorldCat Record</v>
      </c>
      <c r="AX1966" s="3" t="s">
        <v>20482</v>
      </c>
      <c r="AY1966" s="3" t="s">
        <v>20483</v>
      </c>
      <c r="AZ1966" s="3" t="s">
        <v>20484</v>
      </c>
      <c r="BA1966" s="3" t="s">
        <v>20484</v>
      </c>
      <c r="BB1966" s="3" t="s">
        <v>20485</v>
      </c>
      <c r="BC1966" s="3" t="s">
        <v>78</v>
      </c>
      <c r="BD1966" s="3" t="s">
        <v>79</v>
      </c>
      <c r="BE1966" s="3" t="s">
        <v>20486</v>
      </c>
      <c r="BF1966" s="3" t="s">
        <v>20485</v>
      </c>
      <c r="BG1966" s="3" t="s">
        <v>20487</v>
      </c>
    </row>
    <row r="1967" spans="1:59" ht="58" x14ac:dyDescent="0.35">
      <c r="A1967" s="2" t="s">
        <v>59</v>
      </c>
      <c r="B1967" s="2" t="s">
        <v>94</v>
      </c>
      <c r="C1967" s="2" t="s">
        <v>20488</v>
      </c>
      <c r="D1967" s="2" t="s">
        <v>20489</v>
      </c>
      <c r="E1967" s="2" t="s">
        <v>20490</v>
      </c>
      <c r="G1967" s="3" t="s">
        <v>64</v>
      </c>
      <c r="I1967" s="3" t="s">
        <v>64</v>
      </c>
      <c r="J1967" s="3" t="s">
        <v>64</v>
      </c>
      <c r="K1967" s="3" t="s">
        <v>65</v>
      </c>
      <c r="L1967" s="2" t="s">
        <v>20491</v>
      </c>
      <c r="M1967" s="2" t="s">
        <v>20492</v>
      </c>
      <c r="N1967" s="3" t="s">
        <v>861</v>
      </c>
      <c r="P1967" s="3" t="s">
        <v>69</v>
      </c>
      <c r="Q1967" s="2" t="s">
        <v>20493</v>
      </c>
      <c r="R1967" s="3" t="s">
        <v>20433</v>
      </c>
      <c r="S1967" s="4">
        <v>7</v>
      </c>
      <c r="T1967" s="4">
        <v>7</v>
      </c>
      <c r="U1967" s="5" t="s">
        <v>1169</v>
      </c>
      <c r="V1967" s="5" t="s">
        <v>1169</v>
      </c>
      <c r="W1967" s="5" t="s">
        <v>72</v>
      </c>
      <c r="X1967" s="5" t="s">
        <v>72</v>
      </c>
      <c r="Y1967" s="4">
        <v>275</v>
      </c>
      <c r="Z1967" s="4">
        <v>6</v>
      </c>
      <c r="AA1967" s="4">
        <v>8</v>
      </c>
      <c r="AB1967" s="4">
        <v>1</v>
      </c>
      <c r="AC1967" s="4">
        <v>1</v>
      </c>
      <c r="AD1967" s="4">
        <v>40</v>
      </c>
      <c r="AE1967" s="4">
        <v>47</v>
      </c>
      <c r="AF1967" s="4">
        <v>0</v>
      </c>
      <c r="AG1967" s="4">
        <v>0</v>
      </c>
      <c r="AH1967" s="4">
        <v>39</v>
      </c>
      <c r="AI1967" s="4">
        <v>44</v>
      </c>
      <c r="AJ1967" s="4">
        <v>0</v>
      </c>
      <c r="AK1967" s="4">
        <v>1</v>
      </c>
      <c r="AL1967" s="4">
        <v>26</v>
      </c>
      <c r="AM1967" s="4">
        <v>29</v>
      </c>
      <c r="AN1967" s="4">
        <v>0</v>
      </c>
      <c r="AO1967" s="4">
        <v>3</v>
      </c>
      <c r="AP1967" s="4">
        <v>0</v>
      </c>
      <c r="AQ1967" s="4">
        <v>2</v>
      </c>
      <c r="AR1967" s="3" t="s">
        <v>64</v>
      </c>
      <c r="AS1967" s="3" t="s">
        <v>64</v>
      </c>
      <c r="AT1967" s="3" t="s">
        <v>64</v>
      </c>
      <c r="AV1967" s="6" t="str">
        <f>HYPERLINK("http://mcgill.on.worldcat.org/oclc/55534985","Catalog Record")</f>
        <v>Catalog Record</v>
      </c>
      <c r="AW1967" s="6" t="str">
        <f>HYPERLINK("http://www.worldcat.org/oclc/55534985","WorldCat Record")</f>
        <v>WorldCat Record</v>
      </c>
      <c r="AX1967" s="3" t="s">
        <v>20494</v>
      </c>
      <c r="AY1967" s="3" t="s">
        <v>20495</v>
      </c>
      <c r="AZ1967" s="3" t="s">
        <v>20496</v>
      </c>
      <c r="BA1967" s="3" t="s">
        <v>20496</v>
      </c>
      <c r="BB1967" s="3" t="s">
        <v>20497</v>
      </c>
      <c r="BC1967" s="3" t="s">
        <v>78</v>
      </c>
      <c r="BD1967" s="3" t="s">
        <v>79</v>
      </c>
      <c r="BE1967" s="3" t="s">
        <v>20498</v>
      </c>
      <c r="BF1967" s="3" t="s">
        <v>20497</v>
      </c>
      <c r="BG1967" s="3" t="s">
        <v>20499</v>
      </c>
    </row>
    <row r="1968" spans="1:59" ht="58" x14ac:dyDescent="0.35">
      <c r="A1968" s="2" t="s">
        <v>59</v>
      </c>
      <c r="B1968" s="2" t="s">
        <v>94</v>
      </c>
      <c r="C1968" s="2" t="s">
        <v>20500</v>
      </c>
      <c r="D1968" s="2" t="s">
        <v>20501</v>
      </c>
      <c r="E1968" s="2" t="s">
        <v>20502</v>
      </c>
      <c r="G1968" s="3" t="s">
        <v>64</v>
      </c>
      <c r="I1968" s="3" t="s">
        <v>64</v>
      </c>
      <c r="J1968" s="3" t="s">
        <v>64</v>
      </c>
      <c r="K1968" s="3" t="s">
        <v>65</v>
      </c>
      <c r="L1968" s="2" t="s">
        <v>20503</v>
      </c>
      <c r="M1968" s="2" t="s">
        <v>20504</v>
      </c>
      <c r="N1968" s="3" t="s">
        <v>651</v>
      </c>
      <c r="P1968" s="3" t="s">
        <v>69</v>
      </c>
      <c r="R1968" s="3" t="s">
        <v>20433</v>
      </c>
      <c r="S1968" s="4">
        <v>7</v>
      </c>
      <c r="T1968" s="4">
        <v>7</v>
      </c>
      <c r="U1968" s="5" t="s">
        <v>20505</v>
      </c>
      <c r="V1968" s="5" t="s">
        <v>20505</v>
      </c>
      <c r="W1968" s="5" t="s">
        <v>72</v>
      </c>
      <c r="X1968" s="5" t="s">
        <v>72</v>
      </c>
      <c r="Y1968" s="4">
        <v>428</v>
      </c>
      <c r="Z1968" s="4">
        <v>23</v>
      </c>
      <c r="AA1968" s="4">
        <v>27</v>
      </c>
      <c r="AB1968" s="4">
        <v>2</v>
      </c>
      <c r="AC1968" s="4">
        <v>4</v>
      </c>
      <c r="AD1968" s="4">
        <v>84</v>
      </c>
      <c r="AE1968" s="4">
        <v>92</v>
      </c>
      <c r="AF1968" s="4">
        <v>0</v>
      </c>
      <c r="AG1968" s="4">
        <v>2</v>
      </c>
      <c r="AH1968" s="4">
        <v>74</v>
      </c>
      <c r="AI1968" s="4">
        <v>79</v>
      </c>
      <c r="AJ1968" s="4">
        <v>9</v>
      </c>
      <c r="AK1968" s="4">
        <v>13</v>
      </c>
      <c r="AL1968" s="4">
        <v>46</v>
      </c>
      <c r="AM1968" s="4">
        <v>49</v>
      </c>
      <c r="AN1968" s="4">
        <v>0</v>
      </c>
      <c r="AO1968" s="4">
        <v>2</v>
      </c>
      <c r="AP1968" s="4">
        <v>14</v>
      </c>
      <c r="AQ1968" s="4">
        <v>17</v>
      </c>
      <c r="AR1968" s="3" t="s">
        <v>64</v>
      </c>
      <c r="AS1968" s="3" t="s">
        <v>64</v>
      </c>
      <c r="AT1968" s="3" t="s">
        <v>64</v>
      </c>
      <c r="AV1968" s="6" t="str">
        <f>HYPERLINK("http://mcgill.on.worldcat.org/oclc/51022846","Catalog Record")</f>
        <v>Catalog Record</v>
      </c>
      <c r="AW1968" s="6" t="str">
        <f>HYPERLINK("http://www.worldcat.org/oclc/51022846","WorldCat Record")</f>
        <v>WorldCat Record</v>
      </c>
      <c r="AX1968" s="3" t="s">
        <v>20506</v>
      </c>
      <c r="AY1968" s="3" t="s">
        <v>20507</v>
      </c>
      <c r="AZ1968" s="3" t="s">
        <v>20508</v>
      </c>
      <c r="BA1968" s="3" t="s">
        <v>20508</v>
      </c>
      <c r="BB1968" s="3" t="s">
        <v>20509</v>
      </c>
      <c r="BC1968" s="3" t="s">
        <v>78</v>
      </c>
      <c r="BD1968" s="3" t="s">
        <v>79</v>
      </c>
      <c r="BE1968" s="3" t="s">
        <v>20510</v>
      </c>
      <c r="BF1968" s="3" t="s">
        <v>20509</v>
      </c>
      <c r="BG1968" s="3" t="s">
        <v>20511</v>
      </c>
    </row>
    <row r="1969" spans="1:59" ht="72.5" x14ac:dyDescent="0.35">
      <c r="A1969" s="2" t="s">
        <v>59</v>
      </c>
      <c r="B1969" s="2" t="s">
        <v>94</v>
      </c>
      <c r="C1969" s="2" t="s">
        <v>20512</v>
      </c>
      <c r="D1969" s="2" t="s">
        <v>20513</v>
      </c>
      <c r="E1969" s="2" t="s">
        <v>20514</v>
      </c>
      <c r="G1969" s="3" t="s">
        <v>64</v>
      </c>
      <c r="I1969" s="3" t="s">
        <v>64</v>
      </c>
      <c r="J1969" s="3" t="s">
        <v>64</v>
      </c>
      <c r="K1969" s="3" t="s">
        <v>65</v>
      </c>
      <c r="L1969" s="2" t="s">
        <v>20515</v>
      </c>
      <c r="M1969" s="2" t="s">
        <v>20516</v>
      </c>
      <c r="N1969" s="3" t="s">
        <v>214</v>
      </c>
      <c r="O1969" s="2" t="s">
        <v>6984</v>
      </c>
      <c r="P1969" s="3" t="s">
        <v>69</v>
      </c>
      <c r="R1969" s="3" t="s">
        <v>20433</v>
      </c>
      <c r="S1969" s="4">
        <v>4</v>
      </c>
      <c r="T1969" s="4">
        <v>4</v>
      </c>
      <c r="U1969" s="5" t="s">
        <v>20517</v>
      </c>
      <c r="V1969" s="5" t="s">
        <v>20517</v>
      </c>
      <c r="W1969" s="5" t="s">
        <v>72</v>
      </c>
      <c r="X1969" s="5" t="s">
        <v>72</v>
      </c>
      <c r="Y1969" s="4">
        <v>1277</v>
      </c>
      <c r="Z1969" s="4">
        <v>33</v>
      </c>
      <c r="AA1969" s="4">
        <v>40</v>
      </c>
      <c r="AB1969" s="4">
        <v>6</v>
      </c>
      <c r="AC1969" s="4">
        <v>9</v>
      </c>
      <c r="AD1969" s="4">
        <v>76</v>
      </c>
      <c r="AE1969" s="4">
        <v>83</v>
      </c>
      <c r="AF1969" s="4">
        <v>1</v>
      </c>
      <c r="AG1969" s="4">
        <v>2</v>
      </c>
      <c r="AH1969" s="4">
        <v>72</v>
      </c>
      <c r="AI1969" s="4">
        <v>78</v>
      </c>
      <c r="AJ1969" s="4">
        <v>6</v>
      </c>
      <c r="AK1969" s="4">
        <v>9</v>
      </c>
      <c r="AL1969" s="4">
        <v>41</v>
      </c>
      <c r="AM1969" s="4">
        <v>43</v>
      </c>
      <c r="AN1969" s="4">
        <v>0</v>
      </c>
      <c r="AO1969" s="4">
        <v>0</v>
      </c>
      <c r="AP1969" s="4">
        <v>8</v>
      </c>
      <c r="AQ1969" s="4">
        <v>10</v>
      </c>
      <c r="AR1969" s="3" t="s">
        <v>64</v>
      </c>
      <c r="AS1969" s="3" t="s">
        <v>64</v>
      </c>
      <c r="AT1969" s="3" t="s">
        <v>64</v>
      </c>
      <c r="AV1969" s="6" t="str">
        <f>HYPERLINK("http://mcgill.on.worldcat.org/oclc/535493119","Catalog Record")</f>
        <v>Catalog Record</v>
      </c>
      <c r="AW1969" s="6" t="str">
        <f>HYPERLINK("http://www.worldcat.org/oclc/535493119","WorldCat Record")</f>
        <v>WorldCat Record</v>
      </c>
      <c r="AX1969" s="3" t="s">
        <v>20518</v>
      </c>
      <c r="AY1969" s="3" t="s">
        <v>20519</v>
      </c>
      <c r="AZ1969" s="3" t="s">
        <v>20520</v>
      </c>
      <c r="BA1969" s="3" t="s">
        <v>20520</v>
      </c>
      <c r="BB1969" s="3" t="s">
        <v>20521</v>
      </c>
      <c r="BC1969" s="3" t="s">
        <v>78</v>
      </c>
      <c r="BD1969" s="3" t="s">
        <v>79</v>
      </c>
      <c r="BE1969" s="3" t="s">
        <v>20522</v>
      </c>
      <c r="BF1969" s="3" t="s">
        <v>20521</v>
      </c>
      <c r="BG1969" s="3" t="s">
        <v>20523</v>
      </c>
    </row>
    <row r="1970" spans="1:59" ht="58" x14ac:dyDescent="0.35">
      <c r="A1970" s="2" t="s">
        <v>59</v>
      </c>
      <c r="B1970" s="2" t="s">
        <v>94</v>
      </c>
      <c r="C1970" s="2" t="s">
        <v>20524</v>
      </c>
      <c r="D1970" s="2" t="s">
        <v>20525</v>
      </c>
      <c r="E1970" s="2" t="s">
        <v>20526</v>
      </c>
      <c r="G1970" s="3" t="s">
        <v>64</v>
      </c>
      <c r="I1970" s="3" t="s">
        <v>64</v>
      </c>
      <c r="J1970" s="3" t="s">
        <v>64</v>
      </c>
      <c r="K1970" s="3" t="s">
        <v>65</v>
      </c>
      <c r="L1970" s="2" t="s">
        <v>20527</v>
      </c>
      <c r="M1970" s="2" t="s">
        <v>20528</v>
      </c>
      <c r="N1970" s="3" t="s">
        <v>538</v>
      </c>
      <c r="P1970" s="3" t="s">
        <v>69</v>
      </c>
      <c r="R1970" s="3" t="s">
        <v>20433</v>
      </c>
      <c r="S1970" s="4">
        <v>7</v>
      </c>
      <c r="T1970" s="4">
        <v>7</v>
      </c>
      <c r="U1970" s="5" t="s">
        <v>4707</v>
      </c>
      <c r="V1970" s="5" t="s">
        <v>4707</v>
      </c>
      <c r="W1970" s="5" t="s">
        <v>72</v>
      </c>
      <c r="X1970" s="5" t="s">
        <v>72</v>
      </c>
      <c r="Y1970" s="4">
        <v>107</v>
      </c>
      <c r="Z1970" s="4">
        <v>6</v>
      </c>
      <c r="AA1970" s="4">
        <v>12</v>
      </c>
      <c r="AB1970" s="4">
        <v>1</v>
      </c>
      <c r="AC1970" s="4">
        <v>3</v>
      </c>
      <c r="AD1970" s="4">
        <v>7</v>
      </c>
      <c r="AE1970" s="4">
        <v>9</v>
      </c>
      <c r="AF1970" s="4">
        <v>0</v>
      </c>
      <c r="AG1970" s="4">
        <v>0</v>
      </c>
      <c r="AH1970" s="4">
        <v>7</v>
      </c>
      <c r="AI1970" s="4">
        <v>8</v>
      </c>
      <c r="AJ1970" s="4">
        <v>1</v>
      </c>
      <c r="AK1970" s="4">
        <v>3</v>
      </c>
      <c r="AL1970" s="4">
        <v>5</v>
      </c>
      <c r="AM1970" s="4">
        <v>5</v>
      </c>
      <c r="AN1970" s="4">
        <v>0</v>
      </c>
      <c r="AO1970" s="4">
        <v>0</v>
      </c>
      <c r="AP1970" s="4">
        <v>1</v>
      </c>
      <c r="AQ1970" s="4">
        <v>3</v>
      </c>
      <c r="AR1970" s="3" t="s">
        <v>64</v>
      </c>
      <c r="AS1970" s="3" t="s">
        <v>64</v>
      </c>
      <c r="AT1970" s="3" t="s">
        <v>64</v>
      </c>
      <c r="AV1970" s="6" t="str">
        <f>HYPERLINK("http://mcgill.on.worldcat.org/oclc/191737688","Catalog Record")</f>
        <v>Catalog Record</v>
      </c>
      <c r="AW1970" s="6" t="str">
        <f>HYPERLINK("http://www.worldcat.org/oclc/191737688","WorldCat Record")</f>
        <v>WorldCat Record</v>
      </c>
      <c r="AX1970" s="3" t="s">
        <v>20529</v>
      </c>
      <c r="AY1970" s="3" t="s">
        <v>20530</v>
      </c>
      <c r="AZ1970" s="3" t="s">
        <v>20531</v>
      </c>
      <c r="BA1970" s="3" t="s">
        <v>20531</v>
      </c>
      <c r="BB1970" s="3" t="s">
        <v>20532</v>
      </c>
      <c r="BC1970" s="3" t="s">
        <v>78</v>
      </c>
      <c r="BD1970" s="3" t="s">
        <v>414</v>
      </c>
      <c r="BE1970" s="3" t="s">
        <v>20533</v>
      </c>
      <c r="BF1970" s="3" t="s">
        <v>20532</v>
      </c>
      <c r="BG1970" s="3" t="s">
        <v>20534</v>
      </c>
    </row>
    <row r="1971" spans="1:59" ht="58" x14ac:dyDescent="0.35">
      <c r="A1971" s="2" t="s">
        <v>59</v>
      </c>
      <c r="B1971" s="2" t="s">
        <v>94</v>
      </c>
      <c r="C1971" s="2" t="s">
        <v>20535</v>
      </c>
      <c r="D1971" s="2" t="s">
        <v>20536</v>
      </c>
      <c r="E1971" s="2" t="s">
        <v>20537</v>
      </c>
      <c r="G1971" s="3" t="s">
        <v>64</v>
      </c>
      <c r="I1971" s="3" t="s">
        <v>64</v>
      </c>
      <c r="J1971" s="3" t="s">
        <v>64</v>
      </c>
      <c r="K1971" s="3" t="s">
        <v>65</v>
      </c>
      <c r="L1971" s="2" t="s">
        <v>20538</v>
      </c>
      <c r="M1971" s="2" t="s">
        <v>20539</v>
      </c>
      <c r="N1971" s="3" t="s">
        <v>719</v>
      </c>
      <c r="P1971" s="3" t="s">
        <v>69</v>
      </c>
      <c r="R1971" s="3" t="s">
        <v>20433</v>
      </c>
      <c r="S1971" s="4">
        <v>27</v>
      </c>
      <c r="T1971" s="4">
        <v>27</v>
      </c>
      <c r="U1971" s="5" t="s">
        <v>20540</v>
      </c>
      <c r="V1971" s="5" t="s">
        <v>20540</v>
      </c>
      <c r="W1971" s="5" t="s">
        <v>72</v>
      </c>
      <c r="X1971" s="5" t="s">
        <v>72</v>
      </c>
      <c r="Y1971" s="4">
        <v>38</v>
      </c>
      <c r="Z1971" s="4">
        <v>22</v>
      </c>
      <c r="AA1971" s="4">
        <v>22</v>
      </c>
      <c r="AB1971" s="4">
        <v>1</v>
      </c>
      <c r="AC1971" s="4">
        <v>1</v>
      </c>
      <c r="AD1971" s="4">
        <v>19</v>
      </c>
      <c r="AE1971" s="4">
        <v>19</v>
      </c>
      <c r="AF1971" s="4">
        <v>0</v>
      </c>
      <c r="AG1971" s="4">
        <v>0</v>
      </c>
      <c r="AH1971" s="4">
        <v>14</v>
      </c>
      <c r="AI1971" s="4">
        <v>14</v>
      </c>
      <c r="AJ1971" s="4">
        <v>10</v>
      </c>
      <c r="AK1971" s="4">
        <v>10</v>
      </c>
      <c r="AL1971" s="4">
        <v>2</v>
      </c>
      <c r="AM1971" s="4">
        <v>2</v>
      </c>
      <c r="AN1971" s="4">
        <v>0</v>
      </c>
      <c r="AO1971" s="4">
        <v>0</v>
      </c>
      <c r="AP1971" s="4">
        <v>12</v>
      </c>
      <c r="AQ1971" s="4">
        <v>12</v>
      </c>
      <c r="AR1971" s="3" t="s">
        <v>73</v>
      </c>
      <c r="AS1971" s="3" t="s">
        <v>64</v>
      </c>
      <c r="AT1971" s="3" t="s">
        <v>64</v>
      </c>
      <c r="AV1971" s="6" t="str">
        <f>HYPERLINK("http://mcgill.on.worldcat.org/oclc/12225505","Catalog Record")</f>
        <v>Catalog Record</v>
      </c>
      <c r="AW1971" s="6" t="str">
        <f>HYPERLINK("http://www.worldcat.org/oclc/12225505","WorldCat Record")</f>
        <v>WorldCat Record</v>
      </c>
      <c r="AX1971" s="3" t="s">
        <v>20541</v>
      </c>
      <c r="AY1971" s="3" t="s">
        <v>20542</v>
      </c>
      <c r="AZ1971" s="3" t="s">
        <v>20543</v>
      </c>
      <c r="BA1971" s="3" t="s">
        <v>20543</v>
      </c>
      <c r="BB1971" s="3" t="s">
        <v>20544</v>
      </c>
      <c r="BC1971" s="3" t="s">
        <v>78</v>
      </c>
      <c r="BD1971" s="3" t="s">
        <v>414</v>
      </c>
      <c r="BE1971" s="3" t="s">
        <v>20545</v>
      </c>
      <c r="BF1971" s="3" t="s">
        <v>20544</v>
      </c>
      <c r="BG1971" s="3" t="s">
        <v>20546</v>
      </c>
    </row>
    <row r="1972" spans="1:59" ht="58" x14ac:dyDescent="0.35">
      <c r="A1972" s="2" t="s">
        <v>59</v>
      </c>
      <c r="B1972" s="2" t="s">
        <v>94</v>
      </c>
      <c r="C1972" s="2" t="s">
        <v>20547</v>
      </c>
      <c r="D1972" s="2" t="s">
        <v>20548</v>
      </c>
      <c r="E1972" s="2" t="s">
        <v>20549</v>
      </c>
      <c r="G1972" s="3" t="s">
        <v>64</v>
      </c>
      <c r="I1972" s="3" t="s">
        <v>64</v>
      </c>
      <c r="J1972" s="3" t="s">
        <v>64</v>
      </c>
      <c r="K1972" s="3" t="s">
        <v>65</v>
      </c>
      <c r="L1972" s="2" t="s">
        <v>12196</v>
      </c>
      <c r="M1972" s="2" t="s">
        <v>20550</v>
      </c>
      <c r="N1972" s="3" t="s">
        <v>422</v>
      </c>
      <c r="P1972" s="3" t="s">
        <v>69</v>
      </c>
      <c r="R1972" s="3" t="s">
        <v>20433</v>
      </c>
      <c r="S1972" s="4">
        <v>7</v>
      </c>
      <c r="T1972" s="4">
        <v>7</v>
      </c>
      <c r="U1972" s="5" t="s">
        <v>20551</v>
      </c>
      <c r="V1972" s="5" t="s">
        <v>20551</v>
      </c>
      <c r="W1972" s="5" t="s">
        <v>72</v>
      </c>
      <c r="X1972" s="5" t="s">
        <v>72</v>
      </c>
      <c r="Y1972" s="4">
        <v>48</v>
      </c>
      <c r="Z1972" s="4">
        <v>34</v>
      </c>
      <c r="AA1972" s="4">
        <v>34</v>
      </c>
      <c r="AB1972" s="4">
        <v>4</v>
      </c>
      <c r="AC1972" s="4">
        <v>4</v>
      </c>
      <c r="AD1972" s="4">
        <v>19</v>
      </c>
      <c r="AE1972" s="4">
        <v>19</v>
      </c>
      <c r="AF1972" s="4">
        <v>0</v>
      </c>
      <c r="AG1972" s="4">
        <v>0</v>
      </c>
      <c r="AH1972" s="4">
        <v>11</v>
      </c>
      <c r="AI1972" s="4">
        <v>11</v>
      </c>
      <c r="AJ1972" s="4">
        <v>11</v>
      </c>
      <c r="AK1972" s="4">
        <v>11</v>
      </c>
      <c r="AL1972" s="4">
        <v>3</v>
      </c>
      <c r="AM1972" s="4">
        <v>3</v>
      </c>
      <c r="AN1972" s="4">
        <v>0</v>
      </c>
      <c r="AO1972" s="4">
        <v>0</v>
      </c>
      <c r="AP1972" s="4">
        <v>13</v>
      </c>
      <c r="AQ1972" s="4">
        <v>13</v>
      </c>
      <c r="AR1972" s="3" t="s">
        <v>73</v>
      </c>
      <c r="AS1972" s="3" t="s">
        <v>64</v>
      </c>
      <c r="AT1972" s="3" t="s">
        <v>64</v>
      </c>
      <c r="AV1972" s="6" t="str">
        <f>HYPERLINK("http://mcgill.on.worldcat.org/oclc/47689839","Catalog Record")</f>
        <v>Catalog Record</v>
      </c>
      <c r="AW1972" s="6" t="str">
        <f>HYPERLINK("http://www.worldcat.org/oclc/47689839","WorldCat Record")</f>
        <v>WorldCat Record</v>
      </c>
      <c r="AX1972" s="3" t="s">
        <v>20552</v>
      </c>
      <c r="AY1972" s="3" t="s">
        <v>20553</v>
      </c>
      <c r="AZ1972" s="3" t="s">
        <v>20554</v>
      </c>
      <c r="BA1972" s="3" t="s">
        <v>20554</v>
      </c>
      <c r="BB1972" s="3" t="s">
        <v>20555</v>
      </c>
      <c r="BC1972" s="3" t="s">
        <v>78</v>
      </c>
      <c r="BD1972" s="3" t="s">
        <v>79</v>
      </c>
      <c r="BE1972" s="3" t="s">
        <v>20556</v>
      </c>
      <c r="BF1972" s="3" t="s">
        <v>20555</v>
      </c>
      <c r="BG1972" s="3" t="s">
        <v>20557</v>
      </c>
    </row>
    <row r="1973" spans="1:59" ht="58" x14ac:dyDescent="0.35">
      <c r="A1973" s="2" t="s">
        <v>59</v>
      </c>
      <c r="B1973" s="2" t="s">
        <v>94</v>
      </c>
      <c r="C1973" s="2" t="s">
        <v>20558</v>
      </c>
      <c r="D1973" s="2" t="s">
        <v>20559</v>
      </c>
      <c r="E1973" s="2" t="s">
        <v>20560</v>
      </c>
      <c r="G1973" s="3" t="s">
        <v>64</v>
      </c>
      <c r="I1973" s="3" t="s">
        <v>64</v>
      </c>
      <c r="J1973" s="3" t="s">
        <v>64</v>
      </c>
      <c r="K1973" s="3" t="s">
        <v>65</v>
      </c>
      <c r="L1973" s="2" t="s">
        <v>20561</v>
      </c>
      <c r="M1973" s="2" t="s">
        <v>20562</v>
      </c>
      <c r="N1973" s="3" t="s">
        <v>524</v>
      </c>
      <c r="O1973" s="2" t="s">
        <v>525</v>
      </c>
      <c r="P1973" s="3" t="s">
        <v>69</v>
      </c>
      <c r="R1973" s="3" t="s">
        <v>20433</v>
      </c>
      <c r="S1973" s="4">
        <v>11</v>
      </c>
      <c r="T1973" s="4">
        <v>11</v>
      </c>
      <c r="U1973" s="5" t="s">
        <v>15960</v>
      </c>
      <c r="V1973" s="5" t="s">
        <v>15960</v>
      </c>
      <c r="W1973" s="5" t="s">
        <v>72</v>
      </c>
      <c r="X1973" s="5" t="s">
        <v>72</v>
      </c>
      <c r="Y1973" s="4">
        <v>606</v>
      </c>
      <c r="Z1973" s="4">
        <v>15</v>
      </c>
      <c r="AA1973" s="4">
        <v>17</v>
      </c>
      <c r="AB1973" s="4">
        <v>1</v>
      </c>
      <c r="AC1973" s="4">
        <v>2</v>
      </c>
      <c r="AD1973" s="4">
        <v>62</v>
      </c>
      <c r="AE1973" s="4">
        <v>65</v>
      </c>
      <c r="AF1973" s="4">
        <v>0</v>
      </c>
      <c r="AG1973" s="4">
        <v>0</v>
      </c>
      <c r="AH1973" s="4">
        <v>57</v>
      </c>
      <c r="AI1973" s="4">
        <v>60</v>
      </c>
      <c r="AJ1973" s="4">
        <v>3</v>
      </c>
      <c r="AK1973" s="4">
        <v>3</v>
      </c>
      <c r="AL1973" s="4">
        <v>38</v>
      </c>
      <c r="AM1973" s="4">
        <v>41</v>
      </c>
      <c r="AN1973" s="4">
        <v>0</v>
      </c>
      <c r="AO1973" s="4">
        <v>0</v>
      </c>
      <c r="AP1973" s="4">
        <v>2</v>
      </c>
      <c r="AQ1973" s="4">
        <v>2</v>
      </c>
      <c r="AR1973" s="3" t="s">
        <v>64</v>
      </c>
      <c r="AS1973" s="3" t="s">
        <v>64</v>
      </c>
      <c r="AT1973" s="3" t="s">
        <v>64</v>
      </c>
      <c r="AV1973" s="6" t="str">
        <f>HYPERLINK("http://mcgill.on.worldcat.org/oclc/827260124","Catalog Record")</f>
        <v>Catalog Record</v>
      </c>
      <c r="AW1973" s="6" t="str">
        <f>HYPERLINK("http://www.worldcat.org/oclc/827260124","WorldCat Record")</f>
        <v>WorldCat Record</v>
      </c>
      <c r="AX1973" s="3" t="s">
        <v>20563</v>
      </c>
      <c r="AY1973" s="3" t="s">
        <v>20564</v>
      </c>
      <c r="AZ1973" s="3" t="s">
        <v>20565</v>
      </c>
      <c r="BA1973" s="3" t="s">
        <v>20565</v>
      </c>
      <c r="BB1973" s="3" t="s">
        <v>20566</v>
      </c>
      <c r="BC1973" s="3" t="s">
        <v>78</v>
      </c>
      <c r="BD1973" s="3" t="s">
        <v>414</v>
      </c>
      <c r="BE1973" s="3" t="s">
        <v>20567</v>
      </c>
      <c r="BF1973" s="3" t="s">
        <v>20566</v>
      </c>
      <c r="BG1973" s="3" t="s">
        <v>20568</v>
      </c>
    </row>
    <row r="1974" spans="1:59" ht="58" x14ac:dyDescent="0.35">
      <c r="A1974" s="2" t="s">
        <v>59</v>
      </c>
      <c r="B1974" s="2" t="s">
        <v>94</v>
      </c>
      <c r="C1974" s="2" t="s">
        <v>20569</v>
      </c>
      <c r="D1974" s="2" t="s">
        <v>20570</v>
      </c>
      <c r="E1974" s="2" t="s">
        <v>20571</v>
      </c>
      <c r="G1974" s="3" t="s">
        <v>64</v>
      </c>
      <c r="I1974" s="3" t="s">
        <v>64</v>
      </c>
      <c r="J1974" s="3" t="s">
        <v>64</v>
      </c>
      <c r="K1974" s="3" t="s">
        <v>65</v>
      </c>
      <c r="L1974" s="2" t="s">
        <v>20572</v>
      </c>
      <c r="M1974" s="2" t="s">
        <v>20573</v>
      </c>
      <c r="N1974" s="3" t="s">
        <v>861</v>
      </c>
      <c r="P1974" s="3" t="s">
        <v>69</v>
      </c>
      <c r="R1974" s="3" t="s">
        <v>20574</v>
      </c>
      <c r="S1974" s="4">
        <v>6</v>
      </c>
      <c r="T1974" s="4">
        <v>6</v>
      </c>
      <c r="U1974" s="5" t="s">
        <v>2418</v>
      </c>
      <c r="V1974" s="5" t="s">
        <v>2418</v>
      </c>
      <c r="W1974" s="5" t="s">
        <v>72</v>
      </c>
      <c r="X1974" s="5" t="s">
        <v>72</v>
      </c>
      <c r="Y1974" s="4">
        <v>190</v>
      </c>
      <c r="Z1974" s="4">
        <v>13</v>
      </c>
      <c r="AA1974" s="4">
        <v>75</v>
      </c>
      <c r="AB1974" s="4">
        <v>1</v>
      </c>
      <c r="AC1974" s="4">
        <v>15</v>
      </c>
      <c r="AD1974" s="4">
        <v>59</v>
      </c>
      <c r="AE1974" s="4">
        <v>112</v>
      </c>
      <c r="AF1974" s="4">
        <v>0</v>
      </c>
      <c r="AG1974" s="4">
        <v>8</v>
      </c>
      <c r="AH1974" s="4">
        <v>53</v>
      </c>
      <c r="AI1974" s="4">
        <v>82</v>
      </c>
      <c r="AJ1974" s="4">
        <v>7</v>
      </c>
      <c r="AK1974" s="4">
        <v>21</v>
      </c>
      <c r="AL1974" s="4">
        <v>35</v>
      </c>
      <c r="AM1974" s="4">
        <v>42</v>
      </c>
      <c r="AN1974" s="4">
        <v>0</v>
      </c>
      <c r="AO1974" s="4">
        <v>0</v>
      </c>
      <c r="AP1974" s="4">
        <v>9</v>
      </c>
      <c r="AQ1974" s="4">
        <v>37</v>
      </c>
      <c r="AR1974" s="3" t="s">
        <v>64</v>
      </c>
      <c r="AS1974" s="3" t="s">
        <v>64</v>
      </c>
      <c r="AT1974" s="3" t="s">
        <v>64</v>
      </c>
      <c r="AV1974" s="6" t="str">
        <f>HYPERLINK("http://mcgill.on.worldcat.org/oclc/53021519","Catalog Record")</f>
        <v>Catalog Record</v>
      </c>
      <c r="AW1974" s="6" t="str">
        <f>HYPERLINK("http://www.worldcat.org/oclc/53021519","WorldCat Record")</f>
        <v>WorldCat Record</v>
      </c>
      <c r="AX1974" s="3" t="s">
        <v>20575</v>
      </c>
      <c r="AY1974" s="3" t="s">
        <v>20576</v>
      </c>
      <c r="AZ1974" s="3" t="s">
        <v>20577</v>
      </c>
      <c r="BA1974" s="3" t="s">
        <v>20577</v>
      </c>
      <c r="BB1974" s="3" t="s">
        <v>20578</v>
      </c>
      <c r="BC1974" s="3" t="s">
        <v>78</v>
      </c>
      <c r="BD1974" s="3" t="s">
        <v>79</v>
      </c>
      <c r="BE1974" s="3" t="s">
        <v>20579</v>
      </c>
      <c r="BF1974" s="3" t="s">
        <v>20578</v>
      </c>
      <c r="BG1974" s="3" t="s">
        <v>20580</v>
      </c>
    </row>
    <row r="1975" spans="1:59" ht="58" x14ac:dyDescent="0.35">
      <c r="A1975" s="2" t="s">
        <v>59</v>
      </c>
      <c r="B1975" s="2" t="s">
        <v>94</v>
      </c>
      <c r="C1975" s="2" t="s">
        <v>20581</v>
      </c>
      <c r="D1975" s="2" t="s">
        <v>20582</v>
      </c>
      <c r="E1975" s="2" t="s">
        <v>20583</v>
      </c>
      <c r="G1975" s="3" t="s">
        <v>64</v>
      </c>
      <c r="I1975" s="3" t="s">
        <v>64</v>
      </c>
      <c r="J1975" s="3" t="s">
        <v>64</v>
      </c>
      <c r="K1975" s="3" t="s">
        <v>65</v>
      </c>
      <c r="L1975" s="2" t="s">
        <v>20584</v>
      </c>
      <c r="M1975" s="2" t="s">
        <v>20585</v>
      </c>
      <c r="N1975" s="3" t="s">
        <v>473</v>
      </c>
      <c r="P1975" s="3" t="s">
        <v>69</v>
      </c>
      <c r="R1975" s="3" t="s">
        <v>20574</v>
      </c>
      <c r="S1975" s="4">
        <v>14</v>
      </c>
      <c r="T1975" s="4">
        <v>14</v>
      </c>
      <c r="U1975" s="5" t="s">
        <v>6833</v>
      </c>
      <c r="V1975" s="5" t="s">
        <v>6833</v>
      </c>
      <c r="W1975" s="5" t="s">
        <v>72</v>
      </c>
      <c r="X1975" s="5" t="s">
        <v>72</v>
      </c>
      <c r="Y1975" s="4">
        <v>124</v>
      </c>
      <c r="Z1975" s="4">
        <v>13</v>
      </c>
      <c r="AA1975" s="4">
        <v>26</v>
      </c>
      <c r="AB1975" s="4">
        <v>1</v>
      </c>
      <c r="AC1975" s="4">
        <v>2</v>
      </c>
      <c r="AD1975" s="4">
        <v>32</v>
      </c>
      <c r="AE1975" s="4">
        <v>106</v>
      </c>
      <c r="AF1975" s="4">
        <v>0</v>
      </c>
      <c r="AG1975" s="4">
        <v>1</v>
      </c>
      <c r="AH1975" s="4">
        <v>28</v>
      </c>
      <c r="AI1975" s="4">
        <v>93</v>
      </c>
      <c r="AJ1975" s="4">
        <v>7</v>
      </c>
      <c r="AK1975" s="4">
        <v>16</v>
      </c>
      <c r="AL1975" s="4">
        <v>18</v>
      </c>
      <c r="AM1975" s="4">
        <v>54</v>
      </c>
      <c r="AN1975" s="4">
        <v>0</v>
      </c>
      <c r="AO1975" s="4">
        <v>0</v>
      </c>
      <c r="AP1975" s="4">
        <v>10</v>
      </c>
      <c r="AQ1975" s="4">
        <v>22</v>
      </c>
      <c r="AR1975" s="3" t="s">
        <v>64</v>
      </c>
      <c r="AS1975" s="3" t="s">
        <v>64</v>
      </c>
      <c r="AT1975" s="3" t="s">
        <v>64</v>
      </c>
      <c r="AV1975" s="6" t="str">
        <f>HYPERLINK("http://mcgill.on.worldcat.org/oclc/22183458","Catalog Record")</f>
        <v>Catalog Record</v>
      </c>
      <c r="AW1975" s="6" t="str">
        <f>HYPERLINK("http://www.worldcat.org/oclc/22183458","WorldCat Record")</f>
        <v>WorldCat Record</v>
      </c>
      <c r="AX1975" s="3" t="s">
        <v>20586</v>
      </c>
      <c r="AY1975" s="3" t="s">
        <v>20587</v>
      </c>
      <c r="AZ1975" s="3" t="s">
        <v>20588</v>
      </c>
      <c r="BA1975" s="3" t="s">
        <v>20588</v>
      </c>
      <c r="BB1975" s="3" t="s">
        <v>20589</v>
      </c>
      <c r="BC1975" s="3" t="s">
        <v>78</v>
      </c>
      <c r="BD1975" s="3" t="s">
        <v>79</v>
      </c>
      <c r="BE1975" s="3" t="s">
        <v>20590</v>
      </c>
      <c r="BF1975" s="3" t="s">
        <v>20589</v>
      </c>
      <c r="BG1975" s="3" t="s">
        <v>20591</v>
      </c>
    </row>
    <row r="1976" spans="1:59" ht="58" x14ac:dyDescent="0.35">
      <c r="A1976" s="2" t="s">
        <v>59</v>
      </c>
      <c r="B1976" s="2" t="s">
        <v>94</v>
      </c>
      <c r="C1976" s="2" t="s">
        <v>20592</v>
      </c>
      <c r="D1976" s="2" t="s">
        <v>20593</v>
      </c>
      <c r="E1976" s="2" t="s">
        <v>20594</v>
      </c>
      <c r="G1976" s="3" t="s">
        <v>64</v>
      </c>
      <c r="I1976" s="3" t="s">
        <v>64</v>
      </c>
      <c r="J1976" s="3" t="s">
        <v>64</v>
      </c>
      <c r="K1976" s="3" t="s">
        <v>65</v>
      </c>
      <c r="L1976" s="2" t="s">
        <v>20595</v>
      </c>
      <c r="M1976" s="2" t="s">
        <v>20596</v>
      </c>
      <c r="N1976" s="3" t="s">
        <v>1320</v>
      </c>
      <c r="P1976" s="3" t="s">
        <v>69</v>
      </c>
      <c r="Q1976" s="2" t="s">
        <v>20597</v>
      </c>
      <c r="R1976" s="3" t="s">
        <v>20574</v>
      </c>
      <c r="S1976" s="4">
        <v>13</v>
      </c>
      <c r="T1976" s="4">
        <v>13</v>
      </c>
      <c r="U1976" s="5" t="s">
        <v>20598</v>
      </c>
      <c r="V1976" s="5" t="s">
        <v>20598</v>
      </c>
      <c r="W1976" s="5" t="s">
        <v>72</v>
      </c>
      <c r="X1976" s="5" t="s">
        <v>72</v>
      </c>
      <c r="Y1976" s="4">
        <v>221</v>
      </c>
      <c r="Z1976" s="4">
        <v>14</v>
      </c>
      <c r="AA1976" s="4">
        <v>15</v>
      </c>
      <c r="AB1976" s="4">
        <v>1</v>
      </c>
      <c r="AC1976" s="4">
        <v>2</v>
      </c>
      <c r="AD1976" s="4">
        <v>63</v>
      </c>
      <c r="AE1976" s="4">
        <v>65</v>
      </c>
      <c r="AF1976" s="4">
        <v>0</v>
      </c>
      <c r="AG1976" s="4">
        <v>1</v>
      </c>
      <c r="AH1976" s="4">
        <v>58</v>
      </c>
      <c r="AI1976" s="4">
        <v>60</v>
      </c>
      <c r="AJ1976" s="4">
        <v>7</v>
      </c>
      <c r="AK1976" s="4">
        <v>8</v>
      </c>
      <c r="AL1976" s="4">
        <v>37</v>
      </c>
      <c r="AM1976" s="4">
        <v>38</v>
      </c>
      <c r="AN1976" s="4">
        <v>0</v>
      </c>
      <c r="AO1976" s="4">
        <v>0</v>
      </c>
      <c r="AP1976" s="4">
        <v>9</v>
      </c>
      <c r="AQ1976" s="4">
        <v>10</v>
      </c>
      <c r="AR1976" s="3" t="s">
        <v>64</v>
      </c>
      <c r="AS1976" s="3" t="s">
        <v>64</v>
      </c>
      <c r="AT1976" s="3" t="s">
        <v>64</v>
      </c>
      <c r="AV1976" s="6" t="str">
        <f>HYPERLINK("http://mcgill.on.worldcat.org/oclc/32665047","Catalog Record")</f>
        <v>Catalog Record</v>
      </c>
      <c r="AW1976" s="6" t="str">
        <f>HYPERLINK("http://www.worldcat.org/oclc/32665047","WorldCat Record")</f>
        <v>WorldCat Record</v>
      </c>
      <c r="AX1976" s="3" t="s">
        <v>20599</v>
      </c>
      <c r="AY1976" s="3" t="s">
        <v>20600</v>
      </c>
      <c r="AZ1976" s="3" t="s">
        <v>20601</v>
      </c>
      <c r="BA1976" s="3" t="s">
        <v>20601</v>
      </c>
      <c r="BB1976" s="3" t="s">
        <v>20602</v>
      </c>
      <c r="BC1976" s="3" t="s">
        <v>78</v>
      </c>
      <c r="BD1976" s="3" t="s">
        <v>79</v>
      </c>
      <c r="BE1976" s="3" t="s">
        <v>20603</v>
      </c>
      <c r="BF1976" s="3" t="s">
        <v>20602</v>
      </c>
      <c r="BG1976" s="3" t="s">
        <v>20604</v>
      </c>
    </row>
    <row r="1977" spans="1:59" ht="58" x14ac:dyDescent="0.35">
      <c r="A1977" s="2" t="s">
        <v>59</v>
      </c>
      <c r="B1977" s="2" t="s">
        <v>94</v>
      </c>
      <c r="C1977" s="2" t="s">
        <v>20605</v>
      </c>
      <c r="D1977" s="2" t="s">
        <v>20606</v>
      </c>
      <c r="E1977" s="2" t="s">
        <v>20607</v>
      </c>
      <c r="G1977" s="3" t="s">
        <v>64</v>
      </c>
      <c r="I1977" s="3" t="s">
        <v>64</v>
      </c>
      <c r="J1977" s="3" t="s">
        <v>64</v>
      </c>
      <c r="K1977" s="3" t="s">
        <v>65</v>
      </c>
      <c r="L1977" s="2" t="s">
        <v>20608</v>
      </c>
      <c r="M1977" s="2" t="s">
        <v>20609</v>
      </c>
      <c r="N1977" s="3" t="s">
        <v>1530</v>
      </c>
      <c r="P1977" s="3" t="s">
        <v>69</v>
      </c>
      <c r="R1977" s="3" t="s">
        <v>20574</v>
      </c>
      <c r="S1977" s="4">
        <v>13</v>
      </c>
      <c r="T1977" s="4">
        <v>13</v>
      </c>
      <c r="U1977" s="5" t="s">
        <v>11698</v>
      </c>
      <c r="V1977" s="5" t="s">
        <v>11698</v>
      </c>
      <c r="W1977" s="5" t="s">
        <v>72</v>
      </c>
      <c r="X1977" s="5" t="s">
        <v>72</v>
      </c>
      <c r="Y1977" s="4">
        <v>322</v>
      </c>
      <c r="Z1977" s="4">
        <v>20</v>
      </c>
      <c r="AA1977" s="4">
        <v>22</v>
      </c>
      <c r="AB1977" s="4">
        <v>1</v>
      </c>
      <c r="AC1977" s="4">
        <v>3</v>
      </c>
      <c r="AD1977" s="4">
        <v>95</v>
      </c>
      <c r="AE1977" s="4">
        <v>96</v>
      </c>
      <c r="AF1977" s="4">
        <v>0</v>
      </c>
      <c r="AG1977" s="4">
        <v>1</v>
      </c>
      <c r="AH1977" s="4">
        <v>83</v>
      </c>
      <c r="AI1977" s="4">
        <v>83</v>
      </c>
      <c r="AJ1977" s="4">
        <v>11</v>
      </c>
      <c r="AK1977" s="4">
        <v>12</v>
      </c>
      <c r="AL1977" s="4">
        <v>46</v>
      </c>
      <c r="AM1977" s="4">
        <v>46</v>
      </c>
      <c r="AN1977" s="4">
        <v>0</v>
      </c>
      <c r="AO1977" s="4">
        <v>0</v>
      </c>
      <c r="AP1977" s="4">
        <v>17</v>
      </c>
      <c r="AQ1977" s="4">
        <v>17</v>
      </c>
      <c r="AR1977" s="3" t="s">
        <v>64</v>
      </c>
      <c r="AS1977" s="3" t="s">
        <v>64</v>
      </c>
      <c r="AT1977" s="3" t="s">
        <v>64</v>
      </c>
      <c r="AV1977" s="6" t="str">
        <f>HYPERLINK("http://mcgill.on.worldcat.org/oclc/47050006","Catalog Record")</f>
        <v>Catalog Record</v>
      </c>
      <c r="AW1977" s="6" t="str">
        <f>HYPERLINK("http://www.worldcat.org/oclc/47050006","WorldCat Record")</f>
        <v>WorldCat Record</v>
      </c>
      <c r="AX1977" s="3" t="s">
        <v>20610</v>
      </c>
      <c r="AY1977" s="3" t="s">
        <v>20611</v>
      </c>
      <c r="AZ1977" s="3" t="s">
        <v>20612</v>
      </c>
      <c r="BA1977" s="3" t="s">
        <v>20612</v>
      </c>
      <c r="BB1977" s="3" t="s">
        <v>20613</v>
      </c>
      <c r="BC1977" s="3" t="s">
        <v>78</v>
      </c>
      <c r="BD1977" s="3" t="s">
        <v>79</v>
      </c>
      <c r="BE1977" s="3" t="s">
        <v>20614</v>
      </c>
      <c r="BF1977" s="3" t="s">
        <v>20613</v>
      </c>
      <c r="BG1977" s="3" t="s">
        <v>20615</v>
      </c>
    </row>
    <row r="1978" spans="1:59" ht="101.5" x14ac:dyDescent="0.35">
      <c r="A1978" s="2" t="s">
        <v>59</v>
      </c>
      <c r="B1978" s="2" t="s">
        <v>94</v>
      </c>
      <c r="C1978" s="2" t="s">
        <v>20616</v>
      </c>
      <c r="D1978" s="2" t="s">
        <v>20617</v>
      </c>
      <c r="E1978" s="2" t="s">
        <v>20618</v>
      </c>
      <c r="G1978" s="3" t="s">
        <v>64</v>
      </c>
      <c r="I1978" s="3" t="s">
        <v>64</v>
      </c>
      <c r="J1978" s="3" t="s">
        <v>73</v>
      </c>
      <c r="K1978" s="3" t="s">
        <v>65</v>
      </c>
      <c r="L1978" s="2" t="s">
        <v>20619</v>
      </c>
      <c r="M1978" s="2" t="s">
        <v>20620</v>
      </c>
      <c r="N1978" s="3" t="s">
        <v>20621</v>
      </c>
      <c r="P1978" s="3" t="s">
        <v>69</v>
      </c>
      <c r="R1978" s="3" t="s">
        <v>20574</v>
      </c>
      <c r="S1978" s="4">
        <v>4</v>
      </c>
      <c r="T1978" s="4">
        <v>4</v>
      </c>
      <c r="U1978" s="5" t="s">
        <v>6096</v>
      </c>
      <c r="V1978" s="5" t="s">
        <v>6096</v>
      </c>
      <c r="W1978" s="5" t="s">
        <v>72</v>
      </c>
      <c r="X1978" s="5" t="s">
        <v>72</v>
      </c>
      <c r="Y1978" s="4">
        <v>2</v>
      </c>
      <c r="Z1978" s="4">
        <v>1</v>
      </c>
      <c r="AA1978" s="4">
        <v>52</v>
      </c>
      <c r="AB1978" s="4">
        <v>1</v>
      </c>
      <c r="AC1978" s="4">
        <v>5</v>
      </c>
      <c r="AD1978" s="4">
        <v>0</v>
      </c>
      <c r="AE1978" s="4">
        <v>64</v>
      </c>
      <c r="AF1978" s="4">
        <v>0</v>
      </c>
      <c r="AG1978" s="4">
        <v>3</v>
      </c>
      <c r="AH1978" s="4">
        <v>0</v>
      </c>
      <c r="AI1978" s="4">
        <v>45</v>
      </c>
      <c r="AJ1978" s="4">
        <v>0</v>
      </c>
      <c r="AK1978" s="4">
        <v>22</v>
      </c>
      <c r="AL1978" s="4">
        <v>0</v>
      </c>
      <c r="AM1978" s="4">
        <v>22</v>
      </c>
      <c r="AN1978" s="4">
        <v>0</v>
      </c>
      <c r="AO1978" s="4">
        <v>0</v>
      </c>
      <c r="AP1978" s="4">
        <v>0</v>
      </c>
      <c r="AQ1978" s="4">
        <v>30</v>
      </c>
      <c r="AR1978" s="3" t="s">
        <v>64</v>
      </c>
      <c r="AS1978" s="3" t="s">
        <v>64</v>
      </c>
      <c r="AT1978" s="3" t="s">
        <v>64</v>
      </c>
      <c r="AV1978" s="6" t="str">
        <f>HYPERLINK("http://mcgill.on.worldcat.org/oclc/223573867","Catalog Record")</f>
        <v>Catalog Record</v>
      </c>
      <c r="AW1978" s="6" t="str">
        <f>HYPERLINK("http://www.worldcat.org/oclc/223573867","WorldCat Record")</f>
        <v>WorldCat Record</v>
      </c>
      <c r="AX1978" s="3" t="s">
        <v>20622</v>
      </c>
      <c r="AY1978" s="3" t="s">
        <v>20623</v>
      </c>
      <c r="AZ1978" s="3" t="s">
        <v>20624</v>
      </c>
      <c r="BA1978" s="3" t="s">
        <v>20624</v>
      </c>
      <c r="BB1978" s="3" t="s">
        <v>20625</v>
      </c>
      <c r="BC1978" s="3" t="s">
        <v>78</v>
      </c>
      <c r="BD1978" s="3" t="s">
        <v>79</v>
      </c>
      <c r="BF1978" s="3" t="s">
        <v>20625</v>
      </c>
      <c r="BG1978" s="3" t="s">
        <v>20626</v>
      </c>
    </row>
    <row r="1979" spans="1:59" ht="58" x14ac:dyDescent="0.35">
      <c r="A1979" s="2" t="s">
        <v>59</v>
      </c>
      <c r="B1979" s="2" t="s">
        <v>94</v>
      </c>
      <c r="C1979" s="2" t="s">
        <v>20627</v>
      </c>
      <c r="D1979" s="2" t="s">
        <v>20628</v>
      </c>
      <c r="E1979" s="2" t="s">
        <v>20629</v>
      </c>
      <c r="G1979" s="3" t="s">
        <v>64</v>
      </c>
      <c r="I1979" s="3" t="s">
        <v>64</v>
      </c>
      <c r="J1979" s="3" t="s">
        <v>64</v>
      </c>
      <c r="K1979" s="3" t="s">
        <v>65</v>
      </c>
      <c r="L1979" s="2" t="s">
        <v>20630</v>
      </c>
      <c r="M1979" s="2" t="s">
        <v>20631</v>
      </c>
      <c r="N1979" s="3" t="s">
        <v>68</v>
      </c>
      <c r="P1979" s="3" t="s">
        <v>69</v>
      </c>
      <c r="R1979" s="3" t="s">
        <v>20574</v>
      </c>
      <c r="S1979" s="4">
        <v>7</v>
      </c>
      <c r="T1979" s="4">
        <v>7</v>
      </c>
      <c r="U1979" s="5" t="s">
        <v>6833</v>
      </c>
      <c r="V1979" s="5" t="s">
        <v>6833</v>
      </c>
      <c r="W1979" s="5" t="s">
        <v>72</v>
      </c>
      <c r="X1979" s="5" t="s">
        <v>72</v>
      </c>
      <c r="Y1979" s="4">
        <v>340</v>
      </c>
      <c r="Z1979" s="4">
        <v>21</v>
      </c>
      <c r="AA1979" s="4">
        <v>54</v>
      </c>
      <c r="AB1979" s="4">
        <v>1</v>
      </c>
      <c r="AC1979" s="4">
        <v>8</v>
      </c>
      <c r="AD1979" s="4">
        <v>74</v>
      </c>
      <c r="AE1979" s="4">
        <v>86</v>
      </c>
      <c r="AF1979" s="4">
        <v>0</v>
      </c>
      <c r="AG1979" s="4">
        <v>2</v>
      </c>
      <c r="AH1979" s="4">
        <v>64</v>
      </c>
      <c r="AI1979" s="4">
        <v>69</v>
      </c>
      <c r="AJ1979" s="4">
        <v>9</v>
      </c>
      <c r="AK1979" s="4">
        <v>13</v>
      </c>
      <c r="AL1979" s="4">
        <v>34</v>
      </c>
      <c r="AM1979" s="4">
        <v>35</v>
      </c>
      <c r="AN1979" s="4">
        <v>0</v>
      </c>
      <c r="AO1979" s="4">
        <v>0</v>
      </c>
      <c r="AP1979" s="4">
        <v>16</v>
      </c>
      <c r="AQ1979" s="4">
        <v>24</v>
      </c>
      <c r="AR1979" s="3" t="s">
        <v>64</v>
      </c>
      <c r="AS1979" s="3" t="s">
        <v>64</v>
      </c>
      <c r="AT1979" s="3" t="s">
        <v>64</v>
      </c>
      <c r="AV1979" s="6" t="str">
        <f>HYPERLINK("http://mcgill.on.worldcat.org/oclc/65470029","Catalog Record")</f>
        <v>Catalog Record</v>
      </c>
      <c r="AW1979" s="6" t="str">
        <f>HYPERLINK("http://www.worldcat.org/oclc/65470029","WorldCat Record")</f>
        <v>WorldCat Record</v>
      </c>
      <c r="AX1979" s="3" t="s">
        <v>20632</v>
      </c>
      <c r="AY1979" s="3" t="s">
        <v>20633</v>
      </c>
      <c r="AZ1979" s="3" t="s">
        <v>20634</v>
      </c>
      <c r="BA1979" s="3" t="s">
        <v>20634</v>
      </c>
      <c r="BB1979" s="3" t="s">
        <v>20635</v>
      </c>
      <c r="BC1979" s="3" t="s">
        <v>78</v>
      </c>
      <c r="BD1979" s="3" t="s">
        <v>79</v>
      </c>
      <c r="BE1979" s="3" t="s">
        <v>20636</v>
      </c>
      <c r="BF1979" s="3" t="s">
        <v>20635</v>
      </c>
      <c r="BG1979" s="3" t="s">
        <v>20637</v>
      </c>
    </row>
    <row r="1980" spans="1:59" ht="58" x14ac:dyDescent="0.35">
      <c r="A1980" s="2" t="s">
        <v>59</v>
      </c>
      <c r="B1980" s="2" t="s">
        <v>94</v>
      </c>
      <c r="C1980" s="2" t="s">
        <v>20638</v>
      </c>
      <c r="D1980" s="2" t="s">
        <v>20639</v>
      </c>
      <c r="E1980" s="2" t="s">
        <v>20640</v>
      </c>
      <c r="G1980" s="3" t="s">
        <v>64</v>
      </c>
      <c r="I1980" s="3" t="s">
        <v>64</v>
      </c>
      <c r="J1980" s="3" t="s">
        <v>64</v>
      </c>
      <c r="K1980" s="3" t="s">
        <v>65</v>
      </c>
      <c r="L1980" s="2" t="s">
        <v>20641</v>
      </c>
      <c r="M1980" s="2" t="s">
        <v>5100</v>
      </c>
      <c r="N1980" s="3" t="s">
        <v>328</v>
      </c>
      <c r="P1980" s="3" t="s">
        <v>69</v>
      </c>
      <c r="Q1980" s="2" t="s">
        <v>16675</v>
      </c>
      <c r="R1980" s="3" t="s">
        <v>20574</v>
      </c>
      <c r="S1980" s="4">
        <v>0</v>
      </c>
      <c r="T1980" s="4">
        <v>0</v>
      </c>
      <c r="W1980" s="5" t="s">
        <v>72</v>
      </c>
      <c r="X1980" s="5" t="s">
        <v>72</v>
      </c>
      <c r="Y1980" s="4">
        <v>81</v>
      </c>
      <c r="Z1980" s="4">
        <v>4</v>
      </c>
      <c r="AA1980" s="4">
        <v>7</v>
      </c>
      <c r="AB1980" s="4">
        <v>1</v>
      </c>
      <c r="AC1980" s="4">
        <v>1</v>
      </c>
      <c r="AD1980" s="4">
        <v>46</v>
      </c>
      <c r="AE1980" s="4">
        <v>51</v>
      </c>
      <c r="AF1980" s="4">
        <v>0</v>
      </c>
      <c r="AG1980" s="4">
        <v>0</v>
      </c>
      <c r="AH1980" s="4">
        <v>45</v>
      </c>
      <c r="AI1980" s="4">
        <v>49</v>
      </c>
      <c r="AJ1980" s="4">
        <v>2</v>
      </c>
      <c r="AK1980" s="4">
        <v>4</v>
      </c>
      <c r="AL1980" s="4">
        <v>26</v>
      </c>
      <c r="AM1980" s="4">
        <v>26</v>
      </c>
      <c r="AN1980" s="4">
        <v>0</v>
      </c>
      <c r="AO1980" s="4">
        <v>0</v>
      </c>
      <c r="AP1980" s="4">
        <v>2</v>
      </c>
      <c r="AQ1980" s="4">
        <v>5</v>
      </c>
      <c r="AR1980" s="3" t="s">
        <v>64</v>
      </c>
      <c r="AS1980" s="3" t="s">
        <v>64</v>
      </c>
      <c r="AT1980" s="3" t="s">
        <v>64</v>
      </c>
      <c r="AV1980" s="6" t="str">
        <f>HYPERLINK("http://mcgill.on.worldcat.org/oclc/747713163","Catalog Record")</f>
        <v>Catalog Record</v>
      </c>
      <c r="AW1980" s="6" t="str">
        <f>HYPERLINK("http://www.worldcat.org/oclc/747713163","WorldCat Record")</f>
        <v>WorldCat Record</v>
      </c>
      <c r="AX1980" s="3" t="s">
        <v>20642</v>
      </c>
      <c r="AY1980" s="3" t="s">
        <v>20643</v>
      </c>
      <c r="AZ1980" s="3" t="s">
        <v>20644</v>
      </c>
      <c r="BA1980" s="3" t="s">
        <v>20644</v>
      </c>
      <c r="BB1980" s="3" t="s">
        <v>20645</v>
      </c>
      <c r="BC1980" s="3" t="s">
        <v>78</v>
      </c>
      <c r="BD1980" s="3" t="s">
        <v>79</v>
      </c>
      <c r="BE1980" s="3" t="s">
        <v>20646</v>
      </c>
      <c r="BF1980" s="3" t="s">
        <v>20645</v>
      </c>
      <c r="BG1980" s="3" t="s">
        <v>20647</v>
      </c>
    </row>
    <row r="1981" spans="1:59" ht="58" x14ac:dyDescent="0.35">
      <c r="A1981" s="2" t="s">
        <v>59</v>
      </c>
      <c r="B1981" s="2" t="s">
        <v>94</v>
      </c>
      <c r="C1981" s="2" t="s">
        <v>20648</v>
      </c>
      <c r="D1981" s="2" t="s">
        <v>20649</v>
      </c>
      <c r="E1981" s="2" t="s">
        <v>20650</v>
      </c>
      <c r="G1981" s="3" t="s">
        <v>64</v>
      </c>
      <c r="I1981" s="3" t="s">
        <v>64</v>
      </c>
      <c r="J1981" s="3" t="s">
        <v>64</v>
      </c>
      <c r="K1981" s="3" t="s">
        <v>65</v>
      </c>
      <c r="L1981" s="2" t="s">
        <v>20651</v>
      </c>
      <c r="M1981" s="2" t="s">
        <v>20652</v>
      </c>
      <c r="N1981" s="3" t="s">
        <v>422</v>
      </c>
      <c r="P1981" s="3" t="s">
        <v>69</v>
      </c>
      <c r="Q1981" s="2" t="s">
        <v>20653</v>
      </c>
      <c r="R1981" s="3" t="s">
        <v>20654</v>
      </c>
      <c r="S1981" s="4">
        <v>3</v>
      </c>
      <c r="T1981" s="4">
        <v>3</v>
      </c>
      <c r="U1981" s="5" t="s">
        <v>1169</v>
      </c>
      <c r="V1981" s="5" t="s">
        <v>1169</v>
      </c>
      <c r="W1981" s="5" t="s">
        <v>72</v>
      </c>
      <c r="X1981" s="5" t="s">
        <v>72</v>
      </c>
      <c r="Y1981" s="4">
        <v>15</v>
      </c>
      <c r="Z1981" s="4">
        <v>1</v>
      </c>
      <c r="AA1981" s="4">
        <v>4</v>
      </c>
      <c r="AB1981" s="4">
        <v>1</v>
      </c>
      <c r="AC1981" s="4">
        <v>3</v>
      </c>
      <c r="AD1981" s="4">
        <v>2</v>
      </c>
      <c r="AE1981" s="4">
        <v>2</v>
      </c>
      <c r="AF1981" s="4">
        <v>0</v>
      </c>
      <c r="AG1981" s="4">
        <v>0</v>
      </c>
      <c r="AH1981" s="4">
        <v>2</v>
      </c>
      <c r="AI1981" s="4">
        <v>2</v>
      </c>
      <c r="AJ1981" s="4">
        <v>0</v>
      </c>
      <c r="AK1981" s="4">
        <v>0</v>
      </c>
      <c r="AL1981" s="4">
        <v>2</v>
      </c>
      <c r="AM1981" s="4">
        <v>2</v>
      </c>
      <c r="AN1981" s="4">
        <v>0</v>
      </c>
      <c r="AO1981" s="4">
        <v>0</v>
      </c>
      <c r="AP1981" s="4">
        <v>0</v>
      </c>
      <c r="AQ1981" s="4">
        <v>0</v>
      </c>
      <c r="AR1981" s="3" t="s">
        <v>64</v>
      </c>
      <c r="AS1981" s="3" t="s">
        <v>64</v>
      </c>
      <c r="AT1981" s="3" t="s">
        <v>64</v>
      </c>
      <c r="AV1981" s="6" t="str">
        <f>HYPERLINK("http://mcgill.on.worldcat.org/oclc/492600599","Catalog Record")</f>
        <v>Catalog Record</v>
      </c>
      <c r="AW1981" s="6" t="str">
        <f>HYPERLINK("http://www.worldcat.org/oclc/492600599","WorldCat Record")</f>
        <v>WorldCat Record</v>
      </c>
      <c r="AX1981" s="3" t="s">
        <v>20655</v>
      </c>
      <c r="AY1981" s="3" t="s">
        <v>20656</v>
      </c>
      <c r="AZ1981" s="3" t="s">
        <v>20657</v>
      </c>
      <c r="BA1981" s="3" t="s">
        <v>20657</v>
      </c>
      <c r="BB1981" s="3" t="s">
        <v>20658</v>
      </c>
      <c r="BC1981" s="3" t="s">
        <v>78</v>
      </c>
      <c r="BD1981" s="3" t="s">
        <v>79</v>
      </c>
      <c r="BE1981" s="3" t="s">
        <v>20659</v>
      </c>
      <c r="BF1981" s="3" t="s">
        <v>20658</v>
      </c>
      <c r="BG1981" s="3" t="s">
        <v>20660</v>
      </c>
    </row>
    <row r="1982" spans="1:59" ht="58" x14ac:dyDescent="0.35">
      <c r="A1982" s="2" t="s">
        <v>59</v>
      </c>
      <c r="B1982" s="2" t="s">
        <v>94</v>
      </c>
      <c r="C1982" s="2" t="s">
        <v>20661</v>
      </c>
      <c r="D1982" s="2" t="s">
        <v>20662</v>
      </c>
      <c r="E1982" s="2" t="s">
        <v>20663</v>
      </c>
      <c r="G1982" s="3" t="s">
        <v>64</v>
      </c>
      <c r="I1982" s="3" t="s">
        <v>64</v>
      </c>
      <c r="J1982" s="3" t="s">
        <v>64</v>
      </c>
      <c r="K1982" s="3" t="s">
        <v>65</v>
      </c>
      <c r="L1982" s="2" t="s">
        <v>20664</v>
      </c>
      <c r="M1982" s="2" t="s">
        <v>20665</v>
      </c>
      <c r="N1982" s="3" t="s">
        <v>1320</v>
      </c>
      <c r="P1982" s="3" t="s">
        <v>69</v>
      </c>
      <c r="R1982" s="3" t="s">
        <v>20654</v>
      </c>
      <c r="S1982" s="4">
        <v>1</v>
      </c>
      <c r="T1982" s="4">
        <v>1</v>
      </c>
      <c r="U1982" s="5" t="s">
        <v>7580</v>
      </c>
      <c r="V1982" s="5" t="s">
        <v>7580</v>
      </c>
      <c r="W1982" s="5" t="s">
        <v>72</v>
      </c>
      <c r="X1982" s="5" t="s">
        <v>72</v>
      </c>
      <c r="Y1982" s="4">
        <v>1316</v>
      </c>
      <c r="Z1982" s="4">
        <v>26</v>
      </c>
      <c r="AA1982" s="4">
        <v>59</v>
      </c>
      <c r="AB1982" s="4">
        <v>2</v>
      </c>
      <c r="AC1982" s="4">
        <v>9</v>
      </c>
      <c r="AD1982" s="4">
        <v>106</v>
      </c>
      <c r="AE1982" s="4">
        <v>113</v>
      </c>
      <c r="AF1982" s="4">
        <v>1</v>
      </c>
      <c r="AG1982" s="4">
        <v>3</v>
      </c>
      <c r="AH1982" s="4">
        <v>95</v>
      </c>
      <c r="AI1982" s="4">
        <v>97</v>
      </c>
      <c r="AJ1982" s="4">
        <v>12</v>
      </c>
      <c r="AK1982" s="4">
        <v>14</v>
      </c>
      <c r="AL1982" s="4">
        <v>52</v>
      </c>
      <c r="AM1982" s="4">
        <v>53</v>
      </c>
      <c r="AN1982" s="4">
        <v>0</v>
      </c>
      <c r="AO1982" s="4">
        <v>0</v>
      </c>
      <c r="AP1982" s="4">
        <v>15</v>
      </c>
      <c r="AQ1982" s="4">
        <v>20</v>
      </c>
      <c r="AR1982" s="3" t="s">
        <v>64</v>
      </c>
      <c r="AS1982" s="3" t="s">
        <v>64</v>
      </c>
      <c r="AT1982" s="3" t="s">
        <v>64</v>
      </c>
      <c r="AV1982" s="6" t="str">
        <f>HYPERLINK("http://mcgill.on.worldcat.org/oclc/33166435","Catalog Record")</f>
        <v>Catalog Record</v>
      </c>
      <c r="AW1982" s="6" t="str">
        <f>HYPERLINK("http://www.worldcat.org/oclc/33166435","WorldCat Record")</f>
        <v>WorldCat Record</v>
      </c>
      <c r="AX1982" s="3" t="s">
        <v>20666</v>
      </c>
      <c r="AY1982" s="3" t="s">
        <v>20667</v>
      </c>
      <c r="AZ1982" s="3" t="s">
        <v>20668</v>
      </c>
      <c r="BA1982" s="3" t="s">
        <v>20668</v>
      </c>
      <c r="BB1982" s="3" t="s">
        <v>20669</v>
      </c>
      <c r="BC1982" s="3" t="s">
        <v>78</v>
      </c>
      <c r="BD1982" s="3" t="s">
        <v>79</v>
      </c>
      <c r="BE1982" s="3" t="s">
        <v>20670</v>
      </c>
      <c r="BF1982" s="3" t="s">
        <v>20669</v>
      </c>
      <c r="BG1982" s="3" t="s">
        <v>20671</v>
      </c>
    </row>
    <row r="1983" spans="1:59" ht="58" x14ac:dyDescent="0.35">
      <c r="A1983" s="2" t="s">
        <v>59</v>
      </c>
      <c r="B1983" s="2" t="s">
        <v>94</v>
      </c>
      <c r="C1983" s="2" t="s">
        <v>20672</v>
      </c>
      <c r="D1983" s="2" t="s">
        <v>20673</v>
      </c>
      <c r="E1983" s="2" t="s">
        <v>20674</v>
      </c>
      <c r="G1983" s="3" t="s">
        <v>64</v>
      </c>
      <c r="I1983" s="3" t="s">
        <v>64</v>
      </c>
      <c r="J1983" s="3" t="s">
        <v>64</v>
      </c>
      <c r="K1983" s="3" t="s">
        <v>65</v>
      </c>
      <c r="L1983" s="2" t="s">
        <v>20675</v>
      </c>
      <c r="M1983" s="2" t="s">
        <v>1723</v>
      </c>
      <c r="N1983" s="3" t="s">
        <v>214</v>
      </c>
      <c r="P1983" s="3" t="s">
        <v>69</v>
      </c>
      <c r="R1983" s="3" t="s">
        <v>20654</v>
      </c>
      <c r="S1983" s="4">
        <v>1</v>
      </c>
      <c r="T1983" s="4">
        <v>1</v>
      </c>
      <c r="U1983" s="5" t="s">
        <v>20676</v>
      </c>
      <c r="V1983" s="5" t="s">
        <v>20676</v>
      </c>
      <c r="W1983" s="5" t="s">
        <v>72</v>
      </c>
      <c r="X1983" s="5" t="s">
        <v>72</v>
      </c>
      <c r="Y1983" s="4">
        <v>319</v>
      </c>
      <c r="Z1983" s="4">
        <v>9</v>
      </c>
      <c r="AA1983" s="4">
        <v>77</v>
      </c>
      <c r="AB1983" s="4">
        <v>1</v>
      </c>
      <c r="AC1983" s="4">
        <v>15</v>
      </c>
      <c r="AD1983" s="4">
        <v>57</v>
      </c>
      <c r="AE1983" s="4">
        <v>120</v>
      </c>
      <c r="AF1983" s="4">
        <v>0</v>
      </c>
      <c r="AG1983" s="4">
        <v>8</v>
      </c>
      <c r="AH1983" s="4">
        <v>52</v>
      </c>
      <c r="AI1983" s="4">
        <v>85</v>
      </c>
      <c r="AJ1983" s="4">
        <v>6</v>
      </c>
      <c r="AK1983" s="4">
        <v>22</v>
      </c>
      <c r="AL1983" s="4">
        <v>35</v>
      </c>
      <c r="AM1983" s="4">
        <v>47</v>
      </c>
      <c r="AN1983" s="4">
        <v>0</v>
      </c>
      <c r="AO1983" s="4">
        <v>0</v>
      </c>
      <c r="AP1983" s="4">
        <v>6</v>
      </c>
      <c r="AQ1983" s="4">
        <v>41</v>
      </c>
      <c r="AR1983" s="3" t="s">
        <v>64</v>
      </c>
      <c r="AS1983" s="3" t="s">
        <v>64</v>
      </c>
      <c r="AT1983" s="3" t="s">
        <v>64</v>
      </c>
      <c r="AV1983" s="6" t="str">
        <f>HYPERLINK("http://mcgill.on.worldcat.org/oclc/320434538","Catalog Record")</f>
        <v>Catalog Record</v>
      </c>
      <c r="AW1983" s="6" t="str">
        <f>HYPERLINK("http://www.worldcat.org/oclc/320434538","WorldCat Record")</f>
        <v>WorldCat Record</v>
      </c>
      <c r="AX1983" s="3" t="s">
        <v>20677</v>
      </c>
      <c r="AY1983" s="3" t="s">
        <v>20678</v>
      </c>
      <c r="AZ1983" s="3" t="s">
        <v>20679</v>
      </c>
      <c r="BA1983" s="3" t="s">
        <v>20679</v>
      </c>
      <c r="BB1983" s="3" t="s">
        <v>20680</v>
      </c>
      <c r="BC1983" s="3" t="s">
        <v>78</v>
      </c>
      <c r="BD1983" s="3" t="s">
        <v>79</v>
      </c>
      <c r="BE1983" s="3" t="s">
        <v>20681</v>
      </c>
      <c r="BF1983" s="3" t="s">
        <v>20680</v>
      </c>
      <c r="BG1983" s="3" t="s">
        <v>20682</v>
      </c>
    </row>
    <row r="1984" spans="1:59" ht="58" x14ac:dyDescent="0.35">
      <c r="A1984" s="2" t="s">
        <v>59</v>
      </c>
      <c r="B1984" s="2" t="s">
        <v>94</v>
      </c>
      <c r="C1984" s="2" t="s">
        <v>20683</v>
      </c>
      <c r="D1984" s="2" t="s">
        <v>20684</v>
      </c>
      <c r="E1984" s="2" t="s">
        <v>20685</v>
      </c>
      <c r="G1984" s="3" t="s">
        <v>64</v>
      </c>
      <c r="I1984" s="3" t="s">
        <v>64</v>
      </c>
      <c r="J1984" s="3" t="s">
        <v>64</v>
      </c>
      <c r="K1984" s="3" t="s">
        <v>65</v>
      </c>
      <c r="M1984" s="2" t="s">
        <v>6841</v>
      </c>
      <c r="N1984" s="3" t="s">
        <v>377</v>
      </c>
      <c r="P1984" s="3" t="s">
        <v>69</v>
      </c>
      <c r="Q1984" s="2" t="s">
        <v>20686</v>
      </c>
      <c r="R1984" s="3" t="s">
        <v>20654</v>
      </c>
      <c r="S1984" s="4">
        <v>0</v>
      </c>
      <c r="T1984" s="4">
        <v>0</v>
      </c>
      <c r="W1984" s="5" t="s">
        <v>72</v>
      </c>
      <c r="X1984" s="5" t="s">
        <v>72</v>
      </c>
      <c r="Y1984" s="4">
        <v>80</v>
      </c>
      <c r="Z1984" s="4">
        <v>6</v>
      </c>
      <c r="AA1984" s="4">
        <v>6</v>
      </c>
      <c r="AB1984" s="4">
        <v>1</v>
      </c>
      <c r="AC1984" s="4">
        <v>1</v>
      </c>
      <c r="AD1984" s="4">
        <v>47</v>
      </c>
      <c r="AE1984" s="4">
        <v>49</v>
      </c>
      <c r="AF1984" s="4">
        <v>0</v>
      </c>
      <c r="AG1984" s="4">
        <v>0</v>
      </c>
      <c r="AH1984" s="4">
        <v>46</v>
      </c>
      <c r="AI1984" s="4">
        <v>48</v>
      </c>
      <c r="AJ1984" s="4">
        <v>4</v>
      </c>
      <c r="AK1984" s="4">
        <v>4</v>
      </c>
      <c r="AL1984" s="4">
        <v>27</v>
      </c>
      <c r="AM1984" s="4">
        <v>27</v>
      </c>
      <c r="AN1984" s="4">
        <v>0</v>
      </c>
      <c r="AO1984" s="4">
        <v>0</v>
      </c>
      <c r="AP1984" s="4">
        <v>4</v>
      </c>
      <c r="AQ1984" s="4">
        <v>4</v>
      </c>
      <c r="AR1984" s="3" t="s">
        <v>64</v>
      </c>
      <c r="AS1984" s="3" t="s">
        <v>64</v>
      </c>
      <c r="AT1984" s="3" t="s">
        <v>64</v>
      </c>
      <c r="AV1984" s="6" t="str">
        <f>HYPERLINK("http://mcgill.on.worldcat.org/oclc/812525067","Catalog Record")</f>
        <v>Catalog Record</v>
      </c>
      <c r="AW1984" s="6" t="str">
        <f>HYPERLINK("http://www.worldcat.org/oclc/812525067","WorldCat Record")</f>
        <v>WorldCat Record</v>
      </c>
      <c r="AX1984" s="3" t="s">
        <v>20687</v>
      </c>
      <c r="AY1984" s="3" t="s">
        <v>20688</v>
      </c>
      <c r="AZ1984" s="3" t="s">
        <v>20689</v>
      </c>
      <c r="BA1984" s="3" t="s">
        <v>20689</v>
      </c>
      <c r="BB1984" s="3" t="s">
        <v>20690</v>
      </c>
      <c r="BC1984" s="3" t="s">
        <v>78</v>
      </c>
      <c r="BD1984" s="3" t="s">
        <v>79</v>
      </c>
      <c r="BE1984" s="3" t="s">
        <v>20691</v>
      </c>
      <c r="BF1984" s="3" t="s">
        <v>20690</v>
      </c>
      <c r="BG1984" s="3" t="s">
        <v>20692</v>
      </c>
    </row>
    <row r="1985" spans="1:59" ht="58" x14ac:dyDescent="0.35">
      <c r="A1985" s="2" t="s">
        <v>59</v>
      </c>
      <c r="B1985" s="2" t="s">
        <v>94</v>
      </c>
      <c r="C1985" s="2" t="s">
        <v>20693</v>
      </c>
      <c r="D1985" s="2" t="s">
        <v>20694</v>
      </c>
      <c r="E1985" s="2" t="s">
        <v>20695</v>
      </c>
      <c r="F1985" s="3" t="s">
        <v>3653</v>
      </c>
      <c r="G1985" s="3" t="s">
        <v>73</v>
      </c>
      <c r="I1985" s="3" t="s">
        <v>64</v>
      </c>
      <c r="J1985" s="3" t="s">
        <v>64</v>
      </c>
      <c r="K1985" s="3" t="s">
        <v>65</v>
      </c>
      <c r="M1985" s="2" t="s">
        <v>20696</v>
      </c>
      <c r="N1985" s="3" t="s">
        <v>328</v>
      </c>
      <c r="P1985" s="3" t="s">
        <v>69</v>
      </c>
      <c r="Q1985" s="2" t="s">
        <v>5134</v>
      </c>
      <c r="R1985" s="3" t="s">
        <v>20654</v>
      </c>
      <c r="S1985" s="4">
        <v>0</v>
      </c>
      <c r="T1985" s="4">
        <v>0</v>
      </c>
      <c r="W1985" s="5" t="s">
        <v>72</v>
      </c>
      <c r="X1985" s="5" t="s">
        <v>72</v>
      </c>
      <c r="Y1985" s="4">
        <v>67</v>
      </c>
      <c r="Z1985" s="4">
        <v>5</v>
      </c>
      <c r="AA1985" s="4">
        <v>6</v>
      </c>
      <c r="AB1985" s="4">
        <v>1</v>
      </c>
      <c r="AC1985" s="4">
        <v>1</v>
      </c>
      <c r="AD1985" s="4">
        <v>38</v>
      </c>
      <c r="AE1985" s="4">
        <v>39</v>
      </c>
      <c r="AF1985" s="4">
        <v>0</v>
      </c>
      <c r="AG1985" s="4">
        <v>0</v>
      </c>
      <c r="AH1985" s="4">
        <v>37</v>
      </c>
      <c r="AI1985" s="4">
        <v>37</v>
      </c>
      <c r="AJ1985" s="4">
        <v>3</v>
      </c>
      <c r="AK1985" s="4">
        <v>4</v>
      </c>
      <c r="AL1985" s="4">
        <v>22</v>
      </c>
      <c r="AM1985" s="4">
        <v>22</v>
      </c>
      <c r="AN1985" s="4">
        <v>0</v>
      </c>
      <c r="AO1985" s="4">
        <v>0</v>
      </c>
      <c r="AP1985" s="4">
        <v>3</v>
      </c>
      <c r="AQ1985" s="4">
        <v>4</v>
      </c>
      <c r="AR1985" s="3" t="s">
        <v>64</v>
      </c>
      <c r="AS1985" s="3" t="s">
        <v>64</v>
      </c>
      <c r="AT1985" s="3" t="s">
        <v>64</v>
      </c>
      <c r="AV1985" s="6" t="str">
        <f>HYPERLINK("http://mcgill.on.worldcat.org/oclc/763315067","Catalog Record")</f>
        <v>Catalog Record</v>
      </c>
      <c r="AW1985" s="6" t="str">
        <f>HYPERLINK("http://www.worldcat.org/oclc/763315067","WorldCat Record")</f>
        <v>WorldCat Record</v>
      </c>
      <c r="AX1985" s="3" t="s">
        <v>20697</v>
      </c>
      <c r="AY1985" s="3" t="s">
        <v>20698</v>
      </c>
      <c r="AZ1985" s="3" t="s">
        <v>20699</v>
      </c>
      <c r="BA1985" s="3" t="s">
        <v>20699</v>
      </c>
      <c r="BB1985" s="3" t="s">
        <v>20700</v>
      </c>
      <c r="BC1985" s="3" t="s">
        <v>78</v>
      </c>
      <c r="BD1985" s="3" t="s">
        <v>79</v>
      </c>
      <c r="BE1985" s="3" t="s">
        <v>20701</v>
      </c>
      <c r="BF1985" s="3" t="s">
        <v>20700</v>
      </c>
      <c r="BG1985" s="3" t="s">
        <v>20702</v>
      </c>
    </row>
    <row r="1986" spans="1:59" ht="58" x14ac:dyDescent="0.35">
      <c r="A1986" s="2" t="s">
        <v>59</v>
      </c>
      <c r="B1986" s="2" t="s">
        <v>94</v>
      </c>
      <c r="C1986" s="2" t="s">
        <v>20693</v>
      </c>
      <c r="D1986" s="2" t="s">
        <v>20694</v>
      </c>
      <c r="E1986" s="2" t="s">
        <v>20695</v>
      </c>
      <c r="F1986" s="3" t="s">
        <v>399</v>
      </c>
      <c r="G1986" s="3" t="s">
        <v>73</v>
      </c>
      <c r="I1986" s="3" t="s">
        <v>64</v>
      </c>
      <c r="J1986" s="3" t="s">
        <v>64</v>
      </c>
      <c r="K1986" s="3" t="s">
        <v>65</v>
      </c>
      <c r="M1986" s="2" t="s">
        <v>20696</v>
      </c>
      <c r="N1986" s="3" t="s">
        <v>328</v>
      </c>
      <c r="P1986" s="3" t="s">
        <v>69</v>
      </c>
      <c r="Q1986" s="2" t="s">
        <v>5134</v>
      </c>
      <c r="R1986" s="3" t="s">
        <v>20654</v>
      </c>
      <c r="S1986" s="4">
        <v>0</v>
      </c>
      <c r="T1986" s="4">
        <v>0</v>
      </c>
      <c r="W1986" s="5" t="s">
        <v>72</v>
      </c>
      <c r="X1986" s="5" t="s">
        <v>72</v>
      </c>
      <c r="Y1986" s="4">
        <v>67</v>
      </c>
      <c r="Z1986" s="4">
        <v>5</v>
      </c>
      <c r="AA1986" s="4">
        <v>6</v>
      </c>
      <c r="AB1986" s="4">
        <v>1</v>
      </c>
      <c r="AC1986" s="4">
        <v>1</v>
      </c>
      <c r="AD1986" s="4">
        <v>38</v>
      </c>
      <c r="AE1986" s="4">
        <v>39</v>
      </c>
      <c r="AF1986" s="4">
        <v>0</v>
      </c>
      <c r="AG1986" s="4">
        <v>0</v>
      </c>
      <c r="AH1986" s="4">
        <v>37</v>
      </c>
      <c r="AI1986" s="4">
        <v>37</v>
      </c>
      <c r="AJ1986" s="4">
        <v>3</v>
      </c>
      <c r="AK1986" s="4">
        <v>4</v>
      </c>
      <c r="AL1986" s="4">
        <v>22</v>
      </c>
      <c r="AM1986" s="4">
        <v>22</v>
      </c>
      <c r="AN1986" s="4">
        <v>0</v>
      </c>
      <c r="AO1986" s="4">
        <v>0</v>
      </c>
      <c r="AP1986" s="4">
        <v>3</v>
      </c>
      <c r="AQ1986" s="4">
        <v>4</v>
      </c>
      <c r="AR1986" s="3" t="s">
        <v>64</v>
      </c>
      <c r="AS1986" s="3" t="s">
        <v>64</v>
      </c>
      <c r="AT1986" s="3" t="s">
        <v>64</v>
      </c>
      <c r="AV1986" s="6" t="str">
        <f>HYPERLINK("http://mcgill.on.worldcat.org/oclc/763315067","Catalog Record")</f>
        <v>Catalog Record</v>
      </c>
      <c r="AW1986" s="6" t="str">
        <f>HYPERLINK("http://www.worldcat.org/oclc/763315067","WorldCat Record")</f>
        <v>WorldCat Record</v>
      </c>
      <c r="AX1986" s="3" t="s">
        <v>20697</v>
      </c>
      <c r="AY1986" s="3" t="s">
        <v>20698</v>
      </c>
      <c r="AZ1986" s="3" t="s">
        <v>20699</v>
      </c>
      <c r="BA1986" s="3" t="s">
        <v>20699</v>
      </c>
      <c r="BB1986" s="3" t="s">
        <v>20703</v>
      </c>
      <c r="BC1986" s="3" t="s">
        <v>78</v>
      </c>
      <c r="BD1986" s="3" t="s">
        <v>79</v>
      </c>
      <c r="BE1986" s="3" t="s">
        <v>20701</v>
      </c>
      <c r="BF1986" s="3" t="s">
        <v>20703</v>
      </c>
      <c r="BG1986" s="3" t="s">
        <v>20704</v>
      </c>
    </row>
    <row r="1987" spans="1:59" ht="58" x14ac:dyDescent="0.35">
      <c r="A1987" s="2" t="s">
        <v>59</v>
      </c>
      <c r="B1987" s="2" t="s">
        <v>94</v>
      </c>
      <c r="C1987" s="2" t="s">
        <v>20693</v>
      </c>
      <c r="D1987" s="2" t="s">
        <v>20694</v>
      </c>
      <c r="E1987" s="2" t="s">
        <v>20695</v>
      </c>
      <c r="F1987" s="3" t="s">
        <v>388</v>
      </c>
      <c r="G1987" s="3" t="s">
        <v>73</v>
      </c>
      <c r="I1987" s="3" t="s">
        <v>64</v>
      </c>
      <c r="J1987" s="3" t="s">
        <v>64</v>
      </c>
      <c r="K1987" s="3" t="s">
        <v>65</v>
      </c>
      <c r="M1987" s="2" t="s">
        <v>20696</v>
      </c>
      <c r="N1987" s="3" t="s">
        <v>328</v>
      </c>
      <c r="P1987" s="3" t="s">
        <v>69</v>
      </c>
      <c r="Q1987" s="2" t="s">
        <v>5134</v>
      </c>
      <c r="R1987" s="3" t="s">
        <v>20654</v>
      </c>
      <c r="S1987" s="4">
        <v>0</v>
      </c>
      <c r="T1987" s="4">
        <v>0</v>
      </c>
      <c r="W1987" s="5" t="s">
        <v>72</v>
      </c>
      <c r="X1987" s="5" t="s">
        <v>72</v>
      </c>
      <c r="Y1987" s="4">
        <v>67</v>
      </c>
      <c r="Z1987" s="4">
        <v>5</v>
      </c>
      <c r="AA1987" s="4">
        <v>6</v>
      </c>
      <c r="AB1987" s="4">
        <v>1</v>
      </c>
      <c r="AC1987" s="4">
        <v>1</v>
      </c>
      <c r="AD1987" s="4">
        <v>38</v>
      </c>
      <c r="AE1987" s="4">
        <v>39</v>
      </c>
      <c r="AF1987" s="4">
        <v>0</v>
      </c>
      <c r="AG1987" s="4">
        <v>0</v>
      </c>
      <c r="AH1987" s="4">
        <v>37</v>
      </c>
      <c r="AI1987" s="4">
        <v>37</v>
      </c>
      <c r="AJ1987" s="4">
        <v>3</v>
      </c>
      <c r="AK1987" s="4">
        <v>4</v>
      </c>
      <c r="AL1987" s="4">
        <v>22</v>
      </c>
      <c r="AM1987" s="4">
        <v>22</v>
      </c>
      <c r="AN1987" s="4">
        <v>0</v>
      </c>
      <c r="AO1987" s="4">
        <v>0</v>
      </c>
      <c r="AP1987" s="4">
        <v>3</v>
      </c>
      <c r="AQ1987" s="4">
        <v>4</v>
      </c>
      <c r="AR1987" s="3" t="s">
        <v>64</v>
      </c>
      <c r="AS1987" s="3" t="s">
        <v>64</v>
      </c>
      <c r="AT1987" s="3" t="s">
        <v>64</v>
      </c>
      <c r="AV1987" s="6" t="str">
        <f>HYPERLINK("http://mcgill.on.worldcat.org/oclc/763315067","Catalog Record")</f>
        <v>Catalog Record</v>
      </c>
      <c r="AW1987" s="6" t="str">
        <f>HYPERLINK("http://www.worldcat.org/oclc/763315067","WorldCat Record")</f>
        <v>WorldCat Record</v>
      </c>
      <c r="AX1987" s="3" t="s">
        <v>20697</v>
      </c>
      <c r="AY1987" s="3" t="s">
        <v>20698</v>
      </c>
      <c r="AZ1987" s="3" t="s">
        <v>20699</v>
      </c>
      <c r="BA1987" s="3" t="s">
        <v>20699</v>
      </c>
      <c r="BB1987" s="3" t="s">
        <v>20705</v>
      </c>
      <c r="BC1987" s="3" t="s">
        <v>78</v>
      </c>
      <c r="BD1987" s="3" t="s">
        <v>79</v>
      </c>
      <c r="BE1987" s="3" t="s">
        <v>20701</v>
      </c>
      <c r="BF1987" s="3" t="s">
        <v>20705</v>
      </c>
      <c r="BG1987" s="3" t="s">
        <v>20706</v>
      </c>
    </row>
    <row r="1988" spans="1:59" ht="58" x14ac:dyDescent="0.35">
      <c r="A1988" s="2" t="s">
        <v>59</v>
      </c>
      <c r="B1988" s="2" t="s">
        <v>94</v>
      </c>
      <c r="C1988" s="2" t="s">
        <v>20707</v>
      </c>
      <c r="D1988" s="2" t="s">
        <v>20708</v>
      </c>
      <c r="E1988" s="2" t="s">
        <v>20709</v>
      </c>
      <c r="G1988" s="3" t="s">
        <v>64</v>
      </c>
      <c r="I1988" s="3" t="s">
        <v>64</v>
      </c>
      <c r="J1988" s="3" t="s">
        <v>64</v>
      </c>
      <c r="K1988" s="3" t="s">
        <v>65</v>
      </c>
      <c r="L1988" s="2" t="s">
        <v>20710</v>
      </c>
      <c r="M1988" s="2" t="s">
        <v>20711</v>
      </c>
      <c r="N1988" s="3" t="s">
        <v>407</v>
      </c>
      <c r="P1988" s="3" t="s">
        <v>69</v>
      </c>
      <c r="Q1988" s="2" t="s">
        <v>20712</v>
      </c>
      <c r="R1988" s="3" t="s">
        <v>20654</v>
      </c>
      <c r="S1988" s="4">
        <v>6</v>
      </c>
      <c r="T1988" s="4">
        <v>6</v>
      </c>
      <c r="U1988" s="5" t="s">
        <v>7580</v>
      </c>
      <c r="V1988" s="5" t="s">
        <v>7580</v>
      </c>
      <c r="W1988" s="5" t="s">
        <v>72</v>
      </c>
      <c r="X1988" s="5" t="s">
        <v>72</v>
      </c>
      <c r="Y1988" s="4">
        <v>111</v>
      </c>
      <c r="Z1988" s="4">
        <v>11</v>
      </c>
      <c r="AA1988" s="4">
        <v>19</v>
      </c>
      <c r="AB1988" s="4">
        <v>2</v>
      </c>
      <c r="AC1988" s="4">
        <v>4</v>
      </c>
      <c r="AD1988" s="4">
        <v>35</v>
      </c>
      <c r="AE1988" s="4">
        <v>73</v>
      </c>
      <c r="AF1988" s="4">
        <v>0</v>
      </c>
      <c r="AG1988" s="4">
        <v>2</v>
      </c>
      <c r="AH1988" s="4">
        <v>32</v>
      </c>
      <c r="AI1988" s="4">
        <v>65</v>
      </c>
      <c r="AJ1988" s="4">
        <v>8</v>
      </c>
      <c r="AK1988" s="4">
        <v>14</v>
      </c>
      <c r="AL1988" s="4">
        <v>21</v>
      </c>
      <c r="AM1988" s="4">
        <v>39</v>
      </c>
      <c r="AN1988" s="4">
        <v>0</v>
      </c>
      <c r="AO1988" s="4">
        <v>0</v>
      </c>
      <c r="AP1988" s="4">
        <v>8</v>
      </c>
      <c r="AQ1988" s="4">
        <v>14</v>
      </c>
      <c r="AR1988" s="3" t="s">
        <v>64</v>
      </c>
      <c r="AS1988" s="3" t="s">
        <v>64</v>
      </c>
      <c r="AT1988" s="3" t="s">
        <v>73</v>
      </c>
      <c r="AU1988" s="6" t="str">
        <f>HYPERLINK("http://catalog.hathitrust.org/Record/000437361","HathiTrust Record")</f>
        <v>HathiTrust Record</v>
      </c>
      <c r="AV1988" s="6" t="str">
        <f>HYPERLINK("http://mcgill.on.worldcat.org/oclc/23382170","Catalog Record")</f>
        <v>Catalog Record</v>
      </c>
      <c r="AW1988" s="6" t="str">
        <f>HYPERLINK("http://www.worldcat.org/oclc/23382170","WorldCat Record")</f>
        <v>WorldCat Record</v>
      </c>
      <c r="AX1988" s="3" t="s">
        <v>20713</v>
      </c>
      <c r="AY1988" s="3" t="s">
        <v>20714</v>
      </c>
      <c r="AZ1988" s="3" t="s">
        <v>20715</v>
      </c>
      <c r="BA1988" s="3" t="s">
        <v>20715</v>
      </c>
      <c r="BB1988" s="3" t="s">
        <v>20716</v>
      </c>
      <c r="BC1988" s="3" t="s">
        <v>78</v>
      </c>
      <c r="BD1988" s="3" t="s">
        <v>79</v>
      </c>
      <c r="BE1988" s="3" t="s">
        <v>20717</v>
      </c>
      <c r="BF1988" s="3" t="s">
        <v>20716</v>
      </c>
      <c r="BG1988" s="3" t="s">
        <v>20718</v>
      </c>
    </row>
    <row r="1989" spans="1:59" ht="58" x14ac:dyDescent="0.35">
      <c r="A1989" s="2" t="s">
        <v>59</v>
      </c>
      <c r="B1989" s="2" t="s">
        <v>94</v>
      </c>
      <c r="C1989" s="2" t="s">
        <v>20719</v>
      </c>
      <c r="D1989" s="2" t="s">
        <v>20720</v>
      </c>
      <c r="E1989" s="2" t="s">
        <v>20721</v>
      </c>
      <c r="G1989" s="3" t="s">
        <v>64</v>
      </c>
      <c r="I1989" s="3" t="s">
        <v>64</v>
      </c>
      <c r="J1989" s="3" t="s">
        <v>64</v>
      </c>
      <c r="K1989" s="3" t="s">
        <v>65</v>
      </c>
      <c r="L1989" s="2" t="s">
        <v>20722</v>
      </c>
      <c r="M1989" s="2" t="s">
        <v>20723</v>
      </c>
      <c r="N1989" s="3" t="s">
        <v>274</v>
      </c>
      <c r="P1989" s="3" t="s">
        <v>69</v>
      </c>
      <c r="Q1989" s="2" t="s">
        <v>450</v>
      </c>
      <c r="R1989" s="3" t="s">
        <v>20654</v>
      </c>
      <c r="S1989" s="4">
        <v>19</v>
      </c>
      <c r="T1989" s="4">
        <v>19</v>
      </c>
      <c r="U1989" s="5" t="s">
        <v>512</v>
      </c>
      <c r="V1989" s="5" t="s">
        <v>512</v>
      </c>
      <c r="W1989" s="5" t="s">
        <v>72</v>
      </c>
      <c r="X1989" s="5" t="s">
        <v>72</v>
      </c>
      <c r="Y1989" s="4">
        <v>493</v>
      </c>
      <c r="Z1989" s="4">
        <v>23</v>
      </c>
      <c r="AA1989" s="4">
        <v>25</v>
      </c>
      <c r="AB1989" s="4">
        <v>2</v>
      </c>
      <c r="AC1989" s="4">
        <v>4</v>
      </c>
      <c r="AD1989" s="4">
        <v>121</v>
      </c>
      <c r="AE1989" s="4">
        <v>123</v>
      </c>
      <c r="AF1989" s="4">
        <v>1</v>
      </c>
      <c r="AG1989" s="4">
        <v>3</v>
      </c>
      <c r="AH1989" s="4">
        <v>111</v>
      </c>
      <c r="AI1989" s="4">
        <v>111</v>
      </c>
      <c r="AJ1989" s="4">
        <v>16</v>
      </c>
      <c r="AK1989" s="4">
        <v>18</v>
      </c>
      <c r="AL1989" s="4">
        <v>61</v>
      </c>
      <c r="AM1989" s="4">
        <v>61</v>
      </c>
      <c r="AN1989" s="4">
        <v>0</v>
      </c>
      <c r="AO1989" s="4">
        <v>0</v>
      </c>
      <c r="AP1989" s="4">
        <v>19</v>
      </c>
      <c r="AQ1989" s="4">
        <v>20</v>
      </c>
      <c r="AR1989" s="3" t="s">
        <v>64</v>
      </c>
      <c r="AS1989" s="3" t="s">
        <v>64</v>
      </c>
      <c r="AT1989" s="3" t="s">
        <v>73</v>
      </c>
      <c r="AU1989" s="6" t="str">
        <f>HYPERLINK("http://catalog.hathitrust.org/Record/000912496","HathiTrust Record")</f>
        <v>HathiTrust Record</v>
      </c>
      <c r="AV1989" s="6" t="str">
        <f>HYPERLINK("http://mcgill.on.worldcat.org/oclc/16832001","Catalog Record")</f>
        <v>Catalog Record</v>
      </c>
      <c r="AW1989" s="6" t="str">
        <f>HYPERLINK("http://www.worldcat.org/oclc/16832001","WorldCat Record")</f>
        <v>WorldCat Record</v>
      </c>
      <c r="AX1989" s="3" t="s">
        <v>20724</v>
      </c>
      <c r="AY1989" s="3" t="s">
        <v>20725</v>
      </c>
      <c r="AZ1989" s="3" t="s">
        <v>20726</v>
      </c>
      <c r="BA1989" s="3" t="s">
        <v>20726</v>
      </c>
      <c r="BB1989" s="3" t="s">
        <v>20727</v>
      </c>
      <c r="BC1989" s="3" t="s">
        <v>78</v>
      </c>
      <c r="BD1989" s="3" t="s">
        <v>79</v>
      </c>
      <c r="BE1989" s="3" t="s">
        <v>20728</v>
      </c>
      <c r="BF1989" s="3" t="s">
        <v>20727</v>
      </c>
      <c r="BG1989" s="3" t="s">
        <v>20729</v>
      </c>
    </row>
    <row r="1990" spans="1:59" ht="58" x14ac:dyDescent="0.35">
      <c r="A1990" s="2" t="s">
        <v>59</v>
      </c>
      <c r="B1990" s="2" t="s">
        <v>94</v>
      </c>
      <c r="C1990" s="2" t="s">
        <v>20730</v>
      </c>
      <c r="D1990" s="2" t="s">
        <v>20731</v>
      </c>
      <c r="E1990" s="2" t="s">
        <v>20732</v>
      </c>
      <c r="G1990" s="3" t="s">
        <v>64</v>
      </c>
      <c r="I1990" s="3" t="s">
        <v>64</v>
      </c>
      <c r="J1990" s="3" t="s">
        <v>64</v>
      </c>
      <c r="K1990" s="3" t="s">
        <v>65</v>
      </c>
      <c r="L1990" s="2" t="s">
        <v>20733</v>
      </c>
      <c r="M1990" s="2" t="s">
        <v>20734</v>
      </c>
      <c r="N1990" s="3" t="s">
        <v>274</v>
      </c>
      <c r="O1990" s="2" t="s">
        <v>1294</v>
      </c>
      <c r="P1990" s="3" t="s">
        <v>69</v>
      </c>
      <c r="R1990" s="3" t="s">
        <v>20654</v>
      </c>
      <c r="S1990" s="4">
        <v>5</v>
      </c>
      <c r="T1990" s="4">
        <v>5</v>
      </c>
      <c r="U1990" s="5" t="s">
        <v>276</v>
      </c>
      <c r="V1990" s="5" t="s">
        <v>276</v>
      </c>
      <c r="W1990" s="5" t="s">
        <v>72</v>
      </c>
      <c r="X1990" s="5" t="s">
        <v>72</v>
      </c>
      <c r="Y1990" s="4">
        <v>829</v>
      </c>
      <c r="Z1990" s="4">
        <v>31</v>
      </c>
      <c r="AA1990" s="4">
        <v>32</v>
      </c>
      <c r="AB1990" s="4">
        <v>2</v>
      </c>
      <c r="AC1990" s="4">
        <v>3</v>
      </c>
      <c r="AD1990" s="4">
        <v>111</v>
      </c>
      <c r="AE1990" s="4">
        <v>114</v>
      </c>
      <c r="AF1990" s="4">
        <v>1</v>
      </c>
      <c r="AG1990" s="4">
        <v>2</v>
      </c>
      <c r="AH1990" s="4">
        <v>98</v>
      </c>
      <c r="AI1990" s="4">
        <v>101</v>
      </c>
      <c r="AJ1990" s="4">
        <v>18</v>
      </c>
      <c r="AK1990" s="4">
        <v>19</v>
      </c>
      <c r="AL1990" s="4">
        <v>54</v>
      </c>
      <c r="AM1990" s="4">
        <v>54</v>
      </c>
      <c r="AN1990" s="4">
        <v>0</v>
      </c>
      <c r="AO1990" s="4">
        <v>0</v>
      </c>
      <c r="AP1990" s="4">
        <v>19</v>
      </c>
      <c r="AQ1990" s="4">
        <v>20</v>
      </c>
      <c r="AR1990" s="3" t="s">
        <v>64</v>
      </c>
      <c r="AS1990" s="3" t="s">
        <v>64</v>
      </c>
      <c r="AT1990" s="3" t="s">
        <v>73</v>
      </c>
      <c r="AU1990" s="6" t="str">
        <f>HYPERLINK("http://catalog.hathitrust.org/Record/000910272","HathiTrust Record")</f>
        <v>HathiTrust Record</v>
      </c>
      <c r="AV1990" s="6" t="str">
        <f>HYPERLINK("http://mcgill.on.worldcat.org/oclc/17295950","Catalog Record")</f>
        <v>Catalog Record</v>
      </c>
      <c r="AW1990" s="6" t="str">
        <f>HYPERLINK("http://www.worldcat.org/oclc/17295950","WorldCat Record")</f>
        <v>WorldCat Record</v>
      </c>
      <c r="AX1990" s="3" t="s">
        <v>20735</v>
      </c>
      <c r="AY1990" s="3" t="s">
        <v>20736</v>
      </c>
      <c r="AZ1990" s="3" t="s">
        <v>20737</v>
      </c>
      <c r="BA1990" s="3" t="s">
        <v>20737</v>
      </c>
      <c r="BB1990" s="3" t="s">
        <v>20738</v>
      </c>
      <c r="BC1990" s="3" t="s">
        <v>78</v>
      </c>
      <c r="BD1990" s="3" t="s">
        <v>79</v>
      </c>
      <c r="BE1990" s="3" t="s">
        <v>20739</v>
      </c>
      <c r="BF1990" s="3" t="s">
        <v>20738</v>
      </c>
      <c r="BG1990" s="3" t="s">
        <v>20740</v>
      </c>
    </row>
    <row r="1991" spans="1:59" ht="58" x14ac:dyDescent="0.35">
      <c r="A1991" s="2" t="s">
        <v>59</v>
      </c>
      <c r="B1991" s="2" t="s">
        <v>94</v>
      </c>
      <c r="C1991" s="2" t="s">
        <v>20741</v>
      </c>
      <c r="D1991" s="2" t="s">
        <v>20742</v>
      </c>
      <c r="E1991" s="2" t="s">
        <v>20743</v>
      </c>
      <c r="G1991" s="3" t="s">
        <v>64</v>
      </c>
      <c r="I1991" s="3" t="s">
        <v>64</v>
      </c>
      <c r="J1991" s="3" t="s">
        <v>64</v>
      </c>
      <c r="K1991" s="3" t="s">
        <v>65</v>
      </c>
      <c r="L1991" s="2" t="s">
        <v>20744</v>
      </c>
      <c r="M1991" s="2" t="s">
        <v>20745</v>
      </c>
      <c r="N1991" s="3" t="s">
        <v>2265</v>
      </c>
      <c r="P1991" s="3" t="s">
        <v>2192</v>
      </c>
      <c r="Q1991" s="2" t="s">
        <v>20746</v>
      </c>
      <c r="R1991" s="3" t="s">
        <v>20654</v>
      </c>
      <c r="S1991" s="4">
        <v>4</v>
      </c>
      <c r="T1991" s="4">
        <v>4</v>
      </c>
      <c r="U1991" s="5" t="s">
        <v>20747</v>
      </c>
      <c r="V1991" s="5" t="s">
        <v>20747</v>
      </c>
      <c r="W1991" s="5" t="s">
        <v>72</v>
      </c>
      <c r="X1991" s="5" t="s">
        <v>72</v>
      </c>
      <c r="Y1991" s="4">
        <v>152</v>
      </c>
      <c r="Z1991" s="4">
        <v>13</v>
      </c>
      <c r="AA1991" s="4">
        <v>15</v>
      </c>
      <c r="AB1991" s="4">
        <v>1</v>
      </c>
      <c r="AC1991" s="4">
        <v>1</v>
      </c>
      <c r="AD1991" s="4">
        <v>74</v>
      </c>
      <c r="AE1991" s="4">
        <v>78</v>
      </c>
      <c r="AF1991" s="4">
        <v>0</v>
      </c>
      <c r="AG1991" s="4">
        <v>0</v>
      </c>
      <c r="AH1991" s="4">
        <v>67</v>
      </c>
      <c r="AI1991" s="4">
        <v>70</v>
      </c>
      <c r="AJ1991" s="4">
        <v>11</v>
      </c>
      <c r="AK1991" s="4">
        <v>13</v>
      </c>
      <c r="AL1991" s="4">
        <v>43</v>
      </c>
      <c r="AM1991" s="4">
        <v>43</v>
      </c>
      <c r="AN1991" s="4">
        <v>0</v>
      </c>
      <c r="AO1991" s="4">
        <v>1</v>
      </c>
      <c r="AP1991" s="4">
        <v>11</v>
      </c>
      <c r="AQ1991" s="4">
        <v>13</v>
      </c>
      <c r="AR1991" s="3" t="s">
        <v>64</v>
      </c>
      <c r="AS1991" s="3" t="s">
        <v>64</v>
      </c>
      <c r="AT1991" s="3" t="s">
        <v>73</v>
      </c>
      <c r="AU1991" s="6" t="str">
        <f>HYPERLINK("http://catalog.hathitrust.org/Record/001621847","HathiTrust Record")</f>
        <v>HathiTrust Record</v>
      </c>
      <c r="AV1991" s="6" t="str">
        <f>HYPERLINK("http://mcgill.on.worldcat.org/oclc/845739","Catalog Record")</f>
        <v>Catalog Record</v>
      </c>
      <c r="AW1991" s="6" t="str">
        <f>HYPERLINK("http://www.worldcat.org/oclc/845739","WorldCat Record")</f>
        <v>WorldCat Record</v>
      </c>
      <c r="AX1991" s="3" t="s">
        <v>20748</v>
      </c>
      <c r="AY1991" s="3" t="s">
        <v>20749</v>
      </c>
      <c r="AZ1991" s="3" t="s">
        <v>20750</v>
      </c>
      <c r="BA1991" s="3" t="s">
        <v>20750</v>
      </c>
      <c r="BB1991" s="3" t="s">
        <v>20751</v>
      </c>
      <c r="BC1991" s="3" t="s">
        <v>78</v>
      </c>
      <c r="BD1991" s="3" t="s">
        <v>79</v>
      </c>
      <c r="BF1991" s="3" t="s">
        <v>20751</v>
      </c>
      <c r="BG1991" s="3" t="s">
        <v>20752</v>
      </c>
    </row>
    <row r="1992" spans="1:59" ht="58" x14ac:dyDescent="0.35">
      <c r="A1992" s="2" t="s">
        <v>59</v>
      </c>
      <c r="B1992" s="2" t="s">
        <v>94</v>
      </c>
      <c r="C1992" s="2" t="s">
        <v>20753</v>
      </c>
      <c r="D1992" s="2" t="s">
        <v>20754</v>
      </c>
      <c r="E1992" s="2" t="s">
        <v>20755</v>
      </c>
      <c r="G1992" s="3" t="s">
        <v>64</v>
      </c>
      <c r="I1992" s="3" t="s">
        <v>64</v>
      </c>
      <c r="J1992" s="3" t="s">
        <v>64</v>
      </c>
      <c r="K1992" s="3" t="s">
        <v>65</v>
      </c>
      <c r="L1992" s="2" t="s">
        <v>20756</v>
      </c>
      <c r="M1992" s="2" t="s">
        <v>20757</v>
      </c>
      <c r="N1992" s="3" t="s">
        <v>3563</v>
      </c>
      <c r="P1992" s="3" t="s">
        <v>69</v>
      </c>
      <c r="R1992" s="3" t="s">
        <v>20654</v>
      </c>
      <c r="S1992" s="4">
        <v>14</v>
      </c>
      <c r="T1992" s="4">
        <v>14</v>
      </c>
      <c r="U1992" s="5" t="s">
        <v>7419</v>
      </c>
      <c r="V1992" s="5" t="s">
        <v>7419</v>
      </c>
      <c r="W1992" s="5" t="s">
        <v>72</v>
      </c>
      <c r="X1992" s="5" t="s">
        <v>72</v>
      </c>
      <c r="Y1992" s="4">
        <v>220</v>
      </c>
      <c r="Z1992" s="4">
        <v>11</v>
      </c>
      <c r="AA1992" s="4">
        <v>13</v>
      </c>
      <c r="AB1992" s="4">
        <v>1</v>
      </c>
      <c r="AC1992" s="4">
        <v>2</v>
      </c>
      <c r="AD1992" s="4">
        <v>63</v>
      </c>
      <c r="AE1992" s="4">
        <v>63</v>
      </c>
      <c r="AF1992" s="4">
        <v>0</v>
      </c>
      <c r="AG1992" s="4">
        <v>0</v>
      </c>
      <c r="AH1992" s="4">
        <v>56</v>
      </c>
      <c r="AI1992" s="4">
        <v>56</v>
      </c>
      <c r="AJ1992" s="4">
        <v>8</v>
      </c>
      <c r="AK1992" s="4">
        <v>8</v>
      </c>
      <c r="AL1992" s="4">
        <v>34</v>
      </c>
      <c r="AM1992" s="4">
        <v>34</v>
      </c>
      <c r="AN1992" s="4">
        <v>0</v>
      </c>
      <c r="AO1992" s="4">
        <v>0</v>
      </c>
      <c r="AP1992" s="4">
        <v>8</v>
      </c>
      <c r="AQ1992" s="4">
        <v>8</v>
      </c>
      <c r="AR1992" s="3" t="s">
        <v>64</v>
      </c>
      <c r="AS1992" s="3" t="s">
        <v>64</v>
      </c>
      <c r="AT1992" s="3" t="s">
        <v>73</v>
      </c>
      <c r="AU1992" s="6" t="str">
        <f>HYPERLINK("http://catalog.hathitrust.org/Record/002606270","HathiTrust Record")</f>
        <v>HathiTrust Record</v>
      </c>
      <c r="AV1992" s="6" t="str">
        <f>HYPERLINK("http://mcgill.on.worldcat.org/oclc/26586922","Catalog Record")</f>
        <v>Catalog Record</v>
      </c>
      <c r="AW1992" s="6" t="str">
        <f>HYPERLINK("http://www.worldcat.org/oclc/26586922","WorldCat Record")</f>
        <v>WorldCat Record</v>
      </c>
      <c r="AX1992" s="3" t="s">
        <v>20758</v>
      </c>
      <c r="AY1992" s="3" t="s">
        <v>20759</v>
      </c>
      <c r="AZ1992" s="3" t="s">
        <v>20760</v>
      </c>
      <c r="BA1992" s="3" t="s">
        <v>20760</v>
      </c>
      <c r="BB1992" s="3" t="s">
        <v>20761</v>
      </c>
      <c r="BC1992" s="3" t="s">
        <v>78</v>
      </c>
      <c r="BD1992" s="3" t="s">
        <v>79</v>
      </c>
      <c r="BE1992" s="3" t="s">
        <v>20762</v>
      </c>
      <c r="BF1992" s="3" t="s">
        <v>20761</v>
      </c>
      <c r="BG1992" s="3" t="s">
        <v>20763</v>
      </c>
    </row>
    <row r="1993" spans="1:59" ht="58" x14ac:dyDescent="0.35">
      <c r="A1993" s="2" t="s">
        <v>59</v>
      </c>
      <c r="B1993" s="2" t="s">
        <v>94</v>
      </c>
      <c r="C1993" s="2" t="s">
        <v>20764</v>
      </c>
      <c r="D1993" s="2" t="s">
        <v>20765</v>
      </c>
      <c r="E1993" s="2" t="s">
        <v>20766</v>
      </c>
      <c r="G1993" s="3" t="s">
        <v>64</v>
      </c>
      <c r="I1993" s="3" t="s">
        <v>64</v>
      </c>
      <c r="J1993" s="3" t="s">
        <v>64</v>
      </c>
      <c r="K1993" s="3" t="s">
        <v>65</v>
      </c>
      <c r="L1993" s="2" t="s">
        <v>20767</v>
      </c>
      <c r="M1993" s="2" t="s">
        <v>6841</v>
      </c>
      <c r="N1993" s="3" t="s">
        <v>377</v>
      </c>
      <c r="P1993" s="3" t="s">
        <v>69</v>
      </c>
      <c r="Q1993" s="2" t="s">
        <v>20768</v>
      </c>
      <c r="R1993" s="3" t="s">
        <v>20654</v>
      </c>
      <c r="S1993" s="4">
        <v>0</v>
      </c>
      <c r="T1993" s="4">
        <v>0</v>
      </c>
      <c r="W1993" s="5" t="s">
        <v>72</v>
      </c>
      <c r="X1993" s="5" t="s">
        <v>72</v>
      </c>
      <c r="Y1993" s="4">
        <v>80</v>
      </c>
      <c r="Z1993" s="4">
        <v>5</v>
      </c>
      <c r="AA1993" s="4">
        <v>6</v>
      </c>
      <c r="AB1993" s="4">
        <v>1</v>
      </c>
      <c r="AC1993" s="4">
        <v>1</v>
      </c>
      <c r="AD1993" s="4">
        <v>46</v>
      </c>
      <c r="AE1993" s="4">
        <v>50</v>
      </c>
      <c r="AF1993" s="4">
        <v>0</v>
      </c>
      <c r="AG1993" s="4">
        <v>0</v>
      </c>
      <c r="AH1993" s="4">
        <v>45</v>
      </c>
      <c r="AI1993" s="4">
        <v>48</v>
      </c>
      <c r="AJ1993" s="4">
        <v>3</v>
      </c>
      <c r="AK1993" s="4">
        <v>4</v>
      </c>
      <c r="AL1993" s="4">
        <v>27</v>
      </c>
      <c r="AM1993" s="4">
        <v>28</v>
      </c>
      <c r="AN1993" s="4">
        <v>0</v>
      </c>
      <c r="AO1993" s="4">
        <v>0</v>
      </c>
      <c r="AP1993" s="4">
        <v>3</v>
      </c>
      <c r="AQ1993" s="4">
        <v>4</v>
      </c>
      <c r="AR1993" s="3" t="s">
        <v>64</v>
      </c>
      <c r="AS1993" s="3" t="s">
        <v>64</v>
      </c>
      <c r="AT1993" s="3" t="s">
        <v>64</v>
      </c>
      <c r="AV1993" s="6" t="str">
        <f>HYPERLINK("http://mcgill.on.worldcat.org/oclc/792889858","Catalog Record")</f>
        <v>Catalog Record</v>
      </c>
      <c r="AW1993" s="6" t="str">
        <f>HYPERLINK("http://www.worldcat.org/oclc/792889858","WorldCat Record")</f>
        <v>WorldCat Record</v>
      </c>
      <c r="AX1993" s="3" t="s">
        <v>20769</v>
      </c>
      <c r="AY1993" s="3" t="s">
        <v>20770</v>
      </c>
      <c r="AZ1993" s="3" t="s">
        <v>20771</v>
      </c>
      <c r="BA1993" s="3" t="s">
        <v>20771</v>
      </c>
      <c r="BB1993" s="3" t="s">
        <v>20772</v>
      </c>
      <c r="BC1993" s="3" t="s">
        <v>78</v>
      </c>
      <c r="BD1993" s="3" t="s">
        <v>79</v>
      </c>
      <c r="BE1993" s="3" t="s">
        <v>20773</v>
      </c>
      <c r="BF1993" s="3" t="s">
        <v>20772</v>
      </c>
      <c r="BG1993" s="3" t="s">
        <v>20774</v>
      </c>
    </row>
    <row r="1994" spans="1:59" ht="58" x14ac:dyDescent="0.35">
      <c r="A1994" s="2" t="s">
        <v>59</v>
      </c>
      <c r="B1994" s="2" t="s">
        <v>94</v>
      </c>
      <c r="C1994" s="2" t="s">
        <v>20775</v>
      </c>
      <c r="D1994" s="2" t="s">
        <v>20776</v>
      </c>
      <c r="E1994" s="2" t="s">
        <v>20777</v>
      </c>
      <c r="G1994" s="3" t="s">
        <v>64</v>
      </c>
      <c r="I1994" s="3" t="s">
        <v>64</v>
      </c>
      <c r="J1994" s="3" t="s">
        <v>64</v>
      </c>
      <c r="K1994" s="3" t="s">
        <v>2292</v>
      </c>
      <c r="L1994" s="2" t="s">
        <v>20778</v>
      </c>
      <c r="M1994" s="2" t="s">
        <v>20779</v>
      </c>
      <c r="N1994" s="3" t="s">
        <v>264</v>
      </c>
      <c r="P1994" s="3" t="s">
        <v>69</v>
      </c>
      <c r="R1994" s="3" t="s">
        <v>20654</v>
      </c>
      <c r="S1994" s="4">
        <v>5</v>
      </c>
      <c r="T1994" s="4">
        <v>5</v>
      </c>
      <c r="U1994" s="5" t="s">
        <v>20780</v>
      </c>
      <c r="V1994" s="5" t="s">
        <v>20780</v>
      </c>
      <c r="W1994" s="5" t="s">
        <v>72</v>
      </c>
      <c r="X1994" s="5" t="s">
        <v>72</v>
      </c>
      <c r="Y1994" s="4">
        <v>701</v>
      </c>
      <c r="Z1994" s="4">
        <v>30</v>
      </c>
      <c r="AA1994" s="4">
        <v>46</v>
      </c>
      <c r="AB1994" s="4">
        <v>2</v>
      </c>
      <c r="AC1994" s="4">
        <v>8</v>
      </c>
      <c r="AD1994" s="4">
        <v>123</v>
      </c>
      <c r="AE1994" s="4">
        <v>135</v>
      </c>
      <c r="AF1994" s="4">
        <v>1</v>
      </c>
      <c r="AG1994" s="4">
        <v>2</v>
      </c>
      <c r="AH1994" s="4">
        <v>107</v>
      </c>
      <c r="AI1994" s="4">
        <v>112</v>
      </c>
      <c r="AJ1994" s="4">
        <v>21</v>
      </c>
      <c r="AK1994" s="4">
        <v>22</v>
      </c>
      <c r="AL1994" s="4">
        <v>55</v>
      </c>
      <c r="AM1994" s="4">
        <v>59</v>
      </c>
      <c r="AN1994" s="4">
        <v>0</v>
      </c>
      <c r="AO1994" s="4">
        <v>0</v>
      </c>
      <c r="AP1994" s="4">
        <v>25</v>
      </c>
      <c r="AQ1994" s="4">
        <v>31</v>
      </c>
      <c r="AR1994" s="3" t="s">
        <v>64</v>
      </c>
      <c r="AS1994" s="3" t="s">
        <v>64</v>
      </c>
      <c r="AT1994" s="3" t="s">
        <v>73</v>
      </c>
      <c r="AU1994" s="6" t="str">
        <f>HYPERLINK("http://catalog.hathitrust.org/Record/000731609","HathiTrust Record")</f>
        <v>HathiTrust Record</v>
      </c>
      <c r="AV1994" s="6" t="str">
        <f>HYPERLINK("http://mcgill.on.worldcat.org/oclc/2542466","Catalog Record")</f>
        <v>Catalog Record</v>
      </c>
      <c r="AW1994" s="6" t="str">
        <f>HYPERLINK("http://www.worldcat.org/oclc/2542466","WorldCat Record")</f>
        <v>WorldCat Record</v>
      </c>
      <c r="AX1994" s="3" t="s">
        <v>20781</v>
      </c>
      <c r="AY1994" s="3" t="s">
        <v>20782</v>
      </c>
      <c r="AZ1994" s="3" t="s">
        <v>20783</v>
      </c>
      <c r="BA1994" s="3" t="s">
        <v>20783</v>
      </c>
      <c r="BB1994" s="3" t="s">
        <v>20784</v>
      </c>
      <c r="BC1994" s="3" t="s">
        <v>78</v>
      </c>
      <c r="BD1994" s="3" t="s">
        <v>79</v>
      </c>
      <c r="BE1994" s="3" t="s">
        <v>20785</v>
      </c>
      <c r="BF1994" s="3" t="s">
        <v>20784</v>
      </c>
      <c r="BG1994" s="3" t="s">
        <v>20786</v>
      </c>
    </row>
    <row r="1995" spans="1:59" ht="58" x14ac:dyDescent="0.35">
      <c r="A1995" s="2" t="s">
        <v>59</v>
      </c>
      <c r="B1995" s="2" t="s">
        <v>94</v>
      </c>
      <c r="C1995" s="2" t="s">
        <v>20787</v>
      </c>
      <c r="D1995" s="2" t="s">
        <v>20788</v>
      </c>
      <c r="E1995" s="2" t="s">
        <v>20789</v>
      </c>
      <c r="G1995" s="3" t="s">
        <v>64</v>
      </c>
      <c r="I1995" s="3" t="s">
        <v>73</v>
      </c>
      <c r="J1995" s="3" t="s">
        <v>64</v>
      </c>
      <c r="K1995" s="3" t="s">
        <v>65</v>
      </c>
      <c r="L1995" s="2" t="s">
        <v>20790</v>
      </c>
      <c r="M1995" s="2" t="s">
        <v>20791</v>
      </c>
      <c r="N1995" s="3" t="s">
        <v>2574</v>
      </c>
      <c r="P1995" s="3" t="s">
        <v>69</v>
      </c>
      <c r="R1995" s="3" t="s">
        <v>20654</v>
      </c>
      <c r="S1995" s="4">
        <v>26</v>
      </c>
      <c r="T1995" s="4">
        <v>30</v>
      </c>
      <c r="U1995" s="5" t="s">
        <v>14264</v>
      </c>
      <c r="V1995" s="5" t="s">
        <v>14264</v>
      </c>
      <c r="W1995" s="5" t="s">
        <v>72</v>
      </c>
      <c r="X1995" s="5" t="s">
        <v>72</v>
      </c>
      <c r="Y1995" s="4">
        <v>159</v>
      </c>
      <c r="Z1995" s="4">
        <v>13</v>
      </c>
      <c r="AA1995" s="4">
        <v>49</v>
      </c>
      <c r="AB1995" s="4">
        <v>2</v>
      </c>
      <c r="AC1995" s="4">
        <v>4</v>
      </c>
      <c r="AD1995" s="4">
        <v>35</v>
      </c>
      <c r="AE1995" s="4">
        <v>129</v>
      </c>
      <c r="AF1995" s="4">
        <v>1</v>
      </c>
      <c r="AG1995" s="4">
        <v>3</v>
      </c>
      <c r="AH1995" s="4">
        <v>26</v>
      </c>
      <c r="AI1995" s="4">
        <v>101</v>
      </c>
      <c r="AJ1995" s="4">
        <v>5</v>
      </c>
      <c r="AK1995" s="4">
        <v>19</v>
      </c>
      <c r="AL1995" s="4">
        <v>22</v>
      </c>
      <c r="AM1995" s="4">
        <v>57</v>
      </c>
      <c r="AN1995" s="4">
        <v>0</v>
      </c>
      <c r="AO1995" s="4">
        <v>5</v>
      </c>
      <c r="AP1995" s="4">
        <v>8</v>
      </c>
      <c r="AQ1995" s="4">
        <v>33</v>
      </c>
      <c r="AR1995" s="3" t="s">
        <v>64</v>
      </c>
      <c r="AS1995" s="3" t="s">
        <v>64</v>
      </c>
      <c r="AT1995" s="3" t="s">
        <v>64</v>
      </c>
      <c r="AV1995" s="6" t="str">
        <f>HYPERLINK("http://mcgill.on.worldcat.org/oclc/1947867","Catalog Record")</f>
        <v>Catalog Record</v>
      </c>
      <c r="AW1995" s="6" t="str">
        <f>HYPERLINK("http://www.worldcat.org/oclc/1947867","WorldCat Record")</f>
        <v>WorldCat Record</v>
      </c>
      <c r="AX1995" s="3" t="s">
        <v>20792</v>
      </c>
      <c r="AY1995" s="3" t="s">
        <v>20793</v>
      </c>
      <c r="AZ1995" s="3" t="s">
        <v>20794</v>
      </c>
      <c r="BA1995" s="3" t="s">
        <v>20794</v>
      </c>
      <c r="BB1995" s="3" t="s">
        <v>20795</v>
      </c>
      <c r="BC1995" s="3" t="s">
        <v>78</v>
      </c>
      <c r="BD1995" s="3" t="s">
        <v>79</v>
      </c>
      <c r="BE1995" s="3" t="s">
        <v>20796</v>
      </c>
      <c r="BF1995" s="3" t="s">
        <v>20795</v>
      </c>
      <c r="BG1995" s="3" t="s">
        <v>20797</v>
      </c>
    </row>
    <row r="1996" spans="1:59" ht="58" x14ac:dyDescent="0.35">
      <c r="A1996" s="2" t="s">
        <v>59</v>
      </c>
      <c r="B1996" s="2" t="s">
        <v>94</v>
      </c>
      <c r="C1996" s="2" t="s">
        <v>20787</v>
      </c>
      <c r="D1996" s="2" t="s">
        <v>20788</v>
      </c>
      <c r="E1996" s="2" t="s">
        <v>20789</v>
      </c>
      <c r="G1996" s="3" t="s">
        <v>64</v>
      </c>
      <c r="I1996" s="3" t="s">
        <v>73</v>
      </c>
      <c r="J1996" s="3" t="s">
        <v>64</v>
      </c>
      <c r="K1996" s="3" t="s">
        <v>65</v>
      </c>
      <c r="L1996" s="2" t="s">
        <v>20790</v>
      </c>
      <c r="M1996" s="2" t="s">
        <v>20791</v>
      </c>
      <c r="N1996" s="3" t="s">
        <v>2574</v>
      </c>
      <c r="P1996" s="3" t="s">
        <v>69</v>
      </c>
      <c r="R1996" s="3" t="s">
        <v>20654</v>
      </c>
      <c r="S1996" s="4">
        <v>4</v>
      </c>
      <c r="T1996" s="4">
        <v>30</v>
      </c>
      <c r="U1996" s="5" t="s">
        <v>20798</v>
      </c>
      <c r="V1996" s="5" t="s">
        <v>14264</v>
      </c>
      <c r="W1996" s="5" t="s">
        <v>72</v>
      </c>
      <c r="X1996" s="5" t="s">
        <v>72</v>
      </c>
      <c r="Y1996" s="4">
        <v>159</v>
      </c>
      <c r="Z1996" s="4">
        <v>13</v>
      </c>
      <c r="AA1996" s="4">
        <v>49</v>
      </c>
      <c r="AB1996" s="4">
        <v>2</v>
      </c>
      <c r="AC1996" s="4">
        <v>4</v>
      </c>
      <c r="AD1996" s="4">
        <v>35</v>
      </c>
      <c r="AE1996" s="4">
        <v>129</v>
      </c>
      <c r="AF1996" s="4">
        <v>1</v>
      </c>
      <c r="AG1996" s="4">
        <v>3</v>
      </c>
      <c r="AH1996" s="4">
        <v>26</v>
      </c>
      <c r="AI1996" s="4">
        <v>101</v>
      </c>
      <c r="AJ1996" s="4">
        <v>5</v>
      </c>
      <c r="AK1996" s="4">
        <v>19</v>
      </c>
      <c r="AL1996" s="4">
        <v>22</v>
      </c>
      <c r="AM1996" s="4">
        <v>57</v>
      </c>
      <c r="AN1996" s="4">
        <v>0</v>
      </c>
      <c r="AO1996" s="4">
        <v>5</v>
      </c>
      <c r="AP1996" s="4">
        <v>8</v>
      </c>
      <c r="AQ1996" s="4">
        <v>33</v>
      </c>
      <c r="AR1996" s="3" t="s">
        <v>64</v>
      </c>
      <c r="AS1996" s="3" t="s">
        <v>64</v>
      </c>
      <c r="AT1996" s="3" t="s">
        <v>64</v>
      </c>
      <c r="AV1996" s="6" t="str">
        <f>HYPERLINK("http://mcgill.on.worldcat.org/oclc/1947867","Catalog Record")</f>
        <v>Catalog Record</v>
      </c>
      <c r="AW1996" s="6" t="str">
        <f>HYPERLINK("http://www.worldcat.org/oclc/1947867","WorldCat Record")</f>
        <v>WorldCat Record</v>
      </c>
      <c r="AX1996" s="3" t="s">
        <v>20792</v>
      </c>
      <c r="AY1996" s="3" t="s">
        <v>20793</v>
      </c>
      <c r="AZ1996" s="3" t="s">
        <v>20794</v>
      </c>
      <c r="BA1996" s="3" t="s">
        <v>20794</v>
      </c>
      <c r="BB1996" s="3" t="s">
        <v>20799</v>
      </c>
      <c r="BC1996" s="3" t="s">
        <v>78</v>
      </c>
      <c r="BD1996" s="3" t="s">
        <v>79</v>
      </c>
      <c r="BE1996" s="3" t="s">
        <v>20796</v>
      </c>
      <c r="BF1996" s="3" t="s">
        <v>20799</v>
      </c>
      <c r="BG1996" s="3" t="s">
        <v>20800</v>
      </c>
    </row>
    <row r="1997" spans="1:59" ht="58" x14ac:dyDescent="0.35">
      <c r="A1997" s="2" t="s">
        <v>59</v>
      </c>
      <c r="B1997" s="2" t="s">
        <v>94</v>
      </c>
      <c r="C1997" s="2" t="s">
        <v>20801</v>
      </c>
      <c r="D1997" s="2" t="s">
        <v>20802</v>
      </c>
      <c r="E1997" s="2" t="s">
        <v>20803</v>
      </c>
      <c r="G1997" s="3" t="s">
        <v>64</v>
      </c>
      <c r="I1997" s="3" t="s">
        <v>64</v>
      </c>
      <c r="J1997" s="3" t="s">
        <v>64</v>
      </c>
      <c r="K1997" s="3" t="s">
        <v>65</v>
      </c>
      <c r="L1997" s="2" t="s">
        <v>20804</v>
      </c>
      <c r="M1997" s="2" t="s">
        <v>20805</v>
      </c>
      <c r="N1997" s="3" t="s">
        <v>1530</v>
      </c>
      <c r="P1997" s="3" t="s">
        <v>69</v>
      </c>
      <c r="R1997" s="3" t="s">
        <v>20654</v>
      </c>
      <c r="S1997" s="4">
        <v>15</v>
      </c>
      <c r="T1997" s="4">
        <v>15</v>
      </c>
      <c r="U1997" s="5" t="s">
        <v>20470</v>
      </c>
      <c r="V1997" s="5" t="s">
        <v>20470</v>
      </c>
      <c r="W1997" s="5" t="s">
        <v>72</v>
      </c>
      <c r="X1997" s="5" t="s">
        <v>72</v>
      </c>
      <c r="Y1997" s="4">
        <v>130</v>
      </c>
      <c r="Z1997" s="4">
        <v>15</v>
      </c>
      <c r="AA1997" s="4">
        <v>22</v>
      </c>
      <c r="AB1997" s="4">
        <v>2</v>
      </c>
      <c r="AC1997" s="4">
        <v>3</v>
      </c>
      <c r="AD1997" s="4">
        <v>23</v>
      </c>
      <c r="AE1997" s="4">
        <v>87</v>
      </c>
      <c r="AF1997" s="4">
        <v>0</v>
      </c>
      <c r="AG1997" s="4">
        <v>1</v>
      </c>
      <c r="AH1997" s="4">
        <v>18</v>
      </c>
      <c r="AI1997" s="4">
        <v>78</v>
      </c>
      <c r="AJ1997" s="4">
        <v>6</v>
      </c>
      <c r="AK1997" s="4">
        <v>9</v>
      </c>
      <c r="AL1997" s="4">
        <v>12</v>
      </c>
      <c r="AM1997" s="4">
        <v>47</v>
      </c>
      <c r="AN1997" s="4">
        <v>0</v>
      </c>
      <c r="AO1997" s="4">
        <v>0</v>
      </c>
      <c r="AP1997" s="4">
        <v>8</v>
      </c>
      <c r="AQ1997" s="4">
        <v>12</v>
      </c>
      <c r="AR1997" s="3" t="s">
        <v>64</v>
      </c>
      <c r="AS1997" s="3" t="s">
        <v>64</v>
      </c>
      <c r="AT1997" s="3" t="s">
        <v>64</v>
      </c>
      <c r="AV1997" s="6" t="str">
        <f>HYPERLINK("http://mcgill.on.worldcat.org/oclc/52265535","Catalog Record")</f>
        <v>Catalog Record</v>
      </c>
      <c r="AW1997" s="6" t="str">
        <f>HYPERLINK("http://www.worldcat.org/oclc/52265535","WorldCat Record")</f>
        <v>WorldCat Record</v>
      </c>
      <c r="AX1997" s="3" t="s">
        <v>20806</v>
      </c>
      <c r="AY1997" s="3" t="s">
        <v>20807</v>
      </c>
      <c r="AZ1997" s="3" t="s">
        <v>20808</v>
      </c>
      <c r="BA1997" s="3" t="s">
        <v>20808</v>
      </c>
      <c r="BB1997" s="3" t="s">
        <v>20809</v>
      </c>
      <c r="BC1997" s="3" t="s">
        <v>78</v>
      </c>
      <c r="BD1997" s="3" t="s">
        <v>79</v>
      </c>
      <c r="BE1997" s="3" t="s">
        <v>20810</v>
      </c>
      <c r="BF1997" s="3" t="s">
        <v>20809</v>
      </c>
      <c r="BG1997" s="3" t="s">
        <v>20811</v>
      </c>
    </row>
    <row r="1998" spans="1:59" ht="58" x14ac:dyDescent="0.35">
      <c r="A1998" s="2" t="s">
        <v>59</v>
      </c>
      <c r="B1998" s="2" t="s">
        <v>94</v>
      </c>
      <c r="C1998" s="2" t="s">
        <v>20812</v>
      </c>
      <c r="D1998" s="2" t="s">
        <v>20813</v>
      </c>
      <c r="E1998" s="2" t="s">
        <v>20814</v>
      </c>
      <c r="G1998" s="3" t="s">
        <v>64</v>
      </c>
      <c r="I1998" s="3" t="s">
        <v>64</v>
      </c>
      <c r="J1998" s="3" t="s">
        <v>73</v>
      </c>
      <c r="K1998" s="3" t="s">
        <v>65</v>
      </c>
      <c r="L1998" s="2" t="s">
        <v>5944</v>
      </c>
      <c r="M1998" s="2" t="s">
        <v>20815</v>
      </c>
      <c r="N1998" s="3" t="s">
        <v>733</v>
      </c>
      <c r="P1998" s="3" t="s">
        <v>69</v>
      </c>
      <c r="Q1998" s="2" t="s">
        <v>20816</v>
      </c>
      <c r="R1998" s="3" t="s">
        <v>20654</v>
      </c>
      <c r="S1998" s="4">
        <v>21</v>
      </c>
      <c r="T1998" s="4">
        <v>21</v>
      </c>
      <c r="U1998" s="5" t="s">
        <v>2585</v>
      </c>
      <c r="V1998" s="5" t="s">
        <v>2585</v>
      </c>
      <c r="W1998" s="5" t="s">
        <v>72</v>
      </c>
      <c r="X1998" s="5" t="s">
        <v>72</v>
      </c>
      <c r="Y1998" s="4">
        <v>322</v>
      </c>
      <c r="Z1998" s="4">
        <v>9</v>
      </c>
      <c r="AA1998" s="4">
        <v>55</v>
      </c>
      <c r="AB1998" s="4">
        <v>1</v>
      </c>
      <c r="AC1998" s="4">
        <v>11</v>
      </c>
      <c r="AD1998" s="4">
        <v>35</v>
      </c>
      <c r="AE1998" s="4">
        <v>138</v>
      </c>
      <c r="AF1998" s="4">
        <v>0</v>
      </c>
      <c r="AG1998" s="4">
        <v>5</v>
      </c>
      <c r="AH1998" s="4">
        <v>32</v>
      </c>
      <c r="AI1998" s="4">
        <v>109</v>
      </c>
      <c r="AJ1998" s="4">
        <v>4</v>
      </c>
      <c r="AK1998" s="4">
        <v>23</v>
      </c>
      <c r="AL1998" s="4">
        <v>22</v>
      </c>
      <c r="AM1998" s="4">
        <v>59</v>
      </c>
      <c r="AN1998" s="4">
        <v>0</v>
      </c>
      <c r="AO1998" s="4">
        <v>0</v>
      </c>
      <c r="AP1998" s="4">
        <v>4</v>
      </c>
      <c r="AQ1998" s="4">
        <v>36</v>
      </c>
      <c r="AR1998" s="3" t="s">
        <v>64</v>
      </c>
      <c r="AS1998" s="3" t="s">
        <v>64</v>
      </c>
      <c r="AT1998" s="3" t="s">
        <v>64</v>
      </c>
      <c r="AV1998" s="6" t="str">
        <f>HYPERLINK("http://mcgill.on.worldcat.org/oclc/9308772","Catalog Record")</f>
        <v>Catalog Record</v>
      </c>
      <c r="AW1998" s="6" t="str">
        <f>HYPERLINK("http://www.worldcat.org/oclc/9308772","WorldCat Record")</f>
        <v>WorldCat Record</v>
      </c>
      <c r="AX1998" s="3" t="s">
        <v>20817</v>
      </c>
      <c r="AY1998" s="3" t="s">
        <v>20818</v>
      </c>
      <c r="AZ1998" s="3" t="s">
        <v>20819</v>
      </c>
      <c r="BA1998" s="3" t="s">
        <v>20819</v>
      </c>
      <c r="BB1998" s="3" t="s">
        <v>20820</v>
      </c>
      <c r="BC1998" s="3" t="s">
        <v>78</v>
      </c>
      <c r="BD1998" s="3" t="s">
        <v>79</v>
      </c>
      <c r="BE1998" s="3" t="s">
        <v>20821</v>
      </c>
      <c r="BF1998" s="3" t="s">
        <v>20820</v>
      </c>
      <c r="BG1998" s="3" t="s">
        <v>20822</v>
      </c>
    </row>
    <row r="1999" spans="1:59" ht="58" x14ac:dyDescent="0.35">
      <c r="A1999" s="2" t="s">
        <v>59</v>
      </c>
      <c r="B1999" s="2" t="s">
        <v>94</v>
      </c>
      <c r="C1999" s="2" t="s">
        <v>20823</v>
      </c>
      <c r="D1999" s="2" t="s">
        <v>20824</v>
      </c>
      <c r="E1999" s="2" t="s">
        <v>20825</v>
      </c>
      <c r="G1999" s="3" t="s">
        <v>64</v>
      </c>
      <c r="I1999" s="3" t="s">
        <v>64</v>
      </c>
      <c r="J1999" s="3" t="s">
        <v>64</v>
      </c>
      <c r="K1999" s="3" t="s">
        <v>65</v>
      </c>
      <c r="L1999" s="2" t="s">
        <v>20826</v>
      </c>
      <c r="M1999" s="2" t="s">
        <v>20827</v>
      </c>
      <c r="N1999" s="3" t="s">
        <v>733</v>
      </c>
      <c r="P1999" s="3" t="s">
        <v>69</v>
      </c>
      <c r="R1999" s="3" t="s">
        <v>20654</v>
      </c>
      <c r="S1999" s="4">
        <v>11</v>
      </c>
      <c r="T1999" s="4">
        <v>11</v>
      </c>
      <c r="U1999" s="5" t="s">
        <v>1052</v>
      </c>
      <c r="V1999" s="5" t="s">
        <v>1052</v>
      </c>
      <c r="W1999" s="5" t="s">
        <v>72</v>
      </c>
      <c r="X1999" s="5" t="s">
        <v>72</v>
      </c>
      <c r="Y1999" s="4">
        <v>205</v>
      </c>
      <c r="Z1999" s="4">
        <v>65</v>
      </c>
      <c r="AA1999" s="4">
        <v>74</v>
      </c>
      <c r="AB1999" s="4">
        <v>3</v>
      </c>
      <c r="AC1999" s="4">
        <v>7</v>
      </c>
      <c r="AD1999" s="4">
        <v>87</v>
      </c>
      <c r="AE1999" s="4">
        <v>93</v>
      </c>
      <c r="AF1999" s="4">
        <v>1</v>
      </c>
      <c r="AG1999" s="4">
        <v>4</v>
      </c>
      <c r="AH1999" s="4">
        <v>59</v>
      </c>
      <c r="AI1999" s="4">
        <v>60</v>
      </c>
      <c r="AJ1999" s="4">
        <v>23</v>
      </c>
      <c r="AK1999" s="4">
        <v>26</v>
      </c>
      <c r="AL1999" s="4">
        <v>32</v>
      </c>
      <c r="AM1999" s="4">
        <v>32</v>
      </c>
      <c r="AN1999" s="4">
        <v>0</v>
      </c>
      <c r="AO1999" s="4">
        <v>0</v>
      </c>
      <c r="AP1999" s="4">
        <v>36</v>
      </c>
      <c r="AQ1999" s="4">
        <v>41</v>
      </c>
      <c r="AR1999" s="3" t="s">
        <v>73</v>
      </c>
      <c r="AS1999" s="3" t="s">
        <v>64</v>
      </c>
      <c r="AT1999" s="3" t="s">
        <v>73</v>
      </c>
      <c r="AU1999" s="6" t="str">
        <f>HYPERLINK("http://catalog.hathitrust.org/Record/000328989","HathiTrust Record")</f>
        <v>HathiTrust Record</v>
      </c>
      <c r="AV1999" s="6" t="str">
        <f>HYPERLINK("http://mcgill.on.worldcat.org/oclc/11443860","Catalog Record")</f>
        <v>Catalog Record</v>
      </c>
      <c r="AW1999" s="6" t="str">
        <f>HYPERLINK("http://www.worldcat.org/oclc/11443860","WorldCat Record")</f>
        <v>WorldCat Record</v>
      </c>
      <c r="AX1999" s="3" t="s">
        <v>20828</v>
      </c>
      <c r="AY1999" s="3" t="s">
        <v>20829</v>
      </c>
      <c r="AZ1999" s="3" t="s">
        <v>20830</v>
      </c>
      <c r="BA1999" s="3" t="s">
        <v>20830</v>
      </c>
      <c r="BB1999" s="3" t="s">
        <v>20831</v>
      </c>
      <c r="BC1999" s="3" t="s">
        <v>78</v>
      </c>
      <c r="BD1999" s="3" t="s">
        <v>79</v>
      </c>
      <c r="BE1999" s="3" t="s">
        <v>20832</v>
      </c>
      <c r="BF1999" s="3" t="s">
        <v>20831</v>
      </c>
      <c r="BG1999" s="3" t="s">
        <v>20833</v>
      </c>
    </row>
    <row r="2000" spans="1:59" ht="58" x14ac:dyDescent="0.35">
      <c r="A2000" s="2" t="s">
        <v>59</v>
      </c>
      <c r="B2000" s="2" t="s">
        <v>94</v>
      </c>
      <c r="C2000" s="2" t="s">
        <v>20834</v>
      </c>
      <c r="D2000" s="2" t="s">
        <v>20835</v>
      </c>
      <c r="E2000" s="2" t="s">
        <v>20836</v>
      </c>
      <c r="G2000" s="3" t="s">
        <v>64</v>
      </c>
      <c r="I2000" s="3" t="s">
        <v>64</v>
      </c>
      <c r="J2000" s="3" t="s">
        <v>64</v>
      </c>
      <c r="K2000" s="3" t="s">
        <v>65</v>
      </c>
      <c r="L2000" s="2" t="s">
        <v>20837</v>
      </c>
      <c r="M2000" s="2" t="s">
        <v>20838</v>
      </c>
      <c r="N2000" s="3" t="s">
        <v>287</v>
      </c>
      <c r="P2000" s="3" t="s">
        <v>69</v>
      </c>
      <c r="R2000" s="3" t="s">
        <v>20654</v>
      </c>
      <c r="S2000" s="4">
        <v>8</v>
      </c>
      <c r="T2000" s="4">
        <v>8</v>
      </c>
      <c r="U2000" s="5" t="s">
        <v>7580</v>
      </c>
      <c r="V2000" s="5" t="s">
        <v>7580</v>
      </c>
      <c r="W2000" s="5" t="s">
        <v>72</v>
      </c>
      <c r="X2000" s="5" t="s">
        <v>72</v>
      </c>
      <c r="Y2000" s="4">
        <v>443</v>
      </c>
      <c r="Z2000" s="4">
        <v>14</v>
      </c>
      <c r="AA2000" s="4">
        <v>18</v>
      </c>
      <c r="AB2000" s="4">
        <v>2</v>
      </c>
      <c r="AC2000" s="4">
        <v>3</v>
      </c>
      <c r="AD2000" s="4">
        <v>47</v>
      </c>
      <c r="AE2000" s="4">
        <v>54</v>
      </c>
      <c r="AF2000" s="4">
        <v>0</v>
      </c>
      <c r="AG2000" s="4">
        <v>1</v>
      </c>
      <c r="AH2000" s="4">
        <v>42</v>
      </c>
      <c r="AI2000" s="4">
        <v>47</v>
      </c>
      <c r="AJ2000" s="4">
        <v>5</v>
      </c>
      <c r="AK2000" s="4">
        <v>9</v>
      </c>
      <c r="AL2000" s="4">
        <v>25</v>
      </c>
      <c r="AM2000" s="4">
        <v>28</v>
      </c>
      <c r="AN2000" s="4">
        <v>0</v>
      </c>
      <c r="AO2000" s="4">
        <v>0</v>
      </c>
      <c r="AP2000" s="4">
        <v>6</v>
      </c>
      <c r="AQ2000" s="4">
        <v>9</v>
      </c>
      <c r="AR2000" s="3" t="s">
        <v>64</v>
      </c>
      <c r="AS2000" s="3" t="s">
        <v>64</v>
      </c>
      <c r="AT2000" s="3" t="s">
        <v>73</v>
      </c>
      <c r="AU2000" s="6" t="str">
        <f>HYPERLINK("http://catalog.hathitrust.org/Record/000266962","HathiTrust Record")</f>
        <v>HathiTrust Record</v>
      </c>
      <c r="AV2000" s="6" t="str">
        <f>HYPERLINK("http://mcgill.on.worldcat.org/oclc/7555943","Catalog Record")</f>
        <v>Catalog Record</v>
      </c>
      <c r="AW2000" s="6" t="str">
        <f>HYPERLINK("http://www.worldcat.org/oclc/7555943","WorldCat Record")</f>
        <v>WorldCat Record</v>
      </c>
      <c r="AX2000" s="3" t="s">
        <v>20839</v>
      </c>
      <c r="AY2000" s="3" t="s">
        <v>20840</v>
      </c>
      <c r="AZ2000" s="3" t="s">
        <v>20841</v>
      </c>
      <c r="BA2000" s="3" t="s">
        <v>20841</v>
      </c>
      <c r="BB2000" s="3" t="s">
        <v>20842</v>
      </c>
      <c r="BC2000" s="3" t="s">
        <v>78</v>
      </c>
      <c r="BD2000" s="3" t="s">
        <v>79</v>
      </c>
      <c r="BE2000" s="3" t="s">
        <v>20843</v>
      </c>
      <c r="BF2000" s="3" t="s">
        <v>20842</v>
      </c>
      <c r="BG2000" s="3" t="s">
        <v>20844</v>
      </c>
    </row>
    <row r="2001" spans="1:59" ht="58" x14ac:dyDescent="0.35">
      <c r="A2001" s="2" t="s">
        <v>59</v>
      </c>
      <c r="B2001" s="2" t="s">
        <v>94</v>
      </c>
      <c r="C2001" s="2" t="s">
        <v>20845</v>
      </c>
      <c r="D2001" s="2" t="s">
        <v>20846</v>
      </c>
      <c r="E2001" s="2" t="s">
        <v>20847</v>
      </c>
      <c r="G2001" s="3" t="s">
        <v>64</v>
      </c>
      <c r="I2001" s="3" t="s">
        <v>64</v>
      </c>
      <c r="J2001" s="3" t="s">
        <v>64</v>
      </c>
      <c r="K2001" s="3" t="s">
        <v>65</v>
      </c>
      <c r="L2001" s="2" t="s">
        <v>5737</v>
      </c>
      <c r="M2001" s="2" t="s">
        <v>20848</v>
      </c>
      <c r="N2001" s="3" t="s">
        <v>3437</v>
      </c>
      <c r="O2001" s="2" t="s">
        <v>20849</v>
      </c>
      <c r="P2001" s="3" t="s">
        <v>69</v>
      </c>
      <c r="R2001" s="3" t="s">
        <v>20654</v>
      </c>
      <c r="S2001" s="4">
        <v>15</v>
      </c>
      <c r="T2001" s="4">
        <v>15</v>
      </c>
      <c r="U2001" s="5" t="s">
        <v>20850</v>
      </c>
      <c r="V2001" s="5" t="s">
        <v>20850</v>
      </c>
      <c r="W2001" s="5" t="s">
        <v>72</v>
      </c>
      <c r="X2001" s="5" t="s">
        <v>72</v>
      </c>
      <c r="Y2001" s="4">
        <v>409</v>
      </c>
      <c r="Z2001" s="4">
        <v>22</v>
      </c>
      <c r="AA2001" s="4">
        <v>62</v>
      </c>
      <c r="AB2001" s="4">
        <v>1</v>
      </c>
      <c r="AC2001" s="4">
        <v>7</v>
      </c>
      <c r="AD2001" s="4">
        <v>84</v>
      </c>
      <c r="AE2001" s="4">
        <v>144</v>
      </c>
      <c r="AF2001" s="4">
        <v>0</v>
      </c>
      <c r="AG2001" s="4">
        <v>1</v>
      </c>
      <c r="AH2001" s="4">
        <v>70</v>
      </c>
      <c r="AI2001" s="4">
        <v>113</v>
      </c>
      <c r="AJ2001" s="4">
        <v>11</v>
      </c>
      <c r="AK2001" s="4">
        <v>24</v>
      </c>
      <c r="AL2001" s="4">
        <v>40</v>
      </c>
      <c r="AM2001" s="4">
        <v>61</v>
      </c>
      <c r="AN2001" s="4">
        <v>2</v>
      </c>
      <c r="AO2001" s="4">
        <v>2</v>
      </c>
      <c r="AP2001" s="4">
        <v>16</v>
      </c>
      <c r="AQ2001" s="4">
        <v>38</v>
      </c>
      <c r="AR2001" s="3" t="s">
        <v>64</v>
      </c>
      <c r="AS2001" s="3" t="s">
        <v>64</v>
      </c>
      <c r="AT2001" s="3" t="s">
        <v>64</v>
      </c>
      <c r="AU2001" s="6" t="str">
        <f>HYPERLINK("http://catalog.hathitrust.org/Record/002436374","HathiTrust Record")</f>
        <v>HathiTrust Record</v>
      </c>
      <c r="AV2001" s="6" t="str">
        <f>HYPERLINK("http://mcgill.on.worldcat.org/oclc/8546432","Catalog Record")</f>
        <v>Catalog Record</v>
      </c>
      <c r="AW2001" s="6" t="str">
        <f>HYPERLINK("http://www.worldcat.org/oclc/8546432","WorldCat Record")</f>
        <v>WorldCat Record</v>
      </c>
      <c r="AX2001" s="3" t="s">
        <v>20851</v>
      </c>
      <c r="AY2001" s="3" t="s">
        <v>20852</v>
      </c>
      <c r="AZ2001" s="3" t="s">
        <v>20853</v>
      </c>
      <c r="BA2001" s="3" t="s">
        <v>20853</v>
      </c>
      <c r="BB2001" s="3" t="s">
        <v>20854</v>
      </c>
      <c r="BC2001" s="3" t="s">
        <v>78</v>
      </c>
      <c r="BD2001" s="3" t="s">
        <v>79</v>
      </c>
      <c r="BF2001" s="3" t="s">
        <v>20854</v>
      </c>
      <c r="BG2001" s="3" t="s">
        <v>20855</v>
      </c>
    </row>
    <row r="2002" spans="1:59" ht="58" x14ac:dyDescent="0.35">
      <c r="A2002" s="2" t="s">
        <v>59</v>
      </c>
      <c r="B2002" s="2" t="s">
        <v>94</v>
      </c>
      <c r="C2002" s="2" t="s">
        <v>20856</v>
      </c>
      <c r="D2002" s="2" t="s">
        <v>20857</v>
      </c>
      <c r="E2002" s="2" t="s">
        <v>20858</v>
      </c>
      <c r="G2002" s="3" t="s">
        <v>64</v>
      </c>
      <c r="I2002" s="3" t="s">
        <v>64</v>
      </c>
      <c r="J2002" s="3" t="s">
        <v>64</v>
      </c>
      <c r="K2002" s="3" t="s">
        <v>65</v>
      </c>
      <c r="L2002" s="2" t="s">
        <v>20859</v>
      </c>
      <c r="M2002" s="2" t="s">
        <v>20860</v>
      </c>
      <c r="N2002" s="3" t="s">
        <v>20861</v>
      </c>
      <c r="P2002" s="3" t="s">
        <v>69</v>
      </c>
      <c r="R2002" s="3" t="s">
        <v>20654</v>
      </c>
      <c r="S2002" s="4">
        <v>10</v>
      </c>
      <c r="T2002" s="4">
        <v>10</v>
      </c>
      <c r="U2002" s="5" t="s">
        <v>7580</v>
      </c>
      <c r="V2002" s="5" t="s">
        <v>7580</v>
      </c>
      <c r="W2002" s="5" t="s">
        <v>72</v>
      </c>
      <c r="X2002" s="5" t="s">
        <v>72</v>
      </c>
      <c r="Y2002" s="4">
        <v>372</v>
      </c>
      <c r="Z2002" s="4">
        <v>10</v>
      </c>
      <c r="AA2002" s="4">
        <v>23</v>
      </c>
      <c r="AB2002" s="4">
        <v>1</v>
      </c>
      <c r="AC2002" s="4">
        <v>4</v>
      </c>
      <c r="AD2002" s="4">
        <v>78</v>
      </c>
      <c r="AE2002" s="4">
        <v>111</v>
      </c>
      <c r="AF2002" s="4">
        <v>0</v>
      </c>
      <c r="AG2002" s="4">
        <v>2</v>
      </c>
      <c r="AH2002" s="4">
        <v>71</v>
      </c>
      <c r="AI2002" s="4">
        <v>95</v>
      </c>
      <c r="AJ2002" s="4">
        <v>6</v>
      </c>
      <c r="AK2002" s="4">
        <v>13</v>
      </c>
      <c r="AL2002" s="4">
        <v>47</v>
      </c>
      <c r="AM2002" s="4">
        <v>54</v>
      </c>
      <c r="AN2002" s="4">
        <v>4</v>
      </c>
      <c r="AO2002" s="4">
        <v>4</v>
      </c>
      <c r="AP2002" s="4">
        <v>6</v>
      </c>
      <c r="AQ2002" s="4">
        <v>17</v>
      </c>
      <c r="AR2002" s="3" t="s">
        <v>64</v>
      </c>
      <c r="AS2002" s="3" t="s">
        <v>64</v>
      </c>
      <c r="AT2002" s="3" t="s">
        <v>64</v>
      </c>
      <c r="AU2002" s="6" t="str">
        <f>HYPERLINK("http://catalog.hathitrust.org/Record/001478795","HathiTrust Record")</f>
        <v>HathiTrust Record</v>
      </c>
      <c r="AV2002" s="6" t="str">
        <f>HYPERLINK("http://mcgill.on.worldcat.org/oclc/4354887","Catalog Record")</f>
        <v>Catalog Record</v>
      </c>
      <c r="AW2002" s="6" t="str">
        <f>HYPERLINK("http://www.worldcat.org/oclc/4354887","WorldCat Record")</f>
        <v>WorldCat Record</v>
      </c>
      <c r="AX2002" s="3" t="s">
        <v>20862</v>
      </c>
      <c r="AY2002" s="3" t="s">
        <v>20863</v>
      </c>
      <c r="AZ2002" s="3" t="s">
        <v>20864</v>
      </c>
      <c r="BA2002" s="3" t="s">
        <v>20864</v>
      </c>
      <c r="BB2002" s="3" t="s">
        <v>20865</v>
      </c>
      <c r="BC2002" s="3" t="s">
        <v>78</v>
      </c>
      <c r="BD2002" s="3" t="s">
        <v>79</v>
      </c>
      <c r="BF2002" s="3" t="s">
        <v>20865</v>
      </c>
      <c r="BG2002" s="3" t="s">
        <v>20866</v>
      </c>
    </row>
    <row r="2003" spans="1:59" ht="87" x14ac:dyDescent="0.35">
      <c r="A2003" s="2" t="s">
        <v>59</v>
      </c>
      <c r="B2003" s="2" t="s">
        <v>94</v>
      </c>
      <c r="C2003" s="2" t="s">
        <v>20867</v>
      </c>
      <c r="D2003" s="2" t="s">
        <v>20868</v>
      </c>
      <c r="E2003" s="2" t="s">
        <v>20869</v>
      </c>
      <c r="G2003" s="3" t="s">
        <v>64</v>
      </c>
      <c r="I2003" s="3" t="s">
        <v>64</v>
      </c>
      <c r="J2003" s="3" t="s">
        <v>64</v>
      </c>
      <c r="K2003" s="3" t="s">
        <v>65</v>
      </c>
      <c r="L2003" s="2" t="s">
        <v>20870</v>
      </c>
      <c r="N2003" s="3" t="s">
        <v>4442</v>
      </c>
      <c r="P2003" s="3" t="s">
        <v>69</v>
      </c>
      <c r="R2003" s="3" t="s">
        <v>20654</v>
      </c>
      <c r="S2003" s="4">
        <v>4</v>
      </c>
      <c r="T2003" s="4">
        <v>4</v>
      </c>
      <c r="U2003" s="5" t="s">
        <v>15404</v>
      </c>
      <c r="V2003" s="5" t="s">
        <v>15404</v>
      </c>
      <c r="W2003" s="5" t="s">
        <v>72</v>
      </c>
      <c r="X2003" s="5" t="s">
        <v>72</v>
      </c>
      <c r="Y2003" s="4">
        <v>250</v>
      </c>
      <c r="Z2003" s="4">
        <v>10</v>
      </c>
      <c r="AA2003" s="4">
        <v>28</v>
      </c>
      <c r="AB2003" s="4">
        <v>1</v>
      </c>
      <c r="AC2003" s="4">
        <v>4</v>
      </c>
      <c r="AD2003" s="4">
        <v>57</v>
      </c>
      <c r="AE2003" s="4">
        <v>99</v>
      </c>
      <c r="AF2003" s="4">
        <v>0</v>
      </c>
      <c r="AG2003" s="4">
        <v>2</v>
      </c>
      <c r="AH2003" s="4">
        <v>52</v>
      </c>
      <c r="AI2003" s="4">
        <v>85</v>
      </c>
      <c r="AJ2003" s="4">
        <v>5</v>
      </c>
      <c r="AK2003" s="4">
        <v>14</v>
      </c>
      <c r="AL2003" s="4">
        <v>28</v>
      </c>
      <c r="AM2003" s="4">
        <v>42</v>
      </c>
      <c r="AN2003" s="4">
        <v>0</v>
      </c>
      <c r="AO2003" s="4">
        <v>0</v>
      </c>
      <c r="AP2003" s="4">
        <v>6</v>
      </c>
      <c r="AQ2003" s="4">
        <v>19</v>
      </c>
      <c r="AR2003" s="3" t="s">
        <v>64</v>
      </c>
      <c r="AS2003" s="3" t="s">
        <v>64</v>
      </c>
      <c r="AT2003" s="3" t="s">
        <v>73</v>
      </c>
      <c r="AU2003" s="6" t="str">
        <f>HYPERLINK("http://catalog.hathitrust.org/Record/100658297","HathiTrust Record")</f>
        <v>HathiTrust Record</v>
      </c>
      <c r="AV2003" s="6" t="str">
        <f>HYPERLINK("http://mcgill.on.worldcat.org/oclc/34436555","Catalog Record")</f>
        <v>Catalog Record</v>
      </c>
      <c r="AW2003" s="6" t="str">
        <f>HYPERLINK("http://www.worldcat.org/oclc/34436555","WorldCat Record")</f>
        <v>WorldCat Record</v>
      </c>
      <c r="AX2003" s="3" t="s">
        <v>20871</v>
      </c>
      <c r="AY2003" s="3" t="s">
        <v>20872</v>
      </c>
      <c r="AZ2003" s="3" t="s">
        <v>20873</v>
      </c>
      <c r="BA2003" s="3" t="s">
        <v>20873</v>
      </c>
      <c r="BB2003" s="3" t="s">
        <v>20874</v>
      </c>
      <c r="BC2003" s="3" t="s">
        <v>78</v>
      </c>
      <c r="BD2003" s="3" t="s">
        <v>79</v>
      </c>
      <c r="BF2003" s="3" t="s">
        <v>20874</v>
      </c>
      <c r="BG2003" s="3" t="s">
        <v>20875</v>
      </c>
    </row>
    <row r="2004" spans="1:59" ht="72.5" x14ac:dyDescent="0.35">
      <c r="A2004" s="2" t="s">
        <v>59</v>
      </c>
      <c r="B2004" s="2" t="s">
        <v>94</v>
      </c>
      <c r="C2004" s="2" t="s">
        <v>20876</v>
      </c>
      <c r="D2004" s="2" t="s">
        <v>20877</v>
      </c>
      <c r="E2004" s="2" t="s">
        <v>20878</v>
      </c>
      <c r="G2004" s="3" t="s">
        <v>64</v>
      </c>
      <c r="I2004" s="3" t="s">
        <v>73</v>
      </c>
      <c r="J2004" s="3" t="s">
        <v>64</v>
      </c>
      <c r="K2004" s="3" t="s">
        <v>65</v>
      </c>
      <c r="L2004" s="2" t="s">
        <v>20879</v>
      </c>
      <c r="M2004" s="2" t="s">
        <v>20880</v>
      </c>
      <c r="N2004" s="3" t="s">
        <v>20861</v>
      </c>
      <c r="P2004" s="3" t="s">
        <v>69</v>
      </c>
      <c r="R2004" s="3" t="s">
        <v>20654</v>
      </c>
      <c r="S2004" s="4">
        <v>12</v>
      </c>
      <c r="T2004" s="4">
        <v>12</v>
      </c>
      <c r="U2004" s="5" t="s">
        <v>2560</v>
      </c>
      <c r="V2004" s="5" t="s">
        <v>2560</v>
      </c>
      <c r="W2004" s="5" t="s">
        <v>72</v>
      </c>
      <c r="X2004" s="5" t="s">
        <v>72</v>
      </c>
      <c r="Y2004" s="4">
        <v>226</v>
      </c>
      <c r="Z2004" s="4">
        <v>11</v>
      </c>
      <c r="AA2004" s="4">
        <v>27</v>
      </c>
      <c r="AB2004" s="4">
        <v>1</v>
      </c>
      <c r="AC2004" s="4">
        <v>2</v>
      </c>
      <c r="AD2004" s="4">
        <v>64</v>
      </c>
      <c r="AE2004" s="4">
        <v>107</v>
      </c>
      <c r="AF2004" s="4">
        <v>0</v>
      </c>
      <c r="AG2004" s="4">
        <v>1</v>
      </c>
      <c r="AH2004" s="4">
        <v>60</v>
      </c>
      <c r="AI2004" s="4">
        <v>95</v>
      </c>
      <c r="AJ2004" s="4">
        <v>5</v>
      </c>
      <c r="AK2004" s="4">
        <v>14</v>
      </c>
      <c r="AL2004" s="4">
        <v>37</v>
      </c>
      <c r="AM2004" s="4">
        <v>55</v>
      </c>
      <c r="AN2004" s="4">
        <v>0</v>
      </c>
      <c r="AO2004" s="4">
        <v>5</v>
      </c>
      <c r="AP2004" s="4">
        <v>6</v>
      </c>
      <c r="AQ2004" s="4">
        <v>17</v>
      </c>
      <c r="AR2004" s="3" t="s">
        <v>64</v>
      </c>
      <c r="AS2004" s="3" t="s">
        <v>64</v>
      </c>
      <c r="AT2004" s="3" t="s">
        <v>64</v>
      </c>
      <c r="AV2004" s="6" t="str">
        <f>HYPERLINK("http://mcgill.on.worldcat.org/oclc/1469185","Catalog Record")</f>
        <v>Catalog Record</v>
      </c>
      <c r="AW2004" s="6" t="str">
        <f>HYPERLINK("http://www.worldcat.org/oclc/1469185","WorldCat Record")</f>
        <v>WorldCat Record</v>
      </c>
      <c r="AX2004" s="3" t="s">
        <v>20881</v>
      </c>
      <c r="AY2004" s="3" t="s">
        <v>20882</v>
      </c>
      <c r="AZ2004" s="3" t="s">
        <v>20883</v>
      </c>
      <c r="BA2004" s="3" t="s">
        <v>20883</v>
      </c>
      <c r="BB2004" s="3" t="s">
        <v>20884</v>
      </c>
      <c r="BC2004" s="3" t="s">
        <v>78</v>
      </c>
      <c r="BD2004" s="3" t="s">
        <v>79</v>
      </c>
      <c r="BF2004" s="3" t="s">
        <v>20884</v>
      </c>
      <c r="BG2004" s="3" t="s">
        <v>20885</v>
      </c>
    </row>
    <row r="2005" spans="1:59" ht="58" x14ac:dyDescent="0.35">
      <c r="A2005" s="2" t="s">
        <v>59</v>
      </c>
      <c r="B2005" s="2" t="s">
        <v>94</v>
      </c>
      <c r="C2005" s="2" t="s">
        <v>20886</v>
      </c>
      <c r="D2005" s="2" t="s">
        <v>20887</v>
      </c>
      <c r="E2005" s="2" t="s">
        <v>20888</v>
      </c>
      <c r="G2005" s="3" t="s">
        <v>64</v>
      </c>
      <c r="I2005" s="3" t="s">
        <v>73</v>
      </c>
      <c r="J2005" s="3" t="s">
        <v>73</v>
      </c>
      <c r="K2005" s="3" t="s">
        <v>65</v>
      </c>
      <c r="L2005" s="2" t="s">
        <v>20889</v>
      </c>
      <c r="M2005" s="2" t="s">
        <v>20890</v>
      </c>
      <c r="N2005" s="3" t="s">
        <v>1764</v>
      </c>
      <c r="P2005" s="3" t="s">
        <v>69</v>
      </c>
      <c r="R2005" s="3" t="s">
        <v>20654</v>
      </c>
      <c r="S2005" s="4">
        <v>3</v>
      </c>
      <c r="T2005" s="4">
        <v>8</v>
      </c>
      <c r="U2005" s="5" t="s">
        <v>20891</v>
      </c>
      <c r="V2005" s="5" t="s">
        <v>13689</v>
      </c>
      <c r="W2005" s="5" t="s">
        <v>72</v>
      </c>
      <c r="X2005" s="5" t="s">
        <v>72</v>
      </c>
      <c r="Y2005" s="4">
        <v>1</v>
      </c>
      <c r="Z2005" s="4">
        <v>1</v>
      </c>
      <c r="AA2005" s="4">
        <v>87</v>
      </c>
      <c r="AB2005" s="4">
        <v>1</v>
      </c>
      <c r="AC2005" s="4">
        <v>6</v>
      </c>
      <c r="AD2005" s="4">
        <v>0</v>
      </c>
      <c r="AE2005" s="4">
        <v>147</v>
      </c>
      <c r="AF2005" s="4">
        <v>0</v>
      </c>
      <c r="AG2005" s="4">
        <v>2</v>
      </c>
      <c r="AH2005" s="4">
        <v>0</v>
      </c>
      <c r="AI2005" s="4">
        <v>109</v>
      </c>
      <c r="AJ2005" s="4">
        <v>0</v>
      </c>
      <c r="AK2005" s="4">
        <v>21</v>
      </c>
      <c r="AL2005" s="4">
        <v>0</v>
      </c>
      <c r="AM2005" s="4">
        <v>60</v>
      </c>
      <c r="AN2005" s="4">
        <v>0</v>
      </c>
      <c r="AO2005" s="4">
        <v>0</v>
      </c>
      <c r="AP2005" s="4">
        <v>0</v>
      </c>
      <c r="AQ2005" s="4">
        <v>43</v>
      </c>
      <c r="AR2005" s="3" t="s">
        <v>64</v>
      </c>
      <c r="AS2005" s="3" t="s">
        <v>64</v>
      </c>
      <c r="AT2005" s="3" t="s">
        <v>73</v>
      </c>
      <c r="AU2005" s="6" t="str">
        <f>HYPERLINK("http://catalog.hathitrust.org/Record/007994281","HathiTrust Record")</f>
        <v>HathiTrust Record</v>
      </c>
      <c r="AV2005" s="6" t="str">
        <f>HYPERLINK("http://mcgill.on.worldcat.org/oclc/427169591","Catalog Record")</f>
        <v>Catalog Record</v>
      </c>
      <c r="AW2005" s="6" t="str">
        <f>HYPERLINK("http://www.worldcat.org/oclc/427169591","WorldCat Record")</f>
        <v>WorldCat Record</v>
      </c>
      <c r="AX2005" s="3" t="s">
        <v>20892</v>
      </c>
      <c r="AY2005" s="3" t="s">
        <v>20893</v>
      </c>
      <c r="AZ2005" s="3" t="s">
        <v>20894</v>
      </c>
      <c r="BA2005" s="3" t="s">
        <v>20894</v>
      </c>
      <c r="BB2005" s="3" t="s">
        <v>20895</v>
      </c>
      <c r="BC2005" s="3" t="s">
        <v>20896</v>
      </c>
      <c r="BD2005" s="3" t="s">
        <v>79</v>
      </c>
      <c r="BE2005" s="3" t="s">
        <v>20897</v>
      </c>
      <c r="BF2005" s="3" t="s">
        <v>20895</v>
      </c>
      <c r="BG2005" s="3" t="s">
        <v>20898</v>
      </c>
    </row>
    <row r="2006" spans="1:59" ht="58" x14ac:dyDescent="0.35">
      <c r="A2006" s="2" t="s">
        <v>59</v>
      </c>
      <c r="B2006" s="2" t="s">
        <v>94</v>
      </c>
      <c r="C2006" s="2" t="s">
        <v>20886</v>
      </c>
      <c r="D2006" s="2" t="s">
        <v>20887</v>
      </c>
      <c r="E2006" s="2" t="s">
        <v>20888</v>
      </c>
      <c r="G2006" s="3" t="s">
        <v>64</v>
      </c>
      <c r="I2006" s="3" t="s">
        <v>73</v>
      </c>
      <c r="J2006" s="3" t="s">
        <v>73</v>
      </c>
      <c r="K2006" s="3" t="s">
        <v>65</v>
      </c>
      <c r="L2006" s="2" t="s">
        <v>20889</v>
      </c>
      <c r="M2006" s="2" t="s">
        <v>20890</v>
      </c>
      <c r="N2006" s="3" t="s">
        <v>1764</v>
      </c>
      <c r="P2006" s="3" t="s">
        <v>69</v>
      </c>
      <c r="R2006" s="3" t="s">
        <v>20654</v>
      </c>
      <c r="S2006" s="4">
        <v>5</v>
      </c>
      <c r="T2006" s="4">
        <v>8</v>
      </c>
      <c r="U2006" s="5" t="s">
        <v>13689</v>
      </c>
      <c r="V2006" s="5" t="s">
        <v>13689</v>
      </c>
      <c r="W2006" s="5" t="s">
        <v>72</v>
      </c>
      <c r="X2006" s="5" t="s">
        <v>72</v>
      </c>
      <c r="Y2006" s="4">
        <v>1</v>
      </c>
      <c r="Z2006" s="4">
        <v>1</v>
      </c>
      <c r="AA2006" s="4">
        <v>87</v>
      </c>
      <c r="AB2006" s="4">
        <v>1</v>
      </c>
      <c r="AC2006" s="4">
        <v>6</v>
      </c>
      <c r="AD2006" s="4">
        <v>0</v>
      </c>
      <c r="AE2006" s="4">
        <v>147</v>
      </c>
      <c r="AF2006" s="4">
        <v>0</v>
      </c>
      <c r="AG2006" s="4">
        <v>2</v>
      </c>
      <c r="AH2006" s="4">
        <v>0</v>
      </c>
      <c r="AI2006" s="4">
        <v>109</v>
      </c>
      <c r="AJ2006" s="4">
        <v>0</v>
      </c>
      <c r="AK2006" s="4">
        <v>21</v>
      </c>
      <c r="AL2006" s="4">
        <v>0</v>
      </c>
      <c r="AM2006" s="4">
        <v>60</v>
      </c>
      <c r="AN2006" s="4">
        <v>0</v>
      </c>
      <c r="AO2006" s="4">
        <v>0</v>
      </c>
      <c r="AP2006" s="4">
        <v>0</v>
      </c>
      <c r="AQ2006" s="4">
        <v>43</v>
      </c>
      <c r="AR2006" s="3" t="s">
        <v>64</v>
      </c>
      <c r="AS2006" s="3" t="s">
        <v>64</v>
      </c>
      <c r="AT2006" s="3" t="s">
        <v>73</v>
      </c>
      <c r="AU2006" s="6" t="str">
        <f>HYPERLINK("http://catalog.hathitrust.org/Record/007994281","HathiTrust Record")</f>
        <v>HathiTrust Record</v>
      </c>
      <c r="AV2006" s="6" t="str">
        <f>HYPERLINK("http://mcgill.on.worldcat.org/oclc/427169591","Catalog Record")</f>
        <v>Catalog Record</v>
      </c>
      <c r="AW2006" s="6" t="str">
        <f>HYPERLINK("http://www.worldcat.org/oclc/427169591","WorldCat Record")</f>
        <v>WorldCat Record</v>
      </c>
      <c r="AX2006" s="3" t="s">
        <v>20892</v>
      </c>
      <c r="AY2006" s="3" t="s">
        <v>20893</v>
      </c>
      <c r="AZ2006" s="3" t="s">
        <v>20894</v>
      </c>
      <c r="BA2006" s="3" t="s">
        <v>20894</v>
      </c>
      <c r="BB2006" s="3" t="s">
        <v>20899</v>
      </c>
      <c r="BC2006" s="3" t="s">
        <v>20896</v>
      </c>
      <c r="BD2006" s="3" t="s">
        <v>79</v>
      </c>
      <c r="BE2006" s="3" t="s">
        <v>20897</v>
      </c>
      <c r="BF2006" s="3" t="s">
        <v>20899</v>
      </c>
      <c r="BG2006" s="3" t="s">
        <v>20900</v>
      </c>
    </row>
    <row r="2007" spans="1:59" ht="58" x14ac:dyDescent="0.35">
      <c r="A2007" s="2" t="s">
        <v>59</v>
      </c>
      <c r="B2007" s="2" t="s">
        <v>94</v>
      </c>
      <c r="C2007" s="2" t="s">
        <v>20901</v>
      </c>
      <c r="D2007" s="2" t="s">
        <v>20902</v>
      </c>
      <c r="E2007" s="2" t="s">
        <v>20903</v>
      </c>
      <c r="G2007" s="3" t="s">
        <v>64</v>
      </c>
      <c r="I2007" s="3" t="s">
        <v>73</v>
      </c>
      <c r="J2007" s="3" t="s">
        <v>64</v>
      </c>
      <c r="K2007" s="3" t="s">
        <v>65</v>
      </c>
      <c r="M2007" s="2" t="s">
        <v>20904</v>
      </c>
      <c r="N2007" s="3" t="s">
        <v>1247</v>
      </c>
      <c r="P2007" s="3" t="s">
        <v>69</v>
      </c>
      <c r="R2007" s="3" t="s">
        <v>20654</v>
      </c>
      <c r="S2007" s="4">
        <v>2</v>
      </c>
      <c r="T2007" s="4">
        <v>2</v>
      </c>
      <c r="U2007" s="5" t="s">
        <v>20905</v>
      </c>
      <c r="V2007" s="5" t="s">
        <v>20905</v>
      </c>
      <c r="W2007" s="5" t="s">
        <v>72</v>
      </c>
      <c r="X2007" s="5" t="s">
        <v>72</v>
      </c>
      <c r="Y2007" s="4">
        <v>325</v>
      </c>
      <c r="Z2007" s="4">
        <v>28</v>
      </c>
      <c r="AA2007" s="4">
        <v>29</v>
      </c>
      <c r="AB2007" s="4">
        <v>2</v>
      </c>
      <c r="AC2007" s="4">
        <v>3</v>
      </c>
      <c r="AD2007" s="4">
        <v>96</v>
      </c>
      <c r="AE2007" s="4">
        <v>97</v>
      </c>
      <c r="AF2007" s="4">
        <v>1</v>
      </c>
      <c r="AG2007" s="4">
        <v>2</v>
      </c>
      <c r="AH2007" s="4">
        <v>83</v>
      </c>
      <c r="AI2007" s="4">
        <v>84</v>
      </c>
      <c r="AJ2007" s="4">
        <v>18</v>
      </c>
      <c r="AK2007" s="4">
        <v>19</v>
      </c>
      <c r="AL2007" s="4">
        <v>44</v>
      </c>
      <c r="AM2007" s="4">
        <v>44</v>
      </c>
      <c r="AN2007" s="4">
        <v>0</v>
      </c>
      <c r="AO2007" s="4">
        <v>0</v>
      </c>
      <c r="AP2007" s="4">
        <v>22</v>
      </c>
      <c r="AQ2007" s="4">
        <v>23</v>
      </c>
      <c r="AR2007" s="3" t="s">
        <v>64</v>
      </c>
      <c r="AS2007" s="3" t="s">
        <v>64</v>
      </c>
      <c r="AT2007" s="3" t="s">
        <v>73</v>
      </c>
      <c r="AU2007" s="6" t="str">
        <f>HYPERLINK("http://catalog.hathitrust.org/Record/000689151","HathiTrust Record")</f>
        <v>HathiTrust Record</v>
      </c>
      <c r="AV2007" s="6" t="str">
        <f>HYPERLINK("http://mcgill.on.worldcat.org/oclc/799647","Catalog Record")</f>
        <v>Catalog Record</v>
      </c>
      <c r="AW2007" s="6" t="str">
        <f>HYPERLINK("http://www.worldcat.org/oclc/799647","WorldCat Record")</f>
        <v>WorldCat Record</v>
      </c>
      <c r="AX2007" s="3" t="s">
        <v>20906</v>
      </c>
      <c r="AY2007" s="3" t="s">
        <v>20907</v>
      </c>
      <c r="AZ2007" s="3" t="s">
        <v>20908</v>
      </c>
      <c r="BA2007" s="3" t="s">
        <v>20908</v>
      </c>
      <c r="BB2007" s="3" t="s">
        <v>20909</v>
      </c>
      <c r="BC2007" s="3" t="s">
        <v>78</v>
      </c>
      <c r="BD2007" s="3" t="s">
        <v>79</v>
      </c>
      <c r="BE2007" s="3" t="s">
        <v>20910</v>
      </c>
      <c r="BF2007" s="3" t="s">
        <v>20909</v>
      </c>
      <c r="BG2007" s="3" t="s">
        <v>20911</v>
      </c>
    </row>
    <row r="2008" spans="1:59" ht="58" x14ac:dyDescent="0.35">
      <c r="A2008" s="2" t="s">
        <v>59</v>
      </c>
      <c r="B2008" s="2" t="s">
        <v>94</v>
      </c>
      <c r="C2008" s="2" t="s">
        <v>20912</v>
      </c>
      <c r="D2008" s="2" t="s">
        <v>20913</v>
      </c>
      <c r="E2008" s="2" t="s">
        <v>20914</v>
      </c>
      <c r="G2008" s="3" t="s">
        <v>64</v>
      </c>
      <c r="I2008" s="3" t="s">
        <v>64</v>
      </c>
      <c r="J2008" s="3" t="s">
        <v>64</v>
      </c>
      <c r="K2008" s="3" t="s">
        <v>65</v>
      </c>
      <c r="L2008" s="2" t="s">
        <v>20915</v>
      </c>
      <c r="M2008" s="2" t="s">
        <v>20916</v>
      </c>
      <c r="N2008" s="3" t="s">
        <v>4535</v>
      </c>
      <c r="P2008" s="3" t="s">
        <v>69</v>
      </c>
      <c r="R2008" s="3" t="s">
        <v>20654</v>
      </c>
      <c r="S2008" s="4">
        <v>0</v>
      </c>
      <c r="T2008" s="4">
        <v>0</v>
      </c>
      <c r="W2008" s="5" t="s">
        <v>72</v>
      </c>
      <c r="X2008" s="5" t="s">
        <v>72</v>
      </c>
      <c r="Y2008" s="4">
        <v>6</v>
      </c>
      <c r="Z2008" s="4">
        <v>3</v>
      </c>
      <c r="AA2008" s="4">
        <v>11</v>
      </c>
      <c r="AB2008" s="4">
        <v>1</v>
      </c>
      <c r="AC2008" s="4">
        <v>5</v>
      </c>
      <c r="AD2008" s="4">
        <v>3</v>
      </c>
      <c r="AE2008" s="4">
        <v>21</v>
      </c>
      <c r="AF2008" s="4">
        <v>0</v>
      </c>
      <c r="AG2008" s="4">
        <v>1</v>
      </c>
      <c r="AH2008" s="4">
        <v>2</v>
      </c>
      <c r="AI2008" s="4">
        <v>19</v>
      </c>
      <c r="AJ2008" s="4">
        <v>2</v>
      </c>
      <c r="AK2008" s="4">
        <v>4</v>
      </c>
      <c r="AL2008" s="4">
        <v>0</v>
      </c>
      <c r="AM2008" s="4">
        <v>11</v>
      </c>
      <c r="AN2008" s="4">
        <v>0</v>
      </c>
      <c r="AO2008" s="4">
        <v>0</v>
      </c>
      <c r="AP2008" s="4">
        <v>1</v>
      </c>
      <c r="AQ2008" s="4">
        <v>5</v>
      </c>
      <c r="AR2008" s="3" t="s">
        <v>73</v>
      </c>
      <c r="AS2008" s="3" t="s">
        <v>64</v>
      </c>
      <c r="AT2008" s="3" t="s">
        <v>64</v>
      </c>
      <c r="AV2008" s="6" t="str">
        <f>HYPERLINK("http://mcgill.on.worldcat.org/oclc/1050142150","Catalog Record")</f>
        <v>Catalog Record</v>
      </c>
      <c r="AW2008" s="6" t="str">
        <f>HYPERLINK("http://www.worldcat.org/oclc/1050142150","WorldCat Record")</f>
        <v>WorldCat Record</v>
      </c>
      <c r="AX2008" s="3" t="s">
        <v>20917</v>
      </c>
      <c r="AY2008" s="3" t="s">
        <v>20918</v>
      </c>
      <c r="AZ2008" s="3" t="s">
        <v>20919</v>
      </c>
      <c r="BA2008" s="3" t="s">
        <v>20919</v>
      </c>
      <c r="BB2008" s="3" t="s">
        <v>20920</v>
      </c>
      <c r="BC2008" s="3" t="s">
        <v>78</v>
      </c>
      <c r="BD2008" s="3" t="s">
        <v>79</v>
      </c>
      <c r="BE2008" s="3" t="s">
        <v>20921</v>
      </c>
      <c r="BF2008" s="3" t="s">
        <v>20920</v>
      </c>
      <c r="BG2008" s="3" t="s">
        <v>20922</v>
      </c>
    </row>
    <row r="2009" spans="1:59" ht="58" x14ac:dyDescent="0.35">
      <c r="A2009" s="2" t="s">
        <v>59</v>
      </c>
      <c r="B2009" s="2" t="s">
        <v>94</v>
      </c>
      <c r="C2009" s="2" t="s">
        <v>20923</v>
      </c>
      <c r="D2009" s="2" t="s">
        <v>20924</v>
      </c>
      <c r="E2009" s="2" t="s">
        <v>20925</v>
      </c>
      <c r="G2009" s="3" t="s">
        <v>64</v>
      </c>
      <c r="I2009" s="3" t="s">
        <v>64</v>
      </c>
      <c r="J2009" s="3" t="s">
        <v>64</v>
      </c>
      <c r="K2009" s="3" t="s">
        <v>65</v>
      </c>
      <c r="L2009" s="2" t="s">
        <v>20926</v>
      </c>
      <c r="M2009" s="2" t="s">
        <v>20927</v>
      </c>
      <c r="N2009" s="3" t="s">
        <v>328</v>
      </c>
      <c r="P2009" s="3" t="s">
        <v>69</v>
      </c>
      <c r="R2009" s="3" t="s">
        <v>20654</v>
      </c>
      <c r="S2009" s="4">
        <v>1</v>
      </c>
      <c r="T2009" s="4">
        <v>1</v>
      </c>
      <c r="U2009" s="5" t="s">
        <v>20470</v>
      </c>
      <c r="V2009" s="5" t="s">
        <v>20470</v>
      </c>
      <c r="W2009" s="5" t="s">
        <v>72</v>
      </c>
      <c r="X2009" s="5" t="s">
        <v>72</v>
      </c>
      <c r="Y2009" s="4">
        <v>384</v>
      </c>
      <c r="Z2009" s="4">
        <v>18</v>
      </c>
      <c r="AA2009" s="4">
        <v>44</v>
      </c>
      <c r="AB2009" s="4">
        <v>1</v>
      </c>
      <c r="AC2009" s="4">
        <v>5</v>
      </c>
      <c r="AD2009" s="4">
        <v>57</v>
      </c>
      <c r="AE2009" s="4">
        <v>88</v>
      </c>
      <c r="AF2009" s="4">
        <v>0</v>
      </c>
      <c r="AG2009" s="4">
        <v>2</v>
      </c>
      <c r="AH2009" s="4">
        <v>52</v>
      </c>
      <c r="AI2009" s="4">
        <v>73</v>
      </c>
      <c r="AJ2009" s="4">
        <v>5</v>
      </c>
      <c r="AK2009" s="4">
        <v>10</v>
      </c>
      <c r="AL2009" s="4">
        <v>33</v>
      </c>
      <c r="AM2009" s="4">
        <v>43</v>
      </c>
      <c r="AN2009" s="4">
        <v>0</v>
      </c>
      <c r="AO2009" s="4">
        <v>0</v>
      </c>
      <c r="AP2009" s="4">
        <v>9</v>
      </c>
      <c r="AQ2009" s="4">
        <v>20</v>
      </c>
      <c r="AR2009" s="3" t="s">
        <v>64</v>
      </c>
      <c r="AS2009" s="3" t="s">
        <v>64</v>
      </c>
      <c r="AT2009" s="3" t="s">
        <v>64</v>
      </c>
      <c r="AV2009" s="6" t="str">
        <f>HYPERLINK("http://mcgill.on.worldcat.org/oclc/643322569","Catalog Record")</f>
        <v>Catalog Record</v>
      </c>
      <c r="AW2009" s="6" t="str">
        <f>HYPERLINK("http://www.worldcat.org/oclc/643322569","WorldCat Record")</f>
        <v>WorldCat Record</v>
      </c>
      <c r="AX2009" s="3" t="s">
        <v>20928</v>
      </c>
      <c r="AY2009" s="3" t="s">
        <v>20929</v>
      </c>
      <c r="AZ2009" s="3" t="s">
        <v>20930</v>
      </c>
      <c r="BA2009" s="3" t="s">
        <v>20930</v>
      </c>
      <c r="BB2009" s="3" t="s">
        <v>20931</v>
      </c>
      <c r="BC2009" s="3" t="s">
        <v>78</v>
      </c>
      <c r="BD2009" s="3" t="s">
        <v>79</v>
      </c>
      <c r="BE2009" s="3" t="s">
        <v>20932</v>
      </c>
      <c r="BF2009" s="3" t="s">
        <v>20931</v>
      </c>
      <c r="BG2009" s="3" t="s">
        <v>20933</v>
      </c>
    </row>
    <row r="2010" spans="1:59" ht="58" x14ac:dyDescent="0.35">
      <c r="A2010" s="2" t="s">
        <v>59</v>
      </c>
      <c r="B2010" s="2" t="s">
        <v>94</v>
      </c>
      <c r="C2010" s="2" t="s">
        <v>20934</v>
      </c>
      <c r="D2010" s="2" t="s">
        <v>20935</v>
      </c>
      <c r="E2010" s="2" t="s">
        <v>20936</v>
      </c>
      <c r="G2010" s="3" t="s">
        <v>64</v>
      </c>
      <c r="I2010" s="3" t="s">
        <v>64</v>
      </c>
      <c r="J2010" s="3" t="s">
        <v>64</v>
      </c>
      <c r="K2010" s="3" t="s">
        <v>65</v>
      </c>
      <c r="L2010" s="2" t="s">
        <v>20937</v>
      </c>
      <c r="M2010" s="2" t="s">
        <v>5066</v>
      </c>
      <c r="N2010" s="3" t="s">
        <v>175</v>
      </c>
      <c r="P2010" s="3" t="s">
        <v>69</v>
      </c>
      <c r="Q2010" s="2" t="s">
        <v>20938</v>
      </c>
      <c r="R2010" s="3" t="s">
        <v>20939</v>
      </c>
      <c r="S2010" s="4">
        <v>3</v>
      </c>
      <c r="T2010" s="4">
        <v>3</v>
      </c>
      <c r="U2010" s="5" t="s">
        <v>15195</v>
      </c>
      <c r="V2010" s="5" t="s">
        <v>15195</v>
      </c>
      <c r="W2010" s="5" t="s">
        <v>4195</v>
      </c>
      <c r="X2010" s="5" t="s">
        <v>4195</v>
      </c>
      <c r="Y2010" s="4">
        <v>75</v>
      </c>
      <c r="Z2010" s="4">
        <v>5</v>
      </c>
      <c r="AA2010" s="4">
        <v>33</v>
      </c>
      <c r="AB2010" s="4">
        <v>1</v>
      </c>
      <c r="AC2010" s="4">
        <v>6</v>
      </c>
      <c r="AD2010" s="4">
        <v>42</v>
      </c>
      <c r="AE2010" s="4">
        <v>92</v>
      </c>
      <c r="AF2010" s="4">
        <v>0</v>
      </c>
      <c r="AG2010" s="4">
        <v>2</v>
      </c>
      <c r="AH2010" s="4">
        <v>39</v>
      </c>
      <c r="AI2010" s="4">
        <v>74</v>
      </c>
      <c r="AJ2010" s="4">
        <v>4</v>
      </c>
      <c r="AK2010" s="4">
        <v>14</v>
      </c>
      <c r="AL2010" s="4">
        <v>23</v>
      </c>
      <c r="AM2010" s="4">
        <v>40</v>
      </c>
      <c r="AN2010" s="4">
        <v>0</v>
      </c>
      <c r="AO2010" s="4">
        <v>0</v>
      </c>
      <c r="AP2010" s="4">
        <v>4</v>
      </c>
      <c r="AQ2010" s="4">
        <v>24</v>
      </c>
      <c r="AR2010" s="3" t="s">
        <v>64</v>
      </c>
      <c r="AS2010" s="3" t="s">
        <v>64</v>
      </c>
      <c r="AT2010" s="3" t="s">
        <v>64</v>
      </c>
      <c r="AV2010" s="6" t="str">
        <f>HYPERLINK("http://mcgill.on.worldcat.org/oclc/862883349","Catalog Record")</f>
        <v>Catalog Record</v>
      </c>
      <c r="AW2010" s="6" t="str">
        <f>HYPERLINK("http://www.worldcat.org/oclc/862883349","WorldCat Record")</f>
        <v>WorldCat Record</v>
      </c>
      <c r="AX2010" s="3" t="s">
        <v>20940</v>
      </c>
      <c r="AY2010" s="3" t="s">
        <v>20941</v>
      </c>
      <c r="AZ2010" s="3" t="s">
        <v>20942</v>
      </c>
      <c r="BA2010" s="3" t="s">
        <v>20942</v>
      </c>
      <c r="BB2010" s="3" t="s">
        <v>20943</v>
      </c>
      <c r="BC2010" s="3" t="s">
        <v>78</v>
      </c>
      <c r="BD2010" s="3" t="s">
        <v>79</v>
      </c>
      <c r="BE2010" s="3" t="s">
        <v>20944</v>
      </c>
      <c r="BF2010" s="3" t="s">
        <v>20943</v>
      </c>
      <c r="BG2010" s="3" t="s">
        <v>20945</v>
      </c>
    </row>
    <row r="2011" spans="1:59" ht="72.5" x14ac:dyDescent="0.35">
      <c r="A2011" s="2" t="s">
        <v>59</v>
      </c>
      <c r="B2011" s="2" t="s">
        <v>60</v>
      </c>
      <c r="C2011" s="2" t="s">
        <v>20946</v>
      </c>
      <c r="D2011" s="2" t="s">
        <v>20947</v>
      </c>
      <c r="E2011" s="2" t="s">
        <v>20948</v>
      </c>
      <c r="G2011" s="3" t="s">
        <v>64</v>
      </c>
      <c r="I2011" s="3" t="s">
        <v>64</v>
      </c>
      <c r="J2011" s="3" t="s">
        <v>64</v>
      </c>
      <c r="K2011" s="3" t="s">
        <v>65</v>
      </c>
      <c r="L2011" s="2" t="s">
        <v>20949</v>
      </c>
      <c r="M2011" s="2" t="s">
        <v>20950</v>
      </c>
      <c r="N2011" s="3" t="s">
        <v>407</v>
      </c>
      <c r="P2011" s="3" t="s">
        <v>69</v>
      </c>
      <c r="R2011" s="3" t="s">
        <v>20939</v>
      </c>
      <c r="S2011" s="4">
        <v>6</v>
      </c>
      <c r="T2011" s="4">
        <v>6</v>
      </c>
      <c r="U2011" s="5" t="s">
        <v>13407</v>
      </c>
      <c r="V2011" s="5" t="s">
        <v>13407</v>
      </c>
      <c r="W2011" s="5" t="s">
        <v>72</v>
      </c>
      <c r="X2011" s="5" t="s">
        <v>72</v>
      </c>
      <c r="Y2011" s="4">
        <v>98</v>
      </c>
      <c r="Z2011" s="4">
        <v>5</v>
      </c>
      <c r="AA2011" s="4">
        <v>5</v>
      </c>
      <c r="AB2011" s="4">
        <v>2</v>
      </c>
      <c r="AC2011" s="4">
        <v>2</v>
      </c>
      <c r="AD2011" s="4">
        <v>38</v>
      </c>
      <c r="AE2011" s="4">
        <v>38</v>
      </c>
      <c r="AF2011" s="4">
        <v>0</v>
      </c>
      <c r="AG2011" s="4">
        <v>0</v>
      </c>
      <c r="AH2011" s="4">
        <v>37</v>
      </c>
      <c r="AI2011" s="4">
        <v>37</v>
      </c>
      <c r="AJ2011" s="4">
        <v>2</v>
      </c>
      <c r="AK2011" s="4">
        <v>2</v>
      </c>
      <c r="AL2011" s="4">
        <v>27</v>
      </c>
      <c r="AM2011" s="4">
        <v>27</v>
      </c>
      <c r="AN2011" s="4">
        <v>5</v>
      </c>
      <c r="AO2011" s="4">
        <v>5</v>
      </c>
      <c r="AP2011" s="4">
        <v>2</v>
      </c>
      <c r="AQ2011" s="4">
        <v>2</v>
      </c>
      <c r="AR2011" s="3" t="s">
        <v>64</v>
      </c>
      <c r="AS2011" s="3" t="s">
        <v>64</v>
      </c>
      <c r="AT2011" s="3" t="s">
        <v>73</v>
      </c>
      <c r="AU2011" s="6" t="str">
        <f>HYPERLINK("http://catalog.hathitrust.org/Record/002523318","HathiTrust Record")</f>
        <v>HathiTrust Record</v>
      </c>
      <c r="AV2011" s="6" t="str">
        <f>HYPERLINK("http://mcgill.on.worldcat.org/oclc/17447748","Catalog Record")</f>
        <v>Catalog Record</v>
      </c>
      <c r="AW2011" s="6" t="str">
        <f>HYPERLINK("http://www.worldcat.org/oclc/17447748","WorldCat Record")</f>
        <v>WorldCat Record</v>
      </c>
      <c r="AX2011" s="3" t="s">
        <v>20951</v>
      </c>
      <c r="AY2011" s="3" t="s">
        <v>20952</v>
      </c>
      <c r="AZ2011" s="3" t="s">
        <v>20953</v>
      </c>
      <c r="BA2011" s="3" t="s">
        <v>20953</v>
      </c>
      <c r="BB2011" s="3" t="s">
        <v>20954</v>
      </c>
      <c r="BC2011" s="3" t="s">
        <v>78</v>
      </c>
      <c r="BD2011" s="3" t="s">
        <v>79</v>
      </c>
      <c r="BE2011" s="3" t="s">
        <v>20955</v>
      </c>
      <c r="BF2011" s="3" t="s">
        <v>20954</v>
      </c>
      <c r="BG2011" s="3" t="s">
        <v>20956</v>
      </c>
    </row>
    <row r="2012" spans="1:59" ht="72.5" x14ac:dyDescent="0.35">
      <c r="A2012" s="2" t="s">
        <v>59</v>
      </c>
      <c r="B2012" s="2" t="s">
        <v>94</v>
      </c>
      <c r="C2012" s="2" t="s">
        <v>20957</v>
      </c>
      <c r="D2012" s="2" t="s">
        <v>20958</v>
      </c>
      <c r="E2012" s="2" t="s">
        <v>20959</v>
      </c>
      <c r="G2012" s="3" t="s">
        <v>64</v>
      </c>
      <c r="I2012" s="3" t="s">
        <v>64</v>
      </c>
      <c r="J2012" s="3" t="s">
        <v>64</v>
      </c>
      <c r="K2012" s="3" t="s">
        <v>65</v>
      </c>
      <c r="L2012" s="2" t="s">
        <v>20960</v>
      </c>
      <c r="M2012" s="2" t="s">
        <v>20961</v>
      </c>
      <c r="N2012" s="3" t="s">
        <v>1645</v>
      </c>
      <c r="O2012" s="2" t="s">
        <v>20962</v>
      </c>
      <c r="P2012" s="3" t="s">
        <v>69</v>
      </c>
      <c r="R2012" s="3" t="s">
        <v>20939</v>
      </c>
      <c r="S2012" s="4">
        <v>0</v>
      </c>
      <c r="T2012" s="4">
        <v>0</v>
      </c>
      <c r="W2012" s="5" t="s">
        <v>72</v>
      </c>
      <c r="X2012" s="5" t="s">
        <v>72</v>
      </c>
      <c r="Y2012" s="4">
        <v>1</v>
      </c>
      <c r="Z2012" s="4">
        <v>1</v>
      </c>
      <c r="AA2012" s="4">
        <v>1</v>
      </c>
      <c r="AB2012" s="4">
        <v>1</v>
      </c>
      <c r="AC2012" s="4">
        <v>1</v>
      </c>
      <c r="AD2012" s="4">
        <v>0</v>
      </c>
      <c r="AE2012" s="4">
        <v>0</v>
      </c>
      <c r="AF2012" s="4">
        <v>0</v>
      </c>
      <c r="AG2012" s="4">
        <v>0</v>
      </c>
      <c r="AH2012" s="4">
        <v>0</v>
      </c>
      <c r="AI2012" s="4">
        <v>0</v>
      </c>
      <c r="AJ2012" s="4">
        <v>0</v>
      </c>
      <c r="AK2012" s="4">
        <v>0</v>
      </c>
      <c r="AL2012" s="4">
        <v>0</v>
      </c>
      <c r="AM2012" s="4">
        <v>0</v>
      </c>
      <c r="AN2012" s="4">
        <v>0</v>
      </c>
      <c r="AO2012" s="4">
        <v>0</v>
      </c>
      <c r="AP2012" s="4">
        <v>0</v>
      </c>
      <c r="AQ2012" s="4">
        <v>0</v>
      </c>
      <c r="AR2012" s="3" t="s">
        <v>64</v>
      </c>
      <c r="AS2012" s="3" t="s">
        <v>64</v>
      </c>
      <c r="AT2012" s="3" t="s">
        <v>64</v>
      </c>
      <c r="AV2012" s="6" t="str">
        <f>HYPERLINK("http://mcgill.on.worldcat.org/oclc/1028981032","Catalog Record")</f>
        <v>Catalog Record</v>
      </c>
      <c r="AW2012" s="6" t="str">
        <f>HYPERLINK("http://www.worldcat.org/oclc/1028981032","WorldCat Record")</f>
        <v>WorldCat Record</v>
      </c>
      <c r="AX2012" s="3" t="s">
        <v>20963</v>
      </c>
      <c r="AY2012" s="3" t="s">
        <v>20964</v>
      </c>
      <c r="AZ2012" s="3" t="s">
        <v>20965</v>
      </c>
      <c r="BA2012" s="3" t="s">
        <v>20965</v>
      </c>
      <c r="BB2012" s="3" t="s">
        <v>20966</v>
      </c>
      <c r="BC2012" s="3" t="s">
        <v>78</v>
      </c>
      <c r="BD2012" s="3" t="s">
        <v>79</v>
      </c>
      <c r="BE2012" s="3" t="s">
        <v>20967</v>
      </c>
      <c r="BF2012" s="3" t="s">
        <v>20966</v>
      </c>
      <c r="BG2012" s="3" t="s">
        <v>20968</v>
      </c>
    </row>
    <row r="2013" spans="1:59" ht="58" x14ac:dyDescent="0.35">
      <c r="A2013" s="2" t="s">
        <v>59</v>
      </c>
      <c r="B2013" s="2" t="s">
        <v>94</v>
      </c>
      <c r="C2013" s="2" t="s">
        <v>20969</v>
      </c>
      <c r="D2013" s="2" t="s">
        <v>20970</v>
      </c>
      <c r="E2013" s="2" t="s">
        <v>20971</v>
      </c>
      <c r="G2013" s="3" t="s">
        <v>64</v>
      </c>
      <c r="I2013" s="3" t="s">
        <v>64</v>
      </c>
      <c r="J2013" s="3" t="s">
        <v>64</v>
      </c>
      <c r="K2013" s="3" t="s">
        <v>65</v>
      </c>
      <c r="M2013" s="2" t="s">
        <v>20972</v>
      </c>
      <c r="N2013" s="3" t="s">
        <v>136</v>
      </c>
      <c r="P2013" s="3" t="s">
        <v>69</v>
      </c>
      <c r="Q2013" s="2" t="s">
        <v>20973</v>
      </c>
      <c r="R2013" s="3" t="s">
        <v>20939</v>
      </c>
      <c r="S2013" s="4">
        <v>13</v>
      </c>
      <c r="T2013" s="4">
        <v>13</v>
      </c>
      <c r="U2013" s="5" t="s">
        <v>20505</v>
      </c>
      <c r="V2013" s="5" t="s">
        <v>20505</v>
      </c>
      <c r="W2013" s="5" t="s">
        <v>72</v>
      </c>
      <c r="X2013" s="5" t="s">
        <v>72</v>
      </c>
      <c r="Y2013" s="4">
        <v>254</v>
      </c>
      <c r="Z2013" s="4">
        <v>14</v>
      </c>
      <c r="AA2013" s="4">
        <v>20</v>
      </c>
      <c r="AB2013" s="4">
        <v>2</v>
      </c>
      <c r="AC2013" s="4">
        <v>4</v>
      </c>
      <c r="AD2013" s="4">
        <v>82</v>
      </c>
      <c r="AE2013" s="4">
        <v>94</v>
      </c>
      <c r="AF2013" s="4">
        <v>0</v>
      </c>
      <c r="AG2013" s="4">
        <v>1</v>
      </c>
      <c r="AH2013" s="4">
        <v>75</v>
      </c>
      <c r="AI2013" s="4">
        <v>83</v>
      </c>
      <c r="AJ2013" s="4">
        <v>9</v>
      </c>
      <c r="AK2013" s="4">
        <v>13</v>
      </c>
      <c r="AL2013" s="4">
        <v>46</v>
      </c>
      <c r="AM2013" s="4">
        <v>52</v>
      </c>
      <c r="AN2013" s="4">
        <v>0</v>
      </c>
      <c r="AO2013" s="4">
        <v>0</v>
      </c>
      <c r="AP2013" s="4">
        <v>10</v>
      </c>
      <c r="AQ2013" s="4">
        <v>15</v>
      </c>
      <c r="AR2013" s="3" t="s">
        <v>64</v>
      </c>
      <c r="AS2013" s="3" t="s">
        <v>64</v>
      </c>
      <c r="AT2013" s="3" t="s">
        <v>64</v>
      </c>
      <c r="AV2013" s="6" t="str">
        <f>HYPERLINK("http://mcgill.on.worldcat.org/oclc/42397400","Catalog Record")</f>
        <v>Catalog Record</v>
      </c>
      <c r="AW2013" s="6" t="str">
        <f>HYPERLINK("http://www.worldcat.org/oclc/42397400","WorldCat Record")</f>
        <v>WorldCat Record</v>
      </c>
      <c r="AX2013" s="3" t="s">
        <v>20974</v>
      </c>
      <c r="AY2013" s="3" t="s">
        <v>20975</v>
      </c>
      <c r="AZ2013" s="3" t="s">
        <v>20976</v>
      </c>
      <c r="BA2013" s="3" t="s">
        <v>20976</v>
      </c>
      <c r="BB2013" s="3" t="s">
        <v>20977</v>
      </c>
      <c r="BC2013" s="3" t="s">
        <v>78</v>
      </c>
      <c r="BD2013" s="3" t="s">
        <v>79</v>
      </c>
      <c r="BE2013" s="3" t="s">
        <v>20978</v>
      </c>
      <c r="BF2013" s="3" t="s">
        <v>20977</v>
      </c>
      <c r="BG2013" s="3" t="s">
        <v>20979</v>
      </c>
    </row>
    <row r="2014" spans="1:59" ht="58" x14ac:dyDescent="0.35">
      <c r="A2014" s="2" t="s">
        <v>59</v>
      </c>
      <c r="B2014" s="2" t="s">
        <v>94</v>
      </c>
      <c r="C2014" s="2" t="s">
        <v>20980</v>
      </c>
      <c r="D2014" s="2" t="s">
        <v>20981</v>
      </c>
      <c r="E2014" s="2" t="s">
        <v>20982</v>
      </c>
      <c r="G2014" s="3" t="s">
        <v>64</v>
      </c>
      <c r="I2014" s="3" t="s">
        <v>64</v>
      </c>
      <c r="J2014" s="3" t="s">
        <v>64</v>
      </c>
      <c r="K2014" s="3" t="s">
        <v>65</v>
      </c>
      <c r="M2014" s="2" t="s">
        <v>2476</v>
      </c>
      <c r="N2014" s="3" t="s">
        <v>214</v>
      </c>
      <c r="P2014" s="3" t="s">
        <v>69</v>
      </c>
      <c r="Q2014" s="2" t="s">
        <v>20983</v>
      </c>
      <c r="R2014" s="3" t="s">
        <v>20939</v>
      </c>
      <c r="S2014" s="4">
        <v>0</v>
      </c>
      <c r="T2014" s="4">
        <v>0</v>
      </c>
      <c r="W2014" s="5" t="s">
        <v>72</v>
      </c>
      <c r="X2014" s="5" t="s">
        <v>72</v>
      </c>
      <c r="Y2014" s="4">
        <v>62</v>
      </c>
      <c r="Z2014" s="4">
        <v>8</v>
      </c>
      <c r="AA2014" s="4">
        <v>98</v>
      </c>
      <c r="AB2014" s="4">
        <v>1</v>
      </c>
      <c r="AC2014" s="4">
        <v>19</v>
      </c>
      <c r="AD2014" s="4">
        <v>33</v>
      </c>
      <c r="AE2014" s="4">
        <v>109</v>
      </c>
      <c r="AF2014" s="4">
        <v>0</v>
      </c>
      <c r="AG2014" s="4">
        <v>8</v>
      </c>
      <c r="AH2014" s="4">
        <v>31</v>
      </c>
      <c r="AI2014" s="4">
        <v>74</v>
      </c>
      <c r="AJ2014" s="4">
        <v>6</v>
      </c>
      <c r="AK2014" s="4">
        <v>21</v>
      </c>
      <c r="AL2014" s="4">
        <v>19</v>
      </c>
      <c r="AM2014" s="4">
        <v>36</v>
      </c>
      <c r="AN2014" s="4">
        <v>0</v>
      </c>
      <c r="AO2014" s="4">
        <v>0</v>
      </c>
      <c r="AP2014" s="4">
        <v>6</v>
      </c>
      <c r="AQ2014" s="4">
        <v>42</v>
      </c>
      <c r="AR2014" s="3" t="s">
        <v>64</v>
      </c>
      <c r="AS2014" s="3" t="s">
        <v>64</v>
      </c>
      <c r="AT2014" s="3" t="s">
        <v>64</v>
      </c>
      <c r="AV2014" s="6" t="str">
        <f>HYPERLINK("http://mcgill.on.worldcat.org/oclc/647901936","Catalog Record")</f>
        <v>Catalog Record</v>
      </c>
      <c r="AW2014" s="6" t="str">
        <f>HYPERLINK("http://www.worldcat.org/oclc/647901936","WorldCat Record")</f>
        <v>WorldCat Record</v>
      </c>
      <c r="AX2014" s="3" t="s">
        <v>20984</v>
      </c>
      <c r="AY2014" s="3" t="s">
        <v>20985</v>
      </c>
      <c r="AZ2014" s="3" t="s">
        <v>20986</v>
      </c>
      <c r="BA2014" s="3" t="s">
        <v>20986</v>
      </c>
      <c r="BB2014" s="3" t="s">
        <v>20987</v>
      </c>
      <c r="BC2014" s="3" t="s">
        <v>78</v>
      </c>
      <c r="BD2014" s="3" t="s">
        <v>79</v>
      </c>
      <c r="BE2014" s="3" t="s">
        <v>20988</v>
      </c>
      <c r="BF2014" s="3" t="s">
        <v>20987</v>
      </c>
      <c r="BG2014" s="3" t="s">
        <v>20989</v>
      </c>
    </row>
    <row r="2015" spans="1:59" ht="58" x14ac:dyDescent="0.35">
      <c r="A2015" s="2" t="s">
        <v>59</v>
      </c>
      <c r="B2015" s="2" t="s">
        <v>94</v>
      </c>
      <c r="C2015" s="2" t="s">
        <v>20990</v>
      </c>
      <c r="D2015" s="2" t="s">
        <v>20991</v>
      </c>
      <c r="E2015" s="2" t="s">
        <v>20992</v>
      </c>
      <c r="G2015" s="3" t="s">
        <v>64</v>
      </c>
      <c r="I2015" s="3" t="s">
        <v>64</v>
      </c>
      <c r="J2015" s="3" t="s">
        <v>64</v>
      </c>
      <c r="K2015" s="3" t="s">
        <v>65</v>
      </c>
      <c r="L2015" s="2" t="s">
        <v>20993</v>
      </c>
      <c r="M2015" s="2" t="s">
        <v>20994</v>
      </c>
      <c r="N2015" s="3" t="s">
        <v>705</v>
      </c>
      <c r="P2015" s="3" t="s">
        <v>69</v>
      </c>
      <c r="R2015" s="3" t="s">
        <v>20939</v>
      </c>
      <c r="S2015" s="4">
        <v>14</v>
      </c>
      <c r="T2015" s="4">
        <v>14</v>
      </c>
      <c r="U2015" s="5" t="s">
        <v>2418</v>
      </c>
      <c r="V2015" s="5" t="s">
        <v>2418</v>
      </c>
      <c r="W2015" s="5" t="s">
        <v>72</v>
      </c>
      <c r="X2015" s="5" t="s">
        <v>72</v>
      </c>
      <c r="Y2015" s="4">
        <v>68</v>
      </c>
      <c r="Z2015" s="4">
        <v>44</v>
      </c>
      <c r="AA2015" s="4">
        <v>48</v>
      </c>
      <c r="AB2015" s="4">
        <v>1</v>
      </c>
      <c r="AC2015" s="4">
        <v>4</v>
      </c>
      <c r="AD2015" s="4">
        <v>34</v>
      </c>
      <c r="AE2015" s="4">
        <v>38</v>
      </c>
      <c r="AF2015" s="4">
        <v>0</v>
      </c>
      <c r="AG2015" s="4">
        <v>3</v>
      </c>
      <c r="AH2015" s="4">
        <v>17</v>
      </c>
      <c r="AI2015" s="4">
        <v>18</v>
      </c>
      <c r="AJ2015" s="4">
        <v>18</v>
      </c>
      <c r="AK2015" s="4">
        <v>21</v>
      </c>
      <c r="AL2015" s="4">
        <v>6</v>
      </c>
      <c r="AM2015" s="4">
        <v>6</v>
      </c>
      <c r="AN2015" s="4">
        <v>0</v>
      </c>
      <c r="AO2015" s="4">
        <v>0</v>
      </c>
      <c r="AP2015" s="4">
        <v>26</v>
      </c>
      <c r="AQ2015" s="4">
        <v>29</v>
      </c>
      <c r="AR2015" s="3" t="s">
        <v>73</v>
      </c>
      <c r="AS2015" s="3" t="s">
        <v>64</v>
      </c>
      <c r="AT2015" s="3" t="s">
        <v>64</v>
      </c>
      <c r="AV2015" s="6" t="str">
        <f>HYPERLINK("http://mcgill.on.worldcat.org/oclc/36337946","Catalog Record")</f>
        <v>Catalog Record</v>
      </c>
      <c r="AW2015" s="6" t="str">
        <f>HYPERLINK("http://www.worldcat.org/oclc/36337946","WorldCat Record")</f>
        <v>WorldCat Record</v>
      </c>
      <c r="AX2015" s="3" t="s">
        <v>20995</v>
      </c>
      <c r="AY2015" s="3" t="s">
        <v>20996</v>
      </c>
      <c r="AZ2015" s="3" t="s">
        <v>20997</v>
      </c>
      <c r="BA2015" s="3" t="s">
        <v>20997</v>
      </c>
      <c r="BB2015" s="3" t="s">
        <v>20998</v>
      </c>
      <c r="BC2015" s="3" t="s">
        <v>78</v>
      </c>
      <c r="BD2015" s="3" t="s">
        <v>79</v>
      </c>
      <c r="BE2015" s="3" t="s">
        <v>20999</v>
      </c>
      <c r="BF2015" s="3" t="s">
        <v>20998</v>
      </c>
      <c r="BG2015" s="3" t="s">
        <v>21000</v>
      </c>
    </row>
    <row r="2016" spans="1:59" ht="87" x14ac:dyDescent="0.35">
      <c r="A2016" s="2" t="s">
        <v>59</v>
      </c>
      <c r="B2016" s="2" t="s">
        <v>94</v>
      </c>
      <c r="C2016" s="2" t="s">
        <v>21001</v>
      </c>
      <c r="D2016" s="2" t="s">
        <v>21002</v>
      </c>
      <c r="E2016" s="2" t="s">
        <v>21003</v>
      </c>
      <c r="F2016" s="3" t="s">
        <v>399</v>
      </c>
      <c r="G2016" s="3" t="s">
        <v>73</v>
      </c>
      <c r="I2016" s="3" t="s">
        <v>73</v>
      </c>
      <c r="J2016" s="3" t="s">
        <v>64</v>
      </c>
      <c r="K2016" s="3" t="s">
        <v>65</v>
      </c>
      <c r="L2016" s="2" t="s">
        <v>21004</v>
      </c>
      <c r="M2016" s="2" t="s">
        <v>21005</v>
      </c>
      <c r="N2016" s="3" t="s">
        <v>719</v>
      </c>
      <c r="P2016" s="3" t="s">
        <v>69</v>
      </c>
      <c r="Q2016" s="2" t="s">
        <v>21006</v>
      </c>
      <c r="R2016" s="3" t="s">
        <v>20939</v>
      </c>
      <c r="S2016" s="4">
        <v>3</v>
      </c>
      <c r="T2016" s="4">
        <v>13</v>
      </c>
      <c r="U2016" s="5" t="s">
        <v>21007</v>
      </c>
      <c r="V2016" s="5" t="s">
        <v>19077</v>
      </c>
      <c r="W2016" s="5" t="s">
        <v>72</v>
      </c>
      <c r="X2016" s="5" t="s">
        <v>72</v>
      </c>
      <c r="Y2016" s="4">
        <v>146</v>
      </c>
      <c r="Z2016" s="4">
        <v>68</v>
      </c>
      <c r="AA2016" s="4">
        <v>68</v>
      </c>
      <c r="AB2016" s="4">
        <v>6</v>
      </c>
      <c r="AC2016" s="4">
        <v>6</v>
      </c>
      <c r="AD2016" s="4">
        <v>71</v>
      </c>
      <c r="AE2016" s="4">
        <v>71</v>
      </c>
      <c r="AF2016" s="4">
        <v>2</v>
      </c>
      <c r="AG2016" s="4">
        <v>2</v>
      </c>
      <c r="AH2016" s="4">
        <v>44</v>
      </c>
      <c r="AI2016" s="4">
        <v>44</v>
      </c>
      <c r="AJ2016" s="4">
        <v>18</v>
      </c>
      <c r="AK2016" s="4">
        <v>18</v>
      </c>
      <c r="AL2016" s="4">
        <v>26</v>
      </c>
      <c r="AM2016" s="4">
        <v>26</v>
      </c>
      <c r="AN2016" s="4">
        <v>0</v>
      </c>
      <c r="AO2016" s="4">
        <v>0</v>
      </c>
      <c r="AP2016" s="4">
        <v>34</v>
      </c>
      <c r="AQ2016" s="4">
        <v>34</v>
      </c>
      <c r="AR2016" s="3" t="s">
        <v>73</v>
      </c>
      <c r="AS2016" s="3" t="s">
        <v>64</v>
      </c>
      <c r="AT2016" s="3" t="s">
        <v>73</v>
      </c>
      <c r="AU2016" s="6" t="str">
        <f>HYPERLINK("http://catalog.hathitrust.org/Record/000464022","HathiTrust Record")</f>
        <v>HathiTrust Record</v>
      </c>
      <c r="AV2016" s="6" t="str">
        <f>HYPERLINK("http://mcgill.on.worldcat.org/oclc/11420000","Catalog Record")</f>
        <v>Catalog Record</v>
      </c>
      <c r="AW2016" s="6" t="str">
        <f>HYPERLINK("http://www.worldcat.org/oclc/11420000","WorldCat Record")</f>
        <v>WorldCat Record</v>
      </c>
      <c r="AX2016" s="3" t="s">
        <v>21008</v>
      </c>
      <c r="AY2016" s="3" t="s">
        <v>21009</v>
      </c>
      <c r="AZ2016" s="3" t="s">
        <v>21010</v>
      </c>
      <c r="BA2016" s="3" t="s">
        <v>21010</v>
      </c>
      <c r="BB2016" s="3" t="s">
        <v>21011</v>
      </c>
      <c r="BC2016" s="3" t="s">
        <v>78</v>
      </c>
      <c r="BD2016" s="3" t="s">
        <v>79</v>
      </c>
      <c r="BE2016" s="3" t="s">
        <v>21012</v>
      </c>
      <c r="BF2016" s="3" t="s">
        <v>21011</v>
      </c>
      <c r="BG2016" s="3" t="s">
        <v>21013</v>
      </c>
    </row>
    <row r="2017" spans="1:59" ht="87" x14ac:dyDescent="0.35">
      <c r="A2017" s="2" t="s">
        <v>59</v>
      </c>
      <c r="B2017" s="2" t="s">
        <v>60</v>
      </c>
      <c r="C2017" s="2" t="s">
        <v>21001</v>
      </c>
      <c r="D2017" s="2" t="s">
        <v>21002</v>
      </c>
      <c r="E2017" s="2" t="s">
        <v>21003</v>
      </c>
      <c r="F2017" s="3" t="s">
        <v>2228</v>
      </c>
      <c r="G2017" s="3" t="s">
        <v>73</v>
      </c>
      <c r="I2017" s="3" t="s">
        <v>73</v>
      </c>
      <c r="J2017" s="3" t="s">
        <v>64</v>
      </c>
      <c r="K2017" s="3" t="s">
        <v>65</v>
      </c>
      <c r="L2017" s="2" t="s">
        <v>21004</v>
      </c>
      <c r="M2017" s="2" t="s">
        <v>21005</v>
      </c>
      <c r="N2017" s="3" t="s">
        <v>719</v>
      </c>
      <c r="P2017" s="3" t="s">
        <v>69</v>
      </c>
      <c r="Q2017" s="2" t="s">
        <v>21006</v>
      </c>
      <c r="R2017" s="3" t="s">
        <v>20939</v>
      </c>
      <c r="S2017" s="4">
        <v>3</v>
      </c>
      <c r="T2017" s="4">
        <v>13</v>
      </c>
      <c r="U2017" s="5" t="s">
        <v>21014</v>
      </c>
      <c r="V2017" s="5" t="s">
        <v>19077</v>
      </c>
      <c r="W2017" s="5" t="s">
        <v>72</v>
      </c>
      <c r="X2017" s="5" t="s">
        <v>72</v>
      </c>
      <c r="Y2017" s="4">
        <v>146</v>
      </c>
      <c r="Z2017" s="4">
        <v>68</v>
      </c>
      <c r="AA2017" s="4">
        <v>68</v>
      </c>
      <c r="AB2017" s="4">
        <v>6</v>
      </c>
      <c r="AC2017" s="4">
        <v>6</v>
      </c>
      <c r="AD2017" s="4">
        <v>71</v>
      </c>
      <c r="AE2017" s="4">
        <v>71</v>
      </c>
      <c r="AF2017" s="4">
        <v>2</v>
      </c>
      <c r="AG2017" s="4">
        <v>2</v>
      </c>
      <c r="AH2017" s="4">
        <v>44</v>
      </c>
      <c r="AI2017" s="4">
        <v>44</v>
      </c>
      <c r="AJ2017" s="4">
        <v>18</v>
      </c>
      <c r="AK2017" s="4">
        <v>18</v>
      </c>
      <c r="AL2017" s="4">
        <v>26</v>
      </c>
      <c r="AM2017" s="4">
        <v>26</v>
      </c>
      <c r="AN2017" s="4">
        <v>0</v>
      </c>
      <c r="AO2017" s="4">
        <v>0</v>
      </c>
      <c r="AP2017" s="4">
        <v>34</v>
      </c>
      <c r="AQ2017" s="4">
        <v>34</v>
      </c>
      <c r="AR2017" s="3" t="s">
        <v>73</v>
      </c>
      <c r="AS2017" s="3" t="s">
        <v>64</v>
      </c>
      <c r="AT2017" s="3" t="s">
        <v>73</v>
      </c>
      <c r="AU2017" s="6" t="str">
        <f>HYPERLINK("http://catalog.hathitrust.org/Record/000464022","HathiTrust Record")</f>
        <v>HathiTrust Record</v>
      </c>
      <c r="AV2017" s="6" t="str">
        <f>HYPERLINK("http://mcgill.on.worldcat.org/oclc/11420000","Catalog Record")</f>
        <v>Catalog Record</v>
      </c>
      <c r="AW2017" s="6" t="str">
        <f>HYPERLINK("http://www.worldcat.org/oclc/11420000","WorldCat Record")</f>
        <v>WorldCat Record</v>
      </c>
      <c r="AX2017" s="3" t="s">
        <v>21008</v>
      </c>
      <c r="AY2017" s="3" t="s">
        <v>21009</v>
      </c>
      <c r="AZ2017" s="3" t="s">
        <v>21010</v>
      </c>
      <c r="BA2017" s="3" t="s">
        <v>21010</v>
      </c>
      <c r="BB2017" s="3" t="s">
        <v>21015</v>
      </c>
      <c r="BC2017" s="3" t="s">
        <v>78</v>
      </c>
      <c r="BD2017" s="3" t="s">
        <v>79</v>
      </c>
      <c r="BE2017" s="3" t="s">
        <v>21012</v>
      </c>
      <c r="BF2017" s="3" t="s">
        <v>21015</v>
      </c>
      <c r="BG2017" s="3" t="s">
        <v>21016</v>
      </c>
    </row>
    <row r="2018" spans="1:59" ht="87" x14ac:dyDescent="0.35">
      <c r="A2018" s="2" t="s">
        <v>59</v>
      </c>
      <c r="B2018" s="2" t="s">
        <v>94</v>
      </c>
      <c r="C2018" s="2" t="s">
        <v>21001</v>
      </c>
      <c r="D2018" s="2" t="s">
        <v>21002</v>
      </c>
      <c r="E2018" s="2" t="s">
        <v>21003</v>
      </c>
      <c r="F2018" s="3" t="s">
        <v>388</v>
      </c>
      <c r="G2018" s="3" t="s">
        <v>73</v>
      </c>
      <c r="I2018" s="3" t="s">
        <v>73</v>
      </c>
      <c r="J2018" s="3" t="s">
        <v>64</v>
      </c>
      <c r="K2018" s="3" t="s">
        <v>65</v>
      </c>
      <c r="L2018" s="2" t="s">
        <v>21004</v>
      </c>
      <c r="M2018" s="2" t="s">
        <v>21005</v>
      </c>
      <c r="N2018" s="3" t="s">
        <v>719</v>
      </c>
      <c r="P2018" s="3" t="s">
        <v>69</v>
      </c>
      <c r="Q2018" s="2" t="s">
        <v>21006</v>
      </c>
      <c r="R2018" s="3" t="s">
        <v>20939</v>
      </c>
      <c r="S2018" s="4">
        <v>3</v>
      </c>
      <c r="T2018" s="4">
        <v>13</v>
      </c>
      <c r="U2018" s="5" t="s">
        <v>21007</v>
      </c>
      <c r="V2018" s="5" t="s">
        <v>19077</v>
      </c>
      <c r="W2018" s="5" t="s">
        <v>72</v>
      </c>
      <c r="X2018" s="5" t="s">
        <v>72</v>
      </c>
      <c r="Y2018" s="4">
        <v>146</v>
      </c>
      <c r="Z2018" s="4">
        <v>68</v>
      </c>
      <c r="AA2018" s="4">
        <v>68</v>
      </c>
      <c r="AB2018" s="4">
        <v>6</v>
      </c>
      <c r="AC2018" s="4">
        <v>6</v>
      </c>
      <c r="AD2018" s="4">
        <v>71</v>
      </c>
      <c r="AE2018" s="4">
        <v>71</v>
      </c>
      <c r="AF2018" s="4">
        <v>2</v>
      </c>
      <c r="AG2018" s="4">
        <v>2</v>
      </c>
      <c r="AH2018" s="4">
        <v>44</v>
      </c>
      <c r="AI2018" s="4">
        <v>44</v>
      </c>
      <c r="AJ2018" s="4">
        <v>18</v>
      </c>
      <c r="AK2018" s="4">
        <v>18</v>
      </c>
      <c r="AL2018" s="4">
        <v>26</v>
      </c>
      <c r="AM2018" s="4">
        <v>26</v>
      </c>
      <c r="AN2018" s="4">
        <v>0</v>
      </c>
      <c r="AO2018" s="4">
        <v>0</v>
      </c>
      <c r="AP2018" s="4">
        <v>34</v>
      </c>
      <c r="AQ2018" s="4">
        <v>34</v>
      </c>
      <c r="AR2018" s="3" t="s">
        <v>73</v>
      </c>
      <c r="AS2018" s="3" t="s">
        <v>64</v>
      </c>
      <c r="AT2018" s="3" t="s">
        <v>73</v>
      </c>
      <c r="AU2018" s="6" t="str">
        <f>HYPERLINK("http://catalog.hathitrust.org/Record/000464022","HathiTrust Record")</f>
        <v>HathiTrust Record</v>
      </c>
      <c r="AV2018" s="6" t="str">
        <f>HYPERLINK("http://mcgill.on.worldcat.org/oclc/11420000","Catalog Record")</f>
        <v>Catalog Record</v>
      </c>
      <c r="AW2018" s="6" t="str">
        <f>HYPERLINK("http://www.worldcat.org/oclc/11420000","WorldCat Record")</f>
        <v>WorldCat Record</v>
      </c>
      <c r="AX2018" s="3" t="s">
        <v>21008</v>
      </c>
      <c r="AY2018" s="3" t="s">
        <v>21009</v>
      </c>
      <c r="AZ2018" s="3" t="s">
        <v>21010</v>
      </c>
      <c r="BA2018" s="3" t="s">
        <v>21010</v>
      </c>
      <c r="BB2018" s="3" t="s">
        <v>21017</v>
      </c>
      <c r="BC2018" s="3" t="s">
        <v>78</v>
      </c>
      <c r="BD2018" s="3" t="s">
        <v>79</v>
      </c>
      <c r="BE2018" s="3" t="s">
        <v>21012</v>
      </c>
      <c r="BF2018" s="3" t="s">
        <v>21017</v>
      </c>
      <c r="BG2018" s="3" t="s">
        <v>21018</v>
      </c>
    </row>
    <row r="2019" spans="1:59" ht="87" x14ac:dyDescent="0.35">
      <c r="A2019" s="2" t="s">
        <v>59</v>
      </c>
      <c r="B2019" s="2" t="s">
        <v>60</v>
      </c>
      <c r="C2019" s="2" t="s">
        <v>21001</v>
      </c>
      <c r="D2019" s="2" t="s">
        <v>21002</v>
      </c>
      <c r="E2019" s="2" t="s">
        <v>21003</v>
      </c>
      <c r="F2019" s="3" t="s">
        <v>2212</v>
      </c>
      <c r="G2019" s="3" t="s">
        <v>73</v>
      </c>
      <c r="I2019" s="3" t="s">
        <v>73</v>
      </c>
      <c r="J2019" s="3" t="s">
        <v>64</v>
      </c>
      <c r="K2019" s="3" t="s">
        <v>65</v>
      </c>
      <c r="L2019" s="2" t="s">
        <v>21004</v>
      </c>
      <c r="M2019" s="2" t="s">
        <v>21005</v>
      </c>
      <c r="N2019" s="3" t="s">
        <v>719</v>
      </c>
      <c r="P2019" s="3" t="s">
        <v>69</v>
      </c>
      <c r="Q2019" s="2" t="s">
        <v>21006</v>
      </c>
      <c r="R2019" s="3" t="s">
        <v>20939</v>
      </c>
      <c r="S2019" s="4">
        <v>4</v>
      </c>
      <c r="T2019" s="4">
        <v>13</v>
      </c>
      <c r="U2019" s="5" t="s">
        <v>19077</v>
      </c>
      <c r="V2019" s="5" t="s">
        <v>19077</v>
      </c>
      <c r="W2019" s="5" t="s">
        <v>72</v>
      </c>
      <c r="X2019" s="5" t="s">
        <v>72</v>
      </c>
      <c r="Y2019" s="4">
        <v>146</v>
      </c>
      <c r="Z2019" s="4">
        <v>68</v>
      </c>
      <c r="AA2019" s="4">
        <v>68</v>
      </c>
      <c r="AB2019" s="4">
        <v>6</v>
      </c>
      <c r="AC2019" s="4">
        <v>6</v>
      </c>
      <c r="AD2019" s="4">
        <v>71</v>
      </c>
      <c r="AE2019" s="4">
        <v>71</v>
      </c>
      <c r="AF2019" s="4">
        <v>2</v>
      </c>
      <c r="AG2019" s="4">
        <v>2</v>
      </c>
      <c r="AH2019" s="4">
        <v>44</v>
      </c>
      <c r="AI2019" s="4">
        <v>44</v>
      </c>
      <c r="AJ2019" s="4">
        <v>18</v>
      </c>
      <c r="AK2019" s="4">
        <v>18</v>
      </c>
      <c r="AL2019" s="4">
        <v>26</v>
      </c>
      <c r="AM2019" s="4">
        <v>26</v>
      </c>
      <c r="AN2019" s="4">
        <v>0</v>
      </c>
      <c r="AO2019" s="4">
        <v>0</v>
      </c>
      <c r="AP2019" s="4">
        <v>34</v>
      </c>
      <c r="AQ2019" s="4">
        <v>34</v>
      </c>
      <c r="AR2019" s="3" t="s">
        <v>73</v>
      </c>
      <c r="AS2019" s="3" t="s">
        <v>64</v>
      </c>
      <c r="AT2019" s="3" t="s">
        <v>73</v>
      </c>
      <c r="AU2019" s="6" t="str">
        <f>HYPERLINK("http://catalog.hathitrust.org/Record/000464022","HathiTrust Record")</f>
        <v>HathiTrust Record</v>
      </c>
      <c r="AV2019" s="6" t="str">
        <f>HYPERLINK("http://mcgill.on.worldcat.org/oclc/11420000","Catalog Record")</f>
        <v>Catalog Record</v>
      </c>
      <c r="AW2019" s="6" t="str">
        <f>HYPERLINK("http://www.worldcat.org/oclc/11420000","WorldCat Record")</f>
        <v>WorldCat Record</v>
      </c>
      <c r="AX2019" s="3" t="s">
        <v>21008</v>
      </c>
      <c r="AY2019" s="3" t="s">
        <v>21009</v>
      </c>
      <c r="AZ2019" s="3" t="s">
        <v>21010</v>
      </c>
      <c r="BA2019" s="3" t="s">
        <v>21010</v>
      </c>
      <c r="BB2019" s="3" t="s">
        <v>21019</v>
      </c>
      <c r="BC2019" s="3" t="s">
        <v>78</v>
      </c>
      <c r="BD2019" s="3" t="s">
        <v>79</v>
      </c>
      <c r="BE2019" s="3" t="s">
        <v>21012</v>
      </c>
      <c r="BF2019" s="3" t="s">
        <v>21019</v>
      </c>
      <c r="BG2019" s="3" t="s">
        <v>21020</v>
      </c>
    </row>
    <row r="2020" spans="1:59" ht="58" x14ac:dyDescent="0.35">
      <c r="A2020" s="2" t="s">
        <v>59</v>
      </c>
      <c r="B2020" s="2" t="s">
        <v>94</v>
      </c>
      <c r="C2020" s="2" t="s">
        <v>21021</v>
      </c>
      <c r="D2020" s="2" t="s">
        <v>21022</v>
      </c>
      <c r="E2020" s="2" t="s">
        <v>21023</v>
      </c>
      <c r="G2020" s="3" t="s">
        <v>64</v>
      </c>
      <c r="I2020" s="3" t="s">
        <v>64</v>
      </c>
      <c r="J2020" s="3" t="s">
        <v>64</v>
      </c>
      <c r="K2020" s="3" t="s">
        <v>65</v>
      </c>
      <c r="L2020" s="2" t="s">
        <v>21024</v>
      </c>
      <c r="M2020" s="2" t="s">
        <v>21025</v>
      </c>
      <c r="N2020" s="3" t="s">
        <v>733</v>
      </c>
      <c r="P2020" s="3" t="s">
        <v>69</v>
      </c>
      <c r="R2020" s="3" t="s">
        <v>20939</v>
      </c>
      <c r="S2020" s="4">
        <v>17</v>
      </c>
      <c r="T2020" s="4">
        <v>17</v>
      </c>
      <c r="U2020" s="5" t="s">
        <v>18176</v>
      </c>
      <c r="V2020" s="5" t="s">
        <v>18176</v>
      </c>
      <c r="W2020" s="5" t="s">
        <v>72</v>
      </c>
      <c r="X2020" s="5" t="s">
        <v>72</v>
      </c>
      <c r="Y2020" s="4">
        <v>179</v>
      </c>
      <c r="Z2020" s="4">
        <v>18</v>
      </c>
      <c r="AA2020" s="4">
        <v>27</v>
      </c>
      <c r="AB2020" s="4">
        <v>3</v>
      </c>
      <c r="AC2020" s="4">
        <v>4</v>
      </c>
      <c r="AD2020" s="4">
        <v>51</v>
      </c>
      <c r="AE2020" s="4">
        <v>102</v>
      </c>
      <c r="AF2020" s="4">
        <v>1</v>
      </c>
      <c r="AG2020" s="4">
        <v>2</v>
      </c>
      <c r="AH2020" s="4">
        <v>44</v>
      </c>
      <c r="AI2020" s="4">
        <v>88</v>
      </c>
      <c r="AJ2020" s="4">
        <v>12</v>
      </c>
      <c r="AK2020" s="4">
        <v>15</v>
      </c>
      <c r="AL2020" s="4">
        <v>25</v>
      </c>
      <c r="AM2020" s="4">
        <v>48</v>
      </c>
      <c r="AN2020" s="4">
        <v>0</v>
      </c>
      <c r="AO2020" s="4">
        <v>0</v>
      </c>
      <c r="AP2020" s="4">
        <v>14</v>
      </c>
      <c r="AQ2020" s="4">
        <v>22</v>
      </c>
      <c r="AR2020" s="3" t="s">
        <v>64</v>
      </c>
      <c r="AS2020" s="3" t="s">
        <v>64</v>
      </c>
      <c r="AT2020" s="3" t="s">
        <v>64</v>
      </c>
      <c r="AV2020" s="6" t="str">
        <f>HYPERLINK("http://mcgill.on.worldcat.org/oclc/10268448","Catalog Record")</f>
        <v>Catalog Record</v>
      </c>
      <c r="AW2020" s="6" t="str">
        <f>HYPERLINK("http://www.worldcat.org/oclc/10268448","WorldCat Record")</f>
        <v>WorldCat Record</v>
      </c>
      <c r="AX2020" s="3" t="s">
        <v>21026</v>
      </c>
      <c r="AY2020" s="3" t="s">
        <v>21027</v>
      </c>
      <c r="AZ2020" s="3" t="s">
        <v>21028</v>
      </c>
      <c r="BA2020" s="3" t="s">
        <v>21028</v>
      </c>
      <c r="BB2020" s="3" t="s">
        <v>21029</v>
      </c>
      <c r="BC2020" s="3" t="s">
        <v>78</v>
      </c>
      <c r="BD2020" s="3" t="s">
        <v>79</v>
      </c>
      <c r="BE2020" s="3" t="s">
        <v>21030</v>
      </c>
      <c r="BF2020" s="3" t="s">
        <v>21029</v>
      </c>
      <c r="BG2020" s="3" t="s">
        <v>21031</v>
      </c>
    </row>
    <row r="2021" spans="1:59" ht="58" x14ac:dyDescent="0.35">
      <c r="A2021" s="2" t="s">
        <v>59</v>
      </c>
      <c r="B2021" s="2" t="s">
        <v>94</v>
      </c>
      <c r="C2021" s="2" t="s">
        <v>21032</v>
      </c>
      <c r="D2021" s="2" t="s">
        <v>21033</v>
      </c>
      <c r="E2021" s="2" t="s">
        <v>21034</v>
      </c>
      <c r="G2021" s="3" t="s">
        <v>64</v>
      </c>
      <c r="I2021" s="3" t="s">
        <v>64</v>
      </c>
      <c r="J2021" s="3" t="s">
        <v>64</v>
      </c>
      <c r="K2021" s="3" t="s">
        <v>65</v>
      </c>
      <c r="L2021" s="2" t="s">
        <v>21035</v>
      </c>
      <c r="M2021" s="2" t="s">
        <v>21036</v>
      </c>
      <c r="N2021" s="3" t="s">
        <v>473</v>
      </c>
      <c r="P2021" s="3" t="s">
        <v>69</v>
      </c>
      <c r="Q2021" s="2" t="s">
        <v>21037</v>
      </c>
      <c r="R2021" s="3" t="s">
        <v>20939</v>
      </c>
      <c r="S2021" s="4">
        <v>19</v>
      </c>
      <c r="T2021" s="4">
        <v>19</v>
      </c>
      <c r="U2021" s="5" t="s">
        <v>18176</v>
      </c>
      <c r="V2021" s="5" t="s">
        <v>18176</v>
      </c>
      <c r="W2021" s="5" t="s">
        <v>72</v>
      </c>
      <c r="X2021" s="5" t="s">
        <v>72</v>
      </c>
      <c r="Y2021" s="4">
        <v>167</v>
      </c>
      <c r="Z2021" s="4">
        <v>18</v>
      </c>
      <c r="AA2021" s="4">
        <v>34</v>
      </c>
      <c r="AB2021" s="4">
        <v>1</v>
      </c>
      <c r="AC2021" s="4">
        <v>2</v>
      </c>
      <c r="AD2021" s="4">
        <v>50</v>
      </c>
      <c r="AE2021" s="4">
        <v>100</v>
      </c>
      <c r="AF2021" s="4">
        <v>0</v>
      </c>
      <c r="AG2021" s="4">
        <v>0</v>
      </c>
      <c r="AH2021" s="4">
        <v>42</v>
      </c>
      <c r="AI2021" s="4">
        <v>84</v>
      </c>
      <c r="AJ2021" s="4">
        <v>11</v>
      </c>
      <c r="AK2021" s="4">
        <v>16</v>
      </c>
      <c r="AL2021" s="4">
        <v>29</v>
      </c>
      <c r="AM2021" s="4">
        <v>48</v>
      </c>
      <c r="AN2021" s="4">
        <v>0</v>
      </c>
      <c r="AO2021" s="4">
        <v>0</v>
      </c>
      <c r="AP2021" s="4">
        <v>14</v>
      </c>
      <c r="AQ2021" s="4">
        <v>25</v>
      </c>
      <c r="AR2021" s="3" t="s">
        <v>64</v>
      </c>
      <c r="AS2021" s="3" t="s">
        <v>64</v>
      </c>
      <c r="AT2021" s="3" t="s">
        <v>73</v>
      </c>
      <c r="AU2021" s="6" t="str">
        <f>HYPERLINK("http://catalog.hathitrust.org/Record/002181568","HathiTrust Record")</f>
        <v>HathiTrust Record</v>
      </c>
      <c r="AV2021" s="6" t="str">
        <f>HYPERLINK("http://mcgill.on.worldcat.org/oclc/20560536","Catalog Record")</f>
        <v>Catalog Record</v>
      </c>
      <c r="AW2021" s="6" t="str">
        <f>HYPERLINK("http://www.worldcat.org/oclc/20560536","WorldCat Record")</f>
        <v>WorldCat Record</v>
      </c>
      <c r="AX2021" s="3" t="s">
        <v>21038</v>
      </c>
      <c r="AY2021" s="3" t="s">
        <v>21039</v>
      </c>
      <c r="AZ2021" s="3" t="s">
        <v>21040</v>
      </c>
      <c r="BA2021" s="3" t="s">
        <v>21040</v>
      </c>
      <c r="BB2021" s="3" t="s">
        <v>21041</v>
      </c>
      <c r="BC2021" s="3" t="s">
        <v>78</v>
      </c>
      <c r="BD2021" s="3" t="s">
        <v>79</v>
      </c>
      <c r="BE2021" s="3" t="s">
        <v>21042</v>
      </c>
      <c r="BF2021" s="3" t="s">
        <v>21041</v>
      </c>
      <c r="BG2021" s="3" t="s">
        <v>21043</v>
      </c>
    </row>
    <row r="2022" spans="1:59" ht="58" x14ac:dyDescent="0.35">
      <c r="A2022" s="2" t="s">
        <v>59</v>
      </c>
      <c r="B2022" s="2" t="s">
        <v>94</v>
      </c>
      <c r="C2022" s="2" t="s">
        <v>21044</v>
      </c>
      <c r="D2022" s="2" t="s">
        <v>21045</v>
      </c>
      <c r="E2022" s="2" t="s">
        <v>21046</v>
      </c>
      <c r="G2022" s="3" t="s">
        <v>64</v>
      </c>
      <c r="I2022" s="3" t="s">
        <v>64</v>
      </c>
      <c r="J2022" s="3" t="s">
        <v>64</v>
      </c>
      <c r="K2022" s="3" t="s">
        <v>65</v>
      </c>
      <c r="M2022" s="2" t="s">
        <v>21047</v>
      </c>
      <c r="N2022" s="3" t="s">
        <v>524</v>
      </c>
      <c r="P2022" s="3" t="s">
        <v>69</v>
      </c>
      <c r="Q2022" s="2" t="s">
        <v>21048</v>
      </c>
      <c r="R2022" s="3" t="s">
        <v>20939</v>
      </c>
      <c r="S2022" s="4">
        <v>1</v>
      </c>
      <c r="T2022" s="4">
        <v>1</v>
      </c>
      <c r="U2022" s="5" t="s">
        <v>21049</v>
      </c>
      <c r="V2022" s="5" t="s">
        <v>21049</v>
      </c>
      <c r="W2022" s="5" t="s">
        <v>72</v>
      </c>
      <c r="X2022" s="5" t="s">
        <v>72</v>
      </c>
      <c r="Y2022" s="4">
        <v>67</v>
      </c>
      <c r="Z2022" s="4">
        <v>6</v>
      </c>
      <c r="AA2022" s="4">
        <v>9</v>
      </c>
      <c r="AB2022" s="4">
        <v>1</v>
      </c>
      <c r="AC2022" s="4">
        <v>4</v>
      </c>
      <c r="AD2022" s="4">
        <v>29</v>
      </c>
      <c r="AE2022" s="4">
        <v>31</v>
      </c>
      <c r="AF2022" s="4">
        <v>0</v>
      </c>
      <c r="AG2022" s="4">
        <v>2</v>
      </c>
      <c r="AH2022" s="4">
        <v>29</v>
      </c>
      <c r="AI2022" s="4">
        <v>30</v>
      </c>
      <c r="AJ2022" s="4">
        <v>4</v>
      </c>
      <c r="AK2022" s="4">
        <v>6</v>
      </c>
      <c r="AL2022" s="4">
        <v>21</v>
      </c>
      <c r="AM2022" s="4">
        <v>21</v>
      </c>
      <c r="AN2022" s="4">
        <v>0</v>
      </c>
      <c r="AO2022" s="4">
        <v>0</v>
      </c>
      <c r="AP2022" s="4">
        <v>4</v>
      </c>
      <c r="AQ2022" s="4">
        <v>5</v>
      </c>
      <c r="AR2022" s="3" t="s">
        <v>64</v>
      </c>
      <c r="AS2022" s="3" t="s">
        <v>64</v>
      </c>
      <c r="AT2022" s="3" t="s">
        <v>64</v>
      </c>
      <c r="AV2022" s="6" t="str">
        <f>HYPERLINK("http://mcgill.on.worldcat.org/oclc/858012069","Catalog Record")</f>
        <v>Catalog Record</v>
      </c>
      <c r="AW2022" s="6" t="str">
        <f>HYPERLINK("http://www.worldcat.org/oclc/858012069","WorldCat Record")</f>
        <v>WorldCat Record</v>
      </c>
      <c r="AX2022" s="3" t="s">
        <v>21050</v>
      </c>
      <c r="AY2022" s="3" t="s">
        <v>21051</v>
      </c>
      <c r="AZ2022" s="3" t="s">
        <v>21052</v>
      </c>
      <c r="BA2022" s="3" t="s">
        <v>21052</v>
      </c>
      <c r="BB2022" s="3" t="s">
        <v>21053</v>
      </c>
      <c r="BC2022" s="3" t="s">
        <v>78</v>
      </c>
      <c r="BD2022" s="3" t="s">
        <v>79</v>
      </c>
      <c r="BE2022" s="3" t="s">
        <v>21054</v>
      </c>
      <c r="BF2022" s="3" t="s">
        <v>21053</v>
      </c>
      <c r="BG2022" s="3" t="s">
        <v>21055</v>
      </c>
    </row>
    <row r="2023" spans="1:59" ht="72.5" x14ac:dyDescent="0.35">
      <c r="A2023" s="2" t="s">
        <v>59</v>
      </c>
      <c r="B2023" s="2" t="s">
        <v>60</v>
      </c>
      <c r="C2023" s="2" t="s">
        <v>21056</v>
      </c>
      <c r="D2023" s="2" t="s">
        <v>21057</v>
      </c>
      <c r="E2023" s="2" t="s">
        <v>21058</v>
      </c>
      <c r="G2023" s="3" t="s">
        <v>64</v>
      </c>
      <c r="I2023" s="3" t="s">
        <v>64</v>
      </c>
      <c r="J2023" s="3" t="s">
        <v>64</v>
      </c>
      <c r="K2023" s="3" t="s">
        <v>65</v>
      </c>
      <c r="L2023" s="2" t="s">
        <v>3248</v>
      </c>
      <c r="M2023" s="2" t="s">
        <v>21059</v>
      </c>
      <c r="N2023" s="3" t="s">
        <v>1530</v>
      </c>
      <c r="P2023" s="3" t="s">
        <v>69</v>
      </c>
      <c r="R2023" s="3" t="s">
        <v>20939</v>
      </c>
      <c r="S2023" s="4">
        <v>13</v>
      </c>
      <c r="T2023" s="4">
        <v>13</v>
      </c>
      <c r="U2023" s="5" t="s">
        <v>13407</v>
      </c>
      <c r="V2023" s="5" t="s">
        <v>13407</v>
      </c>
      <c r="W2023" s="5" t="s">
        <v>72</v>
      </c>
      <c r="X2023" s="5" t="s">
        <v>72</v>
      </c>
      <c r="Y2023" s="4">
        <v>231</v>
      </c>
      <c r="Z2023" s="4">
        <v>10</v>
      </c>
      <c r="AA2023" s="4">
        <v>12</v>
      </c>
      <c r="AB2023" s="4">
        <v>1</v>
      </c>
      <c r="AC2023" s="4">
        <v>3</v>
      </c>
      <c r="AD2023" s="4">
        <v>49</v>
      </c>
      <c r="AE2023" s="4">
        <v>49</v>
      </c>
      <c r="AF2023" s="4">
        <v>0</v>
      </c>
      <c r="AG2023" s="4">
        <v>0</v>
      </c>
      <c r="AH2023" s="4">
        <v>45</v>
      </c>
      <c r="AI2023" s="4">
        <v>45</v>
      </c>
      <c r="AJ2023" s="4">
        <v>7</v>
      </c>
      <c r="AK2023" s="4">
        <v>7</v>
      </c>
      <c r="AL2023" s="4">
        <v>23</v>
      </c>
      <c r="AM2023" s="4">
        <v>23</v>
      </c>
      <c r="AN2023" s="4">
        <v>0</v>
      </c>
      <c r="AO2023" s="4">
        <v>0</v>
      </c>
      <c r="AP2023" s="4">
        <v>8</v>
      </c>
      <c r="AQ2023" s="4">
        <v>8</v>
      </c>
      <c r="AR2023" s="3" t="s">
        <v>64</v>
      </c>
      <c r="AS2023" s="3" t="s">
        <v>64</v>
      </c>
      <c r="AT2023" s="3" t="s">
        <v>64</v>
      </c>
      <c r="AV2023" s="6" t="str">
        <f>HYPERLINK("http://mcgill.on.worldcat.org/oclc/48951670","Catalog Record")</f>
        <v>Catalog Record</v>
      </c>
      <c r="AW2023" s="6" t="str">
        <f>HYPERLINK("http://www.worldcat.org/oclc/48951670","WorldCat Record")</f>
        <v>WorldCat Record</v>
      </c>
      <c r="AX2023" s="3" t="s">
        <v>21060</v>
      </c>
      <c r="AY2023" s="3" t="s">
        <v>21061</v>
      </c>
      <c r="AZ2023" s="3" t="s">
        <v>21062</v>
      </c>
      <c r="BA2023" s="3" t="s">
        <v>21062</v>
      </c>
      <c r="BB2023" s="3" t="s">
        <v>21063</v>
      </c>
      <c r="BC2023" s="3" t="s">
        <v>78</v>
      </c>
      <c r="BD2023" s="3" t="s">
        <v>414</v>
      </c>
      <c r="BE2023" s="3" t="s">
        <v>21064</v>
      </c>
      <c r="BF2023" s="3" t="s">
        <v>21063</v>
      </c>
      <c r="BG2023" s="3" t="s">
        <v>21065</v>
      </c>
    </row>
    <row r="2024" spans="1:59" ht="58" x14ac:dyDescent="0.35">
      <c r="A2024" s="2" t="s">
        <v>59</v>
      </c>
      <c r="B2024" s="2" t="s">
        <v>94</v>
      </c>
      <c r="C2024" s="2" t="s">
        <v>21066</v>
      </c>
      <c r="D2024" s="2" t="s">
        <v>21067</v>
      </c>
      <c r="E2024" s="2" t="s">
        <v>21068</v>
      </c>
      <c r="G2024" s="3" t="s">
        <v>64</v>
      </c>
      <c r="I2024" s="3" t="s">
        <v>64</v>
      </c>
      <c r="J2024" s="3" t="s">
        <v>64</v>
      </c>
      <c r="K2024" s="3" t="s">
        <v>65</v>
      </c>
      <c r="L2024" s="2" t="s">
        <v>21069</v>
      </c>
      <c r="M2024" s="2" t="s">
        <v>21070</v>
      </c>
      <c r="N2024" s="3" t="s">
        <v>538</v>
      </c>
      <c r="P2024" s="3" t="s">
        <v>162</v>
      </c>
      <c r="Q2024" s="2" t="s">
        <v>21071</v>
      </c>
      <c r="R2024" s="3" t="s">
        <v>20939</v>
      </c>
      <c r="S2024" s="4">
        <v>4</v>
      </c>
      <c r="T2024" s="4">
        <v>4</v>
      </c>
      <c r="U2024" s="5" t="s">
        <v>5038</v>
      </c>
      <c r="V2024" s="5" t="s">
        <v>5038</v>
      </c>
      <c r="W2024" s="5" t="s">
        <v>72</v>
      </c>
      <c r="X2024" s="5" t="s">
        <v>72</v>
      </c>
      <c r="Y2024" s="4">
        <v>45</v>
      </c>
      <c r="Z2024" s="4">
        <v>5</v>
      </c>
      <c r="AA2024" s="4">
        <v>8</v>
      </c>
      <c r="AB2024" s="4">
        <v>1</v>
      </c>
      <c r="AC2024" s="4">
        <v>3</v>
      </c>
      <c r="AD2024" s="4">
        <v>25</v>
      </c>
      <c r="AE2024" s="4">
        <v>27</v>
      </c>
      <c r="AF2024" s="4">
        <v>0</v>
      </c>
      <c r="AG2024" s="4">
        <v>1</v>
      </c>
      <c r="AH2024" s="4">
        <v>24</v>
      </c>
      <c r="AI2024" s="4">
        <v>25</v>
      </c>
      <c r="AJ2024" s="4">
        <v>3</v>
      </c>
      <c r="AK2024" s="4">
        <v>5</v>
      </c>
      <c r="AL2024" s="4">
        <v>19</v>
      </c>
      <c r="AM2024" s="4">
        <v>19</v>
      </c>
      <c r="AN2024" s="4">
        <v>0</v>
      </c>
      <c r="AO2024" s="4">
        <v>0</v>
      </c>
      <c r="AP2024" s="4">
        <v>3</v>
      </c>
      <c r="AQ2024" s="4">
        <v>4</v>
      </c>
      <c r="AR2024" s="3" t="s">
        <v>64</v>
      </c>
      <c r="AS2024" s="3" t="s">
        <v>64</v>
      </c>
      <c r="AT2024" s="3" t="s">
        <v>64</v>
      </c>
      <c r="AV2024" s="6" t="str">
        <f>HYPERLINK("http://mcgill.on.worldcat.org/oclc/176929204","Catalog Record")</f>
        <v>Catalog Record</v>
      </c>
      <c r="AW2024" s="6" t="str">
        <f>HYPERLINK("http://www.worldcat.org/oclc/176929204","WorldCat Record")</f>
        <v>WorldCat Record</v>
      </c>
      <c r="AX2024" s="3" t="s">
        <v>21072</v>
      </c>
      <c r="AY2024" s="3" t="s">
        <v>21073</v>
      </c>
      <c r="AZ2024" s="3" t="s">
        <v>21074</v>
      </c>
      <c r="BA2024" s="3" t="s">
        <v>21074</v>
      </c>
      <c r="BB2024" s="3" t="s">
        <v>21075</v>
      </c>
      <c r="BC2024" s="3" t="s">
        <v>78</v>
      </c>
      <c r="BD2024" s="3" t="s">
        <v>414</v>
      </c>
      <c r="BE2024" s="3" t="s">
        <v>21076</v>
      </c>
      <c r="BF2024" s="3" t="s">
        <v>21075</v>
      </c>
      <c r="BG2024" s="3" t="s">
        <v>21077</v>
      </c>
    </row>
    <row r="2025" spans="1:59" ht="72.5" x14ac:dyDescent="0.35">
      <c r="A2025" s="2" t="s">
        <v>59</v>
      </c>
      <c r="B2025" s="2" t="s">
        <v>60</v>
      </c>
      <c r="C2025" s="2" t="s">
        <v>21078</v>
      </c>
      <c r="D2025" s="2" t="s">
        <v>21079</v>
      </c>
      <c r="E2025" s="2" t="s">
        <v>21080</v>
      </c>
      <c r="G2025" s="3" t="s">
        <v>64</v>
      </c>
      <c r="I2025" s="3" t="s">
        <v>64</v>
      </c>
      <c r="J2025" s="3" t="s">
        <v>64</v>
      </c>
      <c r="K2025" s="3" t="s">
        <v>65</v>
      </c>
      <c r="L2025" s="2" t="s">
        <v>1087</v>
      </c>
      <c r="M2025" s="2" t="s">
        <v>21081</v>
      </c>
      <c r="N2025" s="3" t="s">
        <v>1154</v>
      </c>
      <c r="P2025" s="3" t="s">
        <v>69</v>
      </c>
      <c r="R2025" s="3" t="s">
        <v>20939</v>
      </c>
      <c r="S2025" s="4">
        <v>55</v>
      </c>
      <c r="T2025" s="4">
        <v>55</v>
      </c>
      <c r="U2025" s="5" t="s">
        <v>21082</v>
      </c>
      <c r="V2025" s="5" t="s">
        <v>21082</v>
      </c>
      <c r="W2025" s="5" t="s">
        <v>72</v>
      </c>
      <c r="X2025" s="5" t="s">
        <v>72</v>
      </c>
      <c r="Y2025" s="4">
        <v>159</v>
      </c>
      <c r="Z2025" s="4">
        <v>8</v>
      </c>
      <c r="AA2025" s="4">
        <v>13</v>
      </c>
      <c r="AB2025" s="4">
        <v>2</v>
      </c>
      <c r="AC2025" s="4">
        <v>2</v>
      </c>
      <c r="AD2025" s="4">
        <v>47</v>
      </c>
      <c r="AE2025" s="4">
        <v>56</v>
      </c>
      <c r="AF2025" s="4">
        <v>0</v>
      </c>
      <c r="AG2025" s="4">
        <v>0</v>
      </c>
      <c r="AH2025" s="4">
        <v>43</v>
      </c>
      <c r="AI2025" s="4">
        <v>51</v>
      </c>
      <c r="AJ2025" s="4">
        <v>3</v>
      </c>
      <c r="AK2025" s="4">
        <v>8</v>
      </c>
      <c r="AL2025" s="4">
        <v>28</v>
      </c>
      <c r="AM2025" s="4">
        <v>29</v>
      </c>
      <c r="AN2025" s="4">
        <v>0</v>
      </c>
      <c r="AO2025" s="4">
        <v>3</v>
      </c>
      <c r="AP2025" s="4">
        <v>4</v>
      </c>
      <c r="AQ2025" s="4">
        <v>9</v>
      </c>
      <c r="AR2025" s="3" t="s">
        <v>64</v>
      </c>
      <c r="AS2025" s="3" t="s">
        <v>64</v>
      </c>
      <c r="AT2025" s="3" t="s">
        <v>64</v>
      </c>
      <c r="AV2025" s="6" t="str">
        <f>HYPERLINK("http://mcgill.on.worldcat.org/oclc/31042479","Catalog Record")</f>
        <v>Catalog Record</v>
      </c>
      <c r="AW2025" s="6" t="str">
        <f>HYPERLINK("http://www.worldcat.org/oclc/31042479","WorldCat Record")</f>
        <v>WorldCat Record</v>
      </c>
      <c r="AX2025" s="3" t="s">
        <v>21083</v>
      </c>
      <c r="AY2025" s="3" t="s">
        <v>21084</v>
      </c>
      <c r="AZ2025" s="3" t="s">
        <v>21085</v>
      </c>
      <c r="BA2025" s="3" t="s">
        <v>21085</v>
      </c>
      <c r="BB2025" s="3" t="s">
        <v>21086</v>
      </c>
      <c r="BC2025" s="3" t="s">
        <v>78</v>
      </c>
      <c r="BD2025" s="3" t="s">
        <v>79</v>
      </c>
      <c r="BE2025" s="3" t="s">
        <v>21087</v>
      </c>
      <c r="BF2025" s="3" t="s">
        <v>21086</v>
      </c>
      <c r="BG2025" s="3" t="s">
        <v>21088</v>
      </c>
    </row>
    <row r="2026" spans="1:59" ht="58" x14ac:dyDescent="0.35">
      <c r="A2026" s="2" t="s">
        <v>59</v>
      </c>
      <c r="B2026" s="2" t="s">
        <v>94</v>
      </c>
      <c r="C2026" s="2" t="s">
        <v>21089</v>
      </c>
      <c r="D2026" s="2" t="s">
        <v>21090</v>
      </c>
      <c r="E2026" s="2" t="s">
        <v>21091</v>
      </c>
      <c r="G2026" s="3" t="s">
        <v>64</v>
      </c>
      <c r="I2026" s="3" t="s">
        <v>64</v>
      </c>
      <c r="J2026" s="3" t="s">
        <v>64</v>
      </c>
      <c r="K2026" s="3" t="s">
        <v>65</v>
      </c>
      <c r="L2026" s="2" t="s">
        <v>21092</v>
      </c>
      <c r="M2026" s="2" t="s">
        <v>21093</v>
      </c>
      <c r="N2026" s="3" t="s">
        <v>499</v>
      </c>
      <c r="P2026" s="3" t="s">
        <v>69</v>
      </c>
      <c r="Q2026" s="2" t="s">
        <v>21094</v>
      </c>
      <c r="R2026" s="3" t="s">
        <v>20939</v>
      </c>
      <c r="S2026" s="4">
        <v>5</v>
      </c>
      <c r="T2026" s="4">
        <v>5</v>
      </c>
      <c r="U2026" s="5" t="s">
        <v>21095</v>
      </c>
      <c r="V2026" s="5" t="s">
        <v>21095</v>
      </c>
      <c r="W2026" s="5" t="s">
        <v>72</v>
      </c>
      <c r="X2026" s="5" t="s">
        <v>72</v>
      </c>
      <c r="Y2026" s="4">
        <v>340</v>
      </c>
      <c r="Z2026" s="4">
        <v>13</v>
      </c>
      <c r="AA2026" s="4">
        <v>14</v>
      </c>
      <c r="AB2026" s="4">
        <v>1</v>
      </c>
      <c r="AC2026" s="4">
        <v>2</v>
      </c>
      <c r="AD2026" s="4">
        <v>65</v>
      </c>
      <c r="AE2026" s="4">
        <v>67</v>
      </c>
      <c r="AF2026" s="4">
        <v>0</v>
      </c>
      <c r="AG2026" s="4">
        <v>0</v>
      </c>
      <c r="AH2026" s="4">
        <v>59</v>
      </c>
      <c r="AI2026" s="4">
        <v>61</v>
      </c>
      <c r="AJ2026" s="4">
        <v>3</v>
      </c>
      <c r="AK2026" s="4">
        <v>3</v>
      </c>
      <c r="AL2026" s="4">
        <v>34</v>
      </c>
      <c r="AM2026" s="4">
        <v>36</v>
      </c>
      <c r="AN2026" s="4">
        <v>0</v>
      </c>
      <c r="AO2026" s="4">
        <v>0</v>
      </c>
      <c r="AP2026" s="4">
        <v>6</v>
      </c>
      <c r="AQ2026" s="4">
        <v>6</v>
      </c>
      <c r="AR2026" s="3" t="s">
        <v>64</v>
      </c>
      <c r="AS2026" s="3" t="s">
        <v>64</v>
      </c>
      <c r="AT2026" s="3" t="s">
        <v>64</v>
      </c>
      <c r="AV2026" s="6" t="str">
        <f>HYPERLINK("http://mcgill.on.worldcat.org/oclc/57186498","Catalog Record")</f>
        <v>Catalog Record</v>
      </c>
      <c r="AW2026" s="6" t="str">
        <f>HYPERLINK("http://www.worldcat.org/oclc/57186498","WorldCat Record")</f>
        <v>WorldCat Record</v>
      </c>
      <c r="AX2026" s="3" t="s">
        <v>21096</v>
      </c>
      <c r="AY2026" s="3" t="s">
        <v>21097</v>
      </c>
      <c r="AZ2026" s="3" t="s">
        <v>21098</v>
      </c>
      <c r="BA2026" s="3" t="s">
        <v>21098</v>
      </c>
      <c r="BB2026" s="3" t="s">
        <v>21099</v>
      </c>
      <c r="BC2026" s="3" t="s">
        <v>78</v>
      </c>
      <c r="BD2026" s="3" t="s">
        <v>79</v>
      </c>
      <c r="BE2026" s="3" t="s">
        <v>21100</v>
      </c>
      <c r="BF2026" s="3" t="s">
        <v>21099</v>
      </c>
      <c r="BG2026" s="3" t="s">
        <v>21101</v>
      </c>
    </row>
    <row r="2027" spans="1:59" ht="58" x14ac:dyDescent="0.35">
      <c r="A2027" s="2" t="s">
        <v>59</v>
      </c>
      <c r="B2027" s="2" t="s">
        <v>94</v>
      </c>
      <c r="C2027" s="2" t="s">
        <v>21102</v>
      </c>
      <c r="D2027" s="2" t="s">
        <v>21103</v>
      </c>
      <c r="E2027" s="2" t="s">
        <v>21104</v>
      </c>
      <c r="G2027" s="3" t="s">
        <v>64</v>
      </c>
      <c r="I2027" s="3" t="s">
        <v>64</v>
      </c>
      <c r="J2027" s="3" t="s">
        <v>64</v>
      </c>
      <c r="K2027" s="3" t="s">
        <v>65</v>
      </c>
      <c r="L2027" s="2" t="s">
        <v>21105</v>
      </c>
      <c r="M2027" s="2" t="s">
        <v>21106</v>
      </c>
      <c r="N2027" s="3" t="s">
        <v>390</v>
      </c>
      <c r="P2027" s="3" t="s">
        <v>69</v>
      </c>
      <c r="R2027" s="3" t="s">
        <v>20939</v>
      </c>
      <c r="S2027" s="4">
        <v>19</v>
      </c>
      <c r="T2027" s="4">
        <v>19</v>
      </c>
      <c r="U2027" s="5" t="s">
        <v>137</v>
      </c>
      <c r="V2027" s="5" t="s">
        <v>137</v>
      </c>
      <c r="W2027" s="5" t="s">
        <v>72</v>
      </c>
      <c r="X2027" s="5" t="s">
        <v>72</v>
      </c>
      <c r="Y2027" s="4">
        <v>28</v>
      </c>
      <c r="Z2027" s="4">
        <v>9</v>
      </c>
      <c r="AA2027" s="4">
        <v>29</v>
      </c>
      <c r="AB2027" s="4">
        <v>3</v>
      </c>
      <c r="AC2027" s="4">
        <v>6</v>
      </c>
      <c r="AD2027" s="4">
        <v>9</v>
      </c>
      <c r="AE2027" s="4">
        <v>102</v>
      </c>
      <c r="AF2027" s="4">
        <v>1</v>
      </c>
      <c r="AG2027" s="4">
        <v>2</v>
      </c>
      <c r="AH2027" s="4">
        <v>6</v>
      </c>
      <c r="AI2027" s="4">
        <v>88</v>
      </c>
      <c r="AJ2027" s="4">
        <v>4</v>
      </c>
      <c r="AK2027" s="4">
        <v>16</v>
      </c>
      <c r="AL2027" s="4">
        <v>3</v>
      </c>
      <c r="AM2027" s="4">
        <v>51</v>
      </c>
      <c r="AN2027" s="4">
        <v>0</v>
      </c>
      <c r="AO2027" s="4">
        <v>4</v>
      </c>
      <c r="AP2027" s="4">
        <v>6</v>
      </c>
      <c r="AQ2027" s="4">
        <v>23</v>
      </c>
      <c r="AR2027" s="3" t="s">
        <v>64</v>
      </c>
      <c r="AS2027" s="3" t="s">
        <v>64</v>
      </c>
      <c r="AT2027" s="3" t="s">
        <v>73</v>
      </c>
      <c r="AU2027" s="6" t="str">
        <f>HYPERLINK("http://catalog.hathitrust.org/Record/000126978","HathiTrust Record")</f>
        <v>HathiTrust Record</v>
      </c>
      <c r="AV2027" s="6" t="str">
        <f>HYPERLINK("http://mcgill.on.worldcat.org/oclc/237439448","Catalog Record")</f>
        <v>Catalog Record</v>
      </c>
      <c r="AW2027" s="6" t="str">
        <f>HYPERLINK("http://www.worldcat.org/oclc/237439448","WorldCat Record")</f>
        <v>WorldCat Record</v>
      </c>
      <c r="AX2027" s="3" t="s">
        <v>21107</v>
      </c>
      <c r="AY2027" s="3" t="s">
        <v>21108</v>
      </c>
      <c r="AZ2027" s="3" t="s">
        <v>21109</v>
      </c>
      <c r="BA2027" s="3" t="s">
        <v>21109</v>
      </c>
      <c r="BB2027" s="3" t="s">
        <v>21110</v>
      </c>
      <c r="BC2027" s="3" t="s">
        <v>78</v>
      </c>
      <c r="BD2027" s="3" t="s">
        <v>79</v>
      </c>
      <c r="BE2027" s="3" t="s">
        <v>21111</v>
      </c>
      <c r="BF2027" s="3" t="s">
        <v>21110</v>
      </c>
      <c r="BG2027" s="3" t="s">
        <v>21112</v>
      </c>
    </row>
    <row r="2028" spans="1:59" ht="72.5" x14ac:dyDescent="0.35">
      <c r="A2028" s="2" t="s">
        <v>59</v>
      </c>
      <c r="B2028" s="2" t="s">
        <v>60</v>
      </c>
      <c r="C2028" s="2" t="s">
        <v>21113</v>
      </c>
      <c r="D2028" s="2" t="s">
        <v>21114</v>
      </c>
      <c r="E2028" s="2" t="s">
        <v>21115</v>
      </c>
      <c r="G2028" s="3" t="s">
        <v>64</v>
      </c>
      <c r="I2028" s="3" t="s">
        <v>64</v>
      </c>
      <c r="J2028" s="3" t="s">
        <v>64</v>
      </c>
      <c r="K2028" s="3" t="s">
        <v>65</v>
      </c>
      <c r="L2028" s="2" t="s">
        <v>4011</v>
      </c>
      <c r="M2028" s="2" t="s">
        <v>21116</v>
      </c>
      <c r="N2028" s="3" t="s">
        <v>264</v>
      </c>
      <c r="P2028" s="3" t="s">
        <v>69</v>
      </c>
      <c r="Q2028" s="2" t="s">
        <v>21117</v>
      </c>
      <c r="R2028" s="3" t="s">
        <v>20939</v>
      </c>
      <c r="S2028" s="4">
        <v>45</v>
      </c>
      <c r="T2028" s="4">
        <v>45</v>
      </c>
      <c r="U2028" s="5" t="s">
        <v>10562</v>
      </c>
      <c r="V2028" s="5" t="s">
        <v>10562</v>
      </c>
      <c r="W2028" s="5" t="s">
        <v>72</v>
      </c>
      <c r="X2028" s="5" t="s">
        <v>72</v>
      </c>
      <c r="Y2028" s="4">
        <v>364</v>
      </c>
      <c r="Z2028" s="4">
        <v>24</v>
      </c>
      <c r="AA2028" s="4">
        <v>26</v>
      </c>
      <c r="AB2028" s="4">
        <v>4</v>
      </c>
      <c r="AC2028" s="4">
        <v>6</v>
      </c>
      <c r="AD2028" s="4">
        <v>96</v>
      </c>
      <c r="AE2028" s="4">
        <v>98</v>
      </c>
      <c r="AF2028" s="4">
        <v>2</v>
      </c>
      <c r="AG2028" s="4">
        <v>4</v>
      </c>
      <c r="AH2028" s="4">
        <v>85</v>
      </c>
      <c r="AI2028" s="4">
        <v>86</v>
      </c>
      <c r="AJ2028" s="4">
        <v>17</v>
      </c>
      <c r="AK2028" s="4">
        <v>19</v>
      </c>
      <c r="AL2028" s="4">
        <v>48</v>
      </c>
      <c r="AM2028" s="4">
        <v>48</v>
      </c>
      <c r="AN2028" s="4">
        <v>0</v>
      </c>
      <c r="AO2028" s="4">
        <v>0</v>
      </c>
      <c r="AP2028" s="4">
        <v>18</v>
      </c>
      <c r="AQ2028" s="4">
        <v>19</v>
      </c>
      <c r="AR2028" s="3" t="s">
        <v>64</v>
      </c>
      <c r="AS2028" s="3" t="s">
        <v>64</v>
      </c>
      <c r="AT2028" s="3" t="s">
        <v>64</v>
      </c>
      <c r="AV2028" s="6" t="str">
        <f>HYPERLINK("http://mcgill.on.worldcat.org/oclc/3763255","Catalog Record")</f>
        <v>Catalog Record</v>
      </c>
      <c r="AW2028" s="6" t="str">
        <f>HYPERLINK("http://www.worldcat.org/oclc/3763255","WorldCat Record")</f>
        <v>WorldCat Record</v>
      </c>
      <c r="AX2028" s="3" t="s">
        <v>21118</v>
      </c>
      <c r="AY2028" s="3" t="s">
        <v>21119</v>
      </c>
      <c r="AZ2028" s="3" t="s">
        <v>21120</v>
      </c>
      <c r="BA2028" s="3" t="s">
        <v>21120</v>
      </c>
      <c r="BB2028" s="3" t="s">
        <v>21121</v>
      </c>
      <c r="BC2028" s="3" t="s">
        <v>78</v>
      </c>
      <c r="BD2028" s="3" t="s">
        <v>414</v>
      </c>
      <c r="BE2028" s="3" t="s">
        <v>21122</v>
      </c>
      <c r="BF2028" s="3" t="s">
        <v>21121</v>
      </c>
      <c r="BG2028" s="3" t="s">
        <v>21123</v>
      </c>
    </row>
    <row r="2029" spans="1:59" ht="72.5" x14ac:dyDescent="0.35">
      <c r="A2029" s="2" t="s">
        <v>59</v>
      </c>
      <c r="B2029" s="2" t="s">
        <v>60</v>
      </c>
      <c r="C2029" s="2" t="s">
        <v>21124</v>
      </c>
      <c r="D2029" s="2" t="s">
        <v>21125</v>
      </c>
      <c r="E2029" s="2" t="s">
        <v>21126</v>
      </c>
      <c r="G2029" s="3" t="s">
        <v>64</v>
      </c>
      <c r="I2029" s="3" t="s">
        <v>64</v>
      </c>
      <c r="J2029" s="3" t="s">
        <v>64</v>
      </c>
      <c r="K2029" s="3" t="s">
        <v>65</v>
      </c>
      <c r="L2029" s="2" t="s">
        <v>21127</v>
      </c>
      <c r="M2029" s="2" t="s">
        <v>21128</v>
      </c>
      <c r="N2029" s="3" t="s">
        <v>407</v>
      </c>
      <c r="P2029" s="3" t="s">
        <v>69</v>
      </c>
      <c r="R2029" s="3" t="s">
        <v>20939</v>
      </c>
      <c r="S2029" s="4">
        <v>21</v>
      </c>
      <c r="T2029" s="4">
        <v>21</v>
      </c>
      <c r="U2029" s="5" t="s">
        <v>9217</v>
      </c>
      <c r="V2029" s="5" t="s">
        <v>9217</v>
      </c>
      <c r="W2029" s="5" t="s">
        <v>72</v>
      </c>
      <c r="X2029" s="5" t="s">
        <v>72</v>
      </c>
      <c r="Y2029" s="4">
        <v>459</v>
      </c>
      <c r="Z2029" s="4">
        <v>25</v>
      </c>
      <c r="AA2029" s="4">
        <v>26</v>
      </c>
      <c r="AB2029" s="4">
        <v>3</v>
      </c>
      <c r="AC2029" s="4">
        <v>4</v>
      </c>
      <c r="AD2029" s="4">
        <v>109</v>
      </c>
      <c r="AE2029" s="4">
        <v>112</v>
      </c>
      <c r="AF2029" s="4">
        <v>0</v>
      </c>
      <c r="AG2029" s="4">
        <v>1</v>
      </c>
      <c r="AH2029" s="4">
        <v>98</v>
      </c>
      <c r="AI2029" s="4">
        <v>100</v>
      </c>
      <c r="AJ2029" s="4">
        <v>16</v>
      </c>
      <c r="AK2029" s="4">
        <v>17</v>
      </c>
      <c r="AL2029" s="4">
        <v>55</v>
      </c>
      <c r="AM2029" s="4">
        <v>55</v>
      </c>
      <c r="AN2029" s="4">
        <v>0</v>
      </c>
      <c r="AO2029" s="4">
        <v>0</v>
      </c>
      <c r="AP2029" s="4">
        <v>17</v>
      </c>
      <c r="AQ2029" s="4">
        <v>18</v>
      </c>
      <c r="AR2029" s="3" t="s">
        <v>64</v>
      </c>
      <c r="AS2029" s="3" t="s">
        <v>64</v>
      </c>
      <c r="AT2029" s="3" t="s">
        <v>64</v>
      </c>
      <c r="AV2029" s="6" t="str">
        <f>HYPERLINK("http://mcgill.on.worldcat.org/oclc/12809001","Catalog Record")</f>
        <v>Catalog Record</v>
      </c>
      <c r="AW2029" s="6" t="str">
        <f>HYPERLINK("http://www.worldcat.org/oclc/12809001","WorldCat Record")</f>
        <v>WorldCat Record</v>
      </c>
      <c r="AX2029" s="3" t="s">
        <v>21129</v>
      </c>
      <c r="AY2029" s="3" t="s">
        <v>21130</v>
      </c>
      <c r="AZ2029" s="3" t="s">
        <v>21131</v>
      </c>
      <c r="BA2029" s="3" t="s">
        <v>21131</v>
      </c>
      <c r="BB2029" s="3" t="s">
        <v>21132</v>
      </c>
      <c r="BC2029" s="3" t="s">
        <v>78</v>
      </c>
      <c r="BD2029" s="3" t="s">
        <v>79</v>
      </c>
      <c r="BE2029" s="3" t="s">
        <v>21133</v>
      </c>
      <c r="BF2029" s="3" t="s">
        <v>21132</v>
      </c>
      <c r="BG2029" s="3" t="s">
        <v>21134</v>
      </c>
    </row>
    <row r="2030" spans="1:59" ht="116" x14ac:dyDescent="0.35">
      <c r="A2030" s="2" t="s">
        <v>59</v>
      </c>
      <c r="B2030" s="2" t="s">
        <v>3778</v>
      </c>
      <c r="C2030" s="2" t="s">
        <v>21135</v>
      </c>
      <c r="D2030" s="2" t="s">
        <v>21136</v>
      </c>
      <c r="E2030" s="2" t="s">
        <v>21137</v>
      </c>
      <c r="G2030" s="3" t="s">
        <v>64</v>
      </c>
      <c r="I2030" s="3" t="s">
        <v>64</v>
      </c>
      <c r="J2030" s="3" t="s">
        <v>64</v>
      </c>
      <c r="K2030" s="3" t="s">
        <v>65</v>
      </c>
      <c r="L2030" s="2" t="s">
        <v>21138</v>
      </c>
      <c r="M2030" s="2" t="s">
        <v>21139</v>
      </c>
      <c r="N2030" s="3" t="s">
        <v>87</v>
      </c>
      <c r="O2030" s="2" t="s">
        <v>3783</v>
      </c>
      <c r="P2030" s="3" t="s">
        <v>3784</v>
      </c>
      <c r="Q2030" s="2" t="s">
        <v>21140</v>
      </c>
      <c r="R2030" s="3" t="s">
        <v>20939</v>
      </c>
      <c r="S2030" s="4">
        <v>0</v>
      </c>
      <c r="T2030" s="4">
        <v>0</v>
      </c>
      <c r="W2030" s="5" t="s">
        <v>72</v>
      </c>
      <c r="X2030" s="5" t="s">
        <v>72</v>
      </c>
      <c r="Y2030" s="4">
        <v>8</v>
      </c>
      <c r="Z2030" s="4">
        <v>1</v>
      </c>
      <c r="AA2030" s="4">
        <v>1</v>
      </c>
      <c r="AB2030" s="4">
        <v>1</v>
      </c>
      <c r="AC2030" s="4">
        <v>1</v>
      </c>
      <c r="AD2030" s="4">
        <v>1</v>
      </c>
      <c r="AE2030" s="4">
        <v>1</v>
      </c>
      <c r="AF2030" s="4">
        <v>0</v>
      </c>
      <c r="AG2030" s="4">
        <v>0</v>
      </c>
      <c r="AH2030" s="4">
        <v>1</v>
      </c>
      <c r="AI2030" s="4">
        <v>1</v>
      </c>
      <c r="AJ2030" s="4">
        <v>0</v>
      </c>
      <c r="AK2030" s="4">
        <v>0</v>
      </c>
      <c r="AL2030" s="4">
        <v>0</v>
      </c>
      <c r="AM2030" s="4">
        <v>0</v>
      </c>
      <c r="AN2030" s="4">
        <v>0</v>
      </c>
      <c r="AO2030" s="4">
        <v>0</v>
      </c>
      <c r="AP2030" s="4">
        <v>0</v>
      </c>
      <c r="AQ2030" s="4">
        <v>0</v>
      </c>
      <c r="AR2030" s="3" t="s">
        <v>64</v>
      </c>
      <c r="AS2030" s="3" t="s">
        <v>64</v>
      </c>
      <c r="AT2030" s="3" t="s">
        <v>64</v>
      </c>
      <c r="AV2030" s="6" t="str">
        <f>HYPERLINK("http://mcgill.on.worldcat.org/oclc/921829998","Catalog Record")</f>
        <v>Catalog Record</v>
      </c>
      <c r="AW2030" s="6" t="str">
        <f>HYPERLINK("http://www.worldcat.org/oclc/921829998","WorldCat Record")</f>
        <v>WorldCat Record</v>
      </c>
      <c r="AX2030" s="3" t="s">
        <v>21141</v>
      </c>
      <c r="AY2030" s="3" t="s">
        <v>21142</v>
      </c>
      <c r="AZ2030" s="3" t="s">
        <v>21143</v>
      </c>
      <c r="BA2030" s="3" t="s">
        <v>21143</v>
      </c>
      <c r="BB2030" s="3" t="s">
        <v>21144</v>
      </c>
      <c r="BC2030" s="3" t="s">
        <v>78</v>
      </c>
      <c r="BD2030" s="3" t="s">
        <v>79</v>
      </c>
      <c r="BE2030" s="3" t="s">
        <v>21145</v>
      </c>
      <c r="BF2030" s="3" t="s">
        <v>21144</v>
      </c>
      <c r="BG2030" s="3" t="s">
        <v>21146</v>
      </c>
    </row>
    <row r="2031" spans="1:59" ht="116" x14ac:dyDescent="0.35">
      <c r="A2031" s="2" t="s">
        <v>59</v>
      </c>
      <c r="B2031" s="2" t="s">
        <v>3778</v>
      </c>
      <c r="C2031" s="2" t="s">
        <v>21147</v>
      </c>
      <c r="D2031" s="2" t="s">
        <v>21148</v>
      </c>
      <c r="E2031" s="2" t="s">
        <v>21149</v>
      </c>
      <c r="G2031" s="3" t="s">
        <v>64</v>
      </c>
      <c r="I2031" s="3" t="s">
        <v>64</v>
      </c>
      <c r="J2031" s="3" t="s">
        <v>64</v>
      </c>
      <c r="K2031" s="3" t="s">
        <v>65</v>
      </c>
      <c r="M2031" s="2" t="s">
        <v>21150</v>
      </c>
      <c r="N2031" s="3" t="s">
        <v>175</v>
      </c>
      <c r="O2031" s="2" t="s">
        <v>21151</v>
      </c>
      <c r="P2031" s="3" t="s">
        <v>21152</v>
      </c>
      <c r="Q2031" s="2" t="s">
        <v>21153</v>
      </c>
      <c r="R2031" s="3" t="s">
        <v>20939</v>
      </c>
      <c r="S2031" s="4">
        <v>0</v>
      </c>
      <c r="T2031" s="4">
        <v>0</v>
      </c>
      <c r="W2031" s="5" t="s">
        <v>72</v>
      </c>
      <c r="X2031" s="5" t="s">
        <v>72</v>
      </c>
      <c r="Y2031" s="4">
        <v>64</v>
      </c>
      <c r="Z2031" s="4">
        <v>5</v>
      </c>
      <c r="AA2031" s="4">
        <v>5</v>
      </c>
      <c r="AB2031" s="4">
        <v>1</v>
      </c>
      <c r="AC2031" s="4">
        <v>1</v>
      </c>
      <c r="AD2031" s="4">
        <v>34</v>
      </c>
      <c r="AE2031" s="4">
        <v>34</v>
      </c>
      <c r="AF2031" s="4">
        <v>0</v>
      </c>
      <c r="AG2031" s="4">
        <v>0</v>
      </c>
      <c r="AH2031" s="4">
        <v>32</v>
      </c>
      <c r="AI2031" s="4">
        <v>32</v>
      </c>
      <c r="AJ2031" s="4">
        <v>2</v>
      </c>
      <c r="AK2031" s="4">
        <v>2</v>
      </c>
      <c r="AL2031" s="4">
        <v>30</v>
      </c>
      <c r="AM2031" s="4">
        <v>30</v>
      </c>
      <c r="AN2031" s="4">
        <v>0</v>
      </c>
      <c r="AO2031" s="4">
        <v>0</v>
      </c>
      <c r="AP2031" s="4">
        <v>2</v>
      </c>
      <c r="AQ2031" s="4">
        <v>2</v>
      </c>
      <c r="AR2031" s="3" t="s">
        <v>64</v>
      </c>
      <c r="AS2031" s="3" t="s">
        <v>64</v>
      </c>
      <c r="AT2031" s="3" t="s">
        <v>64</v>
      </c>
      <c r="AV2031" s="6" t="str">
        <f>HYPERLINK("http://mcgill.on.worldcat.org/oclc/905335843","Catalog Record")</f>
        <v>Catalog Record</v>
      </c>
      <c r="AW2031" s="6" t="str">
        <f>HYPERLINK("http://www.worldcat.org/oclc/905335843","WorldCat Record")</f>
        <v>WorldCat Record</v>
      </c>
      <c r="AX2031" s="3" t="s">
        <v>21154</v>
      </c>
      <c r="AY2031" s="3" t="s">
        <v>21155</v>
      </c>
      <c r="AZ2031" s="3" t="s">
        <v>21156</v>
      </c>
      <c r="BA2031" s="3" t="s">
        <v>21156</v>
      </c>
      <c r="BB2031" s="3" t="s">
        <v>21157</v>
      </c>
      <c r="BC2031" s="3" t="s">
        <v>78</v>
      </c>
      <c r="BD2031" s="3" t="s">
        <v>79</v>
      </c>
      <c r="BE2031" s="3" t="s">
        <v>21158</v>
      </c>
      <c r="BF2031" s="3" t="s">
        <v>21157</v>
      </c>
      <c r="BG2031" s="3" t="s">
        <v>21159</v>
      </c>
    </row>
    <row r="2032" spans="1:59" ht="116" x14ac:dyDescent="0.35">
      <c r="A2032" s="2" t="s">
        <v>59</v>
      </c>
      <c r="B2032" s="2" t="s">
        <v>3778</v>
      </c>
      <c r="C2032" s="2" t="s">
        <v>21160</v>
      </c>
      <c r="D2032" s="2" t="s">
        <v>21161</v>
      </c>
      <c r="E2032" s="2" t="s">
        <v>21162</v>
      </c>
      <c r="G2032" s="3" t="s">
        <v>64</v>
      </c>
      <c r="I2032" s="3" t="s">
        <v>64</v>
      </c>
      <c r="J2032" s="3" t="s">
        <v>64</v>
      </c>
      <c r="K2032" s="3" t="s">
        <v>65</v>
      </c>
      <c r="L2032" s="2" t="s">
        <v>21163</v>
      </c>
      <c r="M2032" s="2" t="s">
        <v>21164</v>
      </c>
      <c r="N2032" s="3" t="s">
        <v>1645</v>
      </c>
      <c r="O2032" s="2" t="s">
        <v>21151</v>
      </c>
      <c r="P2032" s="3" t="s">
        <v>21152</v>
      </c>
      <c r="R2032" s="3" t="s">
        <v>20939</v>
      </c>
      <c r="S2032" s="4">
        <v>0</v>
      </c>
      <c r="T2032" s="4">
        <v>0</v>
      </c>
      <c r="W2032" s="5" t="s">
        <v>72</v>
      </c>
      <c r="X2032" s="5" t="s">
        <v>72</v>
      </c>
      <c r="Y2032" s="4">
        <v>48</v>
      </c>
      <c r="Z2032" s="4">
        <v>3</v>
      </c>
      <c r="AA2032" s="4">
        <v>3</v>
      </c>
      <c r="AB2032" s="4">
        <v>1</v>
      </c>
      <c r="AC2032" s="4">
        <v>1</v>
      </c>
      <c r="AD2032" s="4">
        <v>33</v>
      </c>
      <c r="AE2032" s="4">
        <v>33</v>
      </c>
      <c r="AF2032" s="4">
        <v>0</v>
      </c>
      <c r="AG2032" s="4">
        <v>0</v>
      </c>
      <c r="AH2032" s="4">
        <v>31</v>
      </c>
      <c r="AI2032" s="4">
        <v>31</v>
      </c>
      <c r="AJ2032" s="4">
        <v>2</v>
      </c>
      <c r="AK2032" s="4">
        <v>2</v>
      </c>
      <c r="AL2032" s="4">
        <v>27</v>
      </c>
      <c r="AM2032" s="4">
        <v>27</v>
      </c>
      <c r="AN2032" s="4">
        <v>0</v>
      </c>
      <c r="AO2032" s="4">
        <v>0</v>
      </c>
      <c r="AP2032" s="4">
        <v>2</v>
      </c>
      <c r="AQ2032" s="4">
        <v>2</v>
      </c>
      <c r="AR2032" s="3" t="s">
        <v>64</v>
      </c>
      <c r="AS2032" s="3" t="s">
        <v>64</v>
      </c>
      <c r="AT2032" s="3" t="s">
        <v>64</v>
      </c>
      <c r="AV2032" s="6" t="str">
        <f>HYPERLINK("http://mcgill.on.worldcat.org/oclc/1017661006","Catalog Record")</f>
        <v>Catalog Record</v>
      </c>
      <c r="AW2032" s="6" t="str">
        <f>HYPERLINK("http://www.worldcat.org/oclc/1017661006","WorldCat Record")</f>
        <v>WorldCat Record</v>
      </c>
      <c r="AX2032" s="3" t="s">
        <v>21165</v>
      </c>
      <c r="AY2032" s="3" t="s">
        <v>21166</v>
      </c>
      <c r="AZ2032" s="3" t="s">
        <v>21167</v>
      </c>
      <c r="BA2032" s="3" t="s">
        <v>21167</v>
      </c>
      <c r="BB2032" s="3" t="s">
        <v>21168</v>
      </c>
      <c r="BC2032" s="3" t="s">
        <v>78</v>
      </c>
      <c r="BD2032" s="3" t="s">
        <v>79</v>
      </c>
      <c r="BE2032" s="3" t="s">
        <v>21169</v>
      </c>
      <c r="BF2032" s="3" t="s">
        <v>21168</v>
      </c>
      <c r="BG2032" s="3" t="s">
        <v>21170</v>
      </c>
    </row>
    <row r="2033" spans="1:59" ht="72.5" x14ac:dyDescent="0.35">
      <c r="A2033" s="2" t="s">
        <v>59</v>
      </c>
      <c r="B2033" s="2" t="s">
        <v>60</v>
      </c>
      <c r="C2033" s="2" t="s">
        <v>21171</v>
      </c>
      <c r="D2033" s="2" t="s">
        <v>21172</v>
      </c>
      <c r="E2033" s="2" t="s">
        <v>21173</v>
      </c>
      <c r="G2033" s="3" t="s">
        <v>64</v>
      </c>
      <c r="I2033" s="3" t="s">
        <v>64</v>
      </c>
      <c r="J2033" s="3" t="s">
        <v>64</v>
      </c>
      <c r="K2033" s="3" t="s">
        <v>65</v>
      </c>
      <c r="L2033" s="2" t="s">
        <v>21174</v>
      </c>
      <c r="M2033" s="2" t="s">
        <v>21175</v>
      </c>
      <c r="N2033" s="3" t="s">
        <v>136</v>
      </c>
      <c r="P2033" s="3" t="s">
        <v>69</v>
      </c>
      <c r="R2033" s="3" t="s">
        <v>20939</v>
      </c>
      <c r="S2033" s="4">
        <v>4</v>
      </c>
      <c r="T2033" s="4">
        <v>4</v>
      </c>
      <c r="U2033" s="5" t="s">
        <v>8724</v>
      </c>
      <c r="V2033" s="5" t="s">
        <v>8724</v>
      </c>
      <c r="W2033" s="5" t="s">
        <v>72</v>
      </c>
      <c r="X2033" s="5" t="s">
        <v>72</v>
      </c>
      <c r="Y2033" s="4">
        <v>48</v>
      </c>
      <c r="Z2033" s="4">
        <v>6</v>
      </c>
      <c r="AA2033" s="4">
        <v>6</v>
      </c>
      <c r="AB2033" s="4">
        <v>3</v>
      </c>
      <c r="AC2033" s="4">
        <v>3</v>
      </c>
      <c r="AD2033" s="4">
        <v>29</v>
      </c>
      <c r="AE2033" s="4">
        <v>29</v>
      </c>
      <c r="AF2033" s="4">
        <v>0</v>
      </c>
      <c r="AG2033" s="4">
        <v>0</v>
      </c>
      <c r="AH2033" s="4">
        <v>28</v>
      </c>
      <c r="AI2033" s="4">
        <v>28</v>
      </c>
      <c r="AJ2033" s="4">
        <v>2</v>
      </c>
      <c r="AK2033" s="4">
        <v>2</v>
      </c>
      <c r="AL2033" s="4">
        <v>21</v>
      </c>
      <c r="AM2033" s="4">
        <v>21</v>
      </c>
      <c r="AN2033" s="4">
        <v>0</v>
      </c>
      <c r="AO2033" s="4">
        <v>0</v>
      </c>
      <c r="AP2033" s="4">
        <v>2</v>
      </c>
      <c r="AQ2033" s="4">
        <v>2</v>
      </c>
      <c r="AR2033" s="3" t="s">
        <v>64</v>
      </c>
      <c r="AS2033" s="3" t="s">
        <v>64</v>
      </c>
      <c r="AT2033" s="3" t="s">
        <v>64</v>
      </c>
      <c r="AV2033" s="6" t="str">
        <f>HYPERLINK("http://mcgill.on.worldcat.org/oclc/43852554","Catalog Record")</f>
        <v>Catalog Record</v>
      </c>
      <c r="AW2033" s="6" t="str">
        <f>HYPERLINK("http://www.worldcat.org/oclc/43852554","WorldCat Record")</f>
        <v>WorldCat Record</v>
      </c>
      <c r="AX2033" s="3" t="s">
        <v>21176</v>
      </c>
      <c r="AY2033" s="3" t="s">
        <v>21177</v>
      </c>
      <c r="AZ2033" s="3" t="s">
        <v>21178</v>
      </c>
      <c r="BA2033" s="3" t="s">
        <v>21178</v>
      </c>
      <c r="BB2033" s="3" t="s">
        <v>21179</v>
      </c>
      <c r="BC2033" s="3" t="s">
        <v>78</v>
      </c>
      <c r="BD2033" s="3" t="s">
        <v>414</v>
      </c>
      <c r="BE2033" s="3" t="s">
        <v>21180</v>
      </c>
      <c r="BF2033" s="3" t="s">
        <v>21179</v>
      </c>
      <c r="BG2033" s="3" t="s">
        <v>21181</v>
      </c>
    </row>
    <row r="2034" spans="1:59" ht="58" x14ac:dyDescent="0.35">
      <c r="A2034" s="2" t="s">
        <v>59</v>
      </c>
      <c r="B2034" s="2" t="s">
        <v>94</v>
      </c>
      <c r="C2034" s="2" t="s">
        <v>21182</v>
      </c>
      <c r="D2034" s="2" t="s">
        <v>21183</v>
      </c>
      <c r="E2034" s="2" t="s">
        <v>21184</v>
      </c>
      <c r="G2034" s="3" t="s">
        <v>64</v>
      </c>
      <c r="I2034" s="3" t="s">
        <v>64</v>
      </c>
      <c r="J2034" s="3" t="s">
        <v>64</v>
      </c>
      <c r="K2034" s="3" t="s">
        <v>65</v>
      </c>
      <c r="L2034" s="2" t="s">
        <v>21185</v>
      </c>
      <c r="M2034" s="2" t="s">
        <v>21186</v>
      </c>
      <c r="N2034" s="3" t="s">
        <v>1813</v>
      </c>
      <c r="P2034" s="3" t="s">
        <v>69</v>
      </c>
      <c r="Q2034" s="2" t="s">
        <v>21187</v>
      </c>
      <c r="R2034" s="3" t="s">
        <v>20939</v>
      </c>
      <c r="S2034" s="4">
        <v>0</v>
      </c>
      <c r="T2034" s="4">
        <v>0</v>
      </c>
      <c r="W2034" s="5" t="s">
        <v>72</v>
      </c>
      <c r="X2034" s="5" t="s">
        <v>72</v>
      </c>
      <c r="Y2034" s="4">
        <v>91</v>
      </c>
      <c r="Z2034" s="4">
        <v>5</v>
      </c>
      <c r="AA2034" s="4">
        <v>6</v>
      </c>
      <c r="AB2034" s="4">
        <v>1</v>
      </c>
      <c r="AC2034" s="4">
        <v>2</v>
      </c>
      <c r="AD2034" s="4">
        <v>41</v>
      </c>
      <c r="AE2034" s="4">
        <v>41</v>
      </c>
      <c r="AF2034" s="4">
        <v>0</v>
      </c>
      <c r="AG2034" s="4">
        <v>0</v>
      </c>
      <c r="AH2034" s="4">
        <v>40</v>
      </c>
      <c r="AI2034" s="4">
        <v>40</v>
      </c>
      <c r="AJ2034" s="4">
        <v>4</v>
      </c>
      <c r="AK2034" s="4">
        <v>4</v>
      </c>
      <c r="AL2034" s="4">
        <v>32</v>
      </c>
      <c r="AM2034" s="4">
        <v>32</v>
      </c>
      <c r="AN2034" s="4">
        <v>0</v>
      </c>
      <c r="AO2034" s="4">
        <v>0</v>
      </c>
      <c r="AP2034" s="4">
        <v>4</v>
      </c>
      <c r="AQ2034" s="4">
        <v>4</v>
      </c>
      <c r="AR2034" s="3" t="s">
        <v>64</v>
      </c>
      <c r="AS2034" s="3" t="s">
        <v>64</v>
      </c>
      <c r="AT2034" s="3" t="s">
        <v>64</v>
      </c>
      <c r="AV2034" s="6" t="str">
        <f>HYPERLINK("http://mcgill.on.worldcat.org/oclc/952958339","Catalog Record")</f>
        <v>Catalog Record</v>
      </c>
      <c r="AW2034" s="6" t="str">
        <f>HYPERLINK("http://www.worldcat.org/oclc/952958339","WorldCat Record")</f>
        <v>WorldCat Record</v>
      </c>
      <c r="AX2034" s="3" t="s">
        <v>21188</v>
      </c>
      <c r="AY2034" s="3" t="s">
        <v>21189</v>
      </c>
      <c r="AZ2034" s="3" t="s">
        <v>21190</v>
      </c>
      <c r="BA2034" s="3" t="s">
        <v>21190</v>
      </c>
      <c r="BB2034" s="3" t="s">
        <v>21191</v>
      </c>
      <c r="BC2034" s="3" t="s">
        <v>78</v>
      </c>
      <c r="BD2034" s="3" t="s">
        <v>79</v>
      </c>
      <c r="BE2034" s="3" t="s">
        <v>21192</v>
      </c>
      <c r="BF2034" s="3" t="s">
        <v>21191</v>
      </c>
      <c r="BG2034" s="3" t="s">
        <v>21193</v>
      </c>
    </row>
    <row r="2035" spans="1:59" ht="58" x14ac:dyDescent="0.35">
      <c r="A2035" s="2" t="s">
        <v>59</v>
      </c>
      <c r="B2035" s="2" t="s">
        <v>94</v>
      </c>
      <c r="C2035" s="2" t="s">
        <v>21194</v>
      </c>
      <c r="D2035" s="2" t="s">
        <v>21195</v>
      </c>
      <c r="E2035" s="2" t="s">
        <v>21196</v>
      </c>
      <c r="G2035" s="3" t="s">
        <v>64</v>
      </c>
      <c r="I2035" s="3" t="s">
        <v>64</v>
      </c>
      <c r="J2035" s="3" t="s">
        <v>64</v>
      </c>
      <c r="K2035" s="3" t="s">
        <v>65</v>
      </c>
      <c r="L2035" s="2" t="s">
        <v>21197</v>
      </c>
      <c r="M2035" s="2" t="s">
        <v>3237</v>
      </c>
      <c r="N2035" s="3" t="s">
        <v>524</v>
      </c>
      <c r="P2035" s="3" t="s">
        <v>69</v>
      </c>
      <c r="Q2035" s="2" t="s">
        <v>21198</v>
      </c>
      <c r="R2035" s="3" t="s">
        <v>20939</v>
      </c>
      <c r="S2035" s="4">
        <v>2</v>
      </c>
      <c r="T2035" s="4">
        <v>2</v>
      </c>
      <c r="U2035" s="5" t="s">
        <v>3157</v>
      </c>
      <c r="V2035" s="5" t="s">
        <v>3157</v>
      </c>
      <c r="W2035" s="5" t="s">
        <v>72</v>
      </c>
      <c r="X2035" s="5" t="s">
        <v>72</v>
      </c>
      <c r="Y2035" s="4">
        <v>80</v>
      </c>
      <c r="Z2035" s="4">
        <v>7</v>
      </c>
      <c r="AA2035" s="4">
        <v>75</v>
      </c>
      <c r="AB2035" s="4">
        <v>1</v>
      </c>
      <c r="AC2035" s="4">
        <v>14</v>
      </c>
      <c r="AD2035" s="4">
        <v>26</v>
      </c>
      <c r="AE2035" s="4">
        <v>94</v>
      </c>
      <c r="AF2035" s="4">
        <v>0</v>
      </c>
      <c r="AG2035" s="4">
        <v>8</v>
      </c>
      <c r="AH2035" s="4">
        <v>25</v>
      </c>
      <c r="AI2035" s="4">
        <v>64</v>
      </c>
      <c r="AJ2035" s="4">
        <v>3</v>
      </c>
      <c r="AK2035" s="4">
        <v>17</v>
      </c>
      <c r="AL2035" s="4">
        <v>17</v>
      </c>
      <c r="AM2035" s="4">
        <v>33</v>
      </c>
      <c r="AN2035" s="4">
        <v>0</v>
      </c>
      <c r="AO2035" s="4">
        <v>0</v>
      </c>
      <c r="AP2035" s="4">
        <v>3</v>
      </c>
      <c r="AQ2035" s="4">
        <v>37</v>
      </c>
      <c r="AR2035" s="3" t="s">
        <v>64</v>
      </c>
      <c r="AS2035" s="3" t="s">
        <v>64</v>
      </c>
      <c r="AT2035" s="3" t="s">
        <v>64</v>
      </c>
      <c r="AV2035" s="6" t="str">
        <f>HYPERLINK("http://mcgill.on.worldcat.org/oclc/845085569","Catalog Record")</f>
        <v>Catalog Record</v>
      </c>
      <c r="AW2035" s="6" t="str">
        <f>HYPERLINK("http://www.worldcat.org/oclc/845085569","WorldCat Record")</f>
        <v>WorldCat Record</v>
      </c>
      <c r="AX2035" s="3" t="s">
        <v>21199</v>
      </c>
      <c r="AY2035" s="3" t="s">
        <v>21200</v>
      </c>
      <c r="AZ2035" s="3" t="s">
        <v>21201</v>
      </c>
      <c r="BA2035" s="3" t="s">
        <v>21201</v>
      </c>
      <c r="BB2035" s="3" t="s">
        <v>21202</v>
      </c>
      <c r="BC2035" s="3" t="s">
        <v>78</v>
      </c>
      <c r="BD2035" s="3" t="s">
        <v>79</v>
      </c>
      <c r="BE2035" s="3" t="s">
        <v>21203</v>
      </c>
      <c r="BF2035" s="3" t="s">
        <v>21202</v>
      </c>
      <c r="BG2035" s="3" t="s">
        <v>21204</v>
      </c>
    </row>
    <row r="2036" spans="1:59" ht="72.5" x14ac:dyDescent="0.35">
      <c r="A2036" s="2" t="s">
        <v>59</v>
      </c>
      <c r="B2036" s="2" t="s">
        <v>60</v>
      </c>
      <c r="C2036" s="2" t="s">
        <v>21205</v>
      </c>
      <c r="D2036" s="2" t="s">
        <v>21206</v>
      </c>
      <c r="E2036" s="2" t="s">
        <v>21207</v>
      </c>
      <c r="G2036" s="3" t="s">
        <v>64</v>
      </c>
      <c r="I2036" s="3" t="s">
        <v>73</v>
      </c>
      <c r="J2036" s="3" t="s">
        <v>64</v>
      </c>
      <c r="K2036" s="3" t="s">
        <v>65</v>
      </c>
      <c r="L2036" s="2" t="s">
        <v>21069</v>
      </c>
      <c r="M2036" s="2" t="s">
        <v>21208</v>
      </c>
      <c r="N2036" s="3" t="s">
        <v>1267</v>
      </c>
      <c r="P2036" s="3" t="s">
        <v>69</v>
      </c>
      <c r="R2036" s="3" t="s">
        <v>20939</v>
      </c>
      <c r="S2036" s="4">
        <v>19</v>
      </c>
      <c r="T2036" s="4">
        <v>40</v>
      </c>
      <c r="U2036" s="5" t="s">
        <v>21209</v>
      </c>
      <c r="V2036" s="5" t="s">
        <v>21210</v>
      </c>
      <c r="W2036" s="5" t="s">
        <v>72</v>
      </c>
      <c r="X2036" s="5" t="s">
        <v>72</v>
      </c>
      <c r="Y2036" s="4">
        <v>372</v>
      </c>
      <c r="Z2036" s="4">
        <v>26</v>
      </c>
      <c r="AA2036" s="4">
        <v>27</v>
      </c>
      <c r="AB2036" s="4">
        <v>2</v>
      </c>
      <c r="AC2036" s="4">
        <v>3</v>
      </c>
      <c r="AD2036" s="4">
        <v>93</v>
      </c>
      <c r="AE2036" s="4">
        <v>96</v>
      </c>
      <c r="AF2036" s="4">
        <v>0</v>
      </c>
      <c r="AG2036" s="4">
        <v>1</v>
      </c>
      <c r="AH2036" s="4">
        <v>79</v>
      </c>
      <c r="AI2036" s="4">
        <v>81</v>
      </c>
      <c r="AJ2036" s="4">
        <v>17</v>
      </c>
      <c r="AK2036" s="4">
        <v>18</v>
      </c>
      <c r="AL2036" s="4">
        <v>45</v>
      </c>
      <c r="AM2036" s="4">
        <v>46</v>
      </c>
      <c r="AN2036" s="4">
        <v>0</v>
      </c>
      <c r="AO2036" s="4">
        <v>0</v>
      </c>
      <c r="AP2036" s="4">
        <v>19</v>
      </c>
      <c r="AQ2036" s="4">
        <v>20</v>
      </c>
      <c r="AR2036" s="3" t="s">
        <v>64</v>
      </c>
      <c r="AS2036" s="3" t="s">
        <v>64</v>
      </c>
      <c r="AT2036" s="3" t="s">
        <v>73</v>
      </c>
      <c r="AU2036" s="6" t="str">
        <f>HYPERLINK("http://catalog.hathitrust.org/Record/001622090","HathiTrust Record")</f>
        <v>HathiTrust Record</v>
      </c>
      <c r="AV2036" s="6" t="str">
        <f>HYPERLINK("http://mcgill.on.worldcat.org/oclc/1263721","Catalog Record")</f>
        <v>Catalog Record</v>
      </c>
      <c r="AW2036" s="6" t="str">
        <f>HYPERLINK("http://www.worldcat.org/oclc/1263721","WorldCat Record")</f>
        <v>WorldCat Record</v>
      </c>
      <c r="AX2036" s="3" t="s">
        <v>21211</v>
      </c>
      <c r="AY2036" s="3" t="s">
        <v>21212</v>
      </c>
      <c r="AZ2036" s="3" t="s">
        <v>21213</v>
      </c>
      <c r="BA2036" s="3" t="s">
        <v>21213</v>
      </c>
      <c r="BB2036" s="3" t="s">
        <v>21214</v>
      </c>
      <c r="BC2036" s="3" t="s">
        <v>78</v>
      </c>
      <c r="BD2036" s="3" t="s">
        <v>79</v>
      </c>
      <c r="BF2036" s="3" t="s">
        <v>21214</v>
      </c>
      <c r="BG2036" s="3" t="s">
        <v>21215</v>
      </c>
    </row>
    <row r="2037" spans="1:59" ht="58" x14ac:dyDescent="0.35">
      <c r="A2037" s="2" t="s">
        <v>59</v>
      </c>
      <c r="B2037" s="2" t="s">
        <v>94</v>
      </c>
      <c r="C2037" s="2" t="s">
        <v>21205</v>
      </c>
      <c r="D2037" s="2" t="s">
        <v>21206</v>
      </c>
      <c r="E2037" s="2" t="s">
        <v>21207</v>
      </c>
      <c r="G2037" s="3" t="s">
        <v>64</v>
      </c>
      <c r="I2037" s="3" t="s">
        <v>73</v>
      </c>
      <c r="J2037" s="3" t="s">
        <v>64</v>
      </c>
      <c r="K2037" s="3" t="s">
        <v>65</v>
      </c>
      <c r="L2037" s="2" t="s">
        <v>21069</v>
      </c>
      <c r="M2037" s="2" t="s">
        <v>21208</v>
      </c>
      <c r="N2037" s="3" t="s">
        <v>1267</v>
      </c>
      <c r="P2037" s="3" t="s">
        <v>69</v>
      </c>
      <c r="R2037" s="3" t="s">
        <v>20939</v>
      </c>
      <c r="S2037" s="4">
        <v>21</v>
      </c>
      <c r="T2037" s="4">
        <v>40</v>
      </c>
      <c r="U2037" s="5" t="s">
        <v>21210</v>
      </c>
      <c r="V2037" s="5" t="s">
        <v>21210</v>
      </c>
      <c r="W2037" s="5" t="s">
        <v>72</v>
      </c>
      <c r="X2037" s="5" t="s">
        <v>72</v>
      </c>
      <c r="Y2037" s="4">
        <v>372</v>
      </c>
      <c r="Z2037" s="4">
        <v>26</v>
      </c>
      <c r="AA2037" s="4">
        <v>27</v>
      </c>
      <c r="AB2037" s="4">
        <v>2</v>
      </c>
      <c r="AC2037" s="4">
        <v>3</v>
      </c>
      <c r="AD2037" s="4">
        <v>93</v>
      </c>
      <c r="AE2037" s="4">
        <v>96</v>
      </c>
      <c r="AF2037" s="4">
        <v>0</v>
      </c>
      <c r="AG2037" s="4">
        <v>1</v>
      </c>
      <c r="AH2037" s="4">
        <v>79</v>
      </c>
      <c r="AI2037" s="4">
        <v>81</v>
      </c>
      <c r="AJ2037" s="4">
        <v>17</v>
      </c>
      <c r="AK2037" s="4">
        <v>18</v>
      </c>
      <c r="AL2037" s="4">
        <v>45</v>
      </c>
      <c r="AM2037" s="4">
        <v>46</v>
      </c>
      <c r="AN2037" s="4">
        <v>0</v>
      </c>
      <c r="AO2037" s="4">
        <v>0</v>
      </c>
      <c r="AP2037" s="4">
        <v>19</v>
      </c>
      <c r="AQ2037" s="4">
        <v>20</v>
      </c>
      <c r="AR2037" s="3" t="s">
        <v>64</v>
      </c>
      <c r="AS2037" s="3" t="s">
        <v>64</v>
      </c>
      <c r="AT2037" s="3" t="s">
        <v>73</v>
      </c>
      <c r="AU2037" s="6" t="str">
        <f>HYPERLINK("http://catalog.hathitrust.org/Record/001622090","HathiTrust Record")</f>
        <v>HathiTrust Record</v>
      </c>
      <c r="AV2037" s="6" t="str">
        <f>HYPERLINK("http://mcgill.on.worldcat.org/oclc/1263721","Catalog Record")</f>
        <v>Catalog Record</v>
      </c>
      <c r="AW2037" s="6" t="str">
        <f>HYPERLINK("http://www.worldcat.org/oclc/1263721","WorldCat Record")</f>
        <v>WorldCat Record</v>
      </c>
      <c r="AX2037" s="3" t="s">
        <v>21211</v>
      </c>
      <c r="AY2037" s="3" t="s">
        <v>21212</v>
      </c>
      <c r="AZ2037" s="3" t="s">
        <v>21213</v>
      </c>
      <c r="BA2037" s="3" t="s">
        <v>21213</v>
      </c>
      <c r="BB2037" s="3" t="s">
        <v>21216</v>
      </c>
      <c r="BC2037" s="3" t="s">
        <v>78</v>
      </c>
      <c r="BD2037" s="3" t="s">
        <v>79</v>
      </c>
      <c r="BF2037" s="3" t="s">
        <v>21216</v>
      </c>
      <c r="BG2037" s="3" t="s">
        <v>21217</v>
      </c>
    </row>
    <row r="2038" spans="1:59" ht="58" x14ac:dyDescent="0.35">
      <c r="A2038" s="2" t="s">
        <v>59</v>
      </c>
      <c r="B2038" s="2" t="s">
        <v>94</v>
      </c>
      <c r="C2038" s="2" t="s">
        <v>21218</v>
      </c>
      <c r="D2038" s="2" t="s">
        <v>21219</v>
      </c>
      <c r="E2038" s="2" t="s">
        <v>21220</v>
      </c>
      <c r="G2038" s="3" t="s">
        <v>64</v>
      </c>
      <c r="I2038" s="3" t="s">
        <v>64</v>
      </c>
      <c r="J2038" s="3" t="s">
        <v>64</v>
      </c>
      <c r="K2038" s="3" t="s">
        <v>65</v>
      </c>
      <c r="L2038" s="2" t="s">
        <v>9204</v>
      </c>
      <c r="M2038" s="2" t="s">
        <v>21221</v>
      </c>
      <c r="N2038" s="3" t="s">
        <v>3563</v>
      </c>
      <c r="P2038" s="3" t="s">
        <v>69</v>
      </c>
      <c r="R2038" s="3" t="s">
        <v>20939</v>
      </c>
      <c r="S2038" s="4">
        <v>18</v>
      </c>
      <c r="T2038" s="4">
        <v>18</v>
      </c>
      <c r="U2038" s="5" t="s">
        <v>3214</v>
      </c>
      <c r="V2038" s="5" t="s">
        <v>3214</v>
      </c>
      <c r="W2038" s="5" t="s">
        <v>72</v>
      </c>
      <c r="X2038" s="5" t="s">
        <v>72</v>
      </c>
      <c r="Y2038" s="4">
        <v>452</v>
      </c>
      <c r="Z2038" s="4">
        <v>22</v>
      </c>
      <c r="AA2038" s="4">
        <v>24</v>
      </c>
      <c r="AB2038" s="4">
        <v>1</v>
      </c>
      <c r="AC2038" s="4">
        <v>3</v>
      </c>
      <c r="AD2038" s="4">
        <v>90</v>
      </c>
      <c r="AE2038" s="4">
        <v>102</v>
      </c>
      <c r="AF2038" s="4">
        <v>0</v>
      </c>
      <c r="AG2038" s="4">
        <v>1</v>
      </c>
      <c r="AH2038" s="4">
        <v>82</v>
      </c>
      <c r="AI2038" s="4">
        <v>94</v>
      </c>
      <c r="AJ2038" s="4">
        <v>11</v>
      </c>
      <c r="AK2038" s="4">
        <v>12</v>
      </c>
      <c r="AL2038" s="4">
        <v>48</v>
      </c>
      <c r="AM2038" s="4">
        <v>51</v>
      </c>
      <c r="AN2038" s="4">
        <v>0</v>
      </c>
      <c r="AO2038" s="4">
        <v>0</v>
      </c>
      <c r="AP2038" s="4">
        <v>14</v>
      </c>
      <c r="AQ2038" s="4">
        <v>15</v>
      </c>
      <c r="AR2038" s="3" t="s">
        <v>64</v>
      </c>
      <c r="AS2038" s="3" t="s">
        <v>64</v>
      </c>
      <c r="AT2038" s="3" t="s">
        <v>64</v>
      </c>
      <c r="AV2038" s="6" t="str">
        <f>HYPERLINK("http://mcgill.on.worldcat.org/oclc/25787029","Catalog Record")</f>
        <v>Catalog Record</v>
      </c>
      <c r="AW2038" s="6" t="str">
        <f>HYPERLINK("http://www.worldcat.org/oclc/25787029","WorldCat Record")</f>
        <v>WorldCat Record</v>
      </c>
      <c r="AX2038" s="3" t="s">
        <v>21222</v>
      </c>
      <c r="AY2038" s="3" t="s">
        <v>21223</v>
      </c>
      <c r="AZ2038" s="3" t="s">
        <v>21224</v>
      </c>
      <c r="BA2038" s="3" t="s">
        <v>21224</v>
      </c>
      <c r="BB2038" s="3" t="s">
        <v>21225</v>
      </c>
      <c r="BC2038" s="3" t="s">
        <v>78</v>
      </c>
      <c r="BD2038" s="3" t="s">
        <v>79</v>
      </c>
      <c r="BE2038" s="3" t="s">
        <v>21226</v>
      </c>
      <c r="BF2038" s="3" t="s">
        <v>21225</v>
      </c>
      <c r="BG2038" s="3" t="s">
        <v>21227</v>
      </c>
    </row>
    <row r="2039" spans="1:59" ht="72.5" x14ac:dyDescent="0.35">
      <c r="A2039" s="2" t="s">
        <v>59</v>
      </c>
      <c r="B2039" s="2" t="s">
        <v>94</v>
      </c>
      <c r="C2039" s="2" t="s">
        <v>21228</v>
      </c>
      <c r="D2039" s="2" t="s">
        <v>21229</v>
      </c>
      <c r="E2039" s="2" t="s">
        <v>21230</v>
      </c>
      <c r="G2039" s="3" t="s">
        <v>64</v>
      </c>
      <c r="I2039" s="3" t="s">
        <v>64</v>
      </c>
      <c r="J2039" s="3" t="s">
        <v>64</v>
      </c>
      <c r="K2039" s="3" t="s">
        <v>65</v>
      </c>
      <c r="L2039" s="2" t="s">
        <v>21231</v>
      </c>
      <c r="M2039" s="2" t="s">
        <v>21232</v>
      </c>
      <c r="N2039" s="3" t="s">
        <v>3563</v>
      </c>
      <c r="P2039" s="3" t="s">
        <v>69</v>
      </c>
      <c r="R2039" s="3" t="s">
        <v>20939</v>
      </c>
      <c r="S2039" s="4">
        <v>39</v>
      </c>
      <c r="T2039" s="4">
        <v>39</v>
      </c>
      <c r="U2039" s="5" t="s">
        <v>18176</v>
      </c>
      <c r="V2039" s="5" t="s">
        <v>18176</v>
      </c>
      <c r="W2039" s="5" t="s">
        <v>72</v>
      </c>
      <c r="X2039" s="5" t="s">
        <v>72</v>
      </c>
      <c r="Y2039" s="4">
        <v>136</v>
      </c>
      <c r="Z2039" s="4">
        <v>10</v>
      </c>
      <c r="AA2039" s="4">
        <v>19</v>
      </c>
      <c r="AB2039" s="4">
        <v>1</v>
      </c>
      <c r="AC2039" s="4">
        <v>1</v>
      </c>
      <c r="AD2039" s="4">
        <v>34</v>
      </c>
      <c r="AE2039" s="4">
        <v>46</v>
      </c>
      <c r="AF2039" s="4">
        <v>0</v>
      </c>
      <c r="AG2039" s="4">
        <v>0</v>
      </c>
      <c r="AH2039" s="4">
        <v>31</v>
      </c>
      <c r="AI2039" s="4">
        <v>41</v>
      </c>
      <c r="AJ2039" s="4">
        <v>6</v>
      </c>
      <c r="AK2039" s="4">
        <v>8</v>
      </c>
      <c r="AL2039" s="4">
        <v>19</v>
      </c>
      <c r="AM2039" s="4">
        <v>22</v>
      </c>
      <c r="AN2039" s="4">
        <v>0</v>
      </c>
      <c r="AO2039" s="4">
        <v>0</v>
      </c>
      <c r="AP2039" s="4">
        <v>6</v>
      </c>
      <c r="AQ2039" s="4">
        <v>10</v>
      </c>
      <c r="AR2039" s="3" t="s">
        <v>64</v>
      </c>
      <c r="AS2039" s="3" t="s">
        <v>64</v>
      </c>
      <c r="AT2039" s="3" t="s">
        <v>64</v>
      </c>
      <c r="AV2039" s="6" t="str">
        <f>HYPERLINK("http://mcgill.on.worldcat.org/oclc/27431727","Catalog Record")</f>
        <v>Catalog Record</v>
      </c>
      <c r="AW2039" s="6" t="str">
        <f>HYPERLINK("http://www.worldcat.org/oclc/27431727","WorldCat Record")</f>
        <v>WorldCat Record</v>
      </c>
      <c r="AX2039" s="3" t="s">
        <v>21233</v>
      </c>
      <c r="AY2039" s="3" t="s">
        <v>21234</v>
      </c>
      <c r="AZ2039" s="3" t="s">
        <v>21235</v>
      </c>
      <c r="BA2039" s="3" t="s">
        <v>21235</v>
      </c>
      <c r="BB2039" s="3" t="s">
        <v>21236</v>
      </c>
      <c r="BC2039" s="3" t="s">
        <v>78</v>
      </c>
      <c r="BD2039" s="3" t="s">
        <v>79</v>
      </c>
      <c r="BE2039" s="3" t="s">
        <v>21237</v>
      </c>
      <c r="BF2039" s="3" t="s">
        <v>21236</v>
      </c>
      <c r="BG2039" s="3" t="s">
        <v>21238</v>
      </c>
    </row>
    <row r="2040" spans="1:59" ht="58" x14ac:dyDescent="0.35">
      <c r="A2040" s="2" t="s">
        <v>59</v>
      </c>
      <c r="B2040" s="2" t="s">
        <v>94</v>
      </c>
      <c r="C2040" s="2" t="s">
        <v>21239</v>
      </c>
      <c r="D2040" s="2" t="s">
        <v>21240</v>
      </c>
      <c r="E2040" s="2" t="s">
        <v>21241</v>
      </c>
      <c r="G2040" s="3" t="s">
        <v>64</v>
      </c>
      <c r="I2040" s="3" t="s">
        <v>64</v>
      </c>
      <c r="J2040" s="3" t="s">
        <v>64</v>
      </c>
      <c r="K2040" s="3" t="s">
        <v>65</v>
      </c>
      <c r="L2040" s="2" t="s">
        <v>11349</v>
      </c>
      <c r="M2040" s="2" t="s">
        <v>21242</v>
      </c>
      <c r="N2040" s="3" t="s">
        <v>214</v>
      </c>
      <c r="P2040" s="3" t="s">
        <v>69</v>
      </c>
      <c r="Q2040" s="2" t="s">
        <v>21243</v>
      </c>
      <c r="R2040" s="3" t="s">
        <v>20939</v>
      </c>
      <c r="S2040" s="4">
        <v>0</v>
      </c>
      <c r="T2040" s="4">
        <v>0</v>
      </c>
      <c r="W2040" s="5" t="s">
        <v>72</v>
      </c>
      <c r="X2040" s="5" t="s">
        <v>72</v>
      </c>
      <c r="Y2040" s="4">
        <v>90</v>
      </c>
      <c r="Z2040" s="4">
        <v>8</v>
      </c>
      <c r="AA2040" s="4">
        <v>9</v>
      </c>
      <c r="AB2040" s="4">
        <v>1</v>
      </c>
      <c r="AC2040" s="4">
        <v>1</v>
      </c>
      <c r="AD2040" s="4">
        <v>51</v>
      </c>
      <c r="AE2040" s="4">
        <v>54</v>
      </c>
      <c r="AF2040" s="4">
        <v>0</v>
      </c>
      <c r="AG2040" s="4">
        <v>0</v>
      </c>
      <c r="AH2040" s="4">
        <v>48</v>
      </c>
      <c r="AI2040" s="4">
        <v>51</v>
      </c>
      <c r="AJ2040" s="4">
        <v>5</v>
      </c>
      <c r="AK2040" s="4">
        <v>6</v>
      </c>
      <c r="AL2040" s="4">
        <v>26</v>
      </c>
      <c r="AM2040" s="4">
        <v>26</v>
      </c>
      <c r="AN2040" s="4">
        <v>5</v>
      </c>
      <c r="AO2040" s="4">
        <v>5</v>
      </c>
      <c r="AP2040" s="4">
        <v>6</v>
      </c>
      <c r="AQ2040" s="4">
        <v>7</v>
      </c>
      <c r="AR2040" s="3" t="s">
        <v>64</v>
      </c>
      <c r="AS2040" s="3" t="s">
        <v>64</v>
      </c>
      <c r="AT2040" s="3" t="s">
        <v>73</v>
      </c>
      <c r="AU2040" s="6" t="str">
        <f>HYPERLINK("http://catalog.hathitrust.org/Record/008464088","HathiTrust Record")</f>
        <v>HathiTrust Record</v>
      </c>
      <c r="AV2040" s="6" t="str">
        <f>HYPERLINK("http://mcgill.on.worldcat.org/oclc/642509842","Catalog Record")</f>
        <v>Catalog Record</v>
      </c>
      <c r="AW2040" s="6" t="str">
        <f>HYPERLINK("http://www.worldcat.org/oclc/642509842","WorldCat Record")</f>
        <v>WorldCat Record</v>
      </c>
      <c r="AX2040" s="3" t="s">
        <v>21244</v>
      </c>
      <c r="AY2040" s="3" t="s">
        <v>21245</v>
      </c>
      <c r="AZ2040" s="3" t="s">
        <v>21246</v>
      </c>
      <c r="BA2040" s="3" t="s">
        <v>21246</v>
      </c>
      <c r="BB2040" s="3" t="s">
        <v>21247</v>
      </c>
      <c r="BC2040" s="3" t="s">
        <v>78</v>
      </c>
      <c r="BD2040" s="3" t="s">
        <v>79</v>
      </c>
      <c r="BE2040" s="3" t="s">
        <v>21248</v>
      </c>
      <c r="BF2040" s="3" t="s">
        <v>21247</v>
      </c>
      <c r="BG2040" s="3" t="s">
        <v>21249</v>
      </c>
    </row>
    <row r="2041" spans="1:59" ht="58" x14ac:dyDescent="0.35">
      <c r="A2041" s="2" t="s">
        <v>59</v>
      </c>
      <c r="B2041" s="2" t="s">
        <v>94</v>
      </c>
      <c r="C2041" s="2" t="s">
        <v>21250</v>
      </c>
      <c r="D2041" s="2" t="s">
        <v>21251</v>
      </c>
      <c r="E2041" s="2" t="s">
        <v>21252</v>
      </c>
      <c r="G2041" s="3" t="s">
        <v>64</v>
      </c>
      <c r="I2041" s="3" t="s">
        <v>64</v>
      </c>
      <c r="J2041" s="3" t="s">
        <v>64</v>
      </c>
      <c r="K2041" s="3" t="s">
        <v>65</v>
      </c>
      <c r="L2041" s="2" t="s">
        <v>21253</v>
      </c>
      <c r="M2041" s="2" t="s">
        <v>8906</v>
      </c>
      <c r="N2041" s="3" t="s">
        <v>189</v>
      </c>
      <c r="P2041" s="3" t="s">
        <v>69</v>
      </c>
      <c r="R2041" s="3" t="s">
        <v>20939</v>
      </c>
      <c r="S2041" s="4">
        <v>29</v>
      </c>
      <c r="T2041" s="4">
        <v>29</v>
      </c>
      <c r="U2041" s="5" t="s">
        <v>1837</v>
      </c>
      <c r="V2041" s="5" t="s">
        <v>1837</v>
      </c>
      <c r="W2041" s="5" t="s">
        <v>72</v>
      </c>
      <c r="X2041" s="5" t="s">
        <v>72</v>
      </c>
      <c r="Y2041" s="4">
        <v>161</v>
      </c>
      <c r="Z2041" s="4">
        <v>4</v>
      </c>
      <c r="AA2041" s="4">
        <v>4</v>
      </c>
      <c r="AB2041" s="4">
        <v>1</v>
      </c>
      <c r="AC2041" s="4">
        <v>1</v>
      </c>
      <c r="AD2041" s="4">
        <v>36</v>
      </c>
      <c r="AE2041" s="4">
        <v>36</v>
      </c>
      <c r="AF2041" s="4">
        <v>0</v>
      </c>
      <c r="AG2041" s="4">
        <v>0</v>
      </c>
      <c r="AH2041" s="4">
        <v>33</v>
      </c>
      <c r="AI2041" s="4">
        <v>33</v>
      </c>
      <c r="AJ2041" s="4">
        <v>1</v>
      </c>
      <c r="AK2041" s="4">
        <v>1</v>
      </c>
      <c r="AL2041" s="4">
        <v>23</v>
      </c>
      <c r="AM2041" s="4">
        <v>23</v>
      </c>
      <c r="AN2041" s="4">
        <v>0</v>
      </c>
      <c r="AO2041" s="4">
        <v>0</v>
      </c>
      <c r="AP2041" s="4">
        <v>1</v>
      </c>
      <c r="AQ2041" s="4">
        <v>1</v>
      </c>
      <c r="AR2041" s="3" t="s">
        <v>64</v>
      </c>
      <c r="AS2041" s="3" t="s">
        <v>64</v>
      </c>
      <c r="AT2041" s="3" t="s">
        <v>73</v>
      </c>
      <c r="AU2041" s="6" t="str">
        <f>HYPERLINK("http://catalog.hathitrust.org/Record/002028941","HathiTrust Record")</f>
        <v>HathiTrust Record</v>
      </c>
      <c r="AV2041" s="6" t="str">
        <f>HYPERLINK("http://mcgill.on.worldcat.org/oclc/1492911","Catalog Record")</f>
        <v>Catalog Record</v>
      </c>
      <c r="AW2041" s="6" t="str">
        <f>HYPERLINK("http://www.worldcat.org/oclc/1492911","WorldCat Record")</f>
        <v>WorldCat Record</v>
      </c>
      <c r="AX2041" s="3" t="s">
        <v>21254</v>
      </c>
      <c r="AY2041" s="3" t="s">
        <v>21255</v>
      </c>
      <c r="AZ2041" s="3" t="s">
        <v>21256</v>
      </c>
      <c r="BA2041" s="3" t="s">
        <v>21256</v>
      </c>
      <c r="BB2041" s="3" t="s">
        <v>21257</v>
      </c>
      <c r="BC2041" s="3" t="s">
        <v>78</v>
      </c>
      <c r="BD2041" s="3" t="s">
        <v>79</v>
      </c>
      <c r="BF2041" s="3" t="s">
        <v>21257</v>
      </c>
      <c r="BG2041" s="3" t="s">
        <v>21258</v>
      </c>
    </row>
    <row r="2042" spans="1:59" ht="58" x14ac:dyDescent="0.35">
      <c r="A2042" s="2" t="s">
        <v>59</v>
      </c>
      <c r="B2042" s="2" t="s">
        <v>94</v>
      </c>
      <c r="C2042" s="2" t="s">
        <v>21259</v>
      </c>
      <c r="D2042" s="2" t="s">
        <v>21260</v>
      </c>
      <c r="E2042" s="2" t="s">
        <v>21261</v>
      </c>
      <c r="G2042" s="3" t="s">
        <v>64</v>
      </c>
      <c r="I2042" s="3" t="s">
        <v>64</v>
      </c>
      <c r="J2042" s="3" t="s">
        <v>64</v>
      </c>
      <c r="K2042" s="3" t="s">
        <v>65</v>
      </c>
      <c r="L2042" s="2" t="s">
        <v>21262</v>
      </c>
      <c r="M2042" s="2" t="s">
        <v>21263</v>
      </c>
      <c r="N2042" s="3" t="s">
        <v>1813</v>
      </c>
      <c r="P2042" s="3" t="s">
        <v>2192</v>
      </c>
      <c r="Q2042" s="2" t="s">
        <v>21264</v>
      </c>
      <c r="R2042" s="3" t="s">
        <v>20939</v>
      </c>
      <c r="S2042" s="4">
        <v>0</v>
      </c>
      <c r="T2042" s="4">
        <v>0</v>
      </c>
      <c r="W2042" s="5" t="s">
        <v>72</v>
      </c>
      <c r="X2042" s="5" t="s">
        <v>72</v>
      </c>
      <c r="Y2042" s="4">
        <v>15</v>
      </c>
      <c r="Z2042" s="4">
        <v>2</v>
      </c>
      <c r="AA2042" s="4">
        <v>2</v>
      </c>
      <c r="AB2042" s="4">
        <v>1</v>
      </c>
      <c r="AC2042" s="4">
        <v>1</v>
      </c>
      <c r="AD2042" s="4">
        <v>11</v>
      </c>
      <c r="AE2042" s="4">
        <v>11</v>
      </c>
      <c r="AF2042" s="4">
        <v>0</v>
      </c>
      <c r="AG2042" s="4">
        <v>0</v>
      </c>
      <c r="AH2042" s="4">
        <v>10</v>
      </c>
      <c r="AI2042" s="4">
        <v>10</v>
      </c>
      <c r="AJ2042" s="4">
        <v>1</v>
      </c>
      <c r="AK2042" s="4">
        <v>1</v>
      </c>
      <c r="AL2042" s="4">
        <v>6</v>
      </c>
      <c r="AM2042" s="4">
        <v>6</v>
      </c>
      <c r="AN2042" s="4">
        <v>0</v>
      </c>
      <c r="AO2042" s="4">
        <v>0</v>
      </c>
      <c r="AP2042" s="4">
        <v>1</v>
      </c>
      <c r="AQ2042" s="4">
        <v>1</v>
      </c>
      <c r="AR2042" s="3" t="s">
        <v>64</v>
      </c>
      <c r="AS2042" s="3" t="s">
        <v>64</v>
      </c>
      <c r="AT2042" s="3" t="s">
        <v>64</v>
      </c>
      <c r="AV2042" s="6" t="str">
        <f>HYPERLINK("http://mcgill.on.worldcat.org/oclc/961475193","Catalog Record")</f>
        <v>Catalog Record</v>
      </c>
      <c r="AW2042" s="6" t="str">
        <f>HYPERLINK("http://www.worldcat.org/oclc/961475193","WorldCat Record")</f>
        <v>WorldCat Record</v>
      </c>
      <c r="AX2042" s="3" t="s">
        <v>21265</v>
      </c>
      <c r="AY2042" s="3" t="s">
        <v>21266</v>
      </c>
      <c r="AZ2042" s="3" t="s">
        <v>21267</v>
      </c>
      <c r="BA2042" s="3" t="s">
        <v>21267</v>
      </c>
      <c r="BB2042" s="3" t="s">
        <v>21268</v>
      </c>
      <c r="BC2042" s="3" t="s">
        <v>78</v>
      </c>
      <c r="BD2042" s="3" t="s">
        <v>79</v>
      </c>
      <c r="BE2042" s="3" t="s">
        <v>21269</v>
      </c>
      <c r="BF2042" s="3" t="s">
        <v>21268</v>
      </c>
      <c r="BG2042" s="3" t="s">
        <v>21270</v>
      </c>
    </row>
    <row r="2043" spans="1:59" ht="58" x14ac:dyDescent="0.35">
      <c r="A2043" s="2" t="s">
        <v>59</v>
      </c>
      <c r="B2043" s="2" t="s">
        <v>94</v>
      </c>
      <c r="C2043" s="2" t="s">
        <v>21271</v>
      </c>
      <c r="D2043" s="2" t="s">
        <v>21272</v>
      </c>
      <c r="E2043" s="2" t="s">
        <v>21273</v>
      </c>
      <c r="G2043" s="3" t="s">
        <v>64</v>
      </c>
      <c r="I2043" s="3" t="s">
        <v>64</v>
      </c>
      <c r="J2043" s="3" t="s">
        <v>64</v>
      </c>
      <c r="K2043" s="3" t="s">
        <v>65</v>
      </c>
      <c r="L2043" s="2" t="s">
        <v>21274</v>
      </c>
      <c r="M2043" s="2" t="s">
        <v>21275</v>
      </c>
      <c r="N2043" s="3" t="s">
        <v>407</v>
      </c>
      <c r="P2043" s="3" t="s">
        <v>69</v>
      </c>
      <c r="R2043" s="3" t="s">
        <v>20939</v>
      </c>
      <c r="S2043" s="4">
        <v>17</v>
      </c>
      <c r="T2043" s="4">
        <v>17</v>
      </c>
      <c r="U2043" s="5" t="s">
        <v>1837</v>
      </c>
      <c r="V2043" s="5" t="s">
        <v>1837</v>
      </c>
      <c r="W2043" s="5" t="s">
        <v>72</v>
      </c>
      <c r="X2043" s="5" t="s">
        <v>72</v>
      </c>
      <c r="Y2043" s="4">
        <v>171</v>
      </c>
      <c r="Z2043" s="4">
        <v>10</v>
      </c>
      <c r="AA2043" s="4">
        <v>18</v>
      </c>
      <c r="AB2043" s="4">
        <v>1</v>
      </c>
      <c r="AC2043" s="4">
        <v>3</v>
      </c>
      <c r="AD2043" s="4">
        <v>39</v>
      </c>
      <c r="AE2043" s="4">
        <v>41</v>
      </c>
      <c r="AF2043" s="4">
        <v>0</v>
      </c>
      <c r="AG2043" s="4">
        <v>0</v>
      </c>
      <c r="AH2043" s="4">
        <v>34</v>
      </c>
      <c r="AI2043" s="4">
        <v>36</v>
      </c>
      <c r="AJ2043" s="4">
        <v>5</v>
      </c>
      <c r="AK2043" s="4">
        <v>7</v>
      </c>
      <c r="AL2043" s="4">
        <v>22</v>
      </c>
      <c r="AM2043" s="4">
        <v>22</v>
      </c>
      <c r="AN2043" s="4">
        <v>1</v>
      </c>
      <c r="AO2043" s="4">
        <v>1</v>
      </c>
      <c r="AP2043" s="4">
        <v>5</v>
      </c>
      <c r="AQ2043" s="4">
        <v>7</v>
      </c>
      <c r="AR2043" s="3" t="s">
        <v>64</v>
      </c>
      <c r="AS2043" s="3" t="s">
        <v>64</v>
      </c>
      <c r="AT2043" s="3" t="s">
        <v>73</v>
      </c>
      <c r="AU2043" s="6" t="str">
        <f>HYPERLINK("http://catalog.hathitrust.org/Record/000859654","HathiTrust Record")</f>
        <v>HathiTrust Record</v>
      </c>
      <c r="AV2043" s="6" t="str">
        <f>HYPERLINK("http://mcgill.on.worldcat.org/oclc/19459511","Catalog Record")</f>
        <v>Catalog Record</v>
      </c>
      <c r="AW2043" s="6" t="str">
        <f>HYPERLINK("http://www.worldcat.org/oclc/19459511","WorldCat Record")</f>
        <v>WorldCat Record</v>
      </c>
      <c r="AX2043" s="3" t="s">
        <v>21276</v>
      </c>
      <c r="AY2043" s="3" t="s">
        <v>21277</v>
      </c>
      <c r="AZ2043" s="3" t="s">
        <v>21278</v>
      </c>
      <c r="BA2043" s="3" t="s">
        <v>21278</v>
      </c>
      <c r="BB2043" s="3" t="s">
        <v>21279</v>
      </c>
      <c r="BC2043" s="3" t="s">
        <v>78</v>
      </c>
      <c r="BD2043" s="3" t="s">
        <v>79</v>
      </c>
      <c r="BE2043" s="3" t="s">
        <v>21280</v>
      </c>
      <c r="BF2043" s="3" t="s">
        <v>21279</v>
      </c>
      <c r="BG2043" s="3" t="s">
        <v>21281</v>
      </c>
    </row>
    <row r="2044" spans="1:59" ht="58" x14ac:dyDescent="0.35">
      <c r="A2044" s="2" t="s">
        <v>59</v>
      </c>
      <c r="B2044" s="2" t="s">
        <v>94</v>
      </c>
      <c r="C2044" s="2" t="s">
        <v>21282</v>
      </c>
      <c r="D2044" s="2" t="s">
        <v>21283</v>
      </c>
      <c r="E2044" s="2" t="s">
        <v>21284</v>
      </c>
      <c r="G2044" s="3" t="s">
        <v>64</v>
      </c>
      <c r="I2044" s="3" t="s">
        <v>73</v>
      </c>
      <c r="J2044" s="3" t="s">
        <v>64</v>
      </c>
      <c r="K2044" s="3" t="s">
        <v>65</v>
      </c>
      <c r="L2044" s="2" t="s">
        <v>21285</v>
      </c>
      <c r="M2044" s="2" t="s">
        <v>21286</v>
      </c>
      <c r="N2044" s="3" t="s">
        <v>1267</v>
      </c>
      <c r="P2044" s="3" t="s">
        <v>69</v>
      </c>
      <c r="R2044" s="3" t="s">
        <v>20939</v>
      </c>
      <c r="S2044" s="4">
        <v>15</v>
      </c>
      <c r="T2044" s="4">
        <v>40</v>
      </c>
      <c r="U2044" s="5" t="s">
        <v>590</v>
      </c>
      <c r="V2044" s="5" t="s">
        <v>590</v>
      </c>
      <c r="W2044" s="5" t="s">
        <v>72</v>
      </c>
      <c r="X2044" s="5" t="s">
        <v>72</v>
      </c>
      <c r="Y2044" s="4">
        <v>657</v>
      </c>
      <c r="Z2044" s="4">
        <v>32</v>
      </c>
      <c r="AA2044" s="4">
        <v>48</v>
      </c>
      <c r="AB2044" s="4">
        <v>4</v>
      </c>
      <c r="AC2044" s="4">
        <v>11</v>
      </c>
      <c r="AD2044" s="4">
        <v>116</v>
      </c>
      <c r="AE2044" s="4">
        <v>130</v>
      </c>
      <c r="AF2044" s="4">
        <v>1</v>
      </c>
      <c r="AG2044" s="4">
        <v>4</v>
      </c>
      <c r="AH2044" s="4">
        <v>96</v>
      </c>
      <c r="AI2044" s="4">
        <v>107</v>
      </c>
      <c r="AJ2044" s="4">
        <v>20</v>
      </c>
      <c r="AK2044" s="4">
        <v>24</v>
      </c>
      <c r="AL2044" s="4">
        <v>54</v>
      </c>
      <c r="AM2044" s="4">
        <v>59</v>
      </c>
      <c r="AN2044" s="4">
        <v>0</v>
      </c>
      <c r="AO2044" s="4">
        <v>0</v>
      </c>
      <c r="AP2044" s="4">
        <v>24</v>
      </c>
      <c r="AQ2044" s="4">
        <v>28</v>
      </c>
      <c r="AR2044" s="3" t="s">
        <v>64</v>
      </c>
      <c r="AS2044" s="3" t="s">
        <v>64</v>
      </c>
      <c r="AT2044" s="3" t="s">
        <v>73</v>
      </c>
      <c r="AU2044" s="6" t="str">
        <f>HYPERLINK("http://catalog.hathitrust.org/Record/004412535","HathiTrust Record")</f>
        <v>HathiTrust Record</v>
      </c>
      <c r="AV2044" s="6" t="str">
        <f>HYPERLINK("http://mcgill.on.worldcat.org/oclc/441703","Catalog Record")</f>
        <v>Catalog Record</v>
      </c>
      <c r="AW2044" s="6" t="str">
        <f>HYPERLINK("http://www.worldcat.org/oclc/441703","WorldCat Record")</f>
        <v>WorldCat Record</v>
      </c>
      <c r="AX2044" s="3" t="s">
        <v>21287</v>
      </c>
      <c r="AY2044" s="3" t="s">
        <v>21288</v>
      </c>
      <c r="AZ2044" s="3" t="s">
        <v>21289</v>
      </c>
      <c r="BA2044" s="3" t="s">
        <v>21289</v>
      </c>
      <c r="BB2044" s="3" t="s">
        <v>21290</v>
      </c>
      <c r="BC2044" s="3" t="s">
        <v>78</v>
      </c>
      <c r="BD2044" s="3" t="s">
        <v>79</v>
      </c>
      <c r="BF2044" s="3" t="s">
        <v>21290</v>
      </c>
      <c r="BG2044" s="3" t="s">
        <v>21291</v>
      </c>
    </row>
    <row r="2045" spans="1:59" ht="58" x14ac:dyDescent="0.35">
      <c r="A2045" s="2" t="s">
        <v>59</v>
      </c>
      <c r="B2045" s="2" t="s">
        <v>94</v>
      </c>
      <c r="C2045" s="2" t="s">
        <v>21282</v>
      </c>
      <c r="D2045" s="2" t="s">
        <v>21283</v>
      </c>
      <c r="E2045" s="2" t="s">
        <v>21284</v>
      </c>
      <c r="G2045" s="3" t="s">
        <v>64</v>
      </c>
      <c r="I2045" s="3" t="s">
        <v>73</v>
      </c>
      <c r="J2045" s="3" t="s">
        <v>64</v>
      </c>
      <c r="K2045" s="3" t="s">
        <v>65</v>
      </c>
      <c r="L2045" s="2" t="s">
        <v>21285</v>
      </c>
      <c r="M2045" s="2" t="s">
        <v>21286</v>
      </c>
      <c r="N2045" s="3" t="s">
        <v>1267</v>
      </c>
      <c r="P2045" s="3" t="s">
        <v>69</v>
      </c>
      <c r="R2045" s="3" t="s">
        <v>20939</v>
      </c>
      <c r="S2045" s="4">
        <v>25</v>
      </c>
      <c r="T2045" s="4">
        <v>40</v>
      </c>
      <c r="U2045" s="5" t="s">
        <v>21292</v>
      </c>
      <c r="V2045" s="5" t="s">
        <v>590</v>
      </c>
      <c r="W2045" s="5" t="s">
        <v>72</v>
      </c>
      <c r="X2045" s="5" t="s">
        <v>72</v>
      </c>
      <c r="Y2045" s="4">
        <v>657</v>
      </c>
      <c r="Z2045" s="4">
        <v>32</v>
      </c>
      <c r="AA2045" s="4">
        <v>48</v>
      </c>
      <c r="AB2045" s="4">
        <v>4</v>
      </c>
      <c r="AC2045" s="4">
        <v>11</v>
      </c>
      <c r="AD2045" s="4">
        <v>116</v>
      </c>
      <c r="AE2045" s="4">
        <v>130</v>
      </c>
      <c r="AF2045" s="4">
        <v>1</v>
      </c>
      <c r="AG2045" s="4">
        <v>4</v>
      </c>
      <c r="AH2045" s="4">
        <v>96</v>
      </c>
      <c r="AI2045" s="4">
        <v>107</v>
      </c>
      <c r="AJ2045" s="4">
        <v>20</v>
      </c>
      <c r="AK2045" s="4">
        <v>24</v>
      </c>
      <c r="AL2045" s="4">
        <v>54</v>
      </c>
      <c r="AM2045" s="4">
        <v>59</v>
      </c>
      <c r="AN2045" s="4">
        <v>0</v>
      </c>
      <c r="AO2045" s="4">
        <v>0</v>
      </c>
      <c r="AP2045" s="4">
        <v>24</v>
      </c>
      <c r="AQ2045" s="4">
        <v>28</v>
      </c>
      <c r="AR2045" s="3" t="s">
        <v>64</v>
      </c>
      <c r="AS2045" s="3" t="s">
        <v>64</v>
      </c>
      <c r="AT2045" s="3" t="s">
        <v>73</v>
      </c>
      <c r="AU2045" s="6" t="str">
        <f>HYPERLINK("http://catalog.hathitrust.org/Record/004412535","HathiTrust Record")</f>
        <v>HathiTrust Record</v>
      </c>
      <c r="AV2045" s="6" t="str">
        <f>HYPERLINK("http://mcgill.on.worldcat.org/oclc/441703","Catalog Record")</f>
        <v>Catalog Record</v>
      </c>
      <c r="AW2045" s="6" t="str">
        <f>HYPERLINK("http://www.worldcat.org/oclc/441703","WorldCat Record")</f>
        <v>WorldCat Record</v>
      </c>
      <c r="AX2045" s="3" t="s">
        <v>21287</v>
      </c>
      <c r="AY2045" s="3" t="s">
        <v>21288</v>
      </c>
      <c r="AZ2045" s="3" t="s">
        <v>21289</v>
      </c>
      <c r="BA2045" s="3" t="s">
        <v>21289</v>
      </c>
      <c r="BB2045" s="3" t="s">
        <v>21293</v>
      </c>
      <c r="BC2045" s="3" t="s">
        <v>78</v>
      </c>
      <c r="BD2045" s="3" t="s">
        <v>79</v>
      </c>
      <c r="BF2045" s="3" t="s">
        <v>21293</v>
      </c>
      <c r="BG2045" s="3" t="s">
        <v>21294</v>
      </c>
    </row>
    <row r="2046" spans="1:59" ht="58" x14ac:dyDescent="0.35">
      <c r="A2046" s="2" t="s">
        <v>59</v>
      </c>
      <c r="B2046" s="2" t="s">
        <v>94</v>
      </c>
      <c r="C2046" s="2" t="s">
        <v>21295</v>
      </c>
      <c r="D2046" s="2" t="s">
        <v>21296</v>
      </c>
      <c r="E2046" s="2" t="s">
        <v>21297</v>
      </c>
      <c r="G2046" s="3" t="s">
        <v>64</v>
      </c>
      <c r="I2046" s="3" t="s">
        <v>73</v>
      </c>
      <c r="J2046" s="3" t="s">
        <v>64</v>
      </c>
      <c r="K2046" s="3" t="s">
        <v>65</v>
      </c>
      <c r="L2046" s="2" t="s">
        <v>21298</v>
      </c>
      <c r="M2046" s="2" t="s">
        <v>21299</v>
      </c>
      <c r="N2046" s="3" t="s">
        <v>872</v>
      </c>
      <c r="P2046" s="3" t="s">
        <v>69</v>
      </c>
      <c r="R2046" s="3" t="s">
        <v>20939</v>
      </c>
      <c r="S2046" s="4">
        <v>40</v>
      </c>
      <c r="T2046" s="4">
        <v>45</v>
      </c>
      <c r="U2046" s="5" t="s">
        <v>21300</v>
      </c>
      <c r="V2046" s="5" t="s">
        <v>21300</v>
      </c>
      <c r="W2046" s="5" t="s">
        <v>72</v>
      </c>
      <c r="X2046" s="5" t="s">
        <v>72</v>
      </c>
      <c r="Y2046" s="4">
        <v>172</v>
      </c>
      <c r="Z2046" s="4">
        <v>85</v>
      </c>
      <c r="AA2046" s="4">
        <v>92</v>
      </c>
      <c r="AB2046" s="4">
        <v>3</v>
      </c>
      <c r="AC2046" s="4">
        <v>5</v>
      </c>
      <c r="AD2046" s="4">
        <v>70</v>
      </c>
      <c r="AE2046" s="4">
        <v>78</v>
      </c>
      <c r="AF2046" s="4">
        <v>1</v>
      </c>
      <c r="AG2046" s="4">
        <v>2</v>
      </c>
      <c r="AH2046" s="4">
        <v>47</v>
      </c>
      <c r="AI2046" s="4">
        <v>51</v>
      </c>
      <c r="AJ2046" s="4">
        <v>23</v>
      </c>
      <c r="AK2046" s="4">
        <v>27</v>
      </c>
      <c r="AL2046" s="4">
        <v>21</v>
      </c>
      <c r="AM2046" s="4">
        <v>24</v>
      </c>
      <c r="AN2046" s="4">
        <v>2</v>
      </c>
      <c r="AO2046" s="4">
        <v>2</v>
      </c>
      <c r="AP2046" s="4">
        <v>31</v>
      </c>
      <c r="AQ2046" s="4">
        <v>35</v>
      </c>
      <c r="AR2046" s="3" t="s">
        <v>73</v>
      </c>
      <c r="AS2046" s="3" t="s">
        <v>64</v>
      </c>
      <c r="AT2046" s="3" t="s">
        <v>73</v>
      </c>
      <c r="AU2046" s="6" t="str">
        <f>HYPERLINK("http://catalog.hathitrust.org/Record/002056988","HathiTrust Record")</f>
        <v>HathiTrust Record</v>
      </c>
      <c r="AV2046" s="6" t="str">
        <f>HYPERLINK("http://mcgill.on.worldcat.org/oclc/21157387","Catalog Record")</f>
        <v>Catalog Record</v>
      </c>
      <c r="AW2046" s="6" t="str">
        <f>HYPERLINK("http://www.worldcat.org/oclc/21157387","WorldCat Record")</f>
        <v>WorldCat Record</v>
      </c>
      <c r="AX2046" s="3" t="s">
        <v>21301</v>
      </c>
      <c r="AY2046" s="3" t="s">
        <v>21302</v>
      </c>
      <c r="AZ2046" s="3" t="s">
        <v>21303</v>
      </c>
      <c r="BA2046" s="3" t="s">
        <v>21303</v>
      </c>
      <c r="BB2046" s="3" t="s">
        <v>21304</v>
      </c>
      <c r="BC2046" s="3" t="s">
        <v>78</v>
      </c>
      <c r="BD2046" s="3" t="s">
        <v>79</v>
      </c>
      <c r="BE2046" s="3" t="s">
        <v>21305</v>
      </c>
      <c r="BF2046" s="3" t="s">
        <v>21304</v>
      </c>
      <c r="BG2046" s="3" t="s">
        <v>21306</v>
      </c>
    </row>
    <row r="2047" spans="1:59" ht="58" x14ac:dyDescent="0.35">
      <c r="A2047" s="2" t="s">
        <v>59</v>
      </c>
      <c r="B2047" s="2" t="s">
        <v>94</v>
      </c>
      <c r="C2047" s="2" t="s">
        <v>21307</v>
      </c>
      <c r="D2047" s="2" t="s">
        <v>21308</v>
      </c>
      <c r="E2047" s="2" t="s">
        <v>21309</v>
      </c>
      <c r="G2047" s="3" t="s">
        <v>64</v>
      </c>
      <c r="I2047" s="3" t="s">
        <v>64</v>
      </c>
      <c r="J2047" s="3" t="s">
        <v>64</v>
      </c>
      <c r="K2047" s="3" t="s">
        <v>65</v>
      </c>
      <c r="L2047" s="2" t="s">
        <v>21310</v>
      </c>
      <c r="M2047" s="2" t="s">
        <v>21311</v>
      </c>
      <c r="N2047" s="3" t="s">
        <v>3563</v>
      </c>
      <c r="P2047" s="3" t="s">
        <v>69</v>
      </c>
      <c r="Q2047" s="2" t="s">
        <v>12454</v>
      </c>
      <c r="R2047" s="3" t="s">
        <v>20939</v>
      </c>
      <c r="S2047" s="4">
        <v>16</v>
      </c>
      <c r="T2047" s="4">
        <v>16</v>
      </c>
      <c r="U2047" s="5" t="s">
        <v>6833</v>
      </c>
      <c r="V2047" s="5" t="s">
        <v>6833</v>
      </c>
      <c r="W2047" s="5" t="s">
        <v>72</v>
      </c>
      <c r="X2047" s="5" t="s">
        <v>72</v>
      </c>
      <c r="Y2047" s="4">
        <v>164</v>
      </c>
      <c r="Z2047" s="4">
        <v>8</v>
      </c>
      <c r="AA2047" s="4">
        <v>8</v>
      </c>
      <c r="AB2047" s="4">
        <v>1</v>
      </c>
      <c r="AC2047" s="4">
        <v>1</v>
      </c>
      <c r="AD2047" s="4">
        <v>73</v>
      </c>
      <c r="AE2047" s="4">
        <v>73</v>
      </c>
      <c r="AF2047" s="4">
        <v>0</v>
      </c>
      <c r="AG2047" s="4">
        <v>0</v>
      </c>
      <c r="AH2047" s="4">
        <v>70</v>
      </c>
      <c r="AI2047" s="4">
        <v>70</v>
      </c>
      <c r="AJ2047" s="4">
        <v>6</v>
      </c>
      <c r="AK2047" s="4">
        <v>6</v>
      </c>
      <c r="AL2047" s="4">
        <v>42</v>
      </c>
      <c r="AM2047" s="4">
        <v>42</v>
      </c>
      <c r="AN2047" s="4">
        <v>5</v>
      </c>
      <c r="AO2047" s="4">
        <v>5</v>
      </c>
      <c r="AP2047" s="4">
        <v>6</v>
      </c>
      <c r="AQ2047" s="4">
        <v>6</v>
      </c>
      <c r="AR2047" s="3" t="s">
        <v>64</v>
      </c>
      <c r="AS2047" s="3" t="s">
        <v>64</v>
      </c>
      <c r="AT2047" s="3" t="s">
        <v>73</v>
      </c>
      <c r="AU2047" s="6" t="str">
        <f>HYPERLINK("http://catalog.hathitrust.org/Record/002586040","HathiTrust Record")</f>
        <v>HathiTrust Record</v>
      </c>
      <c r="AV2047" s="6" t="str">
        <f>HYPERLINK("http://mcgill.on.worldcat.org/oclc/25317795","Catalog Record")</f>
        <v>Catalog Record</v>
      </c>
      <c r="AW2047" s="6" t="str">
        <f>HYPERLINK("http://www.worldcat.org/oclc/25317795","WorldCat Record")</f>
        <v>WorldCat Record</v>
      </c>
      <c r="AX2047" s="3" t="s">
        <v>21312</v>
      </c>
      <c r="AY2047" s="3" t="s">
        <v>21313</v>
      </c>
      <c r="AZ2047" s="3" t="s">
        <v>21314</v>
      </c>
      <c r="BA2047" s="3" t="s">
        <v>21314</v>
      </c>
      <c r="BB2047" s="3" t="s">
        <v>21315</v>
      </c>
      <c r="BC2047" s="3" t="s">
        <v>78</v>
      </c>
      <c r="BD2047" s="3" t="s">
        <v>79</v>
      </c>
      <c r="BE2047" s="3" t="s">
        <v>21316</v>
      </c>
      <c r="BF2047" s="3" t="s">
        <v>21315</v>
      </c>
      <c r="BG2047" s="3" t="s">
        <v>21317</v>
      </c>
    </row>
    <row r="2048" spans="1:59" ht="58" x14ac:dyDescent="0.35">
      <c r="A2048" s="2" t="s">
        <v>59</v>
      </c>
      <c r="B2048" s="2" t="s">
        <v>94</v>
      </c>
      <c r="C2048" s="2" t="s">
        <v>21318</v>
      </c>
      <c r="D2048" s="2" t="s">
        <v>21319</v>
      </c>
      <c r="E2048" s="2" t="s">
        <v>21320</v>
      </c>
      <c r="G2048" s="3" t="s">
        <v>64</v>
      </c>
      <c r="I2048" s="3" t="s">
        <v>64</v>
      </c>
      <c r="J2048" s="3" t="s">
        <v>64</v>
      </c>
      <c r="K2048" s="3" t="s">
        <v>65</v>
      </c>
      <c r="L2048" s="2" t="s">
        <v>21321</v>
      </c>
      <c r="M2048" s="2" t="s">
        <v>21322</v>
      </c>
      <c r="N2048" s="3" t="s">
        <v>499</v>
      </c>
      <c r="P2048" s="3" t="s">
        <v>69</v>
      </c>
      <c r="R2048" s="3" t="s">
        <v>20939</v>
      </c>
      <c r="S2048" s="4">
        <v>14</v>
      </c>
      <c r="T2048" s="4">
        <v>14</v>
      </c>
      <c r="U2048" s="5" t="s">
        <v>4334</v>
      </c>
      <c r="V2048" s="5" t="s">
        <v>4334</v>
      </c>
      <c r="W2048" s="5" t="s">
        <v>72</v>
      </c>
      <c r="X2048" s="5" t="s">
        <v>72</v>
      </c>
      <c r="Y2048" s="4">
        <v>530</v>
      </c>
      <c r="Z2048" s="4">
        <v>22</v>
      </c>
      <c r="AA2048" s="4">
        <v>55</v>
      </c>
      <c r="AB2048" s="4">
        <v>1</v>
      </c>
      <c r="AC2048" s="4">
        <v>3</v>
      </c>
      <c r="AD2048" s="4">
        <v>71</v>
      </c>
      <c r="AE2048" s="4">
        <v>94</v>
      </c>
      <c r="AF2048" s="4">
        <v>0</v>
      </c>
      <c r="AG2048" s="4">
        <v>0</v>
      </c>
      <c r="AH2048" s="4">
        <v>63</v>
      </c>
      <c r="AI2048" s="4">
        <v>76</v>
      </c>
      <c r="AJ2048" s="4">
        <v>8</v>
      </c>
      <c r="AK2048" s="4">
        <v>12</v>
      </c>
      <c r="AL2048" s="4">
        <v>39</v>
      </c>
      <c r="AM2048" s="4">
        <v>43</v>
      </c>
      <c r="AN2048" s="4">
        <v>0</v>
      </c>
      <c r="AO2048" s="4">
        <v>0</v>
      </c>
      <c r="AP2048" s="4">
        <v>11</v>
      </c>
      <c r="AQ2048" s="4">
        <v>23</v>
      </c>
      <c r="AR2048" s="3" t="s">
        <v>64</v>
      </c>
      <c r="AS2048" s="3" t="s">
        <v>64</v>
      </c>
      <c r="AT2048" s="3" t="s">
        <v>64</v>
      </c>
      <c r="AV2048" s="6" t="str">
        <f>HYPERLINK("http://mcgill.on.worldcat.org/oclc/57211009","Catalog Record")</f>
        <v>Catalog Record</v>
      </c>
      <c r="AW2048" s="6" t="str">
        <f>HYPERLINK("http://www.worldcat.org/oclc/57211009","WorldCat Record")</f>
        <v>WorldCat Record</v>
      </c>
      <c r="AX2048" s="3" t="s">
        <v>21323</v>
      </c>
      <c r="AY2048" s="3" t="s">
        <v>21324</v>
      </c>
      <c r="AZ2048" s="3" t="s">
        <v>21325</v>
      </c>
      <c r="BA2048" s="3" t="s">
        <v>21325</v>
      </c>
      <c r="BB2048" s="3" t="s">
        <v>21326</v>
      </c>
      <c r="BC2048" s="3" t="s">
        <v>78</v>
      </c>
      <c r="BD2048" s="3" t="s">
        <v>414</v>
      </c>
      <c r="BE2048" s="3" t="s">
        <v>21327</v>
      </c>
      <c r="BF2048" s="3" t="s">
        <v>21326</v>
      </c>
      <c r="BG2048" s="3" t="s">
        <v>21328</v>
      </c>
    </row>
    <row r="2049" spans="1:59" ht="58" x14ac:dyDescent="0.35">
      <c r="A2049" s="2" t="s">
        <v>59</v>
      </c>
      <c r="B2049" s="2" t="s">
        <v>94</v>
      </c>
      <c r="C2049" s="2" t="s">
        <v>21329</v>
      </c>
      <c r="D2049" s="2" t="s">
        <v>21330</v>
      </c>
      <c r="E2049" s="2" t="s">
        <v>21331</v>
      </c>
      <c r="G2049" s="3" t="s">
        <v>64</v>
      </c>
      <c r="I2049" s="3" t="s">
        <v>73</v>
      </c>
      <c r="J2049" s="3" t="s">
        <v>64</v>
      </c>
      <c r="K2049" s="3" t="s">
        <v>65</v>
      </c>
      <c r="L2049" s="2" t="s">
        <v>21332</v>
      </c>
      <c r="M2049" s="2" t="s">
        <v>21333</v>
      </c>
      <c r="N2049" s="3" t="s">
        <v>1267</v>
      </c>
      <c r="P2049" s="3" t="s">
        <v>69</v>
      </c>
      <c r="R2049" s="3" t="s">
        <v>20939</v>
      </c>
      <c r="S2049" s="4">
        <v>20</v>
      </c>
      <c r="T2049" s="4">
        <v>103</v>
      </c>
      <c r="U2049" s="5" t="s">
        <v>6833</v>
      </c>
      <c r="V2049" s="5" t="s">
        <v>6833</v>
      </c>
      <c r="W2049" s="5" t="s">
        <v>72</v>
      </c>
      <c r="X2049" s="5" t="s">
        <v>72</v>
      </c>
      <c r="Y2049" s="4">
        <v>140</v>
      </c>
      <c r="Z2049" s="4">
        <v>20</v>
      </c>
      <c r="AA2049" s="4">
        <v>22</v>
      </c>
      <c r="AB2049" s="4">
        <v>1</v>
      </c>
      <c r="AC2049" s="4">
        <v>2</v>
      </c>
      <c r="AD2049" s="4">
        <v>40</v>
      </c>
      <c r="AE2049" s="4">
        <v>42</v>
      </c>
      <c r="AF2049" s="4">
        <v>0</v>
      </c>
      <c r="AG2049" s="4">
        <v>0</v>
      </c>
      <c r="AH2049" s="4">
        <v>28</v>
      </c>
      <c r="AI2049" s="4">
        <v>30</v>
      </c>
      <c r="AJ2049" s="4">
        <v>10</v>
      </c>
      <c r="AK2049" s="4">
        <v>10</v>
      </c>
      <c r="AL2049" s="4">
        <v>21</v>
      </c>
      <c r="AM2049" s="4">
        <v>22</v>
      </c>
      <c r="AN2049" s="4">
        <v>0</v>
      </c>
      <c r="AO2049" s="4">
        <v>0</v>
      </c>
      <c r="AP2049" s="4">
        <v>13</v>
      </c>
      <c r="AQ2049" s="4">
        <v>13</v>
      </c>
      <c r="AR2049" s="3" t="s">
        <v>64</v>
      </c>
      <c r="AS2049" s="3" t="s">
        <v>64</v>
      </c>
      <c r="AT2049" s="3" t="s">
        <v>73</v>
      </c>
      <c r="AU2049" s="6" t="str">
        <f>HYPERLINK("http://catalog.hathitrust.org/Record/002028948","HathiTrust Record")</f>
        <v>HathiTrust Record</v>
      </c>
      <c r="AV2049" s="6" t="str">
        <f>HYPERLINK("http://mcgill.on.worldcat.org/oclc/43385","Catalog Record")</f>
        <v>Catalog Record</v>
      </c>
      <c r="AW2049" s="6" t="str">
        <f>HYPERLINK("http://www.worldcat.org/oclc/43385","WorldCat Record")</f>
        <v>WorldCat Record</v>
      </c>
      <c r="AX2049" s="3" t="s">
        <v>21334</v>
      </c>
      <c r="AY2049" s="3" t="s">
        <v>21335</v>
      </c>
      <c r="AZ2049" s="3" t="s">
        <v>21336</v>
      </c>
      <c r="BA2049" s="3" t="s">
        <v>21336</v>
      </c>
      <c r="BB2049" s="3" t="s">
        <v>21337</v>
      </c>
      <c r="BC2049" s="3" t="s">
        <v>78</v>
      </c>
      <c r="BD2049" s="3" t="s">
        <v>79</v>
      </c>
      <c r="BE2049" s="3" t="s">
        <v>21338</v>
      </c>
      <c r="BF2049" s="3" t="s">
        <v>21337</v>
      </c>
      <c r="BG2049" s="3" t="s">
        <v>21339</v>
      </c>
    </row>
    <row r="2050" spans="1:59" ht="58" x14ac:dyDescent="0.35">
      <c r="A2050" s="2" t="s">
        <v>59</v>
      </c>
      <c r="B2050" s="2" t="s">
        <v>94</v>
      </c>
      <c r="C2050" s="2" t="s">
        <v>21329</v>
      </c>
      <c r="D2050" s="2" t="s">
        <v>21330</v>
      </c>
      <c r="E2050" s="2" t="s">
        <v>21331</v>
      </c>
      <c r="G2050" s="3" t="s">
        <v>64</v>
      </c>
      <c r="I2050" s="3" t="s">
        <v>73</v>
      </c>
      <c r="J2050" s="3" t="s">
        <v>64</v>
      </c>
      <c r="K2050" s="3" t="s">
        <v>65</v>
      </c>
      <c r="L2050" s="2" t="s">
        <v>21332</v>
      </c>
      <c r="M2050" s="2" t="s">
        <v>21333</v>
      </c>
      <c r="N2050" s="3" t="s">
        <v>1267</v>
      </c>
      <c r="P2050" s="3" t="s">
        <v>69</v>
      </c>
      <c r="R2050" s="3" t="s">
        <v>20939</v>
      </c>
      <c r="S2050" s="4">
        <v>43</v>
      </c>
      <c r="T2050" s="4">
        <v>103</v>
      </c>
      <c r="U2050" s="5" t="s">
        <v>3195</v>
      </c>
      <c r="V2050" s="5" t="s">
        <v>6833</v>
      </c>
      <c r="W2050" s="5" t="s">
        <v>72</v>
      </c>
      <c r="X2050" s="5" t="s">
        <v>72</v>
      </c>
      <c r="Y2050" s="4">
        <v>140</v>
      </c>
      <c r="Z2050" s="4">
        <v>20</v>
      </c>
      <c r="AA2050" s="4">
        <v>22</v>
      </c>
      <c r="AB2050" s="4">
        <v>1</v>
      </c>
      <c r="AC2050" s="4">
        <v>2</v>
      </c>
      <c r="AD2050" s="4">
        <v>40</v>
      </c>
      <c r="AE2050" s="4">
        <v>42</v>
      </c>
      <c r="AF2050" s="4">
        <v>0</v>
      </c>
      <c r="AG2050" s="4">
        <v>0</v>
      </c>
      <c r="AH2050" s="4">
        <v>28</v>
      </c>
      <c r="AI2050" s="4">
        <v>30</v>
      </c>
      <c r="AJ2050" s="4">
        <v>10</v>
      </c>
      <c r="AK2050" s="4">
        <v>10</v>
      </c>
      <c r="AL2050" s="4">
        <v>21</v>
      </c>
      <c r="AM2050" s="4">
        <v>22</v>
      </c>
      <c r="AN2050" s="4">
        <v>0</v>
      </c>
      <c r="AO2050" s="4">
        <v>0</v>
      </c>
      <c r="AP2050" s="4">
        <v>13</v>
      </c>
      <c r="AQ2050" s="4">
        <v>13</v>
      </c>
      <c r="AR2050" s="3" t="s">
        <v>64</v>
      </c>
      <c r="AS2050" s="3" t="s">
        <v>64</v>
      </c>
      <c r="AT2050" s="3" t="s">
        <v>73</v>
      </c>
      <c r="AU2050" s="6" t="str">
        <f>HYPERLINK("http://catalog.hathitrust.org/Record/002028948","HathiTrust Record")</f>
        <v>HathiTrust Record</v>
      </c>
      <c r="AV2050" s="6" t="str">
        <f>HYPERLINK("http://mcgill.on.worldcat.org/oclc/43385","Catalog Record")</f>
        <v>Catalog Record</v>
      </c>
      <c r="AW2050" s="6" t="str">
        <f>HYPERLINK("http://www.worldcat.org/oclc/43385","WorldCat Record")</f>
        <v>WorldCat Record</v>
      </c>
      <c r="AX2050" s="3" t="s">
        <v>21334</v>
      </c>
      <c r="AY2050" s="3" t="s">
        <v>21335</v>
      </c>
      <c r="AZ2050" s="3" t="s">
        <v>21336</v>
      </c>
      <c r="BA2050" s="3" t="s">
        <v>21336</v>
      </c>
      <c r="BB2050" s="3" t="s">
        <v>21340</v>
      </c>
      <c r="BC2050" s="3" t="s">
        <v>78</v>
      </c>
      <c r="BD2050" s="3" t="s">
        <v>79</v>
      </c>
      <c r="BE2050" s="3" t="s">
        <v>21338</v>
      </c>
      <c r="BF2050" s="3" t="s">
        <v>21340</v>
      </c>
      <c r="BG2050" s="3" t="s">
        <v>21341</v>
      </c>
    </row>
    <row r="2051" spans="1:59" ht="58" x14ac:dyDescent="0.35">
      <c r="A2051" s="2" t="s">
        <v>59</v>
      </c>
      <c r="B2051" s="2" t="s">
        <v>94</v>
      </c>
      <c r="C2051" s="2" t="s">
        <v>21329</v>
      </c>
      <c r="D2051" s="2" t="s">
        <v>21330</v>
      </c>
      <c r="E2051" s="2" t="s">
        <v>21331</v>
      </c>
      <c r="G2051" s="3" t="s">
        <v>64</v>
      </c>
      <c r="I2051" s="3" t="s">
        <v>73</v>
      </c>
      <c r="J2051" s="3" t="s">
        <v>64</v>
      </c>
      <c r="K2051" s="3" t="s">
        <v>65</v>
      </c>
      <c r="L2051" s="2" t="s">
        <v>21332</v>
      </c>
      <c r="M2051" s="2" t="s">
        <v>21333</v>
      </c>
      <c r="N2051" s="3" t="s">
        <v>1267</v>
      </c>
      <c r="P2051" s="3" t="s">
        <v>69</v>
      </c>
      <c r="R2051" s="3" t="s">
        <v>20939</v>
      </c>
      <c r="S2051" s="4">
        <v>40</v>
      </c>
      <c r="T2051" s="4">
        <v>103</v>
      </c>
      <c r="U2051" s="5" t="s">
        <v>21342</v>
      </c>
      <c r="V2051" s="5" t="s">
        <v>6833</v>
      </c>
      <c r="W2051" s="5" t="s">
        <v>72</v>
      </c>
      <c r="X2051" s="5" t="s">
        <v>72</v>
      </c>
      <c r="Y2051" s="4">
        <v>140</v>
      </c>
      <c r="Z2051" s="4">
        <v>20</v>
      </c>
      <c r="AA2051" s="4">
        <v>22</v>
      </c>
      <c r="AB2051" s="4">
        <v>1</v>
      </c>
      <c r="AC2051" s="4">
        <v>2</v>
      </c>
      <c r="AD2051" s="4">
        <v>40</v>
      </c>
      <c r="AE2051" s="4">
        <v>42</v>
      </c>
      <c r="AF2051" s="4">
        <v>0</v>
      </c>
      <c r="AG2051" s="4">
        <v>0</v>
      </c>
      <c r="AH2051" s="4">
        <v>28</v>
      </c>
      <c r="AI2051" s="4">
        <v>30</v>
      </c>
      <c r="AJ2051" s="4">
        <v>10</v>
      </c>
      <c r="AK2051" s="4">
        <v>10</v>
      </c>
      <c r="AL2051" s="4">
        <v>21</v>
      </c>
      <c r="AM2051" s="4">
        <v>22</v>
      </c>
      <c r="AN2051" s="4">
        <v>0</v>
      </c>
      <c r="AO2051" s="4">
        <v>0</v>
      </c>
      <c r="AP2051" s="4">
        <v>13</v>
      </c>
      <c r="AQ2051" s="4">
        <v>13</v>
      </c>
      <c r="AR2051" s="3" t="s">
        <v>64</v>
      </c>
      <c r="AS2051" s="3" t="s">
        <v>64</v>
      </c>
      <c r="AT2051" s="3" t="s">
        <v>73</v>
      </c>
      <c r="AU2051" s="6" t="str">
        <f>HYPERLINK("http://catalog.hathitrust.org/Record/002028948","HathiTrust Record")</f>
        <v>HathiTrust Record</v>
      </c>
      <c r="AV2051" s="6" t="str">
        <f>HYPERLINK("http://mcgill.on.worldcat.org/oclc/43385","Catalog Record")</f>
        <v>Catalog Record</v>
      </c>
      <c r="AW2051" s="6" t="str">
        <f>HYPERLINK("http://www.worldcat.org/oclc/43385","WorldCat Record")</f>
        <v>WorldCat Record</v>
      </c>
      <c r="AX2051" s="3" t="s">
        <v>21334</v>
      </c>
      <c r="AY2051" s="3" t="s">
        <v>21335</v>
      </c>
      <c r="AZ2051" s="3" t="s">
        <v>21336</v>
      </c>
      <c r="BA2051" s="3" t="s">
        <v>21336</v>
      </c>
      <c r="BB2051" s="3" t="s">
        <v>21343</v>
      </c>
      <c r="BC2051" s="3" t="s">
        <v>78</v>
      </c>
      <c r="BD2051" s="3" t="s">
        <v>79</v>
      </c>
      <c r="BE2051" s="3" t="s">
        <v>21338</v>
      </c>
      <c r="BF2051" s="3" t="s">
        <v>21343</v>
      </c>
      <c r="BG2051" s="3" t="s">
        <v>21344</v>
      </c>
    </row>
    <row r="2052" spans="1:59" ht="58" x14ac:dyDescent="0.35">
      <c r="A2052" s="2" t="s">
        <v>59</v>
      </c>
      <c r="B2052" s="2" t="s">
        <v>94</v>
      </c>
      <c r="C2052" s="2" t="s">
        <v>21345</v>
      </c>
      <c r="D2052" s="2" t="s">
        <v>21346</v>
      </c>
      <c r="E2052" s="2" t="s">
        <v>21347</v>
      </c>
      <c r="G2052" s="3" t="s">
        <v>64</v>
      </c>
      <c r="I2052" s="3" t="s">
        <v>64</v>
      </c>
      <c r="J2052" s="3" t="s">
        <v>64</v>
      </c>
      <c r="K2052" s="3" t="s">
        <v>65</v>
      </c>
      <c r="L2052" s="2" t="s">
        <v>21348</v>
      </c>
      <c r="M2052" s="2" t="s">
        <v>21349</v>
      </c>
      <c r="N2052" s="3" t="s">
        <v>1064</v>
      </c>
      <c r="P2052" s="3" t="s">
        <v>69</v>
      </c>
      <c r="R2052" s="3" t="s">
        <v>20939</v>
      </c>
      <c r="S2052" s="4">
        <v>24</v>
      </c>
      <c r="T2052" s="4">
        <v>24</v>
      </c>
      <c r="U2052" s="5" t="s">
        <v>590</v>
      </c>
      <c r="V2052" s="5" t="s">
        <v>590</v>
      </c>
      <c r="W2052" s="5" t="s">
        <v>72</v>
      </c>
      <c r="X2052" s="5" t="s">
        <v>72</v>
      </c>
      <c r="Y2052" s="4">
        <v>229</v>
      </c>
      <c r="Z2052" s="4">
        <v>67</v>
      </c>
      <c r="AA2052" s="4">
        <v>122</v>
      </c>
      <c r="AB2052" s="4">
        <v>3</v>
      </c>
      <c r="AC2052" s="4">
        <v>19</v>
      </c>
      <c r="AD2052" s="4">
        <v>92</v>
      </c>
      <c r="AE2052" s="4">
        <v>129</v>
      </c>
      <c r="AF2052" s="4">
        <v>1</v>
      </c>
      <c r="AG2052" s="4">
        <v>9</v>
      </c>
      <c r="AH2052" s="4">
        <v>61</v>
      </c>
      <c r="AI2052" s="4">
        <v>76</v>
      </c>
      <c r="AJ2052" s="4">
        <v>20</v>
      </c>
      <c r="AK2052" s="4">
        <v>29</v>
      </c>
      <c r="AL2052" s="4">
        <v>34</v>
      </c>
      <c r="AM2052" s="4">
        <v>39</v>
      </c>
      <c r="AN2052" s="4">
        <v>0</v>
      </c>
      <c r="AO2052" s="4">
        <v>0</v>
      </c>
      <c r="AP2052" s="4">
        <v>37</v>
      </c>
      <c r="AQ2052" s="4">
        <v>60</v>
      </c>
      <c r="AR2052" s="3" t="s">
        <v>73</v>
      </c>
      <c r="AS2052" s="3" t="s">
        <v>64</v>
      </c>
      <c r="AT2052" s="3" t="s">
        <v>64</v>
      </c>
      <c r="AV2052" s="6" t="str">
        <f>HYPERLINK("http://mcgill.on.worldcat.org/oclc/42683133","Catalog Record")</f>
        <v>Catalog Record</v>
      </c>
      <c r="AW2052" s="6" t="str">
        <f>HYPERLINK("http://www.worldcat.org/oclc/42683133","WorldCat Record")</f>
        <v>WorldCat Record</v>
      </c>
      <c r="AX2052" s="3" t="s">
        <v>21350</v>
      </c>
      <c r="AY2052" s="3" t="s">
        <v>21351</v>
      </c>
      <c r="AZ2052" s="3" t="s">
        <v>21352</v>
      </c>
      <c r="BA2052" s="3" t="s">
        <v>21352</v>
      </c>
      <c r="BB2052" s="3" t="s">
        <v>21353</v>
      </c>
      <c r="BC2052" s="3" t="s">
        <v>78</v>
      </c>
      <c r="BD2052" s="3" t="s">
        <v>79</v>
      </c>
      <c r="BE2052" s="3" t="s">
        <v>21354</v>
      </c>
      <c r="BF2052" s="3" t="s">
        <v>21353</v>
      </c>
      <c r="BG2052" s="3" t="s">
        <v>21355</v>
      </c>
    </row>
    <row r="2053" spans="1:59" ht="58" x14ac:dyDescent="0.35">
      <c r="A2053" s="2" t="s">
        <v>59</v>
      </c>
      <c r="B2053" s="2" t="s">
        <v>94</v>
      </c>
      <c r="C2053" s="2" t="s">
        <v>21356</v>
      </c>
      <c r="D2053" s="2" t="s">
        <v>21357</v>
      </c>
      <c r="E2053" s="2" t="s">
        <v>21358</v>
      </c>
      <c r="G2053" s="3" t="s">
        <v>64</v>
      </c>
      <c r="I2053" s="3" t="s">
        <v>64</v>
      </c>
      <c r="J2053" s="3" t="s">
        <v>73</v>
      </c>
      <c r="K2053" s="3" t="s">
        <v>65</v>
      </c>
      <c r="L2053" s="2" t="s">
        <v>21359</v>
      </c>
      <c r="M2053" s="2" t="s">
        <v>21360</v>
      </c>
      <c r="N2053" s="3" t="s">
        <v>3181</v>
      </c>
      <c r="P2053" s="3" t="s">
        <v>69</v>
      </c>
      <c r="R2053" s="3" t="s">
        <v>20939</v>
      </c>
      <c r="S2053" s="4">
        <v>31</v>
      </c>
      <c r="T2053" s="4">
        <v>31</v>
      </c>
      <c r="U2053" s="5" t="s">
        <v>11705</v>
      </c>
      <c r="V2053" s="5" t="s">
        <v>11705</v>
      </c>
      <c r="W2053" s="5" t="s">
        <v>72</v>
      </c>
      <c r="X2053" s="5" t="s">
        <v>72</v>
      </c>
      <c r="Y2053" s="4">
        <v>334</v>
      </c>
      <c r="Z2053" s="4">
        <v>19</v>
      </c>
      <c r="AA2053" s="4">
        <v>46</v>
      </c>
      <c r="AB2053" s="4">
        <v>3</v>
      </c>
      <c r="AC2053" s="4">
        <v>10</v>
      </c>
      <c r="AD2053" s="4">
        <v>51</v>
      </c>
      <c r="AE2053" s="4">
        <v>108</v>
      </c>
      <c r="AF2053" s="4">
        <v>1</v>
      </c>
      <c r="AG2053" s="4">
        <v>3</v>
      </c>
      <c r="AH2053" s="4">
        <v>41</v>
      </c>
      <c r="AI2053" s="4">
        <v>87</v>
      </c>
      <c r="AJ2053" s="4">
        <v>6</v>
      </c>
      <c r="AK2053" s="4">
        <v>20</v>
      </c>
      <c r="AL2053" s="4">
        <v>26</v>
      </c>
      <c r="AM2053" s="4">
        <v>47</v>
      </c>
      <c r="AN2053" s="4">
        <v>0</v>
      </c>
      <c r="AO2053" s="4">
        <v>0</v>
      </c>
      <c r="AP2053" s="4">
        <v>12</v>
      </c>
      <c r="AQ2053" s="4">
        <v>30</v>
      </c>
      <c r="AR2053" s="3" t="s">
        <v>64</v>
      </c>
      <c r="AS2053" s="3" t="s">
        <v>64</v>
      </c>
      <c r="AT2053" s="3" t="s">
        <v>73</v>
      </c>
      <c r="AU2053" s="6" t="str">
        <f>HYPERLINK("http://catalog.hathitrust.org/Record/002022281","HathiTrust Record")</f>
        <v>HathiTrust Record</v>
      </c>
      <c r="AV2053" s="6" t="str">
        <f>HYPERLINK("http://mcgill.on.worldcat.org/oclc/109932","Catalog Record")</f>
        <v>Catalog Record</v>
      </c>
      <c r="AW2053" s="6" t="str">
        <f>HYPERLINK("http://www.worldcat.org/oclc/109932","WorldCat Record")</f>
        <v>WorldCat Record</v>
      </c>
      <c r="AX2053" s="3" t="s">
        <v>21361</v>
      </c>
      <c r="AY2053" s="3" t="s">
        <v>21362</v>
      </c>
      <c r="AZ2053" s="3" t="s">
        <v>21363</v>
      </c>
      <c r="BA2053" s="3" t="s">
        <v>21363</v>
      </c>
      <c r="BB2053" s="3" t="s">
        <v>21364</v>
      </c>
      <c r="BC2053" s="3" t="s">
        <v>78</v>
      </c>
      <c r="BD2053" s="3" t="s">
        <v>414</v>
      </c>
      <c r="BE2053" s="3" t="s">
        <v>21365</v>
      </c>
      <c r="BF2053" s="3" t="s">
        <v>21364</v>
      </c>
      <c r="BG2053" s="3" t="s">
        <v>21366</v>
      </c>
    </row>
    <row r="2054" spans="1:59" ht="58" x14ac:dyDescent="0.35">
      <c r="A2054" s="2" t="s">
        <v>59</v>
      </c>
      <c r="B2054" s="2" t="s">
        <v>94</v>
      </c>
      <c r="C2054" s="2" t="s">
        <v>21367</v>
      </c>
      <c r="D2054" s="2" t="s">
        <v>21368</v>
      </c>
      <c r="E2054" s="2" t="s">
        <v>21369</v>
      </c>
      <c r="G2054" s="3" t="s">
        <v>64</v>
      </c>
      <c r="I2054" s="3" t="s">
        <v>64</v>
      </c>
      <c r="J2054" s="3" t="s">
        <v>64</v>
      </c>
      <c r="K2054" s="3" t="s">
        <v>65</v>
      </c>
      <c r="L2054" s="2" t="s">
        <v>21370</v>
      </c>
      <c r="M2054" s="2" t="s">
        <v>21371</v>
      </c>
      <c r="N2054" s="3" t="s">
        <v>1530</v>
      </c>
      <c r="P2054" s="3" t="s">
        <v>69</v>
      </c>
      <c r="R2054" s="3" t="s">
        <v>20939</v>
      </c>
      <c r="S2054" s="4">
        <v>17</v>
      </c>
      <c r="T2054" s="4">
        <v>17</v>
      </c>
      <c r="U2054" s="5" t="s">
        <v>6833</v>
      </c>
      <c r="V2054" s="5" t="s">
        <v>6833</v>
      </c>
      <c r="W2054" s="5" t="s">
        <v>72</v>
      </c>
      <c r="X2054" s="5" t="s">
        <v>72</v>
      </c>
      <c r="Y2054" s="4">
        <v>853</v>
      </c>
      <c r="Z2054" s="4">
        <v>23</v>
      </c>
      <c r="AA2054" s="4">
        <v>25</v>
      </c>
      <c r="AB2054" s="4">
        <v>4</v>
      </c>
      <c r="AC2054" s="4">
        <v>5</v>
      </c>
      <c r="AD2054" s="4">
        <v>79</v>
      </c>
      <c r="AE2054" s="4">
        <v>82</v>
      </c>
      <c r="AF2054" s="4">
        <v>0</v>
      </c>
      <c r="AG2054" s="4">
        <v>0</v>
      </c>
      <c r="AH2054" s="4">
        <v>73</v>
      </c>
      <c r="AI2054" s="4">
        <v>75</v>
      </c>
      <c r="AJ2054" s="4">
        <v>8</v>
      </c>
      <c r="AK2054" s="4">
        <v>8</v>
      </c>
      <c r="AL2054" s="4">
        <v>39</v>
      </c>
      <c r="AM2054" s="4">
        <v>40</v>
      </c>
      <c r="AN2054" s="4">
        <v>0</v>
      </c>
      <c r="AO2054" s="4">
        <v>0</v>
      </c>
      <c r="AP2054" s="4">
        <v>9</v>
      </c>
      <c r="AQ2054" s="4">
        <v>10</v>
      </c>
      <c r="AR2054" s="3" t="s">
        <v>64</v>
      </c>
      <c r="AS2054" s="3" t="s">
        <v>64</v>
      </c>
      <c r="AT2054" s="3" t="s">
        <v>64</v>
      </c>
      <c r="AV2054" s="6" t="str">
        <f>HYPERLINK("http://mcgill.on.worldcat.org/oclc/48162561","Catalog Record")</f>
        <v>Catalog Record</v>
      </c>
      <c r="AW2054" s="6" t="str">
        <f>HYPERLINK("http://www.worldcat.org/oclc/48162561","WorldCat Record")</f>
        <v>WorldCat Record</v>
      </c>
      <c r="AX2054" s="3" t="s">
        <v>21372</v>
      </c>
      <c r="AY2054" s="3" t="s">
        <v>21373</v>
      </c>
      <c r="AZ2054" s="3" t="s">
        <v>21374</v>
      </c>
      <c r="BA2054" s="3" t="s">
        <v>21374</v>
      </c>
      <c r="BB2054" s="3" t="s">
        <v>21375</v>
      </c>
      <c r="BC2054" s="3" t="s">
        <v>78</v>
      </c>
      <c r="BD2054" s="3" t="s">
        <v>79</v>
      </c>
      <c r="BE2054" s="3" t="s">
        <v>21376</v>
      </c>
      <c r="BF2054" s="3" t="s">
        <v>21375</v>
      </c>
      <c r="BG2054" s="3" t="s">
        <v>21377</v>
      </c>
    </row>
    <row r="2055" spans="1:59" ht="58" x14ac:dyDescent="0.35">
      <c r="A2055" s="2" t="s">
        <v>59</v>
      </c>
      <c r="B2055" s="2" t="s">
        <v>94</v>
      </c>
      <c r="C2055" s="2" t="s">
        <v>21378</v>
      </c>
      <c r="D2055" s="2" t="s">
        <v>21379</v>
      </c>
      <c r="E2055" s="2" t="s">
        <v>21380</v>
      </c>
      <c r="G2055" s="3" t="s">
        <v>64</v>
      </c>
      <c r="I2055" s="3" t="s">
        <v>73</v>
      </c>
      <c r="J2055" s="3" t="s">
        <v>64</v>
      </c>
      <c r="K2055" s="3" t="s">
        <v>65</v>
      </c>
      <c r="L2055" s="2" t="s">
        <v>21381</v>
      </c>
      <c r="M2055" s="2" t="s">
        <v>21382</v>
      </c>
      <c r="N2055" s="3" t="s">
        <v>407</v>
      </c>
      <c r="P2055" s="3" t="s">
        <v>69</v>
      </c>
      <c r="R2055" s="3" t="s">
        <v>20939</v>
      </c>
      <c r="S2055" s="4">
        <v>64</v>
      </c>
      <c r="T2055" s="4">
        <v>64</v>
      </c>
      <c r="U2055" s="5" t="s">
        <v>590</v>
      </c>
      <c r="V2055" s="5" t="s">
        <v>590</v>
      </c>
      <c r="W2055" s="5" t="s">
        <v>72</v>
      </c>
      <c r="X2055" s="5" t="s">
        <v>72</v>
      </c>
      <c r="Y2055" s="4">
        <v>574</v>
      </c>
      <c r="Z2055" s="4">
        <v>29</v>
      </c>
      <c r="AA2055" s="4">
        <v>43</v>
      </c>
      <c r="AB2055" s="4">
        <v>2</v>
      </c>
      <c r="AC2055" s="4">
        <v>8</v>
      </c>
      <c r="AD2055" s="4">
        <v>117</v>
      </c>
      <c r="AE2055" s="4">
        <v>130</v>
      </c>
      <c r="AF2055" s="4">
        <v>1</v>
      </c>
      <c r="AG2055" s="4">
        <v>3</v>
      </c>
      <c r="AH2055" s="4">
        <v>100</v>
      </c>
      <c r="AI2055" s="4">
        <v>108</v>
      </c>
      <c r="AJ2055" s="4">
        <v>15</v>
      </c>
      <c r="AK2055" s="4">
        <v>19</v>
      </c>
      <c r="AL2055" s="4">
        <v>56</v>
      </c>
      <c r="AM2055" s="4">
        <v>59</v>
      </c>
      <c r="AN2055" s="4">
        <v>0</v>
      </c>
      <c r="AO2055" s="4">
        <v>0</v>
      </c>
      <c r="AP2055" s="4">
        <v>23</v>
      </c>
      <c r="AQ2055" s="4">
        <v>29</v>
      </c>
      <c r="AR2055" s="3" t="s">
        <v>64</v>
      </c>
      <c r="AS2055" s="3" t="s">
        <v>64</v>
      </c>
      <c r="AT2055" s="3" t="s">
        <v>64</v>
      </c>
      <c r="AV2055" s="6" t="str">
        <f>HYPERLINK("http://mcgill.on.worldcat.org/oclc/12051072","Catalog Record")</f>
        <v>Catalog Record</v>
      </c>
      <c r="AW2055" s="6" t="str">
        <f>HYPERLINK("http://www.worldcat.org/oclc/12051072","WorldCat Record")</f>
        <v>WorldCat Record</v>
      </c>
      <c r="AX2055" s="3" t="s">
        <v>21383</v>
      </c>
      <c r="AY2055" s="3" t="s">
        <v>21384</v>
      </c>
      <c r="AZ2055" s="3" t="s">
        <v>21385</v>
      </c>
      <c r="BA2055" s="3" t="s">
        <v>21385</v>
      </c>
      <c r="BB2055" s="3" t="s">
        <v>21386</v>
      </c>
      <c r="BC2055" s="3" t="s">
        <v>78</v>
      </c>
      <c r="BD2055" s="3" t="s">
        <v>79</v>
      </c>
      <c r="BE2055" s="3" t="s">
        <v>21387</v>
      </c>
      <c r="BF2055" s="3" t="s">
        <v>21386</v>
      </c>
      <c r="BG2055" s="3" t="s">
        <v>21388</v>
      </c>
    </row>
    <row r="2056" spans="1:59" ht="58" x14ac:dyDescent="0.35">
      <c r="A2056" s="2" t="s">
        <v>59</v>
      </c>
      <c r="B2056" s="2" t="s">
        <v>94</v>
      </c>
      <c r="C2056" s="2" t="s">
        <v>21389</v>
      </c>
      <c r="D2056" s="2" t="s">
        <v>21390</v>
      </c>
      <c r="E2056" s="2" t="s">
        <v>21391</v>
      </c>
      <c r="G2056" s="3" t="s">
        <v>64</v>
      </c>
      <c r="I2056" s="3" t="s">
        <v>73</v>
      </c>
      <c r="J2056" s="3" t="s">
        <v>64</v>
      </c>
      <c r="K2056" s="3" t="s">
        <v>65</v>
      </c>
      <c r="L2056" s="2" t="s">
        <v>21392</v>
      </c>
      <c r="M2056" s="2" t="s">
        <v>21393</v>
      </c>
      <c r="N2056" s="3" t="s">
        <v>1267</v>
      </c>
      <c r="P2056" s="3" t="s">
        <v>69</v>
      </c>
      <c r="R2056" s="3" t="s">
        <v>20939</v>
      </c>
      <c r="S2056" s="4">
        <v>28</v>
      </c>
      <c r="T2056" s="4">
        <v>39</v>
      </c>
      <c r="U2056" s="5" t="s">
        <v>21394</v>
      </c>
      <c r="V2056" s="5" t="s">
        <v>590</v>
      </c>
      <c r="W2056" s="5" t="s">
        <v>72</v>
      </c>
      <c r="X2056" s="5" t="s">
        <v>72</v>
      </c>
      <c r="Y2056" s="4">
        <v>759</v>
      </c>
      <c r="Z2056" s="4">
        <v>37</v>
      </c>
      <c r="AA2056" s="4">
        <v>50</v>
      </c>
      <c r="AB2056" s="4">
        <v>2</v>
      </c>
      <c r="AC2056" s="4">
        <v>5</v>
      </c>
      <c r="AD2056" s="4">
        <v>114</v>
      </c>
      <c r="AE2056" s="4">
        <v>129</v>
      </c>
      <c r="AF2056" s="4">
        <v>1</v>
      </c>
      <c r="AG2056" s="4">
        <v>3</v>
      </c>
      <c r="AH2056" s="4">
        <v>96</v>
      </c>
      <c r="AI2056" s="4">
        <v>103</v>
      </c>
      <c r="AJ2056" s="4">
        <v>19</v>
      </c>
      <c r="AK2056" s="4">
        <v>24</v>
      </c>
      <c r="AL2056" s="4">
        <v>50</v>
      </c>
      <c r="AM2056" s="4">
        <v>54</v>
      </c>
      <c r="AN2056" s="4">
        <v>0</v>
      </c>
      <c r="AO2056" s="4">
        <v>0</v>
      </c>
      <c r="AP2056" s="4">
        <v>25</v>
      </c>
      <c r="AQ2056" s="4">
        <v>33</v>
      </c>
      <c r="AR2056" s="3" t="s">
        <v>64</v>
      </c>
      <c r="AS2056" s="3" t="s">
        <v>64</v>
      </c>
      <c r="AT2056" s="3" t="s">
        <v>73</v>
      </c>
      <c r="AU2056" s="6" t="str">
        <f>HYPERLINK("http://catalog.hathitrust.org/Record/001622145","HathiTrust Record")</f>
        <v>HathiTrust Record</v>
      </c>
      <c r="AV2056" s="6" t="str">
        <f>HYPERLINK("http://mcgill.on.worldcat.org/oclc/313596","Catalog Record")</f>
        <v>Catalog Record</v>
      </c>
      <c r="AW2056" s="6" t="str">
        <f>HYPERLINK("http://www.worldcat.org/oclc/313596","WorldCat Record")</f>
        <v>WorldCat Record</v>
      </c>
      <c r="AX2056" s="3" t="s">
        <v>21395</v>
      </c>
      <c r="AY2056" s="3" t="s">
        <v>21396</v>
      </c>
      <c r="AZ2056" s="3" t="s">
        <v>21397</v>
      </c>
      <c r="BA2056" s="3" t="s">
        <v>21397</v>
      </c>
      <c r="BB2056" s="3" t="s">
        <v>21398</v>
      </c>
      <c r="BC2056" s="3" t="s">
        <v>78</v>
      </c>
      <c r="BD2056" s="3" t="s">
        <v>79</v>
      </c>
      <c r="BF2056" s="3" t="s">
        <v>21398</v>
      </c>
      <c r="BG2056" s="3" t="s">
        <v>21399</v>
      </c>
    </row>
    <row r="2057" spans="1:59" ht="58" x14ac:dyDescent="0.35">
      <c r="A2057" s="2" t="s">
        <v>59</v>
      </c>
      <c r="B2057" s="2" t="s">
        <v>94</v>
      </c>
      <c r="C2057" s="2" t="s">
        <v>21389</v>
      </c>
      <c r="D2057" s="2" t="s">
        <v>21390</v>
      </c>
      <c r="E2057" s="2" t="s">
        <v>21391</v>
      </c>
      <c r="G2057" s="3" t="s">
        <v>64</v>
      </c>
      <c r="I2057" s="3" t="s">
        <v>73</v>
      </c>
      <c r="J2057" s="3" t="s">
        <v>64</v>
      </c>
      <c r="K2057" s="3" t="s">
        <v>65</v>
      </c>
      <c r="L2057" s="2" t="s">
        <v>21392</v>
      </c>
      <c r="M2057" s="2" t="s">
        <v>21393</v>
      </c>
      <c r="N2057" s="3" t="s">
        <v>1267</v>
      </c>
      <c r="P2057" s="3" t="s">
        <v>69</v>
      </c>
      <c r="R2057" s="3" t="s">
        <v>20939</v>
      </c>
      <c r="S2057" s="4">
        <v>11</v>
      </c>
      <c r="T2057" s="4">
        <v>39</v>
      </c>
      <c r="U2057" s="5" t="s">
        <v>590</v>
      </c>
      <c r="V2057" s="5" t="s">
        <v>590</v>
      </c>
      <c r="W2057" s="5" t="s">
        <v>72</v>
      </c>
      <c r="X2057" s="5" t="s">
        <v>72</v>
      </c>
      <c r="Y2057" s="4">
        <v>759</v>
      </c>
      <c r="Z2057" s="4">
        <v>37</v>
      </c>
      <c r="AA2057" s="4">
        <v>50</v>
      </c>
      <c r="AB2057" s="4">
        <v>2</v>
      </c>
      <c r="AC2057" s="4">
        <v>5</v>
      </c>
      <c r="AD2057" s="4">
        <v>114</v>
      </c>
      <c r="AE2057" s="4">
        <v>129</v>
      </c>
      <c r="AF2057" s="4">
        <v>1</v>
      </c>
      <c r="AG2057" s="4">
        <v>3</v>
      </c>
      <c r="AH2057" s="4">
        <v>96</v>
      </c>
      <c r="AI2057" s="4">
        <v>103</v>
      </c>
      <c r="AJ2057" s="4">
        <v>19</v>
      </c>
      <c r="AK2057" s="4">
        <v>24</v>
      </c>
      <c r="AL2057" s="4">
        <v>50</v>
      </c>
      <c r="AM2057" s="4">
        <v>54</v>
      </c>
      <c r="AN2057" s="4">
        <v>0</v>
      </c>
      <c r="AO2057" s="4">
        <v>0</v>
      </c>
      <c r="AP2057" s="4">
        <v>25</v>
      </c>
      <c r="AQ2057" s="4">
        <v>33</v>
      </c>
      <c r="AR2057" s="3" t="s">
        <v>64</v>
      </c>
      <c r="AS2057" s="3" t="s">
        <v>64</v>
      </c>
      <c r="AT2057" s="3" t="s">
        <v>73</v>
      </c>
      <c r="AU2057" s="6" t="str">
        <f>HYPERLINK("http://catalog.hathitrust.org/Record/001622145","HathiTrust Record")</f>
        <v>HathiTrust Record</v>
      </c>
      <c r="AV2057" s="6" t="str">
        <f>HYPERLINK("http://mcgill.on.worldcat.org/oclc/313596","Catalog Record")</f>
        <v>Catalog Record</v>
      </c>
      <c r="AW2057" s="6" t="str">
        <f>HYPERLINK("http://www.worldcat.org/oclc/313596","WorldCat Record")</f>
        <v>WorldCat Record</v>
      </c>
      <c r="AX2057" s="3" t="s">
        <v>21395</v>
      </c>
      <c r="AY2057" s="3" t="s">
        <v>21396</v>
      </c>
      <c r="AZ2057" s="3" t="s">
        <v>21397</v>
      </c>
      <c r="BA2057" s="3" t="s">
        <v>21397</v>
      </c>
      <c r="BB2057" s="3" t="s">
        <v>21400</v>
      </c>
      <c r="BC2057" s="3" t="s">
        <v>78</v>
      </c>
      <c r="BD2057" s="3" t="s">
        <v>79</v>
      </c>
      <c r="BF2057" s="3" t="s">
        <v>21400</v>
      </c>
      <c r="BG2057" s="3" t="s">
        <v>21401</v>
      </c>
    </row>
    <row r="2058" spans="1:59" ht="58" x14ac:dyDescent="0.35">
      <c r="A2058" s="2" t="s">
        <v>59</v>
      </c>
      <c r="B2058" s="2" t="s">
        <v>94</v>
      </c>
      <c r="C2058" s="2" t="s">
        <v>21402</v>
      </c>
      <c r="D2058" s="2" t="s">
        <v>21403</v>
      </c>
      <c r="E2058" s="2" t="s">
        <v>21404</v>
      </c>
      <c r="G2058" s="3" t="s">
        <v>64</v>
      </c>
      <c r="I2058" s="3" t="s">
        <v>64</v>
      </c>
      <c r="J2058" s="3" t="s">
        <v>64</v>
      </c>
      <c r="K2058" s="3" t="s">
        <v>65</v>
      </c>
      <c r="L2058" s="2" t="s">
        <v>21405</v>
      </c>
      <c r="M2058" s="2" t="s">
        <v>21406</v>
      </c>
      <c r="N2058" s="3" t="s">
        <v>1530</v>
      </c>
      <c r="P2058" s="3" t="s">
        <v>69</v>
      </c>
      <c r="R2058" s="3" t="s">
        <v>20939</v>
      </c>
      <c r="S2058" s="4">
        <v>11</v>
      </c>
      <c r="T2058" s="4">
        <v>11</v>
      </c>
      <c r="U2058" s="5" t="s">
        <v>4334</v>
      </c>
      <c r="V2058" s="5" t="s">
        <v>4334</v>
      </c>
      <c r="W2058" s="5" t="s">
        <v>72</v>
      </c>
      <c r="X2058" s="5" t="s">
        <v>72</v>
      </c>
      <c r="Y2058" s="4">
        <v>311</v>
      </c>
      <c r="Z2058" s="4">
        <v>13</v>
      </c>
      <c r="AA2058" s="4">
        <v>58</v>
      </c>
      <c r="AB2058" s="4">
        <v>1</v>
      </c>
      <c r="AC2058" s="4">
        <v>7</v>
      </c>
      <c r="AD2058" s="4">
        <v>78</v>
      </c>
      <c r="AE2058" s="4">
        <v>95</v>
      </c>
      <c r="AF2058" s="4">
        <v>0</v>
      </c>
      <c r="AG2058" s="4">
        <v>1</v>
      </c>
      <c r="AH2058" s="4">
        <v>73</v>
      </c>
      <c r="AI2058" s="4">
        <v>80</v>
      </c>
      <c r="AJ2058" s="4">
        <v>8</v>
      </c>
      <c r="AK2058" s="4">
        <v>12</v>
      </c>
      <c r="AL2058" s="4">
        <v>37</v>
      </c>
      <c r="AM2058" s="4">
        <v>38</v>
      </c>
      <c r="AN2058" s="4">
        <v>0</v>
      </c>
      <c r="AO2058" s="4">
        <v>0</v>
      </c>
      <c r="AP2058" s="4">
        <v>9</v>
      </c>
      <c r="AQ2058" s="4">
        <v>22</v>
      </c>
      <c r="AR2058" s="3" t="s">
        <v>64</v>
      </c>
      <c r="AS2058" s="3" t="s">
        <v>64</v>
      </c>
      <c r="AT2058" s="3" t="s">
        <v>64</v>
      </c>
      <c r="AV2058" s="6" t="str">
        <f>HYPERLINK("http://mcgill.on.worldcat.org/oclc/49647868","Catalog Record")</f>
        <v>Catalog Record</v>
      </c>
      <c r="AW2058" s="6" t="str">
        <f>HYPERLINK("http://www.worldcat.org/oclc/49647868","WorldCat Record")</f>
        <v>WorldCat Record</v>
      </c>
      <c r="AX2058" s="3" t="s">
        <v>21407</v>
      </c>
      <c r="AY2058" s="3" t="s">
        <v>21408</v>
      </c>
      <c r="AZ2058" s="3" t="s">
        <v>21409</v>
      </c>
      <c r="BA2058" s="3" t="s">
        <v>21409</v>
      </c>
      <c r="BB2058" s="3" t="s">
        <v>21410</v>
      </c>
      <c r="BC2058" s="3" t="s">
        <v>78</v>
      </c>
      <c r="BD2058" s="3" t="s">
        <v>79</v>
      </c>
      <c r="BE2058" s="3" t="s">
        <v>21411</v>
      </c>
      <c r="BF2058" s="3" t="s">
        <v>21410</v>
      </c>
      <c r="BG2058" s="3" t="s">
        <v>21412</v>
      </c>
    </row>
    <row r="2059" spans="1:59" ht="174" x14ac:dyDescent="0.35">
      <c r="A2059" s="2" t="s">
        <v>59</v>
      </c>
      <c r="B2059" s="2" t="s">
        <v>94</v>
      </c>
      <c r="C2059" s="2" t="s">
        <v>21413</v>
      </c>
      <c r="D2059" s="2" t="s">
        <v>21414</v>
      </c>
      <c r="E2059" s="2" t="s">
        <v>21415</v>
      </c>
      <c r="G2059" s="3" t="s">
        <v>64</v>
      </c>
      <c r="I2059" s="3" t="s">
        <v>64</v>
      </c>
      <c r="J2059" s="3" t="s">
        <v>64</v>
      </c>
      <c r="K2059" s="3" t="s">
        <v>2292</v>
      </c>
      <c r="L2059" s="2" t="s">
        <v>21416</v>
      </c>
      <c r="M2059" s="2" t="s">
        <v>21417</v>
      </c>
      <c r="N2059" s="3" t="s">
        <v>21418</v>
      </c>
      <c r="P2059" s="3" t="s">
        <v>69</v>
      </c>
      <c r="R2059" s="3" t="s">
        <v>20939</v>
      </c>
      <c r="S2059" s="4">
        <v>15</v>
      </c>
      <c r="T2059" s="4">
        <v>15</v>
      </c>
      <c r="U2059" s="5" t="s">
        <v>590</v>
      </c>
      <c r="V2059" s="5" t="s">
        <v>590</v>
      </c>
      <c r="W2059" s="5" t="s">
        <v>72</v>
      </c>
      <c r="X2059" s="5" t="s">
        <v>72</v>
      </c>
      <c r="Y2059" s="4">
        <v>448</v>
      </c>
      <c r="Z2059" s="4">
        <v>15</v>
      </c>
      <c r="AA2059" s="4">
        <v>130</v>
      </c>
      <c r="AB2059" s="4">
        <v>2</v>
      </c>
      <c r="AC2059" s="4">
        <v>18</v>
      </c>
      <c r="AD2059" s="4">
        <v>78</v>
      </c>
      <c r="AE2059" s="4">
        <v>160</v>
      </c>
      <c r="AF2059" s="4">
        <v>1</v>
      </c>
      <c r="AG2059" s="4">
        <v>8</v>
      </c>
      <c r="AH2059" s="4">
        <v>67</v>
      </c>
      <c r="AI2059" s="4">
        <v>115</v>
      </c>
      <c r="AJ2059" s="4">
        <v>8</v>
      </c>
      <c r="AK2059" s="4">
        <v>27</v>
      </c>
      <c r="AL2059" s="4">
        <v>33</v>
      </c>
      <c r="AM2059" s="4">
        <v>62</v>
      </c>
      <c r="AN2059" s="4">
        <v>0</v>
      </c>
      <c r="AO2059" s="4">
        <v>0</v>
      </c>
      <c r="AP2059" s="4">
        <v>10</v>
      </c>
      <c r="AQ2059" s="4">
        <v>49</v>
      </c>
      <c r="AR2059" s="3" t="s">
        <v>64</v>
      </c>
      <c r="AS2059" s="3" t="s">
        <v>64</v>
      </c>
      <c r="AT2059" s="3" t="s">
        <v>64</v>
      </c>
      <c r="AV2059" s="6" t="str">
        <f>HYPERLINK("http://mcgill.on.worldcat.org/oclc/1475439","Catalog Record")</f>
        <v>Catalog Record</v>
      </c>
      <c r="AW2059" s="6" t="str">
        <f>HYPERLINK("http://www.worldcat.org/oclc/1475439","WorldCat Record")</f>
        <v>WorldCat Record</v>
      </c>
      <c r="AX2059" s="3" t="s">
        <v>21419</v>
      </c>
      <c r="AY2059" s="3" t="s">
        <v>21420</v>
      </c>
      <c r="AZ2059" s="3" t="s">
        <v>21421</v>
      </c>
      <c r="BA2059" s="3" t="s">
        <v>21421</v>
      </c>
      <c r="BB2059" s="3" t="s">
        <v>21422</v>
      </c>
      <c r="BC2059" s="3" t="s">
        <v>78</v>
      </c>
      <c r="BD2059" s="3" t="s">
        <v>79</v>
      </c>
      <c r="BF2059" s="3" t="s">
        <v>21422</v>
      </c>
      <c r="BG2059" s="3" t="s">
        <v>21423</v>
      </c>
    </row>
    <row r="2060" spans="1:59" ht="58" x14ac:dyDescent="0.35">
      <c r="A2060" s="2" t="s">
        <v>59</v>
      </c>
      <c r="B2060" s="2" t="s">
        <v>94</v>
      </c>
      <c r="C2060" s="2" t="s">
        <v>21424</v>
      </c>
      <c r="D2060" s="2" t="s">
        <v>21425</v>
      </c>
      <c r="E2060" s="2" t="s">
        <v>21426</v>
      </c>
      <c r="G2060" s="3" t="s">
        <v>64</v>
      </c>
      <c r="I2060" s="3" t="s">
        <v>64</v>
      </c>
      <c r="J2060" s="3" t="s">
        <v>64</v>
      </c>
      <c r="K2060" s="3" t="s">
        <v>65</v>
      </c>
      <c r="L2060" s="2" t="s">
        <v>21427</v>
      </c>
      <c r="M2060" s="2" t="s">
        <v>21428</v>
      </c>
      <c r="N2060" s="3" t="s">
        <v>226</v>
      </c>
      <c r="P2060" s="3" t="s">
        <v>69</v>
      </c>
      <c r="R2060" s="3" t="s">
        <v>20939</v>
      </c>
      <c r="S2060" s="4">
        <v>45</v>
      </c>
      <c r="T2060" s="4">
        <v>45</v>
      </c>
      <c r="U2060" s="5" t="s">
        <v>13277</v>
      </c>
      <c r="V2060" s="5" t="s">
        <v>13277</v>
      </c>
      <c r="W2060" s="5" t="s">
        <v>72</v>
      </c>
      <c r="X2060" s="5" t="s">
        <v>72</v>
      </c>
      <c r="Y2060" s="4">
        <v>308</v>
      </c>
      <c r="Z2060" s="4">
        <v>12</v>
      </c>
      <c r="AA2060" s="4">
        <v>16</v>
      </c>
      <c r="AB2060" s="4">
        <v>2</v>
      </c>
      <c r="AC2060" s="4">
        <v>3</v>
      </c>
      <c r="AD2060" s="4">
        <v>91</v>
      </c>
      <c r="AE2060" s="4">
        <v>95</v>
      </c>
      <c r="AF2060" s="4">
        <v>0</v>
      </c>
      <c r="AG2060" s="4">
        <v>0</v>
      </c>
      <c r="AH2060" s="4">
        <v>84</v>
      </c>
      <c r="AI2060" s="4">
        <v>86</v>
      </c>
      <c r="AJ2060" s="4">
        <v>8</v>
      </c>
      <c r="AK2060" s="4">
        <v>9</v>
      </c>
      <c r="AL2060" s="4">
        <v>51</v>
      </c>
      <c r="AM2060" s="4">
        <v>52</v>
      </c>
      <c r="AN2060" s="4">
        <v>0</v>
      </c>
      <c r="AO2060" s="4">
        <v>0</v>
      </c>
      <c r="AP2060" s="4">
        <v>9</v>
      </c>
      <c r="AQ2060" s="4">
        <v>10</v>
      </c>
      <c r="AR2060" s="3" t="s">
        <v>64</v>
      </c>
      <c r="AS2060" s="3" t="s">
        <v>64</v>
      </c>
      <c r="AT2060" s="3" t="s">
        <v>64</v>
      </c>
      <c r="AV2060" s="6" t="str">
        <f>HYPERLINK("http://mcgill.on.worldcat.org/oclc/36191915","Catalog Record")</f>
        <v>Catalog Record</v>
      </c>
      <c r="AW2060" s="6" t="str">
        <f>HYPERLINK("http://www.worldcat.org/oclc/36191915","WorldCat Record")</f>
        <v>WorldCat Record</v>
      </c>
      <c r="AX2060" s="3" t="s">
        <v>21429</v>
      </c>
      <c r="AY2060" s="3" t="s">
        <v>21430</v>
      </c>
      <c r="AZ2060" s="3" t="s">
        <v>21431</v>
      </c>
      <c r="BA2060" s="3" t="s">
        <v>21431</v>
      </c>
      <c r="BB2060" s="3" t="s">
        <v>21432</v>
      </c>
      <c r="BC2060" s="3" t="s">
        <v>78</v>
      </c>
      <c r="BD2060" s="3" t="s">
        <v>79</v>
      </c>
      <c r="BE2060" s="3" t="s">
        <v>21433</v>
      </c>
      <c r="BF2060" s="3" t="s">
        <v>21432</v>
      </c>
      <c r="BG2060" s="3" t="s">
        <v>21434</v>
      </c>
    </row>
    <row r="2061" spans="1:59" ht="58" x14ac:dyDescent="0.35">
      <c r="A2061" s="2" t="s">
        <v>59</v>
      </c>
      <c r="B2061" s="2" t="s">
        <v>94</v>
      </c>
      <c r="C2061" s="2" t="s">
        <v>21435</v>
      </c>
      <c r="D2061" s="2" t="s">
        <v>21436</v>
      </c>
      <c r="E2061" s="2" t="s">
        <v>21437</v>
      </c>
      <c r="G2061" s="3" t="s">
        <v>64</v>
      </c>
      <c r="I2061" s="3" t="s">
        <v>64</v>
      </c>
      <c r="J2061" s="3" t="s">
        <v>64</v>
      </c>
      <c r="K2061" s="3" t="s">
        <v>65</v>
      </c>
      <c r="L2061" s="2" t="s">
        <v>21438</v>
      </c>
      <c r="M2061" s="2" t="s">
        <v>19329</v>
      </c>
      <c r="N2061" s="3" t="s">
        <v>3563</v>
      </c>
      <c r="P2061" s="3" t="s">
        <v>69</v>
      </c>
      <c r="Q2061" s="2" t="s">
        <v>1996</v>
      </c>
      <c r="R2061" s="3" t="s">
        <v>20939</v>
      </c>
      <c r="S2061" s="4">
        <v>37</v>
      </c>
      <c r="T2061" s="4">
        <v>37</v>
      </c>
      <c r="U2061" s="5" t="s">
        <v>21439</v>
      </c>
      <c r="V2061" s="5" t="s">
        <v>21439</v>
      </c>
      <c r="W2061" s="5" t="s">
        <v>72</v>
      </c>
      <c r="X2061" s="5" t="s">
        <v>72</v>
      </c>
      <c r="Y2061" s="4">
        <v>384</v>
      </c>
      <c r="Z2061" s="4">
        <v>26</v>
      </c>
      <c r="AA2061" s="4">
        <v>27</v>
      </c>
      <c r="AB2061" s="4">
        <v>1</v>
      </c>
      <c r="AC2061" s="4">
        <v>1</v>
      </c>
      <c r="AD2061" s="4">
        <v>103</v>
      </c>
      <c r="AE2061" s="4">
        <v>104</v>
      </c>
      <c r="AF2061" s="4">
        <v>0</v>
      </c>
      <c r="AG2061" s="4">
        <v>0</v>
      </c>
      <c r="AH2061" s="4">
        <v>89</v>
      </c>
      <c r="AI2061" s="4">
        <v>90</v>
      </c>
      <c r="AJ2061" s="4">
        <v>13</v>
      </c>
      <c r="AK2061" s="4">
        <v>13</v>
      </c>
      <c r="AL2061" s="4">
        <v>48</v>
      </c>
      <c r="AM2061" s="4">
        <v>48</v>
      </c>
      <c r="AN2061" s="4">
        <v>0</v>
      </c>
      <c r="AO2061" s="4">
        <v>0</v>
      </c>
      <c r="AP2061" s="4">
        <v>21</v>
      </c>
      <c r="AQ2061" s="4">
        <v>21</v>
      </c>
      <c r="AR2061" s="3" t="s">
        <v>64</v>
      </c>
      <c r="AS2061" s="3" t="s">
        <v>64</v>
      </c>
      <c r="AT2061" s="3" t="s">
        <v>73</v>
      </c>
      <c r="AU2061" s="6" t="str">
        <f>HYPERLINK("http://catalog.hathitrust.org/Record/002588111","HathiTrust Record")</f>
        <v>HathiTrust Record</v>
      </c>
      <c r="AV2061" s="6" t="str">
        <f>HYPERLINK("http://mcgill.on.worldcat.org/oclc/25675127","Catalog Record")</f>
        <v>Catalog Record</v>
      </c>
      <c r="AW2061" s="6" t="str">
        <f>HYPERLINK("http://www.worldcat.org/oclc/25675127","WorldCat Record")</f>
        <v>WorldCat Record</v>
      </c>
      <c r="AX2061" s="3" t="s">
        <v>21440</v>
      </c>
      <c r="AY2061" s="3" t="s">
        <v>21441</v>
      </c>
      <c r="AZ2061" s="3" t="s">
        <v>21442</v>
      </c>
      <c r="BA2061" s="3" t="s">
        <v>21442</v>
      </c>
      <c r="BB2061" s="3" t="s">
        <v>21443</v>
      </c>
      <c r="BC2061" s="3" t="s">
        <v>78</v>
      </c>
      <c r="BD2061" s="3" t="s">
        <v>79</v>
      </c>
      <c r="BE2061" s="3" t="s">
        <v>21444</v>
      </c>
      <c r="BF2061" s="3" t="s">
        <v>21443</v>
      </c>
      <c r="BG2061" s="3" t="s">
        <v>21445</v>
      </c>
    </row>
    <row r="2062" spans="1:59" ht="58" x14ac:dyDescent="0.35">
      <c r="A2062" s="2" t="s">
        <v>59</v>
      </c>
      <c r="B2062" s="2" t="s">
        <v>94</v>
      </c>
      <c r="C2062" s="2" t="s">
        <v>21446</v>
      </c>
      <c r="D2062" s="2" t="s">
        <v>21447</v>
      </c>
      <c r="E2062" s="2" t="s">
        <v>21448</v>
      </c>
      <c r="G2062" s="3" t="s">
        <v>64</v>
      </c>
      <c r="I2062" s="3" t="s">
        <v>64</v>
      </c>
      <c r="J2062" s="3" t="s">
        <v>64</v>
      </c>
      <c r="K2062" s="3" t="s">
        <v>65</v>
      </c>
      <c r="L2062" s="2" t="s">
        <v>21449</v>
      </c>
      <c r="M2062" s="2" t="s">
        <v>21450</v>
      </c>
      <c r="N2062" s="3" t="s">
        <v>87</v>
      </c>
      <c r="O2062" s="2" t="s">
        <v>525</v>
      </c>
      <c r="P2062" s="3" t="s">
        <v>69</v>
      </c>
      <c r="R2062" s="3" t="s">
        <v>20939</v>
      </c>
      <c r="S2062" s="4">
        <v>2</v>
      </c>
      <c r="T2062" s="4">
        <v>2</v>
      </c>
      <c r="U2062" s="5" t="s">
        <v>13915</v>
      </c>
      <c r="V2062" s="5" t="s">
        <v>13915</v>
      </c>
      <c r="W2062" s="5" t="s">
        <v>72</v>
      </c>
      <c r="X2062" s="5" t="s">
        <v>72</v>
      </c>
      <c r="Y2062" s="4">
        <v>260</v>
      </c>
      <c r="Z2062" s="4">
        <v>11</v>
      </c>
      <c r="AA2062" s="4">
        <v>40</v>
      </c>
      <c r="AB2062" s="4">
        <v>1</v>
      </c>
      <c r="AC2062" s="4">
        <v>3</v>
      </c>
      <c r="AD2062" s="4">
        <v>47</v>
      </c>
      <c r="AE2062" s="4">
        <v>57</v>
      </c>
      <c r="AF2062" s="4">
        <v>0</v>
      </c>
      <c r="AG2062" s="4">
        <v>0</v>
      </c>
      <c r="AH2062" s="4">
        <v>43</v>
      </c>
      <c r="AI2062" s="4">
        <v>46</v>
      </c>
      <c r="AJ2062" s="4">
        <v>5</v>
      </c>
      <c r="AK2062" s="4">
        <v>8</v>
      </c>
      <c r="AL2062" s="4">
        <v>28</v>
      </c>
      <c r="AM2062" s="4">
        <v>28</v>
      </c>
      <c r="AN2062" s="4">
        <v>0</v>
      </c>
      <c r="AO2062" s="4">
        <v>0</v>
      </c>
      <c r="AP2062" s="4">
        <v>7</v>
      </c>
      <c r="AQ2062" s="4">
        <v>14</v>
      </c>
      <c r="AR2062" s="3" t="s">
        <v>64</v>
      </c>
      <c r="AS2062" s="3" t="s">
        <v>64</v>
      </c>
      <c r="AT2062" s="3" t="s">
        <v>64</v>
      </c>
      <c r="AV2062" s="6" t="str">
        <f>HYPERLINK("http://mcgill.on.worldcat.org/oclc/914324716","Catalog Record")</f>
        <v>Catalog Record</v>
      </c>
      <c r="AW2062" s="6" t="str">
        <f>HYPERLINK("http://www.worldcat.org/oclc/914324716","WorldCat Record")</f>
        <v>WorldCat Record</v>
      </c>
      <c r="AX2062" s="3" t="s">
        <v>21451</v>
      </c>
      <c r="AY2062" s="3" t="s">
        <v>21452</v>
      </c>
      <c r="AZ2062" s="3" t="s">
        <v>21453</v>
      </c>
      <c r="BA2062" s="3" t="s">
        <v>21453</v>
      </c>
      <c r="BB2062" s="3" t="s">
        <v>21454</v>
      </c>
      <c r="BC2062" s="3" t="s">
        <v>78</v>
      </c>
      <c r="BD2062" s="3" t="s">
        <v>79</v>
      </c>
      <c r="BE2062" s="3" t="s">
        <v>21455</v>
      </c>
      <c r="BF2062" s="3" t="s">
        <v>21454</v>
      </c>
      <c r="BG2062" s="3" t="s">
        <v>21456</v>
      </c>
    </row>
    <row r="2063" spans="1:59" ht="58" x14ac:dyDescent="0.35">
      <c r="A2063" s="2" t="s">
        <v>59</v>
      </c>
      <c r="B2063" s="2" t="s">
        <v>94</v>
      </c>
      <c r="C2063" s="2" t="s">
        <v>21457</v>
      </c>
      <c r="D2063" s="2" t="s">
        <v>21458</v>
      </c>
      <c r="E2063" s="2" t="s">
        <v>21459</v>
      </c>
      <c r="G2063" s="3" t="s">
        <v>64</v>
      </c>
      <c r="I2063" s="3" t="s">
        <v>64</v>
      </c>
      <c r="J2063" s="3" t="s">
        <v>64</v>
      </c>
      <c r="K2063" s="3" t="s">
        <v>65</v>
      </c>
      <c r="L2063" s="2" t="s">
        <v>21460</v>
      </c>
      <c r="M2063" s="2" t="s">
        <v>21461</v>
      </c>
      <c r="N2063" s="3" t="s">
        <v>407</v>
      </c>
      <c r="P2063" s="3" t="s">
        <v>69</v>
      </c>
      <c r="R2063" s="3" t="s">
        <v>20939</v>
      </c>
      <c r="S2063" s="4">
        <v>50</v>
      </c>
      <c r="T2063" s="4">
        <v>50</v>
      </c>
      <c r="U2063" s="5" t="s">
        <v>6833</v>
      </c>
      <c r="V2063" s="5" t="s">
        <v>6833</v>
      </c>
      <c r="W2063" s="5" t="s">
        <v>72</v>
      </c>
      <c r="X2063" s="5" t="s">
        <v>72</v>
      </c>
      <c r="Y2063" s="4">
        <v>349</v>
      </c>
      <c r="Z2063" s="4">
        <v>15</v>
      </c>
      <c r="AA2063" s="4">
        <v>24</v>
      </c>
      <c r="AB2063" s="4">
        <v>1</v>
      </c>
      <c r="AC2063" s="4">
        <v>3</v>
      </c>
      <c r="AD2063" s="4">
        <v>79</v>
      </c>
      <c r="AE2063" s="4">
        <v>103</v>
      </c>
      <c r="AF2063" s="4">
        <v>0</v>
      </c>
      <c r="AG2063" s="4">
        <v>1</v>
      </c>
      <c r="AH2063" s="4">
        <v>72</v>
      </c>
      <c r="AI2063" s="4">
        <v>92</v>
      </c>
      <c r="AJ2063" s="4">
        <v>6</v>
      </c>
      <c r="AK2063" s="4">
        <v>13</v>
      </c>
      <c r="AL2063" s="4">
        <v>46</v>
      </c>
      <c r="AM2063" s="4">
        <v>57</v>
      </c>
      <c r="AN2063" s="4">
        <v>0</v>
      </c>
      <c r="AO2063" s="4">
        <v>0</v>
      </c>
      <c r="AP2063" s="4">
        <v>8</v>
      </c>
      <c r="AQ2063" s="4">
        <v>15</v>
      </c>
      <c r="AR2063" s="3" t="s">
        <v>64</v>
      </c>
      <c r="AS2063" s="3" t="s">
        <v>64</v>
      </c>
      <c r="AT2063" s="3" t="s">
        <v>73</v>
      </c>
      <c r="AU2063" s="6" t="str">
        <f>HYPERLINK("http://catalog.hathitrust.org/Record/000668383","HathiTrust Record")</f>
        <v>HathiTrust Record</v>
      </c>
      <c r="AV2063" s="6" t="str">
        <f>HYPERLINK("http://mcgill.on.worldcat.org/oclc/12238396","Catalog Record")</f>
        <v>Catalog Record</v>
      </c>
      <c r="AW2063" s="6" t="str">
        <f>HYPERLINK("http://www.worldcat.org/oclc/12238396","WorldCat Record")</f>
        <v>WorldCat Record</v>
      </c>
      <c r="AX2063" s="3" t="s">
        <v>21462</v>
      </c>
      <c r="AY2063" s="3" t="s">
        <v>21463</v>
      </c>
      <c r="AZ2063" s="3" t="s">
        <v>21464</v>
      </c>
      <c r="BA2063" s="3" t="s">
        <v>21464</v>
      </c>
      <c r="BB2063" s="3" t="s">
        <v>21465</v>
      </c>
      <c r="BC2063" s="3" t="s">
        <v>78</v>
      </c>
      <c r="BD2063" s="3" t="s">
        <v>79</v>
      </c>
      <c r="BE2063" s="3" t="s">
        <v>21466</v>
      </c>
      <c r="BF2063" s="3" t="s">
        <v>21465</v>
      </c>
      <c r="BG2063" s="3" t="s">
        <v>21467</v>
      </c>
    </row>
    <row r="2064" spans="1:59" ht="58" x14ac:dyDescent="0.35">
      <c r="A2064" s="2" t="s">
        <v>59</v>
      </c>
      <c r="B2064" s="2" t="s">
        <v>94</v>
      </c>
      <c r="C2064" s="2" t="s">
        <v>21468</v>
      </c>
      <c r="D2064" s="2" t="s">
        <v>21469</v>
      </c>
      <c r="E2064" s="2" t="s">
        <v>21470</v>
      </c>
      <c r="F2064" s="3" t="s">
        <v>2228</v>
      </c>
      <c r="G2064" s="3" t="s">
        <v>73</v>
      </c>
      <c r="I2064" s="3" t="s">
        <v>73</v>
      </c>
      <c r="J2064" s="3" t="s">
        <v>64</v>
      </c>
      <c r="K2064" s="3" t="s">
        <v>65</v>
      </c>
      <c r="L2064" s="2" t="s">
        <v>8227</v>
      </c>
      <c r="M2064" s="2" t="s">
        <v>21471</v>
      </c>
      <c r="N2064" s="3" t="s">
        <v>3181</v>
      </c>
      <c r="P2064" s="3" t="s">
        <v>69</v>
      </c>
      <c r="R2064" s="3" t="s">
        <v>20939</v>
      </c>
      <c r="S2064" s="4">
        <v>43</v>
      </c>
      <c r="T2064" s="4">
        <v>126</v>
      </c>
      <c r="U2064" s="5" t="s">
        <v>6833</v>
      </c>
      <c r="V2064" s="5" t="s">
        <v>6833</v>
      </c>
      <c r="W2064" s="5" t="s">
        <v>72</v>
      </c>
      <c r="X2064" s="5" t="s">
        <v>72</v>
      </c>
      <c r="Y2064" s="4">
        <v>418</v>
      </c>
      <c r="Z2064" s="4">
        <v>30</v>
      </c>
      <c r="AA2064" s="4">
        <v>32</v>
      </c>
      <c r="AB2064" s="4">
        <v>2</v>
      </c>
      <c r="AC2064" s="4">
        <v>4</v>
      </c>
      <c r="AD2064" s="4">
        <v>118</v>
      </c>
      <c r="AE2064" s="4">
        <v>120</v>
      </c>
      <c r="AF2064" s="4">
        <v>1</v>
      </c>
      <c r="AG2064" s="4">
        <v>3</v>
      </c>
      <c r="AH2064" s="4">
        <v>98</v>
      </c>
      <c r="AI2064" s="4">
        <v>99</v>
      </c>
      <c r="AJ2064" s="4">
        <v>20</v>
      </c>
      <c r="AK2064" s="4">
        <v>22</v>
      </c>
      <c r="AL2064" s="4">
        <v>53</v>
      </c>
      <c r="AM2064" s="4">
        <v>53</v>
      </c>
      <c r="AN2064" s="4">
        <v>0</v>
      </c>
      <c r="AO2064" s="4">
        <v>0</v>
      </c>
      <c r="AP2064" s="4">
        <v>24</v>
      </c>
      <c r="AQ2064" s="4">
        <v>25</v>
      </c>
      <c r="AR2064" s="3" t="s">
        <v>64</v>
      </c>
      <c r="AS2064" s="3" t="s">
        <v>64</v>
      </c>
      <c r="AT2064" s="3" t="s">
        <v>73</v>
      </c>
      <c r="AU2064" s="6" t="str">
        <f t="shared" ref="AU2064:AU2071" si="21">HYPERLINK("http://catalog.hathitrust.org/Record/001622152","HathiTrust Record")</f>
        <v>HathiTrust Record</v>
      </c>
      <c r="AV2064" s="6" t="str">
        <f t="shared" ref="AV2064:AV2071" si="22">HYPERLINK("http://mcgill.on.worldcat.org/oclc/277801","Catalog Record")</f>
        <v>Catalog Record</v>
      </c>
      <c r="AW2064" s="6" t="str">
        <f t="shared" ref="AW2064:AW2071" si="23">HYPERLINK("http://www.worldcat.org/oclc/277801","WorldCat Record")</f>
        <v>WorldCat Record</v>
      </c>
      <c r="AX2064" s="3" t="s">
        <v>21472</v>
      </c>
      <c r="AY2064" s="3" t="s">
        <v>21473</v>
      </c>
      <c r="AZ2064" s="3" t="s">
        <v>21474</v>
      </c>
      <c r="BA2064" s="3" t="s">
        <v>21474</v>
      </c>
      <c r="BB2064" s="3" t="s">
        <v>21475</v>
      </c>
      <c r="BC2064" s="3" t="s">
        <v>78</v>
      </c>
      <c r="BD2064" s="3" t="s">
        <v>79</v>
      </c>
      <c r="BE2064" s="3" t="s">
        <v>21476</v>
      </c>
      <c r="BF2064" s="3" t="s">
        <v>21475</v>
      </c>
      <c r="BG2064" s="3" t="s">
        <v>21477</v>
      </c>
    </row>
    <row r="2065" spans="1:59" ht="58" x14ac:dyDescent="0.35">
      <c r="A2065" s="2" t="s">
        <v>59</v>
      </c>
      <c r="B2065" s="2" t="s">
        <v>94</v>
      </c>
      <c r="C2065" s="2" t="s">
        <v>21468</v>
      </c>
      <c r="D2065" s="2" t="s">
        <v>21469</v>
      </c>
      <c r="E2065" s="2" t="s">
        <v>21470</v>
      </c>
      <c r="F2065" s="3" t="s">
        <v>399</v>
      </c>
      <c r="G2065" s="3" t="s">
        <v>73</v>
      </c>
      <c r="I2065" s="3" t="s">
        <v>73</v>
      </c>
      <c r="J2065" s="3" t="s">
        <v>64</v>
      </c>
      <c r="K2065" s="3" t="s">
        <v>65</v>
      </c>
      <c r="L2065" s="2" t="s">
        <v>8227</v>
      </c>
      <c r="M2065" s="2" t="s">
        <v>21471</v>
      </c>
      <c r="N2065" s="3" t="s">
        <v>3181</v>
      </c>
      <c r="P2065" s="3" t="s">
        <v>69</v>
      </c>
      <c r="R2065" s="3" t="s">
        <v>20939</v>
      </c>
      <c r="S2065" s="4">
        <v>22</v>
      </c>
      <c r="T2065" s="4">
        <v>126</v>
      </c>
      <c r="U2065" s="5" t="s">
        <v>21478</v>
      </c>
      <c r="V2065" s="5" t="s">
        <v>6833</v>
      </c>
      <c r="W2065" s="5" t="s">
        <v>72</v>
      </c>
      <c r="X2065" s="5" t="s">
        <v>72</v>
      </c>
      <c r="Y2065" s="4">
        <v>418</v>
      </c>
      <c r="Z2065" s="4">
        <v>30</v>
      </c>
      <c r="AA2065" s="4">
        <v>32</v>
      </c>
      <c r="AB2065" s="4">
        <v>2</v>
      </c>
      <c r="AC2065" s="4">
        <v>4</v>
      </c>
      <c r="AD2065" s="4">
        <v>118</v>
      </c>
      <c r="AE2065" s="4">
        <v>120</v>
      </c>
      <c r="AF2065" s="4">
        <v>1</v>
      </c>
      <c r="AG2065" s="4">
        <v>3</v>
      </c>
      <c r="AH2065" s="4">
        <v>98</v>
      </c>
      <c r="AI2065" s="4">
        <v>99</v>
      </c>
      <c r="AJ2065" s="4">
        <v>20</v>
      </c>
      <c r="AK2065" s="4">
        <v>22</v>
      </c>
      <c r="AL2065" s="4">
        <v>53</v>
      </c>
      <c r="AM2065" s="4">
        <v>53</v>
      </c>
      <c r="AN2065" s="4">
        <v>0</v>
      </c>
      <c r="AO2065" s="4">
        <v>0</v>
      </c>
      <c r="AP2065" s="4">
        <v>24</v>
      </c>
      <c r="AQ2065" s="4">
        <v>25</v>
      </c>
      <c r="AR2065" s="3" t="s">
        <v>64</v>
      </c>
      <c r="AS2065" s="3" t="s">
        <v>64</v>
      </c>
      <c r="AT2065" s="3" t="s">
        <v>73</v>
      </c>
      <c r="AU2065" s="6" t="str">
        <f t="shared" si="21"/>
        <v>HathiTrust Record</v>
      </c>
      <c r="AV2065" s="6" t="str">
        <f t="shared" si="22"/>
        <v>Catalog Record</v>
      </c>
      <c r="AW2065" s="6" t="str">
        <f t="shared" si="23"/>
        <v>WorldCat Record</v>
      </c>
      <c r="AX2065" s="3" t="s">
        <v>21472</v>
      </c>
      <c r="AY2065" s="3" t="s">
        <v>21473</v>
      </c>
      <c r="AZ2065" s="3" t="s">
        <v>21474</v>
      </c>
      <c r="BA2065" s="3" t="s">
        <v>21474</v>
      </c>
      <c r="BB2065" s="3" t="s">
        <v>21479</v>
      </c>
      <c r="BC2065" s="3" t="s">
        <v>78</v>
      </c>
      <c r="BD2065" s="3" t="s">
        <v>79</v>
      </c>
      <c r="BE2065" s="3" t="s">
        <v>21476</v>
      </c>
      <c r="BF2065" s="3" t="s">
        <v>21479</v>
      </c>
      <c r="BG2065" s="3" t="s">
        <v>21480</v>
      </c>
    </row>
    <row r="2066" spans="1:59" ht="58" x14ac:dyDescent="0.35">
      <c r="A2066" s="2" t="s">
        <v>59</v>
      </c>
      <c r="B2066" s="2" t="s">
        <v>94</v>
      </c>
      <c r="C2066" s="2" t="s">
        <v>21468</v>
      </c>
      <c r="D2066" s="2" t="s">
        <v>21469</v>
      </c>
      <c r="E2066" s="2" t="s">
        <v>21470</v>
      </c>
      <c r="F2066" s="3" t="s">
        <v>15717</v>
      </c>
      <c r="G2066" s="3" t="s">
        <v>73</v>
      </c>
      <c r="I2066" s="3" t="s">
        <v>73</v>
      </c>
      <c r="J2066" s="3" t="s">
        <v>64</v>
      </c>
      <c r="K2066" s="3" t="s">
        <v>65</v>
      </c>
      <c r="L2066" s="2" t="s">
        <v>8227</v>
      </c>
      <c r="M2066" s="2" t="s">
        <v>21471</v>
      </c>
      <c r="N2066" s="3" t="s">
        <v>3181</v>
      </c>
      <c r="P2066" s="3" t="s">
        <v>69</v>
      </c>
      <c r="R2066" s="3" t="s">
        <v>20939</v>
      </c>
      <c r="S2066" s="4">
        <v>13</v>
      </c>
      <c r="T2066" s="4">
        <v>126</v>
      </c>
      <c r="U2066" s="5" t="s">
        <v>21481</v>
      </c>
      <c r="V2066" s="5" t="s">
        <v>6833</v>
      </c>
      <c r="W2066" s="5" t="s">
        <v>72</v>
      </c>
      <c r="X2066" s="5" t="s">
        <v>72</v>
      </c>
      <c r="Y2066" s="4">
        <v>418</v>
      </c>
      <c r="Z2066" s="4">
        <v>30</v>
      </c>
      <c r="AA2066" s="4">
        <v>32</v>
      </c>
      <c r="AB2066" s="4">
        <v>2</v>
      </c>
      <c r="AC2066" s="4">
        <v>4</v>
      </c>
      <c r="AD2066" s="4">
        <v>118</v>
      </c>
      <c r="AE2066" s="4">
        <v>120</v>
      </c>
      <c r="AF2066" s="4">
        <v>1</v>
      </c>
      <c r="AG2066" s="4">
        <v>3</v>
      </c>
      <c r="AH2066" s="4">
        <v>98</v>
      </c>
      <c r="AI2066" s="4">
        <v>99</v>
      </c>
      <c r="AJ2066" s="4">
        <v>20</v>
      </c>
      <c r="AK2066" s="4">
        <v>22</v>
      </c>
      <c r="AL2066" s="4">
        <v>53</v>
      </c>
      <c r="AM2066" s="4">
        <v>53</v>
      </c>
      <c r="AN2066" s="4">
        <v>0</v>
      </c>
      <c r="AO2066" s="4">
        <v>0</v>
      </c>
      <c r="AP2066" s="4">
        <v>24</v>
      </c>
      <c r="AQ2066" s="4">
        <v>25</v>
      </c>
      <c r="AR2066" s="3" t="s">
        <v>64</v>
      </c>
      <c r="AS2066" s="3" t="s">
        <v>64</v>
      </c>
      <c r="AT2066" s="3" t="s">
        <v>73</v>
      </c>
      <c r="AU2066" s="6" t="str">
        <f t="shared" si="21"/>
        <v>HathiTrust Record</v>
      </c>
      <c r="AV2066" s="6" t="str">
        <f t="shared" si="22"/>
        <v>Catalog Record</v>
      </c>
      <c r="AW2066" s="6" t="str">
        <f t="shared" si="23"/>
        <v>WorldCat Record</v>
      </c>
      <c r="AX2066" s="3" t="s">
        <v>21472</v>
      </c>
      <c r="AY2066" s="3" t="s">
        <v>21473</v>
      </c>
      <c r="AZ2066" s="3" t="s">
        <v>21474</v>
      </c>
      <c r="BA2066" s="3" t="s">
        <v>21474</v>
      </c>
      <c r="BB2066" s="3" t="s">
        <v>21482</v>
      </c>
      <c r="BC2066" s="3" t="s">
        <v>78</v>
      </c>
      <c r="BD2066" s="3" t="s">
        <v>79</v>
      </c>
      <c r="BE2066" s="3" t="s">
        <v>21476</v>
      </c>
      <c r="BF2066" s="3" t="s">
        <v>21482</v>
      </c>
      <c r="BG2066" s="3" t="s">
        <v>21483</v>
      </c>
    </row>
    <row r="2067" spans="1:59" ht="58" x14ac:dyDescent="0.35">
      <c r="A2067" s="2" t="s">
        <v>59</v>
      </c>
      <c r="B2067" s="2" t="s">
        <v>94</v>
      </c>
      <c r="C2067" s="2" t="s">
        <v>21468</v>
      </c>
      <c r="D2067" s="2" t="s">
        <v>21469</v>
      </c>
      <c r="E2067" s="2" t="s">
        <v>21470</v>
      </c>
      <c r="F2067" s="3" t="s">
        <v>2212</v>
      </c>
      <c r="G2067" s="3" t="s">
        <v>73</v>
      </c>
      <c r="I2067" s="3" t="s">
        <v>73</v>
      </c>
      <c r="J2067" s="3" t="s">
        <v>64</v>
      </c>
      <c r="K2067" s="3" t="s">
        <v>65</v>
      </c>
      <c r="L2067" s="2" t="s">
        <v>8227</v>
      </c>
      <c r="M2067" s="2" t="s">
        <v>21471</v>
      </c>
      <c r="N2067" s="3" t="s">
        <v>3181</v>
      </c>
      <c r="P2067" s="3" t="s">
        <v>69</v>
      </c>
      <c r="R2067" s="3" t="s">
        <v>20939</v>
      </c>
      <c r="S2067" s="4">
        <v>24</v>
      </c>
      <c r="T2067" s="4">
        <v>126</v>
      </c>
      <c r="U2067" s="5" t="s">
        <v>21484</v>
      </c>
      <c r="V2067" s="5" t="s">
        <v>6833</v>
      </c>
      <c r="W2067" s="5" t="s">
        <v>72</v>
      </c>
      <c r="X2067" s="5" t="s">
        <v>72</v>
      </c>
      <c r="Y2067" s="4">
        <v>418</v>
      </c>
      <c r="Z2067" s="4">
        <v>30</v>
      </c>
      <c r="AA2067" s="4">
        <v>32</v>
      </c>
      <c r="AB2067" s="4">
        <v>2</v>
      </c>
      <c r="AC2067" s="4">
        <v>4</v>
      </c>
      <c r="AD2067" s="4">
        <v>118</v>
      </c>
      <c r="AE2067" s="4">
        <v>120</v>
      </c>
      <c r="AF2067" s="4">
        <v>1</v>
      </c>
      <c r="AG2067" s="4">
        <v>3</v>
      </c>
      <c r="AH2067" s="4">
        <v>98</v>
      </c>
      <c r="AI2067" s="4">
        <v>99</v>
      </c>
      <c r="AJ2067" s="4">
        <v>20</v>
      </c>
      <c r="AK2067" s="4">
        <v>22</v>
      </c>
      <c r="AL2067" s="4">
        <v>53</v>
      </c>
      <c r="AM2067" s="4">
        <v>53</v>
      </c>
      <c r="AN2067" s="4">
        <v>0</v>
      </c>
      <c r="AO2067" s="4">
        <v>0</v>
      </c>
      <c r="AP2067" s="4">
        <v>24</v>
      </c>
      <c r="AQ2067" s="4">
        <v>25</v>
      </c>
      <c r="AR2067" s="3" t="s">
        <v>64</v>
      </c>
      <c r="AS2067" s="3" t="s">
        <v>64</v>
      </c>
      <c r="AT2067" s="3" t="s">
        <v>73</v>
      </c>
      <c r="AU2067" s="6" t="str">
        <f t="shared" si="21"/>
        <v>HathiTrust Record</v>
      </c>
      <c r="AV2067" s="6" t="str">
        <f t="shared" si="22"/>
        <v>Catalog Record</v>
      </c>
      <c r="AW2067" s="6" t="str">
        <f t="shared" si="23"/>
        <v>WorldCat Record</v>
      </c>
      <c r="AX2067" s="3" t="s">
        <v>21472</v>
      </c>
      <c r="AY2067" s="3" t="s">
        <v>21473</v>
      </c>
      <c r="AZ2067" s="3" t="s">
        <v>21474</v>
      </c>
      <c r="BA2067" s="3" t="s">
        <v>21474</v>
      </c>
      <c r="BB2067" s="3" t="s">
        <v>21485</v>
      </c>
      <c r="BC2067" s="3" t="s">
        <v>78</v>
      </c>
      <c r="BD2067" s="3" t="s">
        <v>79</v>
      </c>
      <c r="BE2067" s="3" t="s">
        <v>21476</v>
      </c>
      <c r="BF2067" s="3" t="s">
        <v>21485</v>
      </c>
      <c r="BG2067" s="3" t="s">
        <v>21486</v>
      </c>
    </row>
    <row r="2068" spans="1:59" ht="58" x14ac:dyDescent="0.35">
      <c r="A2068" s="2" t="s">
        <v>59</v>
      </c>
      <c r="B2068" s="2" t="s">
        <v>94</v>
      </c>
      <c r="C2068" s="2" t="s">
        <v>21468</v>
      </c>
      <c r="D2068" s="2" t="s">
        <v>21469</v>
      </c>
      <c r="E2068" s="2" t="s">
        <v>21470</v>
      </c>
      <c r="F2068" s="3" t="s">
        <v>4869</v>
      </c>
      <c r="G2068" s="3" t="s">
        <v>73</v>
      </c>
      <c r="I2068" s="3" t="s">
        <v>73</v>
      </c>
      <c r="J2068" s="3" t="s">
        <v>64</v>
      </c>
      <c r="K2068" s="3" t="s">
        <v>65</v>
      </c>
      <c r="L2068" s="2" t="s">
        <v>8227</v>
      </c>
      <c r="M2068" s="2" t="s">
        <v>21471</v>
      </c>
      <c r="N2068" s="3" t="s">
        <v>3181</v>
      </c>
      <c r="P2068" s="3" t="s">
        <v>69</v>
      </c>
      <c r="R2068" s="3" t="s">
        <v>20939</v>
      </c>
      <c r="S2068" s="4">
        <v>0</v>
      </c>
      <c r="T2068" s="4">
        <v>126</v>
      </c>
      <c r="V2068" s="5" t="s">
        <v>6833</v>
      </c>
      <c r="W2068" s="5" t="s">
        <v>72</v>
      </c>
      <c r="X2068" s="5" t="s">
        <v>72</v>
      </c>
      <c r="Y2068" s="4">
        <v>418</v>
      </c>
      <c r="Z2068" s="4">
        <v>30</v>
      </c>
      <c r="AA2068" s="4">
        <v>32</v>
      </c>
      <c r="AB2068" s="4">
        <v>2</v>
      </c>
      <c r="AC2068" s="4">
        <v>4</v>
      </c>
      <c r="AD2068" s="4">
        <v>118</v>
      </c>
      <c r="AE2068" s="4">
        <v>120</v>
      </c>
      <c r="AF2068" s="4">
        <v>1</v>
      </c>
      <c r="AG2068" s="4">
        <v>3</v>
      </c>
      <c r="AH2068" s="4">
        <v>98</v>
      </c>
      <c r="AI2068" s="4">
        <v>99</v>
      </c>
      <c r="AJ2068" s="4">
        <v>20</v>
      </c>
      <c r="AK2068" s="4">
        <v>22</v>
      </c>
      <c r="AL2068" s="4">
        <v>53</v>
      </c>
      <c r="AM2068" s="4">
        <v>53</v>
      </c>
      <c r="AN2068" s="4">
        <v>0</v>
      </c>
      <c r="AO2068" s="4">
        <v>0</v>
      </c>
      <c r="AP2068" s="4">
        <v>24</v>
      </c>
      <c r="AQ2068" s="4">
        <v>25</v>
      </c>
      <c r="AR2068" s="3" t="s">
        <v>64</v>
      </c>
      <c r="AS2068" s="3" t="s">
        <v>64</v>
      </c>
      <c r="AT2068" s="3" t="s">
        <v>73</v>
      </c>
      <c r="AU2068" s="6" t="str">
        <f t="shared" si="21"/>
        <v>HathiTrust Record</v>
      </c>
      <c r="AV2068" s="6" t="str">
        <f t="shared" si="22"/>
        <v>Catalog Record</v>
      </c>
      <c r="AW2068" s="6" t="str">
        <f t="shared" si="23"/>
        <v>WorldCat Record</v>
      </c>
      <c r="AX2068" s="3" t="s">
        <v>21472</v>
      </c>
      <c r="AY2068" s="3" t="s">
        <v>21473</v>
      </c>
      <c r="AZ2068" s="3" t="s">
        <v>21474</v>
      </c>
      <c r="BA2068" s="3" t="s">
        <v>21474</v>
      </c>
      <c r="BB2068" s="3" t="s">
        <v>21487</v>
      </c>
      <c r="BC2068" s="3" t="s">
        <v>78</v>
      </c>
      <c r="BD2068" s="3" t="s">
        <v>79</v>
      </c>
      <c r="BE2068" s="3" t="s">
        <v>21476</v>
      </c>
      <c r="BF2068" s="3" t="s">
        <v>21487</v>
      </c>
      <c r="BG2068" s="3" t="s">
        <v>21488</v>
      </c>
    </row>
    <row r="2069" spans="1:59" ht="58" x14ac:dyDescent="0.35">
      <c r="A2069" s="2" t="s">
        <v>59</v>
      </c>
      <c r="B2069" s="2" t="s">
        <v>94</v>
      </c>
      <c r="C2069" s="2" t="s">
        <v>21468</v>
      </c>
      <c r="D2069" s="2" t="s">
        <v>21469</v>
      </c>
      <c r="E2069" s="2" t="s">
        <v>21470</v>
      </c>
      <c r="F2069" s="3" t="s">
        <v>15712</v>
      </c>
      <c r="G2069" s="3" t="s">
        <v>73</v>
      </c>
      <c r="I2069" s="3" t="s">
        <v>73</v>
      </c>
      <c r="J2069" s="3" t="s">
        <v>64</v>
      </c>
      <c r="K2069" s="3" t="s">
        <v>65</v>
      </c>
      <c r="L2069" s="2" t="s">
        <v>8227</v>
      </c>
      <c r="M2069" s="2" t="s">
        <v>21471</v>
      </c>
      <c r="N2069" s="3" t="s">
        <v>3181</v>
      </c>
      <c r="P2069" s="3" t="s">
        <v>69</v>
      </c>
      <c r="R2069" s="3" t="s">
        <v>20939</v>
      </c>
      <c r="S2069" s="4">
        <v>15</v>
      </c>
      <c r="T2069" s="4">
        <v>126</v>
      </c>
      <c r="U2069" s="5" t="s">
        <v>21489</v>
      </c>
      <c r="V2069" s="5" t="s">
        <v>6833</v>
      </c>
      <c r="W2069" s="5" t="s">
        <v>72</v>
      </c>
      <c r="X2069" s="5" t="s">
        <v>72</v>
      </c>
      <c r="Y2069" s="4">
        <v>418</v>
      </c>
      <c r="Z2069" s="4">
        <v>30</v>
      </c>
      <c r="AA2069" s="4">
        <v>32</v>
      </c>
      <c r="AB2069" s="4">
        <v>2</v>
      </c>
      <c r="AC2069" s="4">
        <v>4</v>
      </c>
      <c r="AD2069" s="4">
        <v>118</v>
      </c>
      <c r="AE2069" s="4">
        <v>120</v>
      </c>
      <c r="AF2069" s="4">
        <v>1</v>
      </c>
      <c r="AG2069" s="4">
        <v>3</v>
      </c>
      <c r="AH2069" s="4">
        <v>98</v>
      </c>
      <c r="AI2069" s="4">
        <v>99</v>
      </c>
      <c r="AJ2069" s="4">
        <v>20</v>
      </c>
      <c r="AK2069" s="4">
        <v>22</v>
      </c>
      <c r="AL2069" s="4">
        <v>53</v>
      </c>
      <c r="AM2069" s="4">
        <v>53</v>
      </c>
      <c r="AN2069" s="4">
        <v>0</v>
      </c>
      <c r="AO2069" s="4">
        <v>0</v>
      </c>
      <c r="AP2069" s="4">
        <v>24</v>
      </c>
      <c r="AQ2069" s="4">
        <v>25</v>
      </c>
      <c r="AR2069" s="3" t="s">
        <v>64</v>
      </c>
      <c r="AS2069" s="3" t="s">
        <v>64</v>
      </c>
      <c r="AT2069" s="3" t="s">
        <v>73</v>
      </c>
      <c r="AU2069" s="6" t="str">
        <f t="shared" si="21"/>
        <v>HathiTrust Record</v>
      </c>
      <c r="AV2069" s="6" t="str">
        <f t="shared" si="22"/>
        <v>Catalog Record</v>
      </c>
      <c r="AW2069" s="6" t="str">
        <f t="shared" si="23"/>
        <v>WorldCat Record</v>
      </c>
      <c r="AX2069" s="3" t="s">
        <v>21472</v>
      </c>
      <c r="AY2069" s="3" t="s">
        <v>21473</v>
      </c>
      <c r="AZ2069" s="3" t="s">
        <v>21474</v>
      </c>
      <c r="BA2069" s="3" t="s">
        <v>21474</v>
      </c>
      <c r="BB2069" s="3" t="s">
        <v>21490</v>
      </c>
      <c r="BC2069" s="3" t="s">
        <v>78</v>
      </c>
      <c r="BD2069" s="3" t="s">
        <v>79</v>
      </c>
      <c r="BE2069" s="3" t="s">
        <v>21476</v>
      </c>
      <c r="BF2069" s="3" t="s">
        <v>21490</v>
      </c>
      <c r="BG2069" s="3" t="s">
        <v>21491</v>
      </c>
    </row>
    <row r="2070" spans="1:59" ht="58" x14ac:dyDescent="0.35">
      <c r="A2070" s="2" t="s">
        <v>59</v>
      </c>
      <c r="B2070" s="2" t="s">
        <v>94</v>
      </c>
      <c r="C2070" s="2" t="s">
        <v>21468</v>
      </c>
      <c r="D2070" s="2" t="s">
        <v>21469</v>
      </c>
      <c r="E2070" s="2" t="s">
        <v>21470</v>
      </c>
      <c r="F2070" s="3" t="s">
        <v>2224</v>
      </c>
      <c r="G2070" s="3" t="s">
        <v>73</v>
      </c>
      <c r="I2070" s="3" t="s">
        <v>73</v>
      </c>
      <c r="J2070" s="3" t="s">
        <v>64</v>
      </c>
      <c r="K2070" s="3" t="s">
        <v>65</v>
      </c>
      <c r="L2070" s="2" t="s">
        <v>8227</v>
      </c>
      <c r="M2070" s="2" t="s">
        <v>21471</v>
      </c>
      <c r="N2070" s="3" t="s">
        <v>3181</v>
      </c>
      <c r="P2070" s="3" t="s">
        <v>69</v>
      </c>
      <c r="R2070" s="3" t="s">
        <v>20939</v>
      </c>
      <c r="S2070" s="4">
        <v>9</v>
      </c>
      <c r="T2070" s="4">
        <v>126</v>
      </c>
      <c r="U2070" s="5" t="s">
        <v>21478</v>
      </c>
      <c r="V2070" s="5" t="s">
        <v>6833</v>
      </c>
      <c r="W2070" s="5" t="s">
        <v>72</v>
      </c>
      <c r="X2070" s="5" t="s">
        <v>72</v>
      </c>
      <c r="Y2070" s="4">
        <v>418</v>
      </c>
      <c r="Z2070" s="4">
        <v>30</v>
      </c>
      <c r="AA2070" s="4">
        <v>32</v>
      </c>
      <c r="AB2070" s="4">
        <v>2</v>
      </c>
      <c r="AC2070" s="4">
        <v>4</v>
      </c>
      <c r="AD2070" s="4">
        <v>118</v>
      </c>
      <c r="AE2070" s="4">
        <v>120</v>
      </c>
      <c r="AF2070" s="4">
        <v>1</v>
      </c>
      <c r="AG2070" s="4">
        <v>3</v>
      </c>
      <c r="AH2070" s="4">
        <v>98</v>
      </c>
      <c r="AI2070" s="4">
        <v>99</v>
      </c>
      <c r="AJ2070" s="4">
        <v>20</v>
      </c>
      <c r="AK2070" s="4">
        <v>22</v>
      </c>
      <c r="AL2070" s="4">
        <v>53</v>
      </c>
      <c r="AM2070" s="4">
        <v>53</v>
      </c>
      <c r="AN2070" s="4">
        <v>0</v>
      </c>
      <c r="AO2070" s="4">
        <v>0</v>
      </c>
      <c r="AP2070" s="4">
        <v>24</v>
      </c>
      <c r="AQ2070" s="4">
        <v>25</v>
      </c>
      <c r="AR2070" s="3" t="s">
        <v>64</v>
      </c>
      <c r="AS2070" s="3" t="s">
        <v>64</v>
      </c>
      <c r="AT2070" s="3" t="s">
        <v>73</v>
      </c>
      <c r="AU2070" s="6" t="str">
        <f t="shared" si="21"/>
        <v>HathiTrust Record</v>
      </c>
      <c r="AV2070" s="6" t="str">
        <f t="shared" si="22"/>
        <v>Catalog Record</v>
      </c>
      <c r="AW2070" s="6" t="str">
        <f t="shared" si="23"/>
        <v>WorldCat Record</v>
      </c>
      <c r="AX2070" s="3" t="s">
        <v>21472</v>
      </c>
      <c r="AY2070" s="3" t="s">
        <v>21473</v>
      </c>
      <c r="AZ2070" s="3" t="s">
        <v>21474</v>
      </c>
      <c r="BA2070" s="3" t="s">
        <v>21474</v>
      </c>
      <c r="BB2070" s="3" t="s">
        <v>21492</v>
      </c>
      <c r="BC2070" s="3" t="s">
        <v>78</v>
      </c>
      <c r="BD2070" s="3" t="s">
        <v>79</v>
      </c>
      <c r="BE2070" s="3" t="s">
        <v>21476</v>
      </c>
      <c r="BF2070" s="3" t="s">
        <v>21492</v>
      </c>
      <c r="BG2070" s="3" t="s">
        <v>21493</v>
      </c>
    </row>
    <row r="2071" spans="1:59" ht="58" x14ac:dyDescent="0.35">
      <c r="A2071" s="2" t="s">
        <v>59</v>
      </c>
      <c r="B2071" s="2" t="s">
        <v>94</v>
      </c>
      <c r="C2071" s="2" t="s">
        <v>21468</v>
      </c>
      <c r="D2071" s="2" t="s">
        <v>21469</v>
      </c>
      <c r="E2071" s="2" t="s">
        <v>21470</v>
      </c>
      <c r="F2071" s="3" t="s">
        <v>2231</v>
      </c>
      <c r="G2071" s="3" t="s">
        <v>73</v>
      </c>
      <c r="I2071" s="3" t="s">
        <v>73</v>
      </c>
      <c r="J2071" s="3" t="s">
        <v>64</v>
      </c>
      <c r="K2071" s="3" t="s">
        <v>65</v>
      </c>
      <c r="L2071" s="2" t="s">
        <v>8227</v>
      </c>
      <c r="M2071" s="2" t="s">
        <v>21471</v>
      </c>
      <c r="N2071" s="3" t="s">
        <v>3181</v>
      </c>
      <c r="P2071" s="3" t="s">
        <v>69</v>
      </c>
      <c r="R2071" s="3" t="s">
        <v>20939</v>
      </c>
      <c r="S2071" s="4">
        <v>0</v>
      </c>
      <c r="T2071" s="4">
        <v>126</v>
      </c>
      <c r="V2071" s="5" t="s">
        <v>6833</v>
      </c>
      <c r="W2071" s="5" t="s">
        <v>72</v>
      </c>
      <c r="X2071" s="5" t="s">
        <v>72</v>
      </c>
      <c r="Y2071" s="4">
        <v>418</v>
      </c>
      <c r="Z2071" s="4">
        <v>30</v>
      </c>
      <c r="AA2071" s="4">
        <v>32</v>
      </c>
      <c r="AB2071" s="4">
        <v>2</v>
      </c>
      <c r="AC2071" s="4">
        <v>4</v>
      </c>
      <c r="AD2071" s="4">
        <v>118</v>
      </c>
      <c r="AE2071" s="4">
        <v>120</v>
      </c>
      <c r="AF2071" s="4">
        <v>1</v>
      </c>
      <c r="AG2071" s="4">
        <v>3</v>
      </c>
      <c r="AH2071" s="4">
        <v>98</v>
      </c>
      <c r="AI2071" s="4">
        <v>99</v>
      </c>
      <c r="AJ2071" s="4">
        <v>20</v>
      </c>
      <c r="AK2071" s="4">
        <v>22</v>
      </c>
      <c r="AL2071" s="4">
        <v>53</v>
      </c>
      <c r="AM2071" s="4">
        <v>53</v>
      </c>
      <c r="AN2071" s="4">
        <v>0</v>
      </c>
      <c r="AO2071" s="4">
        <v>0</v>
      </c>
      <c r="AP2071" s="4">
        <v>24</v>
      </c>
      <c r="AQ2071" s="4">
        <v>25</v>
      </c>
      <c r="AR2071" s="3" t="s">
        <v>64</v>
      </c>
      <c r="AS2071" s="3" t="s">
        <v>64</v>
      </c>
      <c r="AT2071" s="3" t="s">
        <v>73</v>
      </c>
      <c r="AU2071" s="6" t="str">
        <f t="shared" si="21"/>
        <v>HathiTrust Record</v>
      </c>
      <c r="AV2071" s="6" t="str">
        <f t="shared" si="22"/>
        <v>Catalog Record</v>
      </c>
      <c r="AW2071" s="6" t="str">
        <f t="shared" si="23"/>
        <v>WorldCat Record</v>
      </c>
      <c r="AX2071" s="3" t="s">
        <v>21472</v>
      </c>
      <c r="AY2071" s="3" t="s">
        <v>21473</v>
      </c>
      <c r="AZ2071" s="3" t="s">
        <v>21474</v>
      </c>
      <c r="BA2071" s="3" t="s">
        <v>21474</v>
      </c>
      <c r="BB2071" s="3" t="s">
        <v>21494</v>
      </c>
      <c r="BC2071" s="3" t="s">
        <v>78</v>
      </c>
      <c r="BD2071" s="3" t="s">
        <v>79</v>
      </c>
      <c r="BE2071" s="3" t="s">
        <v>21476</v>
      </c>
      <c r="BF2071" s="3" t="s">
        <v>21494</v>
      </c>
      <c r="BG2071" s="3" t="s">
        <v>21495</v>
      </c>
    </row>
    <row r="2072" spans="1:59" ht="58" x14ac:dyDescent="0.35">
      <c r="A2072" s="2" t="s">
        <v>59</v>
      </c>
      <c r="B2072" s="2" t="s">
        <v>94</v>
      </c>
      <c r="C2072" s="2" t="s">
        <v>21496</v>
      </c>
      <c r="D2072" s="2" t="s">
        <v>21497</v>
      </c>
      <c r="E2072" s="2" t="s">
        <v>21498</v>
      </c>
      <c r="G2072" s="3" t="s">
        <v>64</v>
      </c>
      <c r="I2072" s="3" t="s">
        <v>64</v>
      </c>
      <c r="J2072" s="3" t="s">
        <v>64</v>
      </c>
      <c r="K2072" s="3" t="s">
        <v>65</v>
      </c>
      <c r="L2072" s="2" t="s">
        <v>8227</v>
      </c>
      <c r="M2072" s="2" t="s">
        <v>21499</v>
      </c>
      <c r="N2072" s="3" t="s">
        <v>486</v>
      </c>
      <c r="P2072" s="3" t="s">
        <v>69</v>
      </c>
      <c r="R2072" s="3" t="s">
        <v>20939</v>
      </c>
      <c r="S2072" s="4">
        <v>38</v>
      </c>
      <c r="T2072" s="4">
        <v>38</v>
      </c>
      <c r="U2072" s="5" t="s">
        <v>4334</v>
      </c>
      <c r="V2072" s="5" t="s">
        <v>4334</v>
      </c>
      <c r="W2072" s="5" t="s">
        <v>72</v>
      </c>
      <c r="X2072" s="5" t="s">
        <v>72</v>
      </c>
      <c r="Y2072" s="4">
        <v>172</v>
      </c>
      <c r="Z2072" s="4">
        <v>11</v>
      </c>
      <c r="AA2072" s="4">
        <v>24</v>
      </c>
      <c r="AB2072" s="4">
        <v>1</v>
      </c>
      <c r="AC2072" s="4">
        <v>4</v>
      </c>
      <c r="AD2072" s="4">
        <v>54</v>
      </c>
      <c r="AE2072" s="4">
        <v>92</v>
      </c>
      <c r="AF2072" s="4">
        <v>0</v>
      </c>
      <c r="AG2072" s="4">
        <v>3</v>
      </c>
      <c r="AH2072" s="4">
        <v>48</v>
      </c>
      <c r="AI2072" s="4">
        <v>78</v>
      </c>
      <c r="AJ2072" s="4">
        <v>7</v>
      </c>
      <c r="AK2072" s="4">
        <v>18</v>
      </c>
      <c r="AL2072" s="4">
        <v>27</v>
      </c>
      <c r="AM2072" s="4">
        <v>43</v>
      </c>
      <c r="AN2072" s="4">
        <v>0</v>
      </c>
      <c r="AO2072" s="4">
        <v>0</v>
      </c>
      <c r="AP2072" s="4">
        <v>7</v>
      </c>
      <c r="AQ2072" s="4">
        <v>19</v>
      </c>
      <c r="AR2072" s="3" t="s">
        <v>64</v>
      </c>
      <c r="AS2072" s="3" t="s">
        <v>64</v>
      </c>
      <c r="AT2072" s="3" t="s">
        <v>73</v>
      </c>
      <c r="AU2072" s="6" t="str">
        <f>HYPERLINK("http://catalog.hathitrust.org/Record/000746878","HathiTrust Record")</f>
        <v>HathiTrust Record</v>
      </c>
      <c r="AV2072" s="6" t="str">
        <f>HYPERLINK("http://mcgill.on.worldcat.org/oclc/6197010","Catalog Record")</f>
        <v>Catalog Record</v>
      </c>
      <c r="AW2072" s="6" t="str">
        <f>HYPERLINK("http://www.worldcat.org/oclc/6197010","WorldCat Record")</f>
        <v>WorldCat Record</v>
      </c>
      <c r="AX2072" s="3" t="s">
        <v>21500</v>
      </c>
      <c r="AY2072" s="3" t="s">
        <v>21501</v>
      </c>
      <c r="AZ2072" s="3" t="s">
        <v>21502</v>
      </c>
      <c r="BA2072" s="3" t="s">
        <v>21502</v>
      </c>
      <c r="BB2072" s="3" t="s">
        <v>21503</v>
      </c>
      <c r="BC2072" s="3" t="s">
        <v>78</v>
      </c>
      <c r="BD2072" s="3" t="s">
        <v>79</v>
      </c>
      <c r="BE2072" s="3" t="s">
        <v>21504</v>
      </c>
      <c r="BF2072" s="3" t="s">
        <v>21503</v>
      </c>
      <c r="BG2072" s="3" t="s">
        <v>21505</v>
      </c>
    </row>
    <row r="2073" spans="1:59" ht="58" x14ac:dyDescent="0.35">
      <c r="A2073" s="2" t="s">
        <v>59</v>
      </c>
      <c r="B2073" s="2" t="s">
        <v>94</v>
      </c>
      <c r="C2073" s="2" t="s">
        <v>21506</v>
      </c>
      <c r="D2073" s="2" t="s">
        <v>21507</v>
      </c>
      <c r="E2073" s="2" t="s">
        <v>21508</v>
      </c>
      <c r="G2073" s="3" t="s">
        <v>64</v>
      </c>
      <c r="I2073" s="3" t="s">
        <v>64</v>
      </c>
      <c r="J2073" s="3" t="s">
        <v>64</v>
      </c>
      <c r="K2073" s="3" t="s">
        <v>65</v>
      </c>
      <c r="L2073" s="2" t="s">
        <v>21509</v>
      </c>
      <c r="M2073" s="2" t="s">
        <v>21510</v>
      </c>
      <c r="N2073" s="3" t="s">
        <v>1530</v>
      </c>
      <c r="O2073" s="2" t="s">
        <v>275</v>
      </c>
      <c r="P2073" s="3" t="s">
        <v>69</v>
      </c>
      <c r="R2073" s="3" t="s">
        <v>20939</v>
      </c>
      <c r="S2073" s="4">
        <v>15</v>
      </c>
      <c r="T2073" s="4">
        <v>15</v>
      </c>
      <c r="U2073" s="5" t="s">
        <v>10868</v>
      </c>
      <c r="V2073" s="5" t="s">
        <v>10868</v>
      </c>
      <c r="W2073" s="5" t="s">
        <v>72</v>
      </c>
      <c r="X2073" s="5" t="s">
        <v>72</v>
      </c>
      <c r="Y2073" s="4">
        <v>227</v>
      </c>
      <c r="Z2073" s="4">
        <v>12</v>
      </c>
      <c r="AA2073" s="4">
        <v>26</v>
      </c>
      <c r="AB2073" s="4">
        <v>1</v>
      </c>
      <c r="AC2073" s="4">
        <v>2</v>
      </c>
      <c r="AD2073" s="4">
        <v>42</v>
      </c>
      <c r="AE2073" s="4">
        <v>89</v>
      </c>
      <c r="AF2073" s="4">
        <v>0</v>
      </c>
      <c r="AG2073" s="4">
        <v>1</v>
      </c>
      <c r="AH2073" s="4">
        <v>39</v>
      </c>
      <c r="AI2073" s="4">
        <v>80</v>
      </c>
      <c r="AJ2073" s="4">
        <v>4</v>
      </c>
      <c r="AK2073" s="4">
        <v>8</v>
      </c>
      <c r="AL2073" s="4">
        <v>22</v>
      </c>
      <c r="AM2073" s="4">
        <v>45</v>
      </c>
      <c r="AN2073" s="4">
        <v>0</v>
      </c>
      <c r="AO2073" s="4">
        <v>3</v>
      </c>
      <c r="AP2073" s="4">
        <v>5</v>
      </c>
      <c r="AQ2073" s="4">
        <v>12</v>
      </c>
      <c r="AR2073" s="3" t="s">
        <v>64</v>
      </c>
      <c r="AS2073" s="3" t="s">
        <v>64</v>
      </c>
      <c r="AT2073" s="3" t="s">
        <v>73</v>
      </c>
      <c r="AU2073" s="6" t="str">
        <f>HYPERLINK("http://catalog.hathitrust.org/Record/003707811","HathiTrust Record")</f>
        <v>HathiTrust Record</v>
      </c>
      <c r="AV2073" s="6" t="str">
        <f>HYPERLINK("http://mcgill.on.worldcat.org/oclc/50208089","Catalog Record")</f>
        <v>Catalog Record</v>
      </c>
      <c r="AW2073" s="6" t="str">
        <f>HYPERLINK("http://www.worldcat.org/oclc/50208089","WorldCat Record")</f>
        <v>WorldCat Record</v>
      </c>
      <c r="AX2073" s="3" t="s">
        <v>21511</v>
      </c>
      <c r="AY2073" s="3" t="s">
        <v>21512</v>
      </c>
      <c r="AZ2073" s="3" t="s">
        <v>21513</v>
      </c>
      <c r="BA2073" s="3" t="s">
        <v>21513</v>
      </c>
      <c r="BB2073" s="3" t="s">
        <v>21514</v>
      </c>
      <c r="BC2073" s="3" t="s">
        <v>78</v>
      </c>
      <c r="BD2073" s="3" t="s">
        <v>79</v>
      </c>
      <c r="BE2073" s="3" t="s">
        <v>21515</v>
      </c>
      <c r="BF2073" s="3" t="s">
        <v>21514</v>
      </c>
      <c r="BG2073" s="3" t="s">
        <v>21516</v>
      </c>
    </row>
    <row r="2074" spans="1:59" ht="58" x14ac:dyDescent="0.35">
      <c r="A2074" s="2" t="s">
        <v>59</v>
      </c>
      <c r="B2074" s="2" t="s">
        <v>94</v>
      </c>
      <c r="C2074" s="2" t="s">
        <v>21517</v>
      </c>
      <c r="D2074" s="2" t="s">
        <v>21518</v>
      </c>
      <c r="E2074" s="2" t="s">
        <v>21519</v>
      </c>
      <c r="G2074" s="3" t="s">
        <v>64</v>
      </c>
      <c r="I2074" s="3" t="s">
        <v>64</v>
      </c>
      <c r="J2074" s="3" t="s">
        <v>64</v>
      </c>
      <c r="K2074" s="3" t="s">
        <v>65</v>
      </c>
      <c r="M2074" s="2" t="s">
        <v>21520</v>
      </c>
      <c r="N2074" s="3" t="s">
        <v>407</v>
      </c>
      <c r="P2074" s="3" t="s">
        <v>69</v>
      </c>
      <c r="R2074" s="3" t="s">
        <v>20939</v>
      </c>
      <c r="S2074" s="4">
        <v>55</v>
      </c>
      <c r="T2074" s="4">
        <v>55</v>
      </c>
      <c r="U2074" s="5" t="s">
        <v>10868</v>
      </c>
      <c r="V2074" s="5" t="s">
        <v>10868</v>
      </c>
      <c r="W2074" s="5" t="s">
        <v>72</v>
      </c>
      <c r="X2074" s="5" t="s">
        <v>72</v>
      </c>
      <c r="Y2074" s="4">
        <v>292</v>
      </c>
      <c r="Z2074" s="4">
        <v>17</v>
      </c>
      <c r="AA2074" s="4">
        <v>17</v>
      </c>
      <c r="AB2074" s="4">
        <v>1</v>
      </c>
      <c r="AC2074" s="4">
        <v>1</v>
      </c>
      <c r="AD2074" s="4">
        <v>79</v>
      </c>
      <c r="AE2074" s="4">
        <v>79</v>
      </c>
      <c r="AF2074" s="4">
        <v>0</v>
      </c>
      <c r="AG2074" s="4">
        <v>0</v>
      </c>
      <c r="AH2074" s="4">
        <v>72</v>
      </c>
      <c r="AI2074" s="4">
        <v>72</v>
      </c>
      <c r="AJ2074" s="4">
        <v>12</v>
      </c>
      <c r="AK2074" s="4">
        <v>12</v>
      </c>
      <c r="AL2074" s="4">
        <v>41</v>
      </c>
      <c r="AM2074" s="4">
        <v>41</v>
      </c>
      <c r="AN2074" s="4">
        <v>0</v>
      </c>
      <c r="AO2074" s="4">
        <v>0</v>
      </c>
      <c r="AP2074" s="4">
        <v>13</v>
      </c>
      <c r="AQ2074" s="4">
        <v>13</v>
      </c>
      <c r="AR2074" s="3" t="s">
        <v>64</v>
      </c>
      <c r="AS2074" s="3" t="s">
        <v>64</v>
      </c>
      <c r="AT2074" s="3" t="s">
        <v>73</v>
      </c>
      <c r="AU2074" s="6" t="str">
        <f>HYPERLINK("http://catalog.hathitrust.org/Record/000634686","HathiTrust Record")</f>
        <v>HathiTrust Record</v>
      </c>
      <c r="AV2074" s="6" t="str">
        <f>HYPERLINK("http://mcgill.on.worldcat.org/oclc/13642811","Catalog Record")</f>
        <v>Catalog Record</v>
      </c>
      <c r="AW2074" s="6" t="str">
        <f>HYPERLINK("http://www.worldcat.org/oclc/13642811","WorldCat Record")</f>
        <v>WorldCat Record</v>
      </c>
      <c r="AX2074" s="3" t="s">
        <v>21521</v>
      </c>
      <c r="AY2074" s="3" t="s">
        <v>21522</v>
      </c>
      <c r="AZ2074" s="3" t="s">
        <v>21523</v>
      </c>
      <c r="BA2074" s="3" t="s">
        <v>21523</v>
      </c>
      <c r="BB2074" s="3" t="s">
        <v>21524</v>
      </c>
      <c r="BC2074" s="3" t="s">
        <v>78</v>
      </c>
      <c r="BD2074" s="3" t="s">
        <v>79</v>
      </c>
      <c r="BE2074" s="3" t="s">
        <v>21525</v>
      </c>
      <c r="BF2074" s="3" t="s">
        <v>21524</v>
      </c>
      <c r="BG2074" s="3" t="s">
        <v>21526</v>
      </c>
    </row>
    <row r="2075" spans="1:59" ht="58" x14ac:dyDescent="0.35">
      <c r="A2075" s="2" t="s">
        <v>59</v>
      </c>
      <c r="B2075" s="2" t="s">
        <v>94</v>
      </c>
      <c r="C2075" s="2" t="s">
        <v>21527</v>
      </c>
      <c r="D2075" s="2" t="s">
        <v>21528</v>
      </c>
      <c r="E2075" s="2" t="s">
        <v>21529</v>
      </c>
      <c r="G2075" s="3" t="s">
        <v>64</v>
      </c>
      <c r="I2075" s="3" t="s">
        <v>64</v>
      </c>
      <c r="J2075" s="3" t="s">
        <v>64</v>
      </c>
      <c r="K2075" s="3" t="s">
        <v>65</v>
      </c>
      <c r="M2075" s="2" t="s">
        <v>19274</v>
      </c>
      <c r="N2075" s="3" t="s">
        <v>328</v>
      </c>
      <c r="P2075" s="3" t="s">
        <v>69</v>
      </c>
      <c r="Q2075" s="2" t="s">
        <v>21530</v>
      </c>
      <c r="R2075" s="3" t="s">
        <v>20939</v>
      </c>
      <c r="S2075" s="4">
        <v>0</v>
      </c>
      <c r="T2075" s="4">
        <v>0</v>
      </c>
      <c r="W2075" s="5" t="s">
        <v>72</v>
      </c>
      <c r="X2075" s="5" t="s">
        <v>72</v>
      </c>
      <c r="Y2075" s="4">
        <v>82</v>
      </c>
      <c r="Z2075" s="4">
        <v>7</v>
      </c>
      <c r="AA2075" s="4">
        <v>10</v>
      </c>
      <c r="AB2075" s="4">
        <v>1</v>
      </c>
      <c r="AC2075" s="4">
        <v>2</v>
      </c>
      <c r="AD2075" s="4">
        <v>46</v>
      </c>
      <c r="AE2075" s="4">
        <v>53</v>
      </c>
      <c r="AF2075" s="4">
        <v>0</v>
      </c>
      <c r="AG2075" s="4">
        <v>0</v>
      </c>
      <c r="AH2075" s="4">
        <v>44</v>
      </c>
      <c r="AI2075" s="4">
        <v>51</v>
      </c>
      <c r="AJ2075" s="4">
        <v>4</v>
      </c>
      <c r="AK2075" s="4">
        <v>6</v>
      </c>
      <c r="AL2075" s="4">
        <v>25</v>
      </c>
      <c r="AM2075" s="4">
        <v>28</v>
      </c>
      <c r="AN2075" s="4">
        <v>0</v>
      </c>
      <c r="AO2075" s="4">
        <v>0</v>
      </c>
      <c r="AP2075" s="4">
        <v>5</v>
      </c>
      <c r="AQ2075" s="4">
        <v>7</v>
      </c>
      <c r="AR2075" s="3" t="s">
        <v>64</v>
      </c>
      <c r="AS2075" s="3" t="s">
        <v>64</v>
      </c>
      <c r="AT2075" s="3" t="s">
        <v>64</v>
      </c>
      <c r="AV2075" s="6" t="str">
        <f>HYPERLINK("http://mcgill.on.worldcat.org/oclc/701806484","Catalog Record")</f>
        <v>Catalog Record</v>
      </c>
      <c r="AW2075" s="6" t="str">
        <f>HYPERLINK("http://www.worldcat.org/oclc/701806484","WorldCat Record")</f>
        <v>WorldCat Record</v>
      </c>
      <c r="AX2075" s="3" t="s">
        <v>21531</v>
      </c>
      <c r="AY2075" s="3" t="s">
        <v>21532</v>
      </c>
      <c r="AZ2075" s="3" t="s">
        <v>21533</v>
      </c>
      <c r="BA2075" s="3" t="s">
        <v>21533</v>
      </c>
      <c r="BB2075" s="3" t="s">
        <v>21534</v>
      </c>
      <c r="BC2075" s="3" t="s">
        <v>78</v>
      </c>
      <c r="BD2075" s="3" t="s">
        <v>79</v>
      </c>
      <c r="BE2075" s="3" t="s">
        <v>21535</v>
      </c>
      <c r="BF2075" s="3" t="s">
        <v>21534</v>
      </c>
      <c r="BG2075" s="3" t="s">
        <v>21536</v>
      </c>
    </row>
    <row r="2076" spans="1:59" ht="58" x14ac:dyDescent="0.35">
      <c r="A2076" s="2" t="s">
        <v>59</v>
      </c>
      <c r="B2076" s="2" t="s">
        <v>94</v>
      </c>
      <c r="C2076" s="2" t="s">
        <v>21537</v>
      </c>
      <c r="D2076" s="2" t="s">
        <v>21538</v>
      </c>
      <c r="E2076" s="2" t="s">
        <v>21539</v>
      </c>
      <c r="G2076" s="3" t="s">
        <v>64</v>
      </c>
      <c r="I2076" s="3" t="s">
        <v>64</v>
      </c>
      <c r="J2076" s="3" t="s">
        <v>64</v>
      </c>
      <c r="K2076" s="3" t="s">
        <v>65</v>
      </c>
      <c r="L2076" s="2" t="s">
        <v>21540</v>
      </c>
      <c r="M2076" s="2" t="s">
        <v>21541</v>
      </c>
      <c r="N2076" s="3" t="s">
        <v>340</v>
      </c>
      <c r="P2076" s="3" t="s">
        <v>69</v>
      </c>
      <c r="R2076" s="3" t="s">
        <v>20939</v>
      </c>
      <c r="S2076" s="4">
        <v>20</v>
      </c>
      <c r="T2076" s="4">
        <v>20</v>
      </c>
      <c r="U2076" s="5" t="s">
        <v>21542</v>
      </c>
      <c r="V2076" s="5" t="s">
        <v>21542</v>
      </c>
      <c r="W2076" s="5" t="s">
        <v>72</v>
      </c>
      <c r="X2076" s="5" t="s">
        <v>72</v>
      </c>
      <c r="Y2076" s="4">
        <v>751</v>
      </c>
      <c r="Z2076" s="4">
        <v>33</v>
      </c>
      <c r="AA2076" s="4">
        <v>33</v>
      </c>
      <c r="AB2076" s="4">
        <v>1</v>
      </c>
      <c r="AC2076" s="4">
        <v>1</v>
      </c>
      <c r="AD2076" s="4">
        <v>117</v>
      </c>
      <c r="AE2076" s="4">
        <v>117</v>
      </c>
      <c r="AF2076" s="4">
        <v>0</v>
      </c>
      <c r="AG2076" s="4">
        <v>0</v>
      </c>
      <c r="AH2076" s="4">
        <v>102</v>
      </c>
      <c r="AI2076" s="4">
        <v>102</v>
      </c>
      <c r="AJ2076" s="4">
        <v>15</v>
      </c>
      <c r="AK2076" s="4">
        <v>15</v>
      </c>
      <c r="AL2076" s="4">
        <v>53</v>
      </c>
      <c r="AM2076" s="4">
        <v>53</v>
      </c>
      <c r="AN2076" s="4">
        <v>0</v>
      </c>
      <c r="AO2076" s="4">
        <v>0</v>
      </c>
      <c r="AP2076" s="4">
        <v>21</v>
      </c>
      <c r="AQ2076" s="4">
        <v>21</v>
      </c>
      <c r="AR2076" s="3" t="s">
        <v>64</v>
      </c>
      <c r="AS2076" s="3" t="s">
        <v>64</v>
      </c>
      <c r="AT2076" s="3" t="s">
        <v>64</v>
      </c>
      <c r="AV2076" s="6" t="str">
        <f>HYPERLINK("http://mcgill.on.worldcat.org/oclc/39465223","Catalog Record")</f>
        <v>Catalog Record</v>
      </c>
      <c r="AW2076" s="6" t="str">
        <f>HYPERLINK("http://www.worldcat.org/oclc/39465223","WorldCat Record")</f>
        <v>WorldCat Record</v>
      </c>
      <c r="AX2076" s="3" t="s">
        <v>21543</v>
      </c>
      <c r="AY2076" s="3" t="s">
        <v>21544</v>
      </c>
      <c r="AZ2076" s="3" t="s">
        <v>21545</v>
      </c>
      <c r="BA2076" s="3" t="s">
        <v>21545</v>
      </c>
      <c r="BB2076" s="3" t="s">
        <v>21546</v>
      </c>
      <c r="BC2076" s="3" t="s">
        <v>78</v>
      </c>
      <c r="BD2076" s="3" t="s">
        <v>79</v>
      </c>
      <c r="BE2076" s="3" t="s">
        <v>21547</v>
      </c>
      <c r="BF2076" s="3" t="s">
        <v>21546</v>
      </c>
      <c r="BG2076" s="3" t="s">
        <v>21548</v>
      </c>
    </row>
    <row r="2077" spans="1:59" ht="72.5" x14ac:dyDescent="0.35">
      <c r="A2077" s="2" t="s">
        <v>59</v>
      </c>
      <c r="B2077" s="2" t="s">
        <v>60</v>
      </c>
      <c r="C2077" s="2" t="s">
        <v>21549</v>
      </c>
      <c r="D2077" s="2" t="s">
        <v>21550</v>
      </c>
      <c r="E2077" s="2" t="s">
        <v>21551</v>
      </c>
      <c r="G2077" s="3" t="s">
        <v>64</v>
      </c>
      <c r="I2077" s="3" t="s">
        <v>64</v>
      </c>
      <c r="J2077" s="3" t="s">
        <v>64</v>
      </c>
      <c r="K2077" s="3" t="s">
        <v>65</v>
      </c>
      <c r="L2077" s="2" t="s">
        <v>21552</v>
      </c>
      <c r="M2077" s="2" t="s">
        <v>21553</v>
      </c>
      <c r="N2077" s="3" t="s">
        <v>5692</v>
      </c>
      <c r="P2077" s="3" t="s">
        <v>69</v>
      </c>
      <c r="R2077" s="3" t="s">
        <v>20939</v>
      </c>
      <c r="S2077" s="4">
        <v>8</v>
      </c>
      <c r="T2077" s="4">
        <v>8</v>
      </c>
      <c r="U2077" s="5" t="s">
        <v>21554</v>
      </c>
      <c r="V2077" s="5" t="s">
        <v>21554</v>
      </c>
      <c r="W2077" s="5" t="s">
        <v>72</v>
      </c>
      <c r="X2077" s="5" t="s">
        <v>72</v>
      </c>
      <c r="Y2077" s="4">
        <v>234</v>
      </c>
      <c r="Z2077" s="4">
        <v>5</v>
      </c>
      <c r="AA2077" s="4">
        <v>5</v>
      </c>
      <c r="AB2077" s="4">
        <v>1</v>
      </c>
      <c r="AC2077" s="4">
        <v>1</v>
      </c>
      <c r="AD2077" s="4">
        <v>72</v>
      </c>
      <c r="AE2077" s="4">
        <v>76</v>
      </c>
      <c r="AF2077" s="4">
        <v>0</v>
      </c>
      <c r="AG2077" s="4">
        <v>0</v>
      </c>
      <c r="AH2077" s="4">
        <v>70</v>
      </c>
      <c r="AI2077" s="4">
        <v>74</v>
      </c>
      <c r="AJ2077" s="4">
        <v>2</v>
      </c>
      <c r="AK2077" s="4">
        <v>2</v>
      </c>
      <c r="AL2077" s="4">
        <v>42</v>
      </c>
      <c r="AM2077" s="4">
        <v>45</v>
      </c>
      <c r="AN2077" s="4">
        <v>0</v>
      </c>
      <c r="AO2077" s="4">
        <v>0</v>
      </c>
      <c r="AP2077" s="4">
        <v>2</v>
      </c>
      <c r="AQ2077" s="4">
        <v>2</v>
      </c>
      <c r="AR2077" s="3" t="s">
        <v>64</v>
      </c>
      <c r="AS2077" s="3" t="s">
        <v>64</v>
      </c>
      <c r="AT2077" s="3" t="s">
        <v>73</v>
      </c>
      <c r="AU2077" s="6" t="str">
        <f>HYPERLINK("http://catalog.hathitrust.org/Record/001622166","HathiTrust Record")</f>
        <v>HathiTrust Record</v>
      </c>
      <c r="AV2077" s="6" t="str">
        <f>HYPERLINK("http://mcgill.on.worldcat.org/oclc/1472974","Catalog Record")</f>
        <v>Catalog Record</v>
      </c>
      <c r="AW2077" s="6" t="str">
        <f>HYPERLINK("http://www.worldcat.org/oclc/1472974","WorldCat Record")</f>
        <v>WorldCat Record</v>
      </c>
      <c r="AX2077" s="3" t="s">
        <v>21555</v>
      </c>
      <c r="AY2077" s="3" t="s">
        <v>21556</v>
      </c>
      <c r="AZ2077" s="3" t="s">
        <v>21557</v>
      </c>
      <c r="BA2077" s="3" t="s">
        <v>21557</v>
      </c>
      <c r="BB2077" s="3" t="s">
        <v>21558</v>
      </c>
      <c r="BC2077" s="3" t="s">
        <v>78</v>
      </c>
      <c r="BD2077" s="3" t="s">
        <v>79</v>
      </c>
      <c r="BF2077" s="3" t="s">
        <v>21558</v>
      </c>
      <c r="BG2077" s="3" t="s">
        <v>21559</v>
      </c>
    </row>
    <row r="2078" spans="1:59" ht="72.5" x14ac:dyDescent="0.35">
      <c r="A2078" s="2" t="s">
        <v>59</v>
      </c>
      <c r="B2078" s="2" t="s">
        <v>60</v>
      </c>
      <c r="C2078" s="2" t="s">
        <v>21560</v>
      </c>
      <c r="D2078" s="2" t="s">
        <v>21561</v>
      </c>
      <c r="E2078" s="2" t="s">
        <v>21562</v>
      </c>
      <c r="G2078" s="3" t="s">
        <v>64</v>
      </c>
      <c r="I2078" s="3" t="s">
        <v>64</v>
      </c>
      <c r="J2078" s="3" t="s">
        <v>64</v>
      </c>
      <c r="K2078" s="3" t="s">
        <v>65</v>
      </c>
      <c r="L2078" s="2" t="s">
        <v>21563</v>
      </c>
      <c r="M2078" s="2" t="s">
        <v>21564</v>
      </c>
      <c r="N2078" s="3" t="s">
        <v>112</v>
      </c>
      <c r="P2078" s="3" t="s">
        <v>69</v>
      </c>
      <c r="R2078" s="3" t="s">
        <v>20939</v>
      </c>
      <c r="S2078" s="4">
        <v>6</v>
      </c>
      <c r="T2078" s="4">
        <v>6</v>
      </c>
      <c r="U2078" s="5" t="s">
        <v>21554</v>
      </c>
      <c r="V2078" s="5" t="s">
        <v>21554</v>
      </c>
      <c r="W2078" s="5" t="s">
        <v>72</v>
      </c>
      <c r="X2078" s="5" t="s">
        <v>72</v>
      </c>
      <c r="Y2078" s="4">
        <v>150</v>
      </c>
      <c r="Z2078" s="4">
        <v>4</v>
      </c>
      <c r="AA2078" s="4">
        <v>8</v>
      </c>
      <c r="AB2078" s="4">
        <v>1</v>
      </c>
      <c r="AC2078" s="4">
        <v>1</v>
      </c>
      <c r="AD2078" s="4">
        <v>45</v>
      </c>
      <c r="AE2078" s="4">
        <v>62</v>
      </c>
      <c r="AF2078" s="4">
        <v>0</v>
      </c>
      <c r="AG2078" s="4">
        <v>0</v>
      </c>
      <c r="AH2078" s="4">
        <v>43</v>
      </c>
      <c r="AI2078" s="4">
        <v>59</v>
      </c>
      <c r="AJ2078" s="4">
        <v>1</v>
      </c>
      <c r="AK2078" s="4">
        <v>4</v>
      </c>
      <c r="AL2078" s="4">
        <v>25</v>
      </c>
      <c r="AM2078" s="4">
        <v>35</v>
      </c>
      <c r="AN2078" s="4">
        <v>0</v>
      </c>
      <c r="AO2078" s="4">
        <v>0</v>
      </c>
      <c r="AP2078" s="4">
        <v>1</v>
      </c>
      <c r="AQ2078" s="4">
        <v>3</v>
      </c>
      <c r="AR2078" s="3" t="s">
        <v>64</v>
      </c>
      <c r="AS2078" s="3" t="s">
        <v>64</v>
      </c>
      <c r="AT2078" s="3" t="s">
        <v>64</v>
      </c>
      <c r="AU2078" s="6" t="str">
        <f>HYPERLINK("http://catalog.hathitrust.org/Record/002022331","HathiTrust Record")</f>
        <v>HathiTrust Record</v>
      </c>
      <c r="AV2078" s="6" t="str">
        <f>HYPERLINK("http://mcgill.on.worldcat.org/oclc/2001881","Catalog Record")</f>
        <v>Catalog Record</v>
      </c>
      <c r="AW2078" s="6" t="str">
        <f>HYPERLINK("http://www.worldcat.org/oclc/2001881","WorldCat Record")</f>
        <v>WorldCat Record</v>
      </c>
      <c r="AX2078" s="3" t="s">
        <v>21565</v>
      </c>
      <c r="AY2078" s="3" t="s">
        <v>21566</v>
      </c>
      <c r="AZ2078" s="3" t="s">
        <v>21567</v>
      </c>
      <c r="BA2078" s="3" t="s">
        <v>21567</v>
      </c>
      <c r="BB2078" s="3" t="s">
        <v>21568</v>
      </c>
      <c r="BC2078" s="3" t="s">
        <v>78</v>
      </c>
      <c r="BD2078" s="3" t="s">
        <v>79</v>
      </c>
      <c r="BF2078" s="3" t="s">
        <v>21568</v>
      </c>
      <c r="BG2078" s="3" t="s">
        <v>21569</v>
      </c>
    </row>
    <row r="2079" spans="1:59" ht="72.5" x14ac:dyDescent="0.35">
      <c r="A2079" s="2" t="s">
        <v>59</v>
      </c>
      <c r="B2079" s="2" t="s">
        <v>60</v>
      </c>
      <c r="C2079" s="2" t="s">
        <v>21570</v>
      </c>
      <c r="D2079" s="2" t="s">
        <v>21571</v>
      </c>
      <c r="E2079" s="2" t="s">
        <v>21572</v>
      </c>
      <c r="G2079" s="3" t="s">
        <v>64</v>
      </c>
      <c r="I2079" s="3" t="s">
        <v>64</v>
      </c>
      <c r="J2079" s="3" t="s">
        <v>64</v>
      </c>
      <c r="K2079" s="3" t="s">
        <v>65</v>
      </c>
      <c r="L2079" s="2" t="s">
        <v>21573</v>
      </c>
      <c r="M2079" s="2" t="s">
        <v>21574</v>
      </c>
      <c r="N2079" s="3" t="s">
        <v>112</v>
      </c>
      <c r="P2079" s="3" t="s">
        <v>69</v>
      </c>
      <c r="R2079" s="3" t="s">
        <v>20939</v>
      </c>
      <c r="S2079" s="4">
        <v>4</v>
      </c>
      <c r="T2079" s="4">
        <v>4</v>
      </c>
      <c r="U2079" s="5" t="s">
        <v>21554</v>
      </c>
      <c r="V2079" s="5" t="s">
        <v>21554</v>
      </c>
      <c r="W2079" s="5" t="s">
        <v>72</v>
      </c>
      <c r="X2079" s="5" t="s">
        <v>72</v>
      </c>
      <c r="Y2079" s="4">
        <v>41</v>
      </c>
      <c r="Z2079" s="4">
        <v>4</v>
      </c>
      <c r="AA2079" s="4">
        <v>5</v>
      </c>
      <c r="AB2079" s="4">
        <v>2</v>
      </c>
      <c r="AC2079" s="4">
        <v>2</v>
      </c>
      <c r="AD2079" s="4">
        <v>17</v>
      </c>
      <c r="AE2079" s="4">
        <v>21</v>
      </c>
      <c r="AF2079" s="4">
        <v>0</v>
      </c>
      <c r="AG2079" s="4">
        <v>0</v>
      </c>
      <c r="AH2079" s="4">
        <v>17</v>
      </c>
      <c r="AI2079" s="4">
        <v>21</v>
      </c>
      <c r="AJ2079" s="4">
        <v>1</v>
      </c>
      <c r="AK2079" s="4">
        <v>2</v>
      </c>
      <c r="AL2079" s="4">
        <v>12</v>
      </c>
      <c r="AM2079" s="4">
        <v>15</v>
      </c>
      <c r="AN2079" s="4">
        <v>0</v>
      </c>
      <c r="AO2079" s="4">
        <v>0</v>
      </c>
      <c r="AP2079" s="4">
        <v>1</v>
      </c>
      <c r="AQ2079" s="4">
        <v>2</v>
      </c>
      <c r="AR2079" s="3" t="s">
        <v>64</v>
      </c>
      <c r="AS2079" s="3" t="s">
        <v>64</v>
      </c>
      <c r="AT2079" s="3" t="s">
        <v>64</v>
      </c>
      <c r="AV2079" s="6" t="str">
        <f>HYPERLINK("http://mcgill.on.worldcat.org/oclc/3185312","Catalog Record")</f>
        <v>Catalog Record</v>
      </c>
      <c r="AW2079" s="6" t="str">
        <f>HYPERLINK("http://www.worldcat.org/oclc/3185312","WorldCat Record")</f>
        <v>WorldCat Record</v>
      </c>
      <c r="AX2079" s="3" t="s">
        <v>21575</v>
      </c>
      <c r="AY2079" s="3" t="s">
        <v>21576</v>
      </c>
      <c r="AZ2079" s="3" t="s">
        <v>21577</v>
      </c>
      <c r="BA2079" s="3" t="s">
        <v>21577</v>
      </c>
      <c r="BB2079" s="3" t="s">
        <v>21578</v>
      </c>
      <c r="BC2079" s="3" t="s">
        <v>78</v>
      </c>
      <c r="BD2079" s="3" t="s">
        <v>79</v>
      </c>
      <c r="BF2079" s="3" t="s">
        <v>21578</v>
      </c>
      <c r="BG2079" s="3" t="s">
        <v>21579</v>
      </c>
    </row>
    <row r="2080" spans="1:59" ht="58" x14ac:dyDescent="0.35">
      <c r="A2080" s="2" t="s">
        <v>59</v>
      </c>
      <c r="B2080" s="2" t="s">
        <v>94</v>
      </c>
      <c r="C2080" s="2" t="s">
        <v>21580</v>
      </c>
      <c r="D2080" s="2" t="s">
        <v>21581</v>
      </c>
      <c r="E2080" s="2" t="s">
        <v>21582</v>
      </c>
      <c r="G2080" s="3" t="s">
        <v>64</v>
      </c>
      <c r="I2080" s="3" t="s">
        <v>64</v>
      </c>
      <c r="J2080" s="3" t="s">
        <v>64</v>
      </c>
      <c r="K2080" s="3" t="s">
        <v>65</v>
      </c>
      <c r="L2080" s="2" t="s">
        <v>21583</v>
      </c>
      <c r="M2080" s="2" t="s">
        <v>21584</v>
      </c>
      <c r="N2080" s="3" t="s">
        <v>377</v>
      </c>
      <c r="P2080" s="3" t="s">
        <v>69</v>
      </c>
      <c r="Q2080" s="2" t="s">
        <v>21585</v>
      </c>
      <c r="R2080" s="3" t="s">
        <v>20939</v>
      </c>
      <c r="S2080" s="4">
        <v>0</v>
      </c>
      <c r="T2080" s="4">
        <v>0</v>
      </c>
      <c r="W2080" s="5" t="s">
        <v>72</v>
      </c>
      <c r="X2080" s="5" t="s">
        <v>72</v>
      </c>
      <c r="Y2080" s="4">
        <v>38</v>
      </c>
      <c r="Z2080" s="4">
        <v>2</v>
      </c>
      <c r="AA2080" s="4">
        <v>5</v>
      </c>
      <c r="AB2080" s="4">
        <v>1</v>
      </c>
      <c r="AC2080" s="4">
        <v>4</v>
      </c>
      <c r="AD2080" s="4">
        <v>7</v>
      </c>
      <c r="AE2080" s="4">
        <v>10</v>
      </c>
      <c r="AF2080" s="4">
        <v>0</v>
      </c>
      <c r="AG2080" s="4">
        <v>1</v>
      </c>
      <c r="AH2080" s="4">
        <v>6</v>
      </c>
      <c r="AI2080" s="4">
        <v>9</v>
      </c>
      <c r="AJ2080" s="4">
        <v>1</v>
      </c>
      <c r="AK2080" s="4">
        <v>2</v>
      </c>
      <c r="AL2080" s="4">
        <v>4</v>
      </c>
      <c r="AM2080" s="4">
        <v>5</v>
      </c>
      <c r="AN2080" s="4">
        <v>0</v>
      </c>
      <c r="AO2080" s="4">
        <v>0</v>
      </c>
      <c r="AP2080" s="4">
        <v>1</v>
      </c>
      <c r="AQ2080" s="4">
        <v>2</v>
      </c>
      <c r="AR2080" s="3" t="s">
        <v>64</v>
      </c>
      <c r="AS2080" s="3" t="s">
        <v>64</v>
      </c>
      <c r="AT2080" s="3" t="s">
        <v>64</v>
      </c>
      <c r="AV2080" s="6" t="str">
        <f>HYPERLINK("http://mcgill.on.worldcat.org/oclc/741023650","Catalog Record")</f>
        <v>Catalog Record</v>
      </c>
      <c r="AW2080" s="6" t="str">
        <f>HYPERLINK("http://www.worldcat.org/oclc/741023650","WorldCat Record")</f>
        <v>WorldCat Record</v>
      </c>
      <c r="AX2080" s="3" t="s">
        <v>21586</v>
      </c>
      <c r="AY2080" s="3" t="s">
        <v>21587</v>
      </c>
      <c r="AZ2080" s="3" t="s">
        <v>21588</v>
      </c>
      <c r="BA2080" s="3" t="s">
        <v>21588</v>
      </c>
      <c r="BB2080" s="3" t="s">
        <v>21589</v>
      </c>
      <c r="BC2080" s="3" t="s">
        <v>78</v>
      </c>
      <c r="BD2080" s="3" t="s">
        <v>79</v>
      </c>
      <c r="BE2080" s="3" t="s">
        <v>21590</v>
      </c>
      <c r="BF2080" s="3" t="s">
        <v>21589</v>
      </c>
      <c r="BG2080" s="3" t="s">
        <v>21591</v>
      </c>
    </row>
    <row r="2081" spans="1:59" ht="58" x14ac:dyDescent="0.35">
      <c r="A2081" s="2" t="s">
        <v>59</v>
      </c>
      <c r="B2081" s="2" t="s">
        <v>94</v>
      </c>
      <c r="C2081" s="2" t="s">
        <v>21592</v>
      </c>
      <c r="D2081" s="2" t="s">
        <v>21593</v>
      </c>
      <c r="E2081" s="2" t="s">
        <v>21594</v>
      </c>
      <c r="G2081" s="3" t="s">
        <v>64</v>
      </c>
      <c r="I2081" s="3" t="s">
        <v>64</v>
      </c>
      <c r="J2081" s="3" t="s">
        <v>64</v>
      </c>
      <c r="K2081" s="3" t="s">
        <v>65</v>
      </c>
      <c r="L2081" s="2" t="s">
        <v>21595</v>
      </c>
      <c r="M2081" s="2" t="s">
        <v>21596</v>
      </c>
      <c r="N2081" s="3" t="s">
        <v>407</v>
      </c>
      <c r="O2081" s="2" t="s">
        <v>1294</v>
      </c>
      <c r="P2081" s="3" t="s">
        <v>69</v>
      </c>
      <c r="R2081" s="3" t="s">
        <v>20939</v>
      </c>
      <c r="S2081" s="4">
        <v>18</v>
      </c>
      <c r="T2081" s="4">
        <v>18</v>
      </c>
      <c r="U2081" s="5" t="s">
        <v>253</v>
      </c>
      <c r="V2081" s="5" t="s">
        <v>253</v>
      </c>
      <c r="W2081" s="5" t="s">
        <v>72</v>
      </c>
      <c r="X2081" s="5" t="s">
        <v>72</v>
      </c>
      <c r="Y2081" s="4">
        <v>941</v>
      </c>
      <c r="Z2081" s="4">
        <v>24</v>
      </c>
      <c r="AA2081" s="4">
        <v>25</v>
      </c>
      <c r="AB2081" s="4">
        <v>3</v>
      </c>
      <c r="AC2081" s="4">
        <v>4</v>
      </c>
      <c r="AD2081" s="4">
        <v>109</v>
      </c>
      <c r="AE2081" s="4">
        <v>109</v>
      </c>
      <c r="AF2081" s="4">
        <v>1</v>
      </c>
      <c r="AG2081" s="4">
        <v>1</v>
      </c>
      <c r="AH2081" s="4">
        <v>99</v>
      </c>
      <c r="AI2081" s="4">
        <v>99</v>
      </c>
      <c r="AJ2081" s="4">
        <v>14</v>
      </c>
      <c r="AK2081" s="4">
        <v>14</v>
      </c>
      <c r="AL2081" s="4">
        <v>55</v>
      </c>
      <c r="AM2081" s="4">
        <v>55</v>
      </c>
      <c r="AN2081" s="4">
        <v>0</v>
      </c>
      <c r="AO2081" s="4">
        <v>0</v>
      </c>
      <c r="AP2081" s="4">
        <v>16</v>
      </c>
      <c r="AQ2081" s="4">
        <v>16</v>
      </c>
      <c r="AR2081" s="3" t="s">
        <v>64</v>
      </c>
      <c r="AS2081" s="3" t="s">
        <v>64</v>
      </c>
      <c r="AT2081" s="3" t="s">
        <v>73</v>
      </c>
      <c r="AU2081" s="6" t="str">
        <f>HYPERLINK("http://catalog.hathitrust.org/Record/000596560","HathiTrust Record")</f>
        <v>HathiTrust Record</v>
      </c>
      <c r="AV2081" s="6" t="str">
        <f>HYPERLINK("http://mcgill.on.worldcat.org/oclc/13581120","Catalog Record")</f>
        <v>Catalog Record</v>
      </c>
      <c r="AW2081" s="6" t="str">
        <f>HYPERLINK("http://www.worldcat.org/oclc/13581120","WorldCat Record")</f>
        <v>WorldCat Record</v>
      </c>
      <c r="AX2081" s="3" t="s">
        <v>21597</v>
      </c>
      <c r="AY2081" s="3" t="s">
        <v>21598</v>
      </c>
      <c r="AZ2081" s="3" t="s">
        <v>21599</v>
      </c>
      <c r="BA2081" s="3" t="s">
        <v>21599</v>
      </c>
      <c r="BB2081" s="3" t="s">
        <v>21600</v>
      </c>
      <c r="BC2081" s="3" t="s">
        <v>78</v>
      </c>
      <c r="BD2081" s="3" t="s">
        <v>79</v>
      </c>
      <c r="BE2081" s="3" t="s">
        <v>21601</v>
      </c>
      <c r="BF2081" s="3" t="s">
        <v>21600</v>
      </c>
      <c r="BG2081" s="3" t="s">
        <v>21602</v>
      </c>
    </row>
    <row r="2082" spans="1:59" ht="72.5" x14ac:dyDescent="0.35">
      <c r="A2082" s="2" t="s">
        <v>59</v>
      </c>
      <c r="B2082" s="2" t="s">
        <v>60</v>
      </c>
      <c r="C2082" s="2" t="s">
        <v>21603</v>
      </c>
      <c r="D2082" s="2" t="s">
        <v>21604</v>
      </c>
      <c r="E2082" s="2" t="s">
        <v>21605</v>
      </c>
      <c r="G2082" s="3" t="s">
        <v>64</v>
      </c>
      <c r="I2082" s="3" t="s">
        <v>64</v>
      </c>
      <c r="J2082" s="3" t="s">
        <v>64</v>
      </c>
      <c r="K2082" s="3" t="s">
        <v>65</v>
      </c>
      <c r="L2082" s="2" t="s">
        <v>21606</v>
      </c>
      <c r="M2082" s="2" t="s">
        <v>21607</v>
      </c>
      <c r="N2082" s="3" t="s">
        <v>328</v>
      </c>
      <c r="P2082" s="3" t="s">
        <v>69</v>
      </c>
      <c r="R2082" s="3" t="s">
        <v>20939</v>
      </c>
      <c r="S2082" s="4">
        <v>1</v>
      </c>
      <c r="T2082" s="4">
        <v>1</v>
      </c>
      <c r="U2082" s="5" t="s">
        <v>8196</v>
      </c>
      <c r="V2082" s="5" t="s">
        <v>8196</v>
      </c>
      <c r="W2082" s="5" t="s">
        <v>72</v>
      </c>
      <c r="X2082" s="5" t="s">
        <v>72</v>
      </c>
      <c r="Y2082" s="4">
        <v>150</v>
      </c>
      <c r="Z2082" s="4">
        <v>30</v>
      </c>
      <c r="AA2082" s="4">
        <v>110</v>
      </c>
      <c r="AB2082" s="4">
        <v>4</v>
      </c>
      <c r="AC2082" s="4">
        <v>21</v>
      </c>
      <c r="AD2082" s="4">
        <v>53</v>
      </c>
      <c r="AE2082" s="4">
        <v>126</v>
      </c>
      <c r="AF2082" s="4">
        <v>1</v>
      </c>
      <c r="AG2082" s="4">
        <v>8</v>
      </c>
      <c r="AH2082" s="4">
        <v>41</v>
      </c>
      <c r="AI2082" s="4">
        <v>80</v>
      </c>
      <c r="AJ2082" s="4">
        <v>18</v>
      </c>
      <c r="AK2082" s="4">
        <v>26</v>
      </c>
      <c r="AL2082" s="4">
        <v>24</v>
      </c>
      <c r="AM2082" s="4">
        <v>43</v>
      </c>
      <c r="AN2082" s="4">
        <v>0</v>
      </c>
      <c r="AO2082" s="4">
        <v>0</v>
      </c>
      <c r="AP2082" s="4">
        <v>19</v>
      </c>
      <c r="AQ2082" s="4">
        <v>52</v>
      </c>
      <c r="AR2082" s="3" t="s">
        <v>73</v>
      </c>
      <c r="AS2082" s="3" t="s">
        <v>64</v>
      </c>
      <c r="AT2082" s="3" t="s">
        <v>64</v>
      </c>
      <c r="AV2082" s="6" t="str">
        <f>HYPERLINK("http://mcgill.on.worldcat.org/oclc/667805538","Catalog Record")</f>
        <v>Catalog Record</v>
      </c>
      <c r="AW2082" s="6" t="str">
        <f>HYPERLINK("http://www.worldcat.org/oclc/667805538","WorldCat Record")</f>
        <v>WorldCat Record</v>
      </c>
      <c r="AX2082" s="3" t="s">
        <v>21608</v>
      </c>
      <c r="AY2082" s="3" t="s">
        <v>21609</v>
      </c>
      <c r="AZ2082" s="3" t="s">
        <v>21610</v>
      </c>
      <c r="BA2082" s="3" t="s">
        <v>21610</v>
      </c>
      <c r="BB2082" s="3" t="s">
        <v>21611</v>
      </c>
      <c r="BC2082" s="3" t="s">
        <v>78</v>
      </c>
      <c r="BD2082" s="3" t="s">
        <v>79</v>
      </c>
      <c r="BE2082" s="3" t="s">
        <v>21612</v>
      </c>
      <c r="BF2082" s="3" t="s">
        <v>21611</v>
      </c>
      <c r="BG2082" s="3" t="s">
        <v>21613</v>
      </c>
    </row>
    <row r="2083" spans="1:59" ht="58" x14ac:dyDescent="0.35">
      <c r="A2083" s="2" t="s">
        <v>59</v>
      </c>
      <c r="B2083" s="2" t="s">
        <v>94</v>
      </c>
      <c r="C2083" s="2" t="s">
        <v>21614</v>
      </c>
      <c r="D2083" s="2" t="s">
        <v>21615</v>
      </c>
      <c r="E2083" s="2" t="s">
        <v>21616</v>
      </c>
      <c r="G2083" s="3" t="s">
        <v>64</v>
      </c>
      <c r="I2083" s="3" t="s">
        <v>73</v>
      </c>
      <c r="J2083" s="3" t="s">
        <v>64</v>
      </c>
      <c r="K2083" s="3" t="s">
        <v>65</v>
      </c>
      <c r="L2083" s="2" t="s">
        <v>21617</v>
      </c>
      <c r="M2083" s="2" t="s">
        <v>21618</v>
      </c>
      <c r="N2083" s="3" t="s">
        <v>473</v>
      </c>
      <c r="P2083" s="3" t="s">
        <v>69</v>
      </c>
      <c r="R2083" s="3" t="s">
        <v>20939</v>
      </c>
      <c r="S2083" s="4">
        <v>28</v>
      </c>
      <c r="T2083" s="4">
        <v>29</v>
      </c>
      <c r="U2083" s="5" t="s">
        <v>21619</v>
      </c>
      <c r="V2083" s="5" t="s">
        <v>8073</v>
      </c>
      <c r="W2083" s="5" t="s">
        <v>72</v>
      </c>
      <c r="X2083" s="5" t="s">
        <v>72</v>
      </c>
      <c r="Y2083" s="4">
        <v>4</v>
      </c>
      <c r="Z2083" s="4">
        <v>2</v>
      </c>
      <c r="AA2083" s="4">
        <v>32</v>
      </c>
      <c r="AB2083" s="4">
        <v>1</v>
      </c>
      <c r="AC2083" s="4">
        <v>3</v>
      </c>
      <c r="AD2083" s="4">
        <v>1</v>
      </c>
      <c r="AE2083" s="4">
        <v>105</v>
      </c>
      <c r="AF2083" s="4">
        <v>0</v>
      </c>
      <c r="AG2083" s="4">
        <v>2</v>
      </c>
      <c r="AH2083" s="4">
        <v>1</v>
      </c>
      <c r="AI2083" s="4">
        <v>91</v>
      </c>
      <c r="AJ2083" s="4">
        <v>1</v>
      </c>
      <c r="AK2083" s="4">
        <v>18</v>
      </c>
      <c r="AL2083" s="4">
        <v>0</v>
      </c>
      <c r="AM2083" s="4">
        <v>50</v>
      </c>
      <c r="AN2083" s="4">
        <v>0</v>
      </c>
      <c r="AO2083" s="4">
        <v>0</v>
      </c>
      <c r="AP2083" s="4">
        <v>1</v>
      </c>
      <c r="AQ2083" s="4">
        <v>24</v>
      </c>
      <c r="AR2083" s="3" t="s">
        <v>64</v>
      </c>
      <c r="AS2083" s="3" t="s">
        <v>64</v>
      </c>
      <c r="AT2083" s="3" t="s">
        <v>73</v>
      </c>
      <c r="AU2083" s="6" t="str">
        <f>HYPERLINK("http://catalog.hathitrust.org/Record/002544757","HathiTrust Record")</f>
        <v>HathiTrust Record</v>
      </c>
      <c r="AV2083" s="6" t="str">
        <f>HYPERLINK("http://mcgill.on.worldcat.org/oclc/427893183","Catalog Record")</f>
        <v>Catalog Record</v>
      </c>
      <c r="AW2083" s="6" t="str">
        <f>HYPERLINK("http://www.worldcat.org/oclc/427893183","WorldCat Record")</f>
        <v>WorldCat Record</v>
      </c>
      <c r="AX2083" s="3" t="s">
        <v>21620</v>
      </c>
      <c r="AY2083" s="3" t="s">
        <v>21621</v>
      </c>
      <c r="AZ2083" s="3" t="s">
        <v>21622</v>
      </c>
      <c r="BA2083" s="3" t="s">
        <v>21622</v>
      </c>
      <c r="BB2083" s="3" t="s">
        <v>21623</v>
      </c>
      <c r="BC2083" s="3" t="s">
        <v>78</v>
      </c>
      <c r="BD2083" s="3" t="s">
        <v>79</v>
      </c>
      <c r="BE2083" s="3" t="s">
        <v>21624</v>
      </c>
      <c r="BF2083" s="3" t="s">
        <v>21623</v>
      </c>
      <c r="BG2083" s="3" t="s">
        <v>21625</v>
      </c>
    </row>
    <row r="2084" spans="1:59" ht="58" x14ac:dyDescent="0.35">
      <c r="A2084" s="2" t="s">
        <v>59</v>
      </c>
      <c r="B2084" s="2" t="s">
        <v>94</v>
      </c>
      <c r="C2084" s="2" t="s">
        <v>21614</v>
      </c>
      <c r="D2084" s="2" t="s">
        <v>21615</v>
      </c>
      <c r="E2084" s="2" t="s">
        <v>21616</v>
      </c>
      <c r="G2084" s="3" t="s">
        <v>64</v>
      </c>
      <c r="I2084" s="3" t="s">
        <v>73</v>
      </c>
      <c r="J2084" s="3" t="s">
        <v>64</v>
      </c>
      <c r="K2084" s="3" t="s">
        <v>65</v>
      </c>
      <c r="L2084" s="2" t="s">
        <v>21617</v>
      </c>
      <c r="M2084" s="2" t="s">
        <v>21618</v>
      </c>
      <c r="N2084" s="3" t="s">
        <v>473</v>
      </c>
      <c r="P2084" s="3" t="s">
        <v>69</v>
      </c>
      <c r="R2084" s="3" t="s">
        <v>20939</v>
      </c>
      <c r="S2084" s="4">
        <v>1</v>
      </c>
      <c r="T2084" s="4">
        <v>29</v>
      </c>
      <c r="U2084" s="5" t="s">
        <v>8073</v>
      </c>
      <c r="V2084" s="5" t="s">
        <v>8073</v>
      </c>
      <c r="W2084" s="5" t="s">
        <v>72</v>
      </c>
      <c r="X2084" s="5" t="s">
        <v>72</v>
      </c>
      <c r="Y2084" s="4">
        <v>4</v>
      </c>
      <c r="Z2084" s="4">
        <v>2</v>
      </c>
      <c r="AA2084" s="4">
        <v>32</v>
      </c>
      <c r="AB2084" s="4">
        <v>1</v>
      </c>
      <c r="AC2084" s="4">
        <v>3</v>
      </c>
      <c r="AD2084" s="4">
        <v>1</v>
      </c>
      <c r="AE2084" s="4">
        <v>105</v>
      </c>
      <c r="AF2084" s="4">
        <v>0</v>
      </c>
      <c r="AG2084" s="4">
        <v>2</v>
      </c>
      <c r="AH2084" s="4">
        <v>1</v>
      </c>
      <c r="AI2084" s="4">
        <v>91</v>
      </c>
      <c r="AJ2084" s="4">
        <v>1</v>
      </c>
      <c r="AK2084" s="4">
        <v>18</v>
      </c>
      <c r="AL2084" s="4">
        <v>0</v>
      </c>
      <c r="AM2084" s="4">
        <v>50</v>
      </c>
      <c r="AN2084" s="4">
        <v>0</v>
      </c>
      <c r="AO2084" s="4">
        <v>0</v>
      </c>
      <c r="AP2084" s="4">
        <v>1</v>
      </c>
      <c r="AQ2084" s="4">
        <v>24</v>
      </c>
      <c r="AR2084" s="3" t="s">
        <v>64</v>
      </c>
      <c r="AS2084" s="3" t="s">
        <v>64</v>
      </c>
      <c r="AT2084" s="3" t="s">
        <v>73</v>
      </c>
      <c r="AU2084" s="6" t="str">
        <f>HYPERLINK("http://catalog.hathitrust.org/Record/002544757","HathiTrust Record")</f>
        <v>HathiTrust Record</v>
      </c>
      <c r="AV2084" s="6" t="str">
        <f>HYPERLINK("http://mcgill.on.worldcat.org/oclc/427893183","Catalog Record")</f>
        <v>Catalog Record</v>
      </c>
      <c r="AW2084" s="6" t="str">
        <f>HYPERLINK("http://www.worldcat.org/oclc/427893183","WorldCat Record")</f>
        <v>WorldCat Record</v>
      </c>
      <c r="AX2084" s="3" t="s">
        <v>21620</v>
      </c>
      <c r="AY2084" s="3" t="s">
        <v>21621</v>
      </c>
      <c r="AZ2084" s="3" t="s">
        <v>21622</v>
      </c>
      <c r="BA2084" s="3" t="s">
        <v>21622</v>
      </c>
      <c r="BB2084" s="3" t="s">
        <v>21626</v>
      </c>
      <c r="BC2084" s="3" t="s">
        <v>78</v>
      </c>
      <c r="BD2084" s="3" t="s">
        <v>79</v>
      </c>
      <c r="BE2084" s="3" t="s">
        <v>21624</v>
      </c>
      <c r="BF2084" s="3" t="s">
        <v>21626</v>
      </c>
      <c r="BG2084" s="3" t="s">
        <v>21627</v>
      </c>
    </row>
    <row r="2085" spans="1:59" ht="58" x14ac:dyDescent="0.35">
      <c r="A2085" s="2" t="s">
        <v>59</v>
      </c>
      <c r="B2085" s="2" t="s">
        <v>94</v>
      </c>
      <c r="C2085" s="2" t="s">
        <v>21628</v>
      </c>
      <c r="D2085" s="2" t="s">
        <v>21629</v>
      </c>
      <c r="E2085" s="2" t="s">
        <v>21630</v>
      </c>
      <c r="G2085" s="3" t="s">
        <v>64</v>
      </c>
      <c r="I2085" s="3" t="s">
        <v>64</v>
      </c>
      <c r="J2085" s="3" t="s">
        <v>73</v>
      </c>
      <c r="K2085" s="3" t="s">
        <v>65</v>
      </c>
      <c r="L2085" s="2" t="s">
        <v>21631</v>
      </c>
      <c r="M2085" s="2" t="s">
        <v>21632</v>
      </c>
      <c r="N2085" s="3" t="s">
        <v>87</v>
      </c>
      <c r="P2085" s="3" t="s">
        <v>69</v>
      </c>
      <c r="R2085" s="3" t="s">
        <v>20939</v>
      </c>
      <c r="S2085" s="4">
        <v>3</v>
      </c>
      <c r="T2085" s="4">
        <v>3</v>
      </c>
      <c r="U2085" s="5" t="s">
        <v>17694</v>
      </c>
      <c r="V2085" s="5" t="s">
        <v>17694</v>
      </c>
      <c r="W2085" s="5" t="s">
        <v>72</v>
      </c>
      <c r="X2085" s="5" t="s">
        <v>72</v>
      </c>
      <c r="Y2085" s="4">
        <v>368</v>
      </c>
      <c r="Z2085" s="4">
        <v>14</v>
      </c>
      <c r="AA2085" s="4">
        <v>86</v>
      </c>
      <c r="AB2085" s="4">
        <v>2</v>
      </c>
      <c r="AC2085" s="4">
        <v>15</v>
      </c>
      <c r="AD2085" s="4">
        <v>53</v>
      </c>
      <c r="AE2085" s="4">
        <v>123</v>
      </c>
      <c r="AF2085" s="4">
        <v>1</v>
      </c>
      <c r="AG2085" s="4">
        <v>8</v>
      </c>
      <c r="AH2085" s="4">
        <v>50</v>
      </c>
      <c r="AI2085" s="4">
        <v>88</v>
      </c>
      <c r="AJ2085" s="4">
        <v>4</v>
      </c>
      <c r="AK2085" s="4">
        <v>20</v>
      </c>
      <c r="AL2085" s="4">
        <v>36</v>
      </c>
      <c r="AM2085" s="4">
        <v>49</v>
      </c>
      <c r="AN2085" s="4">
        <v>0</v>
      </c>
      <c r="AO2085" s="4">
        <v>0</v>
      </c>
      <c r="AP2085" s="4">
        <v>5</v>
      </c>
      <c r="AQ2085" s="4">
        <v>41</v>
      </c>
      <c r="AR2085" s="3" t="s">
        <v>64</v>
      </c>
      <c r="AS2085" s="3" t="s">
        <v>64</v>
      </c>
      <c r="AT2085" s="3" t="s">
        <v>64</v>
      </c>
      <c r="AV2085" s="6" t="str">
        <f>HYPERLINK("http://mcgill.on.worldcat.org/oclc/890011437","Catalog Record")</f>
        <v>Catalog Record</v>
      </c>
      <c r="AW2085" s="6" t="str">
        <f>HYPERLINK("http://www.worldcat.org/oclc/890011437","WorldCat Record")</f>
        <v>WorldCat Record</v>
      </c>
      <c r="AX2085" s="3" t="s">
        <v>21633</v>
      </c>
      <c r="AY2085" s="3" t="s">
        <v>21634</v>
      </c>
      <c r="AZ2085" s="3" t="s">
        <v>21635</v>
      </c>
      <c r="BA2085" s="3" t="s">
        <v>21635</v>
      </c>
      <c r="BB2085" s="3" t="s">
        <v>21636</v>
      </c>
      <c r="BC2085" s="3" t="s">
        <v>78</v>
      </c>
      <c r="BD2085" s="3" t="s">
        <v>79</v>
      </c>
      <c r="BE2085" s="3" t="s">
        <v>21637</v>
      </c>
      <c r="BF2085" s="3" t="s">
        <v>21636</v>
      </c>
      <c r="BG2085" s="3" t="s">
        <v>21638</v>
      </c>
    </row>
    <row r="2086" spans="1:59" ht="58" x14ac:dyDescent="0.35">
      <c r="A2086" s="2" t="s">
        <v>59</v>
      </c>
      <c r="B2086" s="2" t="s">
        <v>94</v>
      </c>
      <c r="C2086" s="2" t="s">
        <v>21639</v>
      </c>
      <c r="D2086" s="2" t="s">
        <v>21640</v>
      </c>
      <c r="E2086" s="2" t="s">
        <v>21641</v>
      </c>
      <c r="G2086" s="3" t="s">
        <v>64</v>
      </c>
      <c r="I2086" s="3" t="s">
        <v>64</v>
      </c>
      <c r="J2086" s="3" t="s">
        <v>64</v>
      </c>
      <c r="K2086" s="3" t="s">
        <v>65</v>
      </c>
      <c r="L2086" s="2" t="s">
        <v>21642</v>
      </c>
      <c r="M2086" s="2" t="s">
        <v>21643</v>
      </c>
      <c r="N2086" s="3" t="s">
        <v>214</v>
      </c>
      <c r="P2086" s="3" t="s">
        <v>69</v>
      </c>
      <c r="R2086" s="3" t="s">
        <v>20939</v>
      </c>
      <c r="S2086" s="4">
        <v>0</v>
      </c>
      <c r="T2086" s="4">
        <v>0</v>
      </c>
      <c r="W2086" s="5" t="s">
        <v>72</v>
      </c>
      <c r="X2086" s="5" t="s">
        <v>72</v>
      </c>
      <c r="Y2086" s="4">
        <v>5</v>
      </c>
      <c r="Z2086" s="4">
        <v>2</v>
      </c>
      <c r="AA2086" s="4">
        <v>2</v>
      </c>
      <c r="AB2086" s="4">
        <v>2</v>
      </c>
      <c r="AC2086" s="4">
        <v>2</v>
      </c>
      <c r="AD2086" s="4">
        <v>2</v>
      </c>
      <c r="AE2086" s="4">
        <v>2</v>
      </c>
      <c r="AF2086" s="4">
        <v>1</v>
      </c>
      <c r="AG2086" s="4">
        <v>1</v>
      </c>
      <c r="AH2086" s="4">
        <v>1</v>
      </c>
      <c r="AI2086" s="4">
        <v>1</v>
      </c>
      <c r="AJ2086" s="4">
        <v>1</v>
      </c>
      <c r="AK2086" s="4">
        <v>1</v>
      </c>
      <c r="AL2086" s="4">
        <v>1</v>
      </c>
      <c r="AM2086" s="4">
        <v>1</v>
      </c>
      <c r="AN2086" s="4">
        <v>0</v>
      </c>
      <c r="AO2086" s="4">
        <v>0</v>
      </c>
      <c r="AP2086" s="4">
        <v>1</v>
      </c>
      <c r="AQ2086" s="4">
        <v>1</v>
      </c>
      <c r="AR2086" s="3" t="s">
        <v>64</v>
      </c>
      <c r="AS2086" s="3" t="s">
        <v>64</v>
      </c>
      <c r="AT2086" s="3" t="s">
        <v>64</v>
      </c>
      <c r="AV2086" s="6" t="str">
        <f>HYPERLINK("http://mcgill.on.worldcat.org/oclc/713041180","Catalog Record")</f>
        <v>Catalog Record</v>
      </c>
      <c r="AW2086" s="6" t="str">
        <f>HYPERLINK("http://www.worldcat.org/oclc/713041180","WorldCat Record")</f>
        <v>WorldCat Record</v>
      </c>
      <c r="AX2086" s="3" t="s">
        <v>21644</v>
      </c>
      <c r="AY2086" s="3" t="s">
        <v>21645</v>
      </c>
      <c r="AZ2086" s="3" t="s">
        <v>21646</v>
      </c>
      <c r="BA2086" s="3" t="s">
        <v>21646</v>
      </c>
      <c r="BB2086" s="3" t="s">
        <v>21647</v>
      </c>
      <c r="BC2086" s="3" t="s">
        <v>78</v>
      </c>
      <c r="BD2086" s="3" t="s">
        <v>79</v>
      </c>
      <c r="BE2086" s="3" t="s">
        <v>21648</v>
      </c>
      <c r="BF2086" s="3" t="s">
        <v>21647</v>
      </c>
      <c r="BG2086" s="3" t="s">
        <v>21649</v>
      </c>
    </row>
    <row r="2087" spans="1:59" ht="58" x14ac:dyDescent="0.35">
      <c r="A2087" s="2" t="s">
        <v>59</v>
      </c>
      <c r="B2087" s="2" t="s">
        <v>94</v>
      </c>
      <c r="C2087" s="2" t="s">
        <v>21650</v>
      </c>
      <c r="D2087" s="2" t="s">
        <v>21651</v>
      </c>
      <c r="E2087" s="2" t="s">
        <v>21652</v>
      </c>
      <c r="G2087" s="3" t="s">
        <v>64</v>
      </c>
      <c r="I2087" s="3" t="s">
        <v>73</v>
      </c>
      <c r="J2087" s="3" t="s">
        <v>64</v>
      </c>
      <c r="K2087" s="3" t="s">
        <v>65</v>
      </c>
      <c r="M2087" s="2" t="s">
        <v>21653</v>
      </c>
      <c r="N2087" s="3" t="s">
        <v>340</v>
      </c>
      <c r="P2087" s="3" t="s">
        <v>69</v>
      </c>
      <c r="R2087" s="3" t="s">
        <v>20939</v>
      </c>
      <c r="S2087" s="4">
        <v>11</v>
      </c>
      <c r="T2087" s="4">
        <v>45</v>
      </c>
      <c r="U2087" s="5" t="s">
        <v>21654</v>
      </c>
      <c r="V2087" s="5" t="s">
        <v>21654</v>
      </c>
      <c r="W2087" s="5" t="s">
        <v>72</v>
      </c>
      <c r="X2087" s="5" t="s">
        <v>72</v>
      </c>
      <c r="Y2087" s="4">
        <v>493</v>
      </c>
      <c r="Z2087" s="4">
        <v>61</v>
      </c>
      <c r="AA2087" s="4">
        <v>73</v>
      </c>
      <c r="AB2087" s="4">
        <v>2</v>
      </c>
      <c r="AC2087" s="4">
        <v>6</v>
      </c>
      <c r="AD2087" s="4">
        <v>114</v>
      </c>
      <c r="AE2087" s="4">
        <v>119</v>
      </c>
      <c r="AF2087" s="4">
        <v>1</v>
      </c>
      <c r="AG2087" s="4">
        <v>3</v>
      </c>
      <c r="AH2087" s="4">
        <v>86</v>
      </c>
      <c r="AI2087" s="4">
        <v>87</v>
      </c>
      <c r="AJ2087" s="4">
        <v>21</v>
      </c>
      <c r="AK2087" s="4">
        <v>22</v>
      </c>
      <c r="AL2087" s="4">
        <v>48</v>
      </c>
      <c r="AM2087" s="4">
        <v>48</v>
      </c>
      <c r="AN2087" s="4">
        <v>0</v>
      </c>
      <c r="AO2087" s="4">
        <v>0</v>
      </c>
      <c r="AP2087" s="4">
        <v>34</v>
      </c>
      <c r="AQ2087" s="4">
        <v>39</v>
      </c>
      <c r="AR2087" s="3" t="s">
        <v>73</v>
      </c>
      <c r="AS2087" s="3" t="s">
        <v>64</v>
      </c>
      <c r="AT2087" s="3" t="s">
        <v>73</v>
      </c>
      <c r="AU2087" s="6" t="str">
        <f>HYPERLINK("http://catalog.hathitrust.org/Record/004013745","HathiTrust Record")</f>
        <v>HathiTrust Record</v>
      </c>
      <c r="AV2087" s="6" t="str">
        <f>HYPERLINK("http://mcgill.on.worldcat.org/oclc/39662622","Catalog Record")</f>
        <v>Catalog Record</v>
      </c>
      <c r="AW2087" s="6" t="str">
        <f>HYPERLINK("http://www.worldcat.org/oclc/39662622","WorldCat Record")</f>
        <v>WorldCat Record</v>
      </c>
      <c r="AX2087" s="3" t="s">
        <v>21655</v>
      </c>
      <c r="AY2087" s="3" t="s">
        <v>21656</v>
      </c>
      <c r="AZ2087" s="3" t="s">
        <v>21657</v>
      </c>
      <c r="BA2087" s="3" t="s">
        <v>21657</v>
      </c>
      <c r="BB2087" s="3" t="s">
        <v>21658</v>
      </c>
      <c r="BC2087" s="3" t="s">
        <v>78</v>
      </c>
      <c r="BD2087" s="3" t="s">
        <v>79</v>
      </c>
      <c r="BE2087" s="3" t="s">
        <v>21659</v>
      </c>
      <c r="BF2087" s="3" t="s">
        <v>21658</v>
      </c>
      <c r="BG2087" s="3" t="s">
        <v>21660</v>
      </c>
    </row>
    <row r="2088" spans="1:59" ht="58" x14ac:dyDescent="0.35">
      <c r="A2088" s="2" t="s">
        <v>59</v>
      </c>
      <c r="B2088" s="2" t="s">
        <v>94</v>
      </c>
      <c r="C2088" s="2" t="s">
        <v>21650</v>
      </c>
      <c r="D2088" s="2" t="s">
        <v>21651</v>
      </c>
      <c r="E2088" s="2" t="s">
        <v>21652</v>
      </c>
      <c r="G2088" s="3" t="s">
        <v>64</v>
      </c>
      <c r="I2088" s="3" t="s">
        <v>73</v>
      </c>
      <c r="J2088" s="3" t="s">
        <v>64</v>
      </c>
      <c r="K2088" s="3" t="s">
        <v>65</v>
      </c>
      <c r="M2088" s="2" t="s">
        <v>21653</v>
      </c>
      <c r="N2088" s="3" t="s">
        <v>340</v>
      </c>
      <c r="P2088" s="3" t="s">
        <v>69</v>
      </c>
      <c r="R2088" s="3" t="s">
        <v>20939</v>
      </c>
      <c r="S2088" s="4">
        <v>34</v>
      </c>
      <c r="T2088" s="4">
        <v>45</v>
      </c>
      <c r="U2088" s="5" t="s">
        <v>21661</v>
      </c>
      <c r="V2088" s="5" t="s">
        <v>21654</v>
      </c>
      <c r="W2088" s="5" t="s">
        <v>72</v>
      </c>
      <c r="X2088" s="5" t="s">
        <v>72</v>
      </c>
      <c r="Y2088" s="4">
        <v>493</v>
      </c>
      <c r="Z2088" s="4">
        <v>61</v>
      </c>
      <c r="AA2088" s="4">
        <v>73</v>
      </c>
      <c r="AB2088" s="4">
        <v>2</v>
      </c>
      <c r="AC2088" s="4">
        <v>6</v>
      </c>
      <c r="AD2088" s="4">
        <v>114</v>
      </c>
      <c r="AE2088" s="4">
        <v>119</v>
      </c>
      <c r="AF2088" s="4">
        <v>1</v>
      </c>
      <c r="AG2088" s="4">
        <v>3</v>
      </c>
      <c r="AH2088" s="4">
        <v>86</v>
      </c>
      <c r="AI2088" s="4">
        <v>87</v>
      </c>
      <c r="AJ2088" s="4">
        <v>21</v>
      </c>
      <c r="AK2088" s="4">
        <v>22</v>
      </c>
      <c r="AL2088" s="4">
        <v>48</v>
      </c>
      <c r="AM2088" s="4">
        <v>48</v>
      </c>
      <c r="AN2088" s="4">
        <v>0</v>
      </c>
      <c r="AO2088" s="4">
        <v>0</v>
      </c>
      <c r="AP2088" s="4">
        <v>34</v>
      </c>
      <c r="AQ2088" s="4">
        <v>39</v>
      </c>
      <c r="AR2088" s="3" t="s">
        <v>73</v>
      </c>
      <c r="AS2088" s="3" t="s">
        <v>64</v>
      </c>
      <c r="AT2088" s="3" t="s">
        <v>73</v>
      </c>
      <c r="AU2088" s="6" t="str">
        <f>HYPERLINK("http://catalog.hathitrust.org/Record/004013745","HathiTrust Record")</f>
        <v>HathiTrust Record</v>
      </c>
      <c r="AV2088" s="6" t="str">
        <f>HYPERLINK("http://mcgill.on.worldcat.org/oclc/39662622","Catalog Record")</f>
        <v>Catalog Record</v>
      </c>
      <c r="AW2088" s="6" t="str">
        <f>HYPERLINK("http://www.worldcat.org/oclc/39662622","WorldCat Record")</f>
        <v>WorldCat Record</v>
      </c>
      <c r="AX2088" s="3" t="s">
        <v>21655</v>
      </c>
      <c r="AY2088" s="3" t="s">
        <v>21656</v>
      </c>
      <c r="AZ2088" s="3" t="s">
        <v>21657</v>
      </c>
      <c r="BA2088" s="3" t="s">
        <v>21657</v>
      </c>
      <c r="BB2088" s="3" t="s">
        <v>21662</v>
      </c>
      <c r="BC2088" s="3" t="s">
        <v>78</v>
      </c>
      <c r="BD2088" s="3" t="s">
        <v>79</v>
      </c>
      <c r="BE2088" s="3" t="s">
        <v>21659</v>
      </c>
      <c r="BF2088" s="3" t="s">
        <v>21662</v>
      </c>
      <c r="BG2088" s="3" t="s">
        <v>21663</v>
      </c>
    </row>
    <row r="2089" spans="1:59" ht="58" x14ac:dyDescent="0.35">
      <c r="A2089" s="2" t="s">
        <v>59</v>
      </c>
      <c r="B2089" s="2" t="s">
        <v>94</v>
      </c>
      <c r="C2089" s="2" t="s">
        <v>21664</v>
      </c>
      <c r="D2089" s="2" t="s">
        <v>21665</v>
      </c>
      <c r="E2089" s="2" t="s">
        <v>21666</v>
      </c>
      <c r="G2089" s="3" t="s">
        <v>64</v>
      </c>
      <c r="I2089" s="3" t="s">
        <v>64</v>
      </c>
      <c r="J2089" s="3" t="s">
        <v>64</v>
      </c>
      <c r="K2089" s="3" t="s">
        <v>65</v>
      </c>
      <c r="L2089" s="2" t="s">
        <v>21667</v>
      </c>
      <c r="M2089" s="2" t="s">
        <v>8382</v>
      </c>
      <c r="N2089" s="3" t="s">
        <v>524</v>
      </c>
      <c r="P2089" s="3" t="s">
        <v>69</v>
      </c>
      <c r="R2089" s="3" t="s">
        <v>20939</v>
      </c>
      <c r="S2089" s="4">
        <v>0</v>
      </c>
      <c r="T2089" s="4">
        <v>0</v>
      </c>
      <c r="W2089" s="5" t="s">
        <v>72</v>
      </c>
      <c r="X2089" s="5" t="s">
        <v>72</v>
      </c>
      <c r="Y2089" s="4">
        <v>69</v>
      </c>
      <c r="Z2089" s="4">
        <v>4</v>
      </c>
      <c r="AA2089" s="4">
        <v>33</v>
      </c>
      <c r="AB2089" s="4">
        <v>1</v>
      </c>
      <c r="AC2089" s="4">
        <v>6</v>
      </c>
      <c r="AD2089" s="4">
        <v>44</v>
      </c>
      <c r="AE2089" s="4">
        <v>95</v>
      </c>
      <c r="AF2089" s="4">
        <v>0</v>
      </c>
      <c r="AG2089" s="4">
        <v>2</v>
      </c>
      <c r="AH2089" s="4">
        <v>43</v>
      </c>
      <c r="AI2089" s="4">
        <v>77</v>
      </c>
      <c r="AJ2089" s="4">
        <v>3</v>
      </c>
      <c r="AK2089" s="4">
        <v>13</v>
      </c>
      <c r="AL2089" s="4">
        <v>22</v>
      </c>
      <c r="AM2089" s="4">
        <v>40</v>
      </c>
      <c r="AN2089" s="4">
        <v>0</v>
      </c>
      <c r="AO2089" s="4">
        <v>0</v>
      </c>
      <c r="AP2089" s="4">
        <v>3</v>
      </c>
      <c r="AQ2089" s="4">
        <v>24</v>
      </c>
      <c r="AR2089" s="3" t="s">
        <v>64</v>
      </c>
      <c r="AS2089" s="3" t="s">
        <v>64</v>
      </c>
      <c r="AT2089" s="3" t="s">
        <v>64</v>
      </c>
      <c r="AV2089" s="6" t="str">
        <f>HYPERLINK("http://mcgill.on.worldcat.org/oclc/867481355","Catalog Record")</f>
        <v>Catalog Record</v>
      </c>
      <c r="AW2089" s="6" t="str">
        <f>HYPERLINK("http://www.worldcat.org/oclc/867481355","WorldCat Record")</f>
        <v>WorldCat Record</v>
      </c>
      <c r="AX2089" s="3" t="s">
        <v>21668</v>
      </c>
      <c r="AY2089" s="3" t="s">
        <v>21669</v>
      </c>
      <c r="AZ2089" s="3" t="s">
        <v>21670</v>
      </c>
      <c r="BA2089" s="3" t="s">
        <v>21670</v>
      </c>
      <c r="BB2089" s="3" t="s">
        <v>21671</v>
      </c>
      <c r="BC2089" s="3" t="s">
        <v>78</v>
      </c>
      <c r="BD2089" s="3" t="s">
        <v>79</v>
      </c>
      <c r="BE2089" s="3" t="s">
        <v>21672</v>
      </c>
      <c r="BF2089" s="3" t="s">
        <v>21671</v>
      </c>
      <c r="BG2089" s="3" t="s">
        <v>21673</v>
      </c>
    </row>
    <row r="2090" spans="1:59" ht="72.5" x14ac:dyDescent="0.35">
      <c r="A2090" s="2" t="s">
        <v>59</v>
      </c>
      <c r="B2090" s="2" t="s">
        <v>94</v>
      </c>
      <c r="C2090" s="2" t="s">
        <v>21674</v>
      </c>
      <c r="D2090" s="2" t="s">
        <v>21675</v>
      </c>
      <c r="E2090" s="2" t="s">
        <v>21676</v>
      </c>
      <c r="G2090" s="3" t="s">
        <v>64</v>
      </c>
      <c r="I2090" s="3" t="s">
        <v>64</v>
      </c>
      <c r="J2090" s="3" t="s">
        <v>64</v>
      </c>
      <c r="K2090" s="3" t="s">
        <v>65</v>
      </c>
      <c r="L2090" s="2" t="s">
        <v>21677</v>
      </c>
      <c r="M2090" s="2" t="s">
        <v>5100</v>
      </c>
      <c r="N2090" s="3" t="s">
        <v>328</v>
      </c>
      <c r="P2090" s="3" t="s">
        <v>69</v>
      </c>
      <c r="Q2090" s="2" t="s">
        <v>21678</v>
      </c>
      <c r="R2090" s="3" t="s">
        <v>20939</v>
      </c>
      <c r="S2090" s="4">
        <v>0</v>
      </c>
      <c r="T2090" s="4">
        <v>0</v>
      </c>
      <c r="W2090" s="5" t="s">
        <v>72</v>
      </c>
      <c r="X2090" s="5" t="s">
        <v>72</v>
      </c>
      <c r="Y2090" s="4">
        <v>93</v>
      </c>
      <c r="Z2090" s="4">
        <v>7</v>
      </c>
      <c r="AA2090" s="4">
        <v>9</v>
      </c>
      <c r="AB2090" s="4">
        <v>1</v>
      </c>
      <c r="AC2090" s="4">
        <v>1</v>
      </c>
      <c r="AD2090" s="4">
        <v>49</v>
      </c>
      <c r="AE2090" s="4">
        <v>54</v>
      </c>
      <c r="AF2090" s="4">
        <v>0</v>
      </c>
      <c r="AG2090" s="4">
        <v>0</v>
      </c>
      <c r="AH2090" s="4">
        <v>47</v>
      </c>
      <c r="AI2090" s="4">
        <v>51</v>
      </c>
      <c r="AJ2090" s="4">
        <v>4</v>
      </c>
      <c r="AK2090" s="4">
        <v>6</v>
      </c>
      <c r="AL2090" s="4">
        <v>26</v>
      </c>
      <c r="AM2090" s="4">
        <v>27</v>
      </c>
      <c r="AN2090" s="4">
        <v>0</v>
      </c>
      <c r="AO2090" s="4">
        <v>0</v>
      </c>
      <c r="AP2090" s="4">
        <v>5</v>
      </c>
      <c r="AQ2090" s="4">
        <v>7</v>
      </c>
      <c r="AR2090" s="3" t="s">
        <v>64</v>
      </c>
      <c r="AS2090" s="3" t="s">
        <v>64</v>
      </c>
      <c r="AT2090" s="3" t="s">
        <v>64</v>
      </c>
      <c r="AV2090" s="6" t="str">
        <f>HYPERLINK("http://mcgill.on.worldcat.org/oclc/704340501","Catalog Record")</f>
        <v>Catalog Record</v>
      </c>
      <c r="AW2090" s="6" t="str">
        <f>HYPERLINK("http://www.worldcat.org/oclc/704340501","WorldCat Record")</f>
        <v>WorldCat Record</v>
      </c>
      <c r="AX2090" s="3" t="s">
        <v>21679</v>
      </c>
      <c r="AY2090" s="3" t="s">
        <v>21680</v>
      </c>
      <c r="AZ2090" s="3" t="s">
        <v>21681</v>
      </c>
      <c r="BA2090" s="3" t="s">
        <v>21681</v>
      </c>
      <c r="BB2090" s="3" t="s">
        <v>21682</v>
      </c>
      <c r="BC2090" s="3" t="s">
        <v>78</v>
      </c>
      <c r="BD2090" s="3" t="s">
        <v>79</v>
      </c>
      <c r="BE2090" s="3" t="s">
        <v>21683</v>
      </c>
      <c r="BF2090" s="3" t="s">
        <v>21682</v>
      </c>
      <c r="BG2090" s="3" t="s">
        <v>21684</v>
      </c>
    </row>
    <row r="2091" spans="1:59" ht="58" x14ac:dyDescent="0.35">
      <c r="A2091" s="2" t="s">
        <v>59</v>
      </c>
      <c r="B2091" s="2" t="s">
        <v>94</v>
      </c>
      <c r="C2091" s="2" t="s">
        <v>21685</v>
      </c>
      <c r="D2091" s="2" t="s">
        <v>21686</v>
      </c>
      <c r="E2091" s="2" t="s">
        <v>21687</v>
      </c>
      <c r="G2091" s="3" t="s">
        <v>64</v>
      </c>
      <c r="I2091" s="3" t="s">
        <v>64</v>
      </c>
      <c r="J2091" s="3" t="s">
        <v>64</v>
      </c>
      <c r="K2091" s="3" t="s">
        <v>65</v>
      </c>
      <c r="M2091" s="2" t="s">
        <v>5100</v>
      </c>
      <c r="N2091" s="3" t="s">
        <v>328</v>
      </c>
      <c r="P2091" s="3" t="s">
        <v>69</v>
      </c>
      <c r="Q2091" s="2" t="s">
        <v>21688</v>
      </c>
      <c r="R2091" s="3" t="s">
        <v>20939</v>
      </c>
      <c r="S2091" s="4">
        <v>0</v>
      </c>
      <c r="T2091" s="4">
        <v>0</v>
      </c>
      <c r="W2091" s="5" t="s">
        <v>72</v>
      </c>
      <c r="X2091" s="5" t="s">
        <v>72</v>
      </c>
      <c r="Y2091" s="4">
        <v>93</v>
      </c>
      <c r="Z2091" s="4">
        <v>5</v>
      </c>
      <c r="AA2091" s="4">
        <v>8</v>
      </c>
      <c r="AB2091" s="4">
        <v>1</v>
      </c>
      <c r="AC2091" s="4">
        <v>1</v>
      </c>
      <c r="AD2091" s="4">
        <v>49</v>
      </c>
      <c r="AE2091" s="4">
        <v>55</v>
      </c>
      <c r="AF2091" s="4">
        <v>0</v>
      </c>
      <c r="AG2091" s="4">
        <v>0</v>
      </c>
      <c r="AH2091" s="4">
        <v>48</v>
      </c>
      <c r="AI2091" s="4">
        <v>53</v>
      </c>
      <c r="AJ2091" s="4">
        <v>2</v>
      </c>
      <c r="AK2091" s="4">
        <v>5</v>
      </c>
      <c r="AL2091" s="4">
        <v>27</v>
      </c>
      <c r="AM2091" s="4">
        <v>29</v>
      </c>
      <c r="AN2091" s="4">
        <v>0</v>
      </c>
      <c r="AO2091" s="4">
        <v>0</v>
      </c>
      <c r="AP2091" s="4">
        <v>3</v>
      </c>
      <c r="AQ2091" s="4">
        <v>6</v>
      </c>
      <c r="AR2091" s="3" t="s">
        <v>64</v>
      </c>
      <c r="AS2091" s="3" t="s">
        <v>64</v>
      </c>
      <c r="AT2091" s="3" t="s">
        <v>64</v>
      </c>
      <c r="AV2091" s="6" t="str">
        <f>HYPERLINK("http://mcgill.on.worldcat.org/oclc/704340508","Catalog Record")</f>
        <v>Catalog Record</v>
      </c>
      <c r="AW2091" s="6" t="str">
        <f>HYPERLINK("http://www.worldcat.org/oclc/704340508","WorldCat Record")</f>
        <v>WorldCat Record</v>
      </c>
      <c r="AX2091" s="3" t="s">
        <v>21689</v>
      </c>
      <c r="AY2091" s="3" t="s">
        <v>21690</v>
      </c>
      <c r="AZ2091" s="3" t="s">
        <v>21691</v>
      </c>
      <c r="BA2091" s="3" t="s">
        <v>21691</v>
      </c>
      <c r="BB2091" s="3" t="s">
        <v>21692</v>
      </c>
      <c r="BC2091" s="3" t="s">
        <v>78</v>
      </c>
      <c r="BD2091" s="3" t="s">
        <v>79</v>
      </c>
      <c r="BE2091" s="3" t="s">
        <v>21693</v>
      </c>
      <c r="BF2091" s="3" t="s">
        <v>21692</v>
      </c>
      <c r="BG2091" s="3" t="s">
        <v>21694</v>
      </c>
    </row>
    <row r="2092" spans="1:59" ht="58" x14ac:dyDescent="0.35">
      <c r="A2092" s="2" t="s">
        <v>59</v>
      </c>
      <c r="B2092" s="2" t="s">
        <v>94</v>
      </c>
      <c r="C2092" s="2" t="s">
        <v>21695</v>
      </c>
      <c r="D2092" s="2" t="s">
        <v>21696</v>
      </c>
      <c r="E2092" s="2" t="s">
        <v>21697</v>
      </c>
      <c r="G2092" s="3" t="s">
        <v>64</v>
      </c>
      <c r="I2092" s="3" t="s">
        <v>64</v>
      </c>
      <c r="J2092" s="3" t="s">
        <v>64</v>
      </c>
      <c r="K2092" s="3" t="s">
        <v>65</v>
      </c>
      <c r="L2092" s="2" t="s">
        <v>21698</v>
      </c>
      <c r="M2092" s="2" t="s">
        <v>21699</v>
      </c>
      <c r="N2092" s="3" t="s">
        <v>861</v>
      </c>
      <c r="O2092" s="2" t="s">
        <v>21700</v>
      </c>
      <c r="P2092" s="3" t="s">
        <v>2192</v>
      </c>
      <c r="R2092" s="3" t="s">
        <v>20939</v>
      </c>
      <c r="S2092" s="4">
        <v>1</v>
      </c>
      <c r="T2092" s="4">
        <v>1</v>
      </c>
      <c r="U2092" s="5" t="s">
        <v>21701</v>
      </c>
      <c r="V2092" s="5" t="s">
        <v>21701</v>
      </c>
      <c r="W2092" s="5" t="s">
        <v>72</v>
      </c>
      <c r="X2092" s="5" t="s">
        <v>72</v>
      </c>
      <c r="Y2092" s="4">
        <v>1</v>
      </c>
      <c r="Z2092" s="4">
        <v>1</v>
      </c>
      <c r="AA2092" s="4">
        <v>3</v>
      </c>
      <c r="AB2092" s="4">
        <v>1</v>
      </c>
      <c r="AC2092" s="4">
        <v>1</v>
      </c>
      <c r="AD2092" s="4">
        <v>0</v>
      </c>
      <c r="AE2092" s="4">
        <v>1</v>
      </c>
      <c r="AF2092" s="4">
        <v>0</v>
      </c>
      <c r="AG2092" s="4">
        <v>0</v>
      </c>
      <c r="AH2092" s="4">
        <v>0</v>
      </c>
      <c r="AI2092" s="4">
        <v>1</v>
      </c>
      <c r="AJ2092" s="4">
        <v>0</v>
      </c>
      <c r="AK2092" s="4">
        <v>1</v>
      </c>
      <c r="AL2092" s="4">
        <v>0</v>
      </c>
      <c r="AM2092" s="4">
        <v>1</v>
      </c>
      <c r="AN2092" s="4">
        <v>0</v>
      </c>
      <c r="AO2092" s="4">
        <v>0</v>
      </c>
      <c r="AP2092" s="4">
        <v>0</v>
      </c>
      <c r="AQ2092" s="4">
        <v>1</v>
      </c>
      <c r="AR2092" s="3" t="s">
        <v>64</v>
      </c>
      <c r="AS2092" s="3" t="s">
        <v>64</v>
      </c>
      <c r="AT2092" s="3" t="s">
        <v>64</v>
      </c>
      <c r="AV2092" s="6" t="str">
        <f>HYPERLINK("http://mcgill.on.worldcat.org/oclc/724649801","Catalog Record")</f>
        <v>Catalog Record</v>
      </c>
      <c r="AW2092" s="6" t="str">
        <f>HYPERLINK("http://www.worldcat.org/oclc/724649801","WorldCat Record")</f>
        <v>WorldCat Record</v>
      </c>
      <c r="AX2092" s="3" t="s">
        <v>21702</v>
      </c>
      <c r="AY2092" s="3" t="s">
        <v>21703</v>
      </c>
      <c r="AZ2092" s="3" t="s">
        <v>21704</v>
      </c>
      <c r="BA2092" s="3" t="s">
        <v>21704</v>
      </c>
      <c r="BB2092" s="3" t="s">
        <v>21705</v>
      </c>
      <c r="BC2092" s="3" t="s">
        <v>78</v>
      </c>
      <c r="BD2092" s="3" t="s">
        <v>79</v>
      </c>
      <c r="BE2092" s="3" t="s">
        <v>21706</v>
      </c>
      <c r="BF2092" s="3" t="s">
        <v>21705</v>
      </c>
      <c r="BG2092" s="3" t="s">
        <v>21707</v>
      </c>
    </row>
    <row r="2093" spans="1:59" ht="58" x14ac:dyDescent="0.35">
      <c r="A2093" s="2" t="s">
        <v>59</v>
      </c>
      <c r="B2093" s="2" t="s">
        <v>94</v>
      </c>
      <c r="C2093" s="2" t="s">
        <v>21708</v>
      </c>
      <c r="D2093" s="2" t="s">
        <v>21709</v>
      </c>
      <c r="E2093" s="2" t="s">
        <v>21710</v>
      </c>
      <c r="G2093" s="3" t="s">
        <v>64</v>
      </c>
      <c r="I2093" s="3" t="s">
        <v>64</v>
      </c>
      <c r="J2093" s="3" t="s">
        <v>64</v>
      </c>
      <c r="K2093" s="3" t="s">
        <v>65</v>
      </c>
      <c r="L2093" s="2" t="s">
        <v>21711</v>
      </c>
      <c r="M2093" s="2" t="s">
        <v>21712</v>
      </c>
      <c r="N2093" s="3" t="s">
        <v>499</v>
      </c>
      <c r="P2093" s="3" t="s">
        <v>2192</v>
      </c>
      <c r="R2093" s="3" t="s">
        <v>20939</v>
      </c>
      <c r="S2093" s="4">
        <v>2</v>
      </c>
      <c r="T2093" s="4">
        <v>2</v>
      </c>
      <c r="U2093" s="5" t="s">
        <v>21713</v>
      </c>
      <c r="V2093" s="5" t="s">
        <v>21713</v>
      </c>
      <c r="W2093" s="5" t="s">
        <v>72</v>
      </c>
      <c r="X2093" s="5" t="s">
        <v>72</v>
      </c>
      <c r="Y2093" s="4">
        <v>1</v>
      </c>
      <c r="Z2093" s="4">
        <v>1</v>
      </c>
      <c r="AA2093" s="4">
        <v>2</v>
      </c>
      <c r="AB2093" s="4">
        <v>1</v>
      </c>
      <c r="AC2093" s="4">
        <v>1</v>
      </c>
      <c r="AD2093" s="4">
        <v>0</v>
      </c>
      <c r="AE2093" s="4">
        <v>8</v>
      </c>
      <c r="AF2093" s="4">
        <v>0</v>
      </c>
      <c r="AG2093" s="4">
        <v>0</v>
      </c>
      <c r="AH2093" s="4">
        <v>0</v>
      </c>
      <c r="AI2093" s="4">
        <v>6</v>
      </c>
      <c r="AJ2093" s="4">
        <v>0</v>
      </c>
      <c r="AK2093" s="4">
        <v>0</v>
      </c>
      <c r="AL2093" s="4">
        <v>0</v>
      </c>
      <c r="AM2093" s="4">
        <v>6</v>
      </c>
      <c r="AN2093" s="4">
        <v>0</v>
      </c>
      <c r="AO2093" s="4">
        <v>0</v>
      </c>
      <c r="AP2093" s="4">
        <v>0</v>
      </c>
      <c r="AQ2093" s="4">
        <v>0</v>
      </c>
      <c r="AR2093" s="3" t="s">
        <v>64</v>
      </c>
      <c r="AS2093" s="3" t="s">
        <v>64</v>
      </c>
      <c r="AT2093" s="3" t="s">
        <v>64</v>
      </c>
      <c r="AV2093" s="6" t="str">
        <f>HYPERLINK("http://mcgill.on.worldcat.org/oclc/724616918","Catalog Record")</f>
        <v>Catalog Record</v>
      </c>
      <c r="AW2093" s="6" t="str">
        <f>HYPERLINK("http://www.worldcat.org/oclc/724616918","WorldCat Record")</f>
        <v>WorldCat Record</v>
      </c>
      <c r="AX2093" s="3" t="s">
        <v>21714</v>
      </c>
      <c r="AY2093" s="3" t="s">
        <v>21715</v>
      </c>
      <c r="AZ2093" s="3" t="s">
        <v>21716</v>
      </c>
      <c r="BA2093" s="3" t="s">
        <v>21716</v>
      </c>
      <c r="BB2093" s="3" t="s">
        <v>21717</v>
      </c>
      <c r="BC2093" s="3" t="s">
        <v>78</v>
      </c>
      <c r="BD2093" s="3" t="s">
        <v>79</v>
      </c>
      <c r="BE2093" s="3" t="s">
        <v>21718</v>
      </c>
      <c r="BF2093" s="3" t="s">
        <v>21717</v>
      </c>
      <c r="BG2093" s="3" t="s">
        <v>21719</v>
      </c>
    </row>
    <row r="2094" spans="1:59" ht="72.5" x14ac:dyDescent="0.35">
      <c r="A2094" s="2" t="s">
        <v>59</v>
      </c>
      <c r="B2094" s="2" t="s">
        <v>94</v>
      </c>
      <c r="C2094" s="2" t="s">
        <v>21720</v>
      </c>
      <c r="D2094" s="2" t="s">
        <v>21721</v>
      </c>
      <c r="E2094" s="2" t="s">
        <v>21722</v>
      </c>
      <c r="G2094" s="3" t="s">
        <v>64</v>
      </c>
      <c r="I2094" s="3" t="s">
        <v>64</v>
      </c>
      <c r="J2094" s="3" t="s">
        <v>64</v>
      </c>
      <c r="K2094" s="3" t="s">
        <v>65</v>
      </c>
      <c r="L2094" s="2" t="s">
        <v>21723</v>
      </c>
      <c r="M2094" s="2" t="s">
        <v>21724</v>
      </c>
      <c r="N2094" s="3" t="s">
        <v>264</v>
      </c>
      <c r="O2094" s="2" t="s">
        <v>677</v>
      </c>
      <c r="P2094" s="3" t="s">
        <v>69</v>
      </c>
      <c r="R2094" s="3" t="s">
        <v>20939</v>
      </c>
      <c r="S2094" s="4">
        <v>4</v>
      </c>
      <c r="T2094" s="4">
        <v>4</v>
      </c>
      <c r="U2094" s="5" t="s">
        <v>2994</v>
      </c>
      <c r="V2094" s="5" t="s">
        <v>2994</v>
      </c>
      <c r="W2094" s="5" t="s">
        <v>72</v>
      </c>
      <c r="X2094" s="5" t="s">
        <v>72</v>
      </c>
      <c r="Y2094" s="4">
        <v>313</v>
      </c>
      <c r="Z2094" s="4">
        <v>10</v>
      </c>
      <c r="AA2094" s="4">
        <v>20</v>
      </c>
      <c r="AB2094" s="4">
        <v>1</v>
      </c>
      <c r="AC2094" s="4">
        <v>2</v>
      </c>
      <c r="AD2094" s="4">
        <v>56</v>
      </c>
      <c r="AE2094" s="4">
        <v>77</v>
      </c>
      <c r="AF2094" s="4">
        <v>0</v>
      </c>
      <c r="AG2094" s="4">
        <v>0</v>
      </c>
      <c r="AH2094" s="4">
        <v>52</v>
      </c>
      <c r="AI2094" s="4">
        <v>70</v>
      </c>
      <c r="AJ2094" s="4">
        <v>5</v>
      </c>
      <c r="AK2094" s="4">
        <v>10</v>
      </c>
      <c r="AL2094" s="4">
        <v>29</v>
      </c>
      <c r="AM2094" s="4">
        <v>39</v>
      </c>
      <c r="AN2094" s="4">
        <v>0</v>
      </c>
      <c r="AO2094" s="4">
        <v>0</v>
      </c>
      <c r="AP2094" s="4">
        <v>6</v>
      </c>
      <c r="AQ2094" s="4">
        <v>12</v>
      </c>
      <c r="AR2094" s="3" t="s">
        <v>64</v>
      </c>
      <c r="AS2094" s="3" t="s">
        <v>64</v>
      </c>
      <c r="AT2094" s="3" t="s">
        <v>64</v>
      </c>
      <c r="AV2094" s="6" t="str">
        <f>HYPERLINK("http://mcgill.on.worldcat.org/oclc/2373481","Catalog Record")</f>
        <v>Catalog Record</v>
      </c>
      <c r="AW2094" s="6" t="str">
        <f>HYPERLINK("http://www.worldcat.org/oclc/2373481","WorldCat Record")</f>
        <v>WorldCat Record</v>
      </c>
      <c r="AX2094" s="3" t="s">
        <v>21725</v>
      </c>
      <c r="AY2094" s="3" t="s">
        <v>21726</v>
      </c>
      <c r="AZ2094" s="3" t="s">
        <v>21727</v>
      </c>
      <c r="BA2094" s="3" t="s">
        <v>21727</v>
      </c>
      <c r="BB2094" s="3" t="s">
        <v>21728</v>
      </c>
      <c r="BC2094" s="3" t="s">
        <v>78</v>
      </c>
      <c r="BD2094" s="3" t="s">
        <v>79</v>
      </c>
      <c r="BE2094" s="3" t="s">
        <v>21729</v>
      </c>
      <c r="BF2094" s="3" t="s">
        <v>21728</v>
      </c>
      <c r="BG2094" s="3" t="s">
        <v>21730</v>
      </c>
    </row>
    <row r="2095" spans="1:59" ht="58" x14ac:dyDescent="0.35">
      <c r="A2095" s="2" t="s">
        <v>59</v>
      </c>
      <c r="B2095" s="2" t="s">
        <v>94</v>
      </c>
      <c r="C2095" s="2" t="s">
        <v>21731</v>
      </c>
      <c r="D2095" s="2" t="s">
        <v>21732</v>
      </c>
      <c r="E2095" s="2" t="s">
        <v>21733</v>
      </c>
      <c r="G2095" s="3" t="s">
        <v>64</v>
      </c>
      <c r="I2095" s="3" t="s">
        <v>64</v>
      </c>
      <c r="J2095" s="3" t="s">
        <v>64</v>
      </c>
      <c r="K2095" s="3" t="s">
        <v>65</v>
      </c>
      <c r="L2095" s="2" t="s">
        <v>21734</v>
      </c>
      <c r="M2095" s="2" t="s">
        <v>21735</v>
      </c>
      <c r="N2095" s="3" t="s">
        <v>21736</v>
      </c>
      <c r="P2095" s="3" t="s">
        <v>2192</v>
      </c>
      <c r="R2095" s="3" t="s">
        <v>20939</v>
      </c>
      <c r="S2095" s="4">
        <v>1</v>
      </c>
      <c r="T2095" s="4">
        <v>1</v>
      </c>
      <c r="U2095" s="5" t="s">
        <v>21737</v>
      </c>
      <c r="V2095" s="5" t="s">
        <v>21737</v>
      </c>
      <c r="W2095" s="5" t="s">
        <v>72</v>
      </c>
      <c r="X2095" s="5" t="s">
        <v>72</v>
      </c>
      <c r="Y2095" s="4">
        <v>21</v>
      </c>
      <c r="Z2095" s="4">
        <v>2</v>
      </c>
      <c r="AA2095" s="4">
        <v>2</v>
      </c>
      <c r="AB2095" s="4">
        <v>1</v>
      </c>
      <c r="AC2095" s="4">
        <v>1</v>
      </c>
      <c r="AD2095" s="4">
        <v>7</v>
      </c>
      <c r="AE2095" s="4">
        <v>7</v>
      </c>
      <c r="AF2095" s="4">
        <v>0</v>
      </c>
      <c r="AG2095" s="4">
        <v>0</v>
      </c>
      <c r="AH2095" s="4">
        <v>7</v>
      </c>
      <c r="AI2095" s="4">
        <v>7</v>
      </c>
      <c r="AJ2095" s="4">
        <v>0</v>
      </c>
      <c r="AK2095" s="4">
        <v>0</v>
      </c>
      <c r="AL2095" s="4">
        <v>3</v>
      </c>
      <c r="AM2095" s="4">
        <v>3</v>
      </c>
      <c r="AN2095" s="4">
        <v>0</v>
      </c>
      <c r="AO2095" s="4">
        <v>0</v>
      </c>
      <c r="AP2095" s="4">
        <v>0</v>
      </c>
      <c r="AQ2095" s="4">
        <v>0</v>
      </c>
      <c r="AR2095" s="3" t="s">
        <v>64</v>
      </c>
      <c r="AS2095" s="3" t="s">
        <v>64</v>
      </c>
      <c r="AT2095" s="3" t="s">
        <v>64</v>
      </c>
      <c r="AV2095" s="6" t="str">
        <f>HYPERLINK("http://mcgill.on.worldcat.org/oclc/3676183","Catalog Record")</f>
        <v>Catalog Record</v>
      </c>
      <c r="AW2095" s="6" t="str">
        <f>HYPERLINK("http://www.worldcat.org/oclc/3676183","WorldCat Record")</f>
        <v>WorldCat Record</v>
      </c>
      <c r="AX2095" s="3" t="s">
        <v>21738</v>
      </c>
      <c r="AY2095" s="3" t="s">
        <v>21739</v>
      </c>
      <c r="AZ2095" s="3" t="s">
        <v>21740</v>
      </c>
      <c r="BA2095" s="3" t="s">
        <v>21740</v>
      </c>
      <c r="BB2095" s="3" t="s">
        <v>21741</v>
      </c>
      <c r="BC2095" s="3" t="s">
        <v>78</v>
      </c>
      <c r="BD2095" s="3" t="s">
        <v>79</v>
      </c>
      <c r="BF2095" s="3" t="s">
        <v>21741</v>
      </c>
      <c r="BG2095" s="3" t="s">
        <v>21742</v>
      </c>
    </row>
    <row r="2096" spans="1:59" ht="58" x14ac:dyDescent="0.35">
      <c r="A2096" s="2" t="s">
        <v>59</v>
      </c>
      <c r="B2096" s="2" t="s">
        <v>94</v>
      </c>
      <c r="C2096" s="2" t="s">
        <v>21743</v>
      </c>
      <c r="D2096" s="2" t="s">
        <v>21744</v>
      </c>
      <c r="E2096" s="2" t="s">
        <v>21745</v>
      </c>
      <c r="G2096" s="3" t="s">
        <v>64</v>
      </c>
      <c r="I2096" s="3" t="s">
        <v>64</v>
      </c>
      <c r="J2096" s="3" t="s">
        <v>64</v>
      </c>
      <c r="K2096" s="3" t="s">
        <v>65</v>
      </c>
      <c r="L2096" s="2" t="s">
        <v>2333</v>
      </c>
      <c r="M2096" s="2" t="s">
        <v>21746</v>
      </c>
      <c r="N2096" s="3" t="s">
        <v>161</v>
      </c>
      <c r="P2096" s="3" t="s">
        <v>69</v>
      </c>
      <c r="R2096" s="3" t="s">
        <v>20939</v>
      </c>
      <c r="S2096" s="4">
        <v>3</v>
      </c>
      <c r="T2096" s="4">
        <v>3</v>
      </c>
      <c r="U2096" s="5" t="s">
        <v>21747</v>
      </c>
      <c r="V2096" s="5" t="s">
        <v>21747</v>
      </c>
      <c r="W2096" s="5" t="s">
        <v>72</v>
      </c>
      <c r="X2096" s="5" t="s">
        <v>72</v>
      </c>
      <c r="Y2096" s="4">
        <v>161</v>
      </c>
      <c r="Z2096" s="4">
        <v>7</v>
      </c>
      <c r="AA2096" s="4">
        <v>8</v>
      </c>
      <c r="AB2096" s="4">
        <v>1</v>
      </c>
      <c r="AC2096" s="4">
        <v>2</v>
      </c>
      <c r="AD2096" s="4">
        <v>58</v>
      </c>
      <c r="AE2096" s="4">
        <v>59</v>
      </c>
      <c r="AF2096" s="4">
        <v>0</v>
      </c>
      <c r="AG2096" s="4">
        <v>0</v>
      </c>
      <c r="AH2096" s="4">
        <v>53</v>
      </c>
      <c r="AI2096" s="4">
        <v>54</v>
      </c>
      <c r="AJ2096" s="4">
        <v>6</v>
      </c>
      <c r="AK2096" s="4">
        <v>6</v>
      </c>
      <c r="AL2096" s="4">
        <v>35</v>
      </c>
      <c r="AM2096" s="4">
        <v>36</v>
      </c>
      <c r="AN2096" s="4">
        <v>0</v>
      </c>
      <c r="AO2096" s="4">
        <v>0</v>
      </c>
      <c r="AP2096" s="4">
        <v>5</v>
      </c>
      <c r="AQ2096" s="4">
        <v>5</v>
      </c>
      <c r="AR2096" s="3" t="s">
        <v>64</v>
      </c>
      <c r="AS2096" s="3" t="s">
        <v>64</v>
      </c>
      <c r="AT2096" s="3" t="s">
        <v>73</v>
      </c>
      <c r="AU2096" s="6" t="str">
        <f>HYPERLINK("http://catalog.hathitrust.org/Record/001622275","HathiTrust Record")</f>
        <v>HathiTrust Record</v>
      </c>
      <c r="AV2096" s="6" t="str">
        <f>HYPERLINK("http://mcgill.on.worldcat.org/oclc/1713427","Catalog Record")</f>
        <v>Catalog Record</v>
      </c>
      <c r="AW2096" s="6" t="str">
        <f>HYPERLINK("http://www.worldcat.org/oclc/1713427","WorldCat Record")</f>
        <v>WorldCat Record</v>
      </c>
      <c r="AX2096" s="3" t="s">
        <v>21748</v>
      </c>
      <c r="AY2096" s="3" t="s">
        <v>21749</v>
      </c>
      <c r="AZ2096" s="3" t="s">
        <v>21750</v>
      </c>
      <c r="BA2096" s="3" t="s">
        <v>21750</v>
      </c>
      <c r="BB2096" s="3" t="s">
        <v>21751</v>
      </c>
      <c r="BC2096" s="3" t="s">
        <v>78</v>
      </c>
      <c r="BD2096" s="3" t="s">
        <v>79</v>
      </c>
      <c r="BF2096" s="3" t="s">
        <v>21751</v>
      </c>
      <c r="BG2096" s="3" t="s">
        <v>21752</v>
      </c>
    </row>
    <row r="2097" spans="1:59" ht="72.5" x14ac:dyDescent="0.35">
      <c r="A2097" s="2" t="s">
        <v>59</v>
      </c>
      <c r="B2097" s="2" t="s">
        <v>60</v>
      </c>
      <c r="C2097" s="2" t="s">
        <v>21753</v>
      </c>
      <c r="D2097" s="2" t="s">
        <v>21754</v>
      </c>
      <c r="E2097" s="2" t="s">
        <v>21755</v>
      </c>
      <c r="G2097" s="3" t="s">
        <v>64</v>
      </c>
      <c r="I2097" s="3" t="s">
        <v>64</v>
      </c>
      <c r="J2097" s="3" t="s">
        <v>64</v>
      </c>
      <c r="K2097" s="3" t="s">
        <v>65</v>
      </c>
      <c r="L2097" s="2" t="s">
        <v>21756</v>
      </c>
      <c r="M2097" s="2" t="s">
        <v>21757</v>
      </c>
      <c r="N2097" s="3" t="s">
        <v>161</v>
      </c>
      <c r="P2097" s="3" t="s">
        <v>69</v>
      </c>
      <c r="R2097" s="3" t="s">
        <v>20939</v>
      </c>
      <c r="S2097" s="4">
        <v>3</v>
      </c>
      <c r="T2097" s="4">
        <v>3</v>
      </c>
      <c r="U2097" s="5" t="s">
        <v>21758</v>
      </c>
      <c r="V2097" s="5" t="s">
        <v>21758</v>
      </c>
      <c r="W2097" s="5" t="s">
        <v>72</v>
      </c>
      <c r="X2097" s="5" t="s">
        <v>72</v>
      </c>
      <c r="Y2097" s="4">
        <v>68</v>
      </c>
      <c r="Z2097" s="4">
        <v>4</v>
      </c>
      <c r="AA2097" s="4">
        <v>4</v>
      </c>
      <c r="AB2097" s="4">
        <v>2</v>
      </c>
      <c r="AC2097" s="4">
        <v>2</v>
      </c>
      <c r="AD2097" s="4">
        <v>22</v>
      </c>
      <c r="AE2097" s="4">
        <v>22</v>
      </c>
      <c r="AF2097" s="4">
        <v>0</v>
      </c>
      <c r="AG2097" s="4">
        <v>0</v>
      </c>
      <c r="AH2097" s="4">
        <v>21</v>
      </c>
      <c r="AI2097" s="4">
        <v>21</v>
      </c>
      <c r="AJ2097" s="4">
        <v>2</v>
      </c>
      <c r="AK2097" s="4">
        <v>2</v>
      </c>
      <c r="AL2097" s="4">
        <v>13</v>
      </c>
      <c r="AM2097" s="4">
        <v>13</v>
      </c>
      <c r="AN2097" s="4">
        <v>0</v>
      </c>
      <c r="AO2097" s="4">
        <v>0</v>
      </c>
      <c r="AP2097" s="4">
        <v>2</v>
      </c>
      <c r="AQ2097" s="4">
        <v>2</v>
      </c>
      <c r="AR2097" s="3" t="s">
        <v>64</v>
      </c>
      <c r="AS2097" s="3" t="s">
        <v>64</v>
      </c>
      <c r="AT2097" s="3" t="s">
        <v>64</v>
      </c>
      <c r="AU2097" s="6" t="str">
        <f>HYPERLINK("http://catalog.hathitrust.org/Record/001622435","HathiTrust Record")</f>
        <v>HathiTrust Record</v>
      </c>
      <c r="AV2097" s="6" t="str">
        <f>HYPERLINK("http://mcgill.on.worldcat.org/oclc/1986116","Catalog Record")</f>
        <v>Catalog Record</v>
      </c>
      <c r="AW2097" s="6" t="str">
        <f>HYPERLINK("http://www.worldcat.org/oclc/1986116","WorldCat Record")</f>
        <v>WorldCat Record</v>
      </c>
      <c r="AX2097" s="3" t="s">
        <v>21759</v>
      </c>
      <c r="AY2097" s="3" t="s">
        <v>21760</v>
      </c>
      <c r="AZ2097" s="3" t="s">
        <v>21761</v>
      </c>
      <c r="BA2097" s="3" t="s">
        <v>21761</v>
      </c>
      <c r="BB2097" s="3" t="s">
        <v>21762</v>
      </c>
      <c r="BC2097" s="3" t="s">
        <v>78</v>
      </c>
      <c r="BD2097" s="3" t="s">
        <v>79</v>
      </c>
      <c r="BF2097" s="3" t="s">
        <v>21762</v>
      </c>
      <c r="BG2097" s="3" t="s">
        <v>21763</v>
      </c>
    </row>
    <row r="2098" spans="1:59" ht="58" x14ac:dyDescent="0.35">
      <c r="A2098" s="2" t="s">
        <v>59</v>
      </c>
      <c r="B2098" s="2" t="s">
        <v>94</v>
      </c>
      <c r="C2098" s="2" t="s">
        <v>21764</v>
      </c>
      <c r="D2098" s="2" t="s">
        <v>21765</v>
      </c>
      <c r="E2098" s="2" t="s">
        <v>21766</v>
      </c>
      <c r="G2098" s="3" t="s">
        <v>64</v>
      </c>
      <c r="I2098" s="3" t="s">
        <v>64</v>
      </c>
      <c r="J2098" s="3" t="s">
        <v>64</v>
      </c>
      <c r="K2098" s="3" t="s">
        <v>65</v>
      </c>
      <c r="L2098" s="2" t="s">
        <v>21767</v>
      </c>
      <c r="M2098" s="2" t="s">
        <v>7151</v>
      </c>
      <c r="N2098" s="3" t="s">
        <v>524</v>
      </c>
      <c r="P2098" s="3" t="s">
        <v>69</v>
      </c>
      <c r="R2098" s="3" t="s">
        <v>20939</v>
      </c>
      <c r="S2098" s="4">
        <v>0</v>
      </c>
      <c r="T2098" s="4">
        <v>0</v>
      </c>
      <c r="W2098" s="5" t="s">
        <v>72</v>
      </c>
      <c r="X2098" s="5" t="s">
        <v>72</v>
      </c>
      <c r="Y2098" s="4">
        <v>62</v>
      </c>
      <c r="Z2098" s="4">
        <v>5</v>
      </c>
      <c r="AA2098" s="4">
        <v>106</v>
      </c>
      <c r="AB2098" s="4">
        <v>1</v>
      </c>
      <c r="AC2098" s="4">
        <v>17</v>
      </c>
      <c r="AD2098" s="4">
        <v>40</v>
      </c>
      <c r="AE2098" s="4">
        <v>126</v>
      </c>
      <c r="AF2098" s="4">
        <v>0</v>
      </c>
      <c r="AG2098" s="4">
        <v>8</v>
      </c>
      <c r="AH2098" s="4">
        <v>40</v>
      </c>
      <c r="AI2098" s="4">
        <v>86</v>
      </c>
      <c r="AJ2098" s="4">
        <v>3</v>
      </c>
      <c r="AK2098" s="4">
        <v>22</v>
      </c>
      <c r="AL2098" s="4">
        <v>21</v>
      </c>
      <c r="AM2098" s="4">
        <v>47</v>
      </c>
      <c r="AN2098" s="4">
        <v>0</v>
      </c>
      <c r="AO2098" s="4">
        <v>0</v>
      </c>
      <c r="AP2098" s="4">
        <v>3</v>
      </c>
      <c r="AQ2098" s="4">
        <v>45</v>
      </c>
      <c r="AR2098" s="3" t="s">
        <v>64</v>
      </c>
      <c r="AS2098" s="3" t="s">
        <v>64</v>
      </c>
      <c r="AT2098" s="3" t="s">
        <v>64</v>
      </c>
      <c r="AV2098" s="6" t="str">
        <f>HYPERLINK("http://mcgill.on.worldcat.org/oclc/864299625","Catalog Record")</f>
        <v>Catalog Record</v>
      </c>
      <c r="AW2098" s="6" t="str">
        <f>HYPERLINK("http://www.worldcat.org/oclc/864299625","WorldCat Record")</f>
        <v>WorldCat Record</v>
      </c>
      <c r="AX2098" s="3" t="s">
        <v>21768</v>
      </c>
      <c r="AY2098" s="3" t="s">
        <v>21769</v>
      </c>
      <c r="AZ2098" s="3" t="s">
        <v>21770</v>
      </c>
      <c r="BA2098" s="3" t="s">
        <v>21770</v>
      </c>
      <c r="BB2098" s="3" t="s">
        <v>21771</v>
      </c>
      <c r="BC2098" s="3" t="s">
        <v>78</v>
      </c>
      <c r="BD2098" s="3" t="s">
        <v>79</v>
      </c>
      <c r="BE2098" s="3" t="s">
        <v>21772</v>
      </c>
      <c r="BF2098" s="3" t="s">
        <v>21771</v>
      </c>
      <c r="BG2098" s="3" t="s">
        <v>21773</v>
      </c>
    </row>
    <row r="2099" spans="1:59" ht="87" x14ac:dyDescent="0.35">
      <c r="A2099" s="2" t="s">
        <v>59</v>
      </c>
      <c r="B2099" s="2" t="s">
        <v>94</v>
      </c>
      <c r="C2099" s="2" t="s">
        <v>21774</v>
      </c>
      <c r="D2099" s="2" t="s">
        <v>21775</v>
      </c>
      <c r="E2099" s="2" t="s">
        <v>21776</v>
      </c>
      <c r="F2099" s="3" t="s">
        <v>21777</v>
      </c>
      <c r="G2099" s="3" t="s">
        <v>64</v>
      </c>
      <c r="I2099" s="3" t="s">
        <v>64</v>
      </c>
      <c r="J2099" s="3" t="s">
        <v>64</v>
      </c>
      <c r="K2099" s="3" t="s">
        <v>65</v>
      </c>
      <c r="L2099" s="2" t="s">
        <v>21778</v>
      </c>
      <c r="M2099" s="2" t="s">
        <v>21779</v>
      </c>
      <c r="N2099" s="3" t="s">
        <v>1267</v>
      </c>
      <c r="P2099" s="3" t="s">
        <v>69</v>
      </c>
      <c r="R2099" s="3" t="s">
        <v>20939</v>
      </c>
      <c r="S2099" s="4">
        <v>2</v>
      </c>
      <c r="T2099" s="4">
        <v>2</v>
      </c>
      <c r="U2099" s="5" t="s">
        <v>21780</v>
      </c>
      <c r="V2099" s="5" t="s">
        <v>21780</v>
      </c>
      <c r="W2099" s="5" t="s">
        <v>72</v>
      </c>
      <c r="X2099" s="5" t="s">
        <v>72</v>
      </c>
      <c r="Y2099" s="4">
        <v>142</v>
      </c>
      <c r="Z2099" s="4">
        <v>12</v>
      </c>
      <c r="AA2099" s="4">
        <v>16</v>
      </c>
      <c r="AB2099" s="4">
        <v>2</v>
      </c>
      <c r="AC2099" s="4">
        <v>3</v>
      </c>
      <c r="AD2099" s="4">
        <v>41</v>
      </c>
      <c r="AE2099" s="4">
        <v>49</v>
      </c>
      <c r="AF2099" s="4">
        <v>1</v>
      </c>
      <c r="AG2099" s="4">
        <v>1</v>
      </c>
      <c r="AH2099" s="4">
        <v>34</v>
      </c>
      <c r="AI2099" s="4">
        <v>42</v>
      </c>
      <c r="AJ2099" s="4">
        <v>10</v>
      </c>
      <c r="AK2099" s="4">
        <v>12</v>
      </c>
      <c r="AL2099" s="4">
        <v>19</v>
      </c>
      <c r="AM2099" s="4">
        <v>22</v>
      </c>
      <c r="AN2099" s="4">
        <v>0</v>
      </c>
      <c r="AO2099" s="4">
        <v>1</v>
      </c>
      <c r="AP2099" s="4">
        <v>11</v>
      </c>
      <c r="AQ2099" s="4">
        <v>13</v>
      </c>
      <c r="AR2099" s="3" t="s">
        <v>64</v>
      </c>
      <c r="AS2099" s="3" t="s">
        <v>64</v>
      </c>
      <c r="AT2099" s="3" t="s">
        <v>64</v>
      </c>
      <c r="AV2099" s="6" t="str">
        <f>HYPERLINK("http://mcgill.on.worldcat.org/oclc/2478401","Catalog Record")</f>
        <v>Catalog Record</v>
      </c>
      <c r="AW2099" s="6" t="str">
        <f>HYPERLINK("http://www.worldcat.org/oclc/2478401","WorldCat Record")</f>
        <v>WorldCat Record</v>
      </c>
      <c r="AX2099" s="3" t="s">
        <v>21781</v>
      </c>
      <c r="AY2099" s="3" t="s">
        <v>21782</v>
      </c>
      <c r="AZ2099" s="3" t="s">
        <v>21783</v>
      </c>
      <c r="BA2099" s="3" t="s">
        <v>21783</v>
      </c>
      <c r="BB2099" s="3" t="s">
        <v>21784</v>
      </c>
      <c r="BC2099" s="3" t="s">
        <v>78</v>
      </c>
      <c r="BD2099" s="3" t="s">
        <v>79</v>
      </c>
      <c r="BF2099" s="3" t="s">
        <v>21784</v>
      </c>
      <c r="BG2099" s="3" t="s">
        <v>21785</v>
      </c>
    </row>
    <row r="2100" spans="1:59" ht="87" x14ac:dyDescent="0.35">
      <c r="A2100" s="2" t="s">
        <v>59</v>
      </c>
      <c r="B2100" s="2" t="s">
        <v>94</v>
      </c>
      <c r="C2100" s="2" t="s">
        <v>21786</v>
      </c>
      <c r="D2100" s="2" t="s">
        <v>21787</v>
      </c>
      <c r="E2100" s="2" t="s">
        <v>21788</v>
      </c>
      <c r="F2100" s="3" t="s">
        <v>21789</v>
      </c>
      <c r="G2100" s="3" t="s">
        <v>64</v>
      </c>
      <c r="I2100" s="3" t="s">
        <v>64</v>
      </c>
      <c r="J2100" s="3" t="s">
        <v>64</v>
      </c>
      <c r="K2100" s="3" t="s">
        <v>65</v>
      </c>
      <c r="L2100" s="2" t="s">
        <v>21790</v>
      </c>
      <c r="M2100" s="2" t="s">
        <v>21779</v>
      </c>
      <c r="N2100" s="3" t="s">
        <v>1267</v>
      </c>
      <c r="P2100" s="3" t="s">
        <v>69</v>
      </c>
      <c r="Q2100" s="2" t="s">
        <v>21791</v>
      </c>
      <c r="R2100" s="3" t="s">
        <v>20939</v>
      </c>
      <c r="S2100" s="4">
        <v>2</v>
      </c>
      <c r="T2100" s="4">
        <v>2</v>
      </c>
      <c r="U2100" s="5" t="s">
        <v>21792</v>
      </c>
      <c r="V2100" s="5" t="s">
        <v>21792</v>
      </c>
      <c r="W2100" s="5" t="s">
        <v>72</v>
      </c>
      <c r="X2100" s="5" t="s">
        <v>72</v>
      </c>
      <c r="Y2100" s="4">
        <v>188</v>
      </c>
      <c r="Z2100" s="4">
        <v>11</v>
      </c>
      <c r="AA2100" s="4">
        <v>16</v>
      </c>
      <c r="AB2100" s="4">
        <v>2</v>
      </c>
      <c r="AC2100" s="4">
        <v>3</v>
      </c>
      <c r="AD2100" s="4">
        <v>53</v>
      </c>
      <c r="AE2100" s="4">
        <v>58</v>
      </c>
      <c r="AF2100" s="4">
        <v>1</v>
      </c>
      <c r="AG2100" s="4">
        <v>1</v>
      </c>
      <c r="AH2100" s="4">
        <v>48</v>
      </c>
      <c r="AI2100" s="4">
        <v>52</v>
      </c>
      <c r="AJ2100" s="4">
        <v>8</v>
      </c>
      <c r="AK2100" s="4">
        <v>11</v>
      </c>
      <c r="AL2100" s="4">
        <v>33</v>
      </c>
      <c r="AM2100" s="4">
        <v>33</v>
      </c>
      <c r="AN2100" s="4">
        <v>0</v>
      </c>
      <c r="AO2100" s="4">
        <v>0</v>
      </c>
      <c r="AP2100" s="4">
        <v>8</v>
      </c>
      <c r="AQ2100" s="4">
        <v>11</v>
      </c>
      <c r="AR2100" s="3" t="s">
        <v>64</v>
      </c>
      <c r="AS2100" s="3" t="s">
        <v>64</v>
      </c>
      <c r="AT2100" s="3" t="s">
        <v>73</v>
      </c>
      <c r="AU2100" s="6" t="str">
        <f>HYPERLINK("http://catalog.hathitrust.org/Record/000593303","HathiTrust Record")</f>
        <v>HathiTrust Record</v>
      </c>
      <c r="AV2100" s="6" t="str">
        <f>HYPERLINK("http://mcgill.on.worldcat.org/oclc/248202","Catalog Record")</f>
        <v>Catalog Record</v>
      </c>
      <c r="AW2100" s="6" t="str">
        <f>HYPERLINK("http://www.worldcat.org/oclc/248202","WorldCat Record")</f>
        <v>WorldCat Record</v>
      </c>
      <c r="AX2100" s="3" t="s">
        <v>21793</v>
      </c>
      <c r="AY2100" s="3" t="s">
        <v>21794</v>
      </c>
      <c r="AZ2100" s="3" t="s">
        <v>21795</v>
      </c>
      <c r="BA2100" s="3" t="s">
        <v>21795</v>
      </c>
      <c r="BB2100" s="3" t="s">
        <v>21796</v>
      </c>
      <c r="BC2100" s="3" t="s">
        <v>78</v>
      </c>
      <c r="BD2100" s="3" t="s">
        <v>79</v>
      </c>
      <c r="BF2100" s="3" t="s">
        <v>21796</v>
      </c>
      <c r="BG2100" s="3" t="s">
        <v>21797</v>
      </c>
    </row>
    <row r="2101" spans="1:59" ht="87" x14ac:dyDescent="0.35">
      <c r="A2101" s="2" t="s">
        <v>59</v>
      </c>
      <c r="B2101" s="2" t="s">
        <v>94</v>
      </c>
      <c r="C2101" s="2" t="s">
        <v>21798</v>
      </c>
      <c r="D2101" s="2" t="s">
        <v>21799</v>
      </c>
      <c r="E2101" s="2" t="s">
        <v>21800</v>
      </c>
      <c r="F2101" s="3" t="s">
        <v>21801</v>
      </c>
      <c r="G2101" s="3" t="s">
        <v>64</v>
      </c>
      <c r="I2101" s="3" t="s">
        <v>64</v>
      </c>
      <c r="J2101" s="3" t="s">
        <v>64</v>
      </c>
      <c r="K2101" s="3" t="s">
        <v>65</v>
      </c>
      <c r="L2101" s="2" t="s">
        <v>21802</v>
      </c>
      <c r="M2101" s="2" t="s">
        <v>21779</v>
      </c>
      <c r="N2101" s="3" t="s">
        <v>1267</v>
      </c>
      <c r="P2101" s="3" t="s">
        <v>69</v>
      </c>
      <c r="Q2101" s="2" t="s">
        <v>21803</v>
      </c>
      <c r="R2101" s="3" t="s">
        <v>20939</v>
      </c>
      <c r="S2101" s="4">
        <v>10</v>
      </c>
      <c r="T2101" s="4">
        <v>10</v>
      </c>
      <c r="U2101" s="5" t="s">
        <v>21804</v>
      </c>
      <c r="V2101" s="5" t="s">
        <v>21804</v>
      </c>
      <c r="W2101" s="5" t="s">
        <v>72</v>
      </c>
      <c r="X2101" s="5" t="s">
        <v>72</v>
      </c>
      <c r="Y2101" s="4">
        <v>212</v>
      </c>
      <c r="Z2101" s="4">
        <v>15</v>
      </c>
      <c r="AA2101" s="4">
        <v>19</v>
      </c>
      <c r="AB2101" s="4">
        <v>2</v>
      </c>
      <c r="AC2101" s="4">
        <v>3</v>
      </c>
      <c r="AD2101" s="4">
        <v>59</v>
      </c>
      <c r="AE2101" s="4">
        <v>64</v>
      </c>
      <c r="AF2101" s="4">
        <v>1</v>
      </c>
      <c r="AG2101" s="4">
        <v>1</v>
      </c>
      <c r="AH2101" s="4">
        <v>52</v>
      </c>
      <c r="AI2101" s="4">
        <v>57</v>
      </c>
      <c r="AJ2101" s="4">
        <v>9</v>
      </c>
      <c r="AK2101" s="4">
        <v>11</v>
      </c>
      <c r="AL2101" s="4">
        <v>31</v>
      </c>
      <c r="AM2101" s="4">
        <v>33</v>
      </c>
      <c r="AN2101" s="4">
        <v>0</v>
      </c>
      <c r="AO2101" s="4">
        <v>0</v>
      </c>
      <c r="AP2101" s="4">
        <v>11</v>
      </c>
      <c r="AQ2101" s="4">
        <v>13</v>
      </c>
      <c r="AR2101" s="3" t="s">
        <v>64</v>
      </c>
      <c r="AS2101" s="3" t="s">
        <v>64</v>
      </c>
      <c r="AT2101" s="3" t="s">
        <v>73</v>
      </c>
      <c r="AU2101" s="6" t="str">
        <f>HYPERLINK("http://catalog.hathitrust.org/Record/000593298","HathiTrust Record")</f>
        <v>HathiTrust Record</v>
      </c>
      <c r="AV2101" s="6" t="str">
        <f>HYPERLINK("http://mcgill.on.worldcat.org/oclc/442524","Catalog Record")</f>
        <v>Catalog Record</v>
      </c>
      <c r="AW2101" s="6" t="str">
        <f>HYPERLINK("http://www.worldcat.org/oclc/442524","WorldCat Record")</f>
        <v>WorldCat Record</v>
      </c>
      <c r="AX2101" s="3" t="s">
        <v>21805</v>
      </c>
      <c r="AY2101" s="3" t="s">
        <v>21806</v>
      </c>
      <c r="AZ2101" s="3" t="s">
        <v>21807</v>
      </c>
      <c r="BA2101" s="3" t="s">
        <v>21807</v>
      </c>
      <c r="BB2101" s="3" t="s">
        <v>21808</v>
      </c>
      <c r="BC2101" s="3" t="s">
        <v>78</v>
      </c>
      <c r="BD2101" s="3" t="s">
        <v>79</v>
      </c>
      <c r="BF2101" s="3" t="s">
        <v>21808</v>
      </c>
      <c r="BG2101" s="3" t="s">
        <v>21809</v>
      </c>
    </row>
    <row r="2102" spans="1:59" ht="58" x14ac:dyDescent="0.35">
      <c r="A2102" s="2" t="s">
        <v>59</v>
      </c>
      <c r="B2102" s="2" t="s">
        <v>94</v>
      </c>
      <c r="C2102" s="2" t="s">
        <v>21810</v>
      </c>
      <c r="D2102" s="2" t="s">
        <v>21811</v>
      </c>
      <c r="E2102" s="2" t="s">
        <v>21812</v>
      </c>
      <c r="G2102" s="3" t="s">
        <v>64</v>
      </c>
      <c r="I2102" s="3" t="s">
        <v>64</v>
      </c>
      <c r="J2102" s="3" t="s">
        <v>64</v>
      </c>
      <c r="K2102" s="3" t="s">
        <v>65</v>
      </c>
      <c r="M2102" s="2" t="s">
        <v>5089</v>
      </c>
      <c r="N2102" s="3" t="s">
        <v>214</v>
      </c>
      <c r="P2102" s="3" t="s">
        <v>69</v>
      </c>
      <c r="Q2102" s="2" t="s">
        <v>21813</v>
      </c>
      <c r="R2102" s="3" t="s">
        <v>20939</v>
      </c>
      <c r="S2102" s="4">
        <v>0</v>
      </c>
      <c r="T2102" s="4">
        <v>0</v>
      </c>
      <c r="W2102" s="5" t="s">
        <v>72</v>
      </c>
      <c r="X2102" s="5" t="s">
        <v>72</v>
      </c>
      <c r="Y2102" s="4">
        <v>96</v>
      </c>
      <c r="Z2102" s="4">
        <v>8</v>
      </c>
      <c r="AA2102" s="4">
        <v>10</v>
      </c>
      <c r="AB2102" s="4">
        <v>1</v>
      </c>
      <c r="AC2102" s="4">
        <v>1</v>
      </c>
      <c r="AD2102" s="4">
        <v>57</v>
      </c>
      <c r="AE2102" s="4">
        <v>61</v>
      </c>
      <c r="AF2102" s="4">
        <v>0</v>
      </c>
      <c r="AG2102" s="4">
        <v>0</v>
      </c>
      <c r="AH2102" s="4">
        <v>54</v>
      </c>
      <c r="AI2102" s="4">
        <v>58</v>
      </c>
      <c r="AJ2102" s="4">
        <v>5</v>
      </c>
      <c r="AK2102" s="4">
        <v>7</v>
      </c>
      <c r="AL2102" s="4">
        <v>29</v>
      </c>
      <c r="AM2102" s="4">
        <v>30</v>
      </c>
      <c r="AN2102" s="4">
        <v>0</v>
      </c>
      <c r="AO2102" s="4">
        <v>0</v>
      </c>
      <c r="AP2102" s="4">
        <v>6</v>
      </c>
      <c r="AQ2102" s="4">
        <v>8</v>
      </c>
      <c r="AR2102" s="3" t="s">
        <v>64</v>
      </c>
      <c r="AS2102" s="3" t="s">
        <v>64</v>
      </c>
      <c r="AT2102" s="3" t="s">
        <v>64</v>
      </c>
      <c r="AV2102" s="6" t="str">
        <f>HYPERLINK("http://mcgill.on.worldcat.org/oclc/688643482","Catalog Record")</f>
        <v>Catalog Record</v>
      </c>
      <c r="AW2102" s="6" t="str">
        <f>HYPERLINK("http://www.worldcat.org/oclc/688643482","WorldCat Record")</f>
        <v>WorldCat Record</v>
      </c>
      <c r="AX2102" s="3" t="s">
        <v>21814</v>
      </c>
      <c r="AY2102" s="3" t="s">
        <v>21815</v>
      </c>
      <c r="AZ2102" s="3" t="s">
        <v>21816</v>
      </c>
      <c r="BA2102" s="3" t="s">
        <v>21816</v>
      </c>
      <c r="BB2102" s="3" t="s">
        <v>21817</v>
      </c>
      <c r="BC2102" s="3" t="s">
        <v>78</v>
      </c>
      <c r="BD2102" s="3" t="s">
        <v>79</v>
      </c>
      <c r="BE2102" s="3" t="s">
        <v>21818</v>
      </c>
      <c r="BF2102" s="3" t="s">
        <v>21817</v>
      </c>
      <c r="BG2102" s="3" t="s">
        <v>21819</v>
      </c>
    </row>
    <row r="2103" spans="1:59" ht="58" x14ac:dyDescent="0.35">
      <c r="A2103" s="2" t="s">
        <v>59</v>
      </c>
      <c r="B2103" s="2" t="s">
        <v>94</v>
      </c>
      <c r="C2103" s="2" t="s">
        <v>21820</v>
      </c>
      <c r="D2103" s="2" t="s">
        <v>21821</v>
      </c>
      <c r="E2103" s="2" t="s">
        <v>21822</v>
      </c>
      <c r="G2103" s="3" t="s">
        <v>64</v>
      </c>
      <c r="I2103" s="3" t="s">
        <v>64</v>
      </c>
      <c r="J2103" s="3" t="s">
        <v>64</v>
      </c>
      <c r="K2103" s="3" t="s">
        <v>65</v>
      </c>
      <c r="M2103" s="2" t="s">
        <v>5089</v>
      </c>
      <c r="N2103" s="3" t="s">
        <v>214</v>
      </c>
      <c r="P2103" s="3" t="s">
        <v>69</v>
      </c>
      <c r="Q2103" s="2" t="s">
        <v>5134</v>
      </c>
      <c r="R2103" s="3" t="s">
        <v>20939</v>
      </c>
      <c r="S2103" s="4">
        <v>1</v>
      </c>
      <c r="T2103" s="4">
        <v>1</v>
      </c>
      <c r="U2103" s="5" t="s">
        <v>10584</v>
      </c>
      <c r="V2103" s="5" t="s">
        <v>10584</v>
      </c>
      <c r="W2103" s="5" t="s">
        <v>72</v>
      </c>
      <c r="X2103" s="5" t="s">
        <v>72</v>
      </c>
      <c r="Y2103" s="4">
        <v>88</v>
      </c>
      <c r="Z2103" s="4">
        <v>8</v>
      </c>
      <c r="AA2103" s="4">
        <v>11</v>
      </c>
      <c r="AB2103" s="4">
        <v>1</v>
      </c>
      <c r="AC2103" s="4">
        <v>1</v>
      </c>
      <c r="AD2103" s="4">
        <v>52</v>
      </c>
      <c r="AE2103" s="4">
        <v>59</v>
      </c>
      <c r="AF2103" s="4">
        <v>0</v>
      </c>
      <c r="AG2103" s="4">
        <v>0</v>
      </c>
      <c r="AH2103" s="4">
        <v>49</v>
      </c>
      <c r="AI2103" s="4">
        <v>55</v>
      </c>
      <c r="AJ2103" s="4">
        <v>5</v>
      </c>
      <c r="AK2103" s="4">
        <v>8</v>
      </c>
      <c r="AL2103" s="4">
        <v>25</v>
      </c>
      <c r="AM2103" s="4">
        <v>26</v>
      </c>
      <c r="AN2103" s="4">
        <v>5</v>
      </c>
      <c r="AO2103" s="4">
        <v>5</v>
      </c>
      <c r="AP2103" s="4">
        <v>6</v>
      </c>
      <c r="AQ2103" s="4">
        <v>9</v>
      </c>
      <c r="AR2103" s="3" t="s">
        <v>64</v>
      </c>
      <c r="AS2103" s="3" t="s">
        <v>64</v>
      </c>
      <c r="AT2103" s="3" t="s">
        <v>73</v>
      </c>
      <c r="AU2103" s="6" t="str">
        <f>HYPERLINK("http://catalog.hathitrust.org/Record/007571626","HathiTrust Record")</f>
        <v>HathiTrust Record</v>
      </c>
      <c r="AV2103" s="6" t="str">
        <f>HYPERLINK("http://mcgill.on.worldcat.org/oclc/519834350","Catalog Record")</f>
        <v>Catalog Record</v>
      </c>
      <c r="AW2103" s="6" t="str">
        <f>HYPERLINK("http://www.worldcat.org/oclc/519834350","WorldCat Record")</f>
        <v>WorldCat Record</v>
      </c>
      <c r="AX2103" s="3" t="s">
        <v>21823</v>
      </c>
      <c r="AY2103" s="3" t="s">
        <v>21824</v>
      </c>
      <c r="AZ2103" s="3" t="s">
        <v>21825</v>
      </c>
      <c r="BA2103" s="3" t="s">
        <v>21825</v>
      </c>
      <c r="BB2103" s="3" t="s">
        <v>21826</v>
      </c>
      <c r="BC2103" s="3" t="s">
        <v>78</v>
      </c>
      <c r="BD2103" s="3" t="s">
        <v>79</v>
      </c>
      <c r="BE2103" s="3" t="s">
        <v>21827</v>
      </c>
      <c r="BF2103" s="3" t="s">
        <v>21826</v>
      </c>
      <c r="BG2103" s="3" t="s">
        <v>21828</v>
      </c>
    </row>
    <row r="2104" spans="1:59" ht="58" x14ac:dyDescent="0.35">
      <c r="A2104" s="2" t="s">
        <v>59</v>
      </c>
      <c r="B2104" s="2" t="s">
        <v>94</v>
      </c>
      <c r="C2104" s="2" t="s">
        <v>21829</v>
      </c>
      <c r="D2104" s="2" t="s">
        <v>21830</v>
      </c>
      <c r="E2104" s="2" t="s">
        <v>21831</v>
      </c>
      <c r="G2104" s="3" t="s">
        <v>64</v>
      </c>
      <c r="I2104" s="3" t="s">
        <v>64</v>
      </c>
      <c r="J2104" s="3" t="s">
        <v>64</v>
      </c>
      <c r="K2104" s="3" t="s">
        <v>65</v>
      </c>
      <c r="M2104" s="2" t="s">
        <v>21832</v>
      </c>
      <c r="N2104" s="3" t="s">
        <v>214</v>
      </c>
      <c r="P2104" s="3" t="s">
        <v>69</v>
      </c>
      <c r="Q2104" s="2" t="s">
        <v>21833</v>
      </c>
      <c r="R2104" s="3" t="s">
        <v>20939</v>
      </c>
      <c r="S2104" s="4">
        <v>0</v>
      </c>
      <c r="T2104" s="4">
        <v>0</v>
      </c>
      <c r="W2104" s="5" t="s">
        <v>4195</v>
      </c>
      <c r="X2104" s="5" t="s">
        <v>4195</v>
      </c>
      <c r="Y2104" s="4">
        <v>103</v>
      </c>
      <c r="Z2104" s="4">
        <v>8</v>
      </c>
      <c r="AA2104" s="4">
        <v>11</v>
      </c>
      <c r="AB2104" s="4">
        <v>1</v>
      </c>
      <c r="AC2104" s="4">
        <v>1</v>
      </c>
      <c r="AD2104" s="4">
        <v>56</v>
      </c>
      <c r="AE2104" s="4">
        <v>62</v>
      </c>
      <c r="AF2104" s="4">
        <v>0</v>
      </c>
      <c r="AG2104" s="4">
        <v>0</v>
      </c>
      <c r="AH2104" s="4">
        <v>53</v>
      </c>
      <c r="AI2104" s="4">
        <v>58</v>
      </c>
      <c r="AJ2104" s="4">
        <v>5</v>
      </c>
      <c r="AK2104" s="4">
        <v>8</v>
      </c>
      <c r="AL2104" s="4">
        <v>29</v>
      </c>
      <c r="AM2104" s="4">
        <v>30</v>
      </c>
      <c r="AN2104" s="4">
        <v>5</v>
      </c>
      <c r="AO2104" s="4">
        <v>5</v>
      </c>
      <c r="AP2104" s="4">
        <v>6</v>
      </c>
      <c r="AQ2104" s="4">
        <v>9</v>
      </c>
      <c r="AR2104" s="3" t="s">
        <v>64</v>
      </c>
      <c r="AS2104" s="3" t="s">
        <v>64</v>
      </c>
      <c r="AT2104" s="3" t="s">
        <v>73</v>
      </c>
      <c r="AU2104" s="6" t="str">
        <f>HYPERLINK("http://catalog.hathitrust.org/Record/008164043","HathiTrust Record")</f>
        <v>HathiTrust Record</v>
      </c>
      <c r="AV2104" s="6" t="str">
        <f>HYPERLINK("http://mcgill.on.worldcat.org/oclc/496742298","Catalog Record")</f>
        <v>Catalog Record</v>
      </c>
      <c r="AW2104" s="6" t="str">
        <f>HYPERLINK("http://www.worldcat.org/oclc/496742298","WorldCat Record")</f>
        <v>WorldCat Record</v>
      </c>
      <c r="AX2104" s="3" t="s">
        <v>21834</v>
      </c>
      <c r="AY2104" s="3" t="s">
        <v>21835</v>
      </c>
      <c r="AZ2104" s="3" t="s">
        <v>21836</v>
      </c>
      <c r="BA2104" s="3" t="s">
        <v>21836</v>
      </c>
      <c r="BB2104" s="3" t="s">
        <v>21837</v>
      </c>
      <c r="BC2104" s="3" t="s">
        <v>78</v>
      </c>
      <c r="BD2104" s="3" t="s">
        <v>79</v>
      </c>
      <c r="BE2104" s="3" t="s">
        <v>21838</v>
      </c>
      <c r="BF2104" s="3" t="s">
        <v>21837</v>
      </c>
      <c r="BG2104" s="3" t="s">
        <v>21839</v>
      </c>
    </row>
    <row r="2105" spans="1:59" ht="58" x14ac:dyDescent="0.35">
      <c r="A2105" s="2" t="s">
        <v>59</v>
      </c>
      <c r="B2105" s="2" t="s">
        <v>94</v>
      </c>
      <c r="C2105" s="2" t="s">
        <v>21840</v>
      </c>
      <c r="D2105" s="2" t="s">
        <v>21841</v>
      </c>
      <c r="E2105" s="2" t="s">
        <v>21842</v>
      </c>
      <c r="G2105" s="3" t="s">
        <v>64</v>
      </c>
      <c r="I2105" s="3" t="s">
        <v>64</v>
      </c>
      <c r="J2105" s="3" t="s">
        <v>64</v>
      </c>
      <c r="K2105" s="3" t="s">
        <v>65</v>
      </c>
      <c r="L2105" s="2" t="s">
        <v>21843</v>
      </c>
      <c r="M2105" s="2" t="s">
        <v>6841</v>
      </c>
      <c r="N2105" s="3" t="s">
        <v>377</v>
      </c>
      <c r="P2105" s="3" t="s">
        <v>69</v>
      </c>
      <c r="Q2105" s="2" t="s">
        <v>21844</v>
      </c>
      <c r="R2105" s="3" t="s">
        <v>20939</v>
      </c>
      <c r="S2105" s="4">
        <v>0</v>
      </c>
      <c r="T2105" s="4">
        <v>0</v>
      </c>
      <c r="W2105" s="5" t="s">
        <v>72</v>
      </c>
      <c r="X2105" s="5" t="s">
        <v>72</v>
      </c>
      <c r="Y2105" s="4">
        <v>72</v>
      </c>
      <c r="Z2105" s="4">
        <v>4</v>
      </c>
      <c r="AA2105" s="4">
        <v>32</v>
      </c>
      <c r="AB2105" s="4">
        <v>1</v>
      </c>
      <c r="AC2105" s="4">
        <v>6</v>
      </c>
      <c r="AD2105" s="4">
        <v>46</v>
      </c>
      <c r="AE2105" s="4">
        <v>95</v>
      </c>
      <c r="AF2105" s="4">
        <v>0</v>
      </c>
      <c r="AG2105" s="4">
        <v>2</v>
      </c>
      <c r="AH2105" s="4">
        <v>45</v>
      </c>
      <c r="AI2105" s="4">
        <v>78</v>
      </c>
      <c r="AJ2105" s="4">
        <v>3</v>
      </c>
      <c r="AK2105" s="4">
        <v>13</v>
      </c>
      <c r="AL2105" s="4">
        <v>25</v>
      </c>
      <c r="AM2105" s="4">
        <v>42</v>
      </c>
      <c r="AN2105" s="4">
        <v>0</v>
      </c>
      <c r="AO2105" s="4">
        <v>0</v>
      </c>
      <c r="AP2105" s="4">
        <v>3</v>
      </c>
      <c r="AQ2105" s="4">
        <v>23</v>
      </c>
      <c r="AR2105" s="3" t="s">
        <v>64</v>
      </c>
      <c r="AS2105" s="3" t="s">
        <v>64</v>
      </c>
      <c r="AT2105" s="3" t="s">
        <v>64</v>
      </c>
      <c r="AV2105" s="6" t="str">
        <f>HYPERLINK("http://mcgill.on.worldcat.org/oclc/808009692","Catalog Record")</f>
        <v>Catalog Record</v>
      </c>
      <c r="AW2105" s="6" t="str">
        <f>HYPERLINK("http://www.worldcat.org/oclc/808009692","WorldCat Record")</f>
        <v>WorldCat Record</v>
      </c>
      <c r="AX2105" s="3" t="s">
        <v>21845</v>
      </c>
      <c r="AY2105" s="3" t="s">
        <v>21846</v>
      </c>
      <c r="AZ2105" s="3" t="s">
        <v>21847</v>
      </c>
      <c r="BA2105" s="3" t="s">
        <v>21847</v>
      </c>
      <c r="BB2105" s="3" t="s">
        <v>21848</v>
      </c>
      <c r="BC2105" s="3" t="s">
        <v>78</v>
      </c>
      <c r="BD2105" s="3" t="s">
        <v>79</v>
      </c>
      <c r="BE2105" s="3" t="s">
        <v>21849</v>
      </c>
      <c r="BF2105" s="3" t="s">
        <v>21848</v>
      </c>
      <c r="BG2105" s="3" t="s">
        <v>21850</v>
      </c>
    </row>
    <row r="2106" spans="1:59" ht="58" x14ac:dyDescent="0.35">
      <c r="A2106" s="2" t="s">
        <v>59</v>
      </c>
      <c r="B2106" s="2" t="s">
        <v>94</v>
      </c>
      <c r="C2106" s="2" t="s">
        <v>21851</v>
      </c>
      <c r="D2106" s="2" t="s">
        <v>21852</v>
      </c>
      <c r="E2106" s="2" t="s">
        <v>21853</v>
      </c>
      <c r="G2106" s="3" t="s">
        <v>64</v>
      </c>
      <c r="I2106" s="3" t="s">
        <v>64</v>
      </c>
      <c r="J2106" s="3" t="s">
        <v>64</v>
      </c>
      <c r="K2106" s="3" t="s">
        <v>65</v>
      </c>
      <c r="M2106" s="2" t="s">
        <v>21854</v>
      </c>
      <c r="N2106" s="3" t="s">
        <v>328</v>
      </c>
      <c r="P2106" s="3" t="s">
        <v>69</v>
      </c>
      <c r="Q2106" s="2" t="s">
        <v>21855</v>
      </c>
      <c r="R2106" s="3" t="s">
        <v>20939</v>
      </c>
      <c r="S2106" s="4">
        <v>0</v>
      </c>
      <c r="T2106" s="4">
        <v>0</v>
      </c>
      <c r="W2106" s="5" t="s">
        <v>72</v>
      </c>
      <c r="X2106" s="5" t="s">
        <v>72</v>
      </c>
      <c r="Y2106" s="4">
        <v>91</v>
      </c>
      <c r="Z2106" s="4">
        <v>7</v>
      </c>
      <c r="AA2106" s="4">
        <v>10</v>
      </c>
      <c r="AB2106" s="4">
        <v>1</v>
      </c>
      <c r="AC2106" s="4">
        <v>1</v>
      </c>
      <c r="AD2106" s="4">
        <v>50</v>
      </c>
      <c r="AE2106" s="4">
        <v>57</v>
      </c>
      <c r="AF2106" s="4">
        <v>0</v>
      </c>
      <c r="AG2106" s="4">
        <v>0</v>
      </c>
      <c r="AH2106" s="4">
        <v>48</v>
      </c>
      <c r="AI2106" s="4">
        <v>54</v>
      </c>
      <c r="AJ2106" s="4">
        <v>4</v>
      </c>
      <c r="AK2106" s="4">
        <v>7</v>
      </c>
      <c r="AL2106" s="4">
        <v>26</v>
      </c>
      <c r="AM2106" s="4">
        <v>29</v>
      </c>
      <c r="AN2106" s="4">
        <v>0</v>
      </c>
      <c r="AO2106" s="4">
        <v>0</v>
      </c>
      <c r="AP2106" s="4">
        <v>5</v>
      </c>
      <c r="AQ2106" s="4">
        <v>8</v>
      </c>
      <c r="AR2106" s="3" t="s">
        <v>64</v>
      </c>
      <c r="AS2106" s="3" t="s">
        <v>64</v>
      </c>
      <c r="AT2106" s="3" t="s">
        <v>64</v>
      </c>
      <c r="AV2106" s="6" t="str">
        <f>HYPERLINK("http://mcgill.on.worldcat.org/oclc/666573555","Catalog Record")</f>
        <v>Catalog Record</v>
      </c>
      <c r="AW2106" s="6" t="str">
        <f>HYPERLINK("http://www.worldcat.org/oclc/666573555","WorldCat Record")</f>
        <v>WorldCat Record</v>
      </c>
      <c r="AX2106" s="3" t="s">
        <v>21856</v>
      </c>
      <c r="AY2106" s="3" t="s">
        <v>21857</v>
      </c>
      <c r="AZ2106" s="3" t="s">
        <v>21858</v>
      </c>
      <c r="BA2106" s="3" t="s">
        <v>21858</v>
      </c>
      <c r="BB2106" s="3" t="s">
        <v>21859</v>
      </c>
      <c r="BC2106" s="3" t="s">
        <v>78</v>
      </c>
      <c r="BD2106" s="3" t="s">
        <v>79</v>
      </c>
      <c r="BE2106" s="3" t="s">
        <v>21860</v>
      </c>
      <c r="BF2106" s="3" t="s">
        <v>21859</v>
      </c>
      <c r="BG2106" s="3" t="s">
        <v>21861</v>
      </c>
    </row>
    <row r="2107" spans="1:59" ht="58" x14ac:dyDescent="0.35">
      <c r="A2107" s="2" t="s">
        <v>59</v>
      </c>
      <c r="B2107" s="2" t="s">
        <v>94</v>
      </c>
      <c r="C2107" s="2" t="s">
        <v>21862</v>
      </c>
      <c r="D2107" s="2" t="s">
        <v>21863</v>
      </c>
      <c r="E2107" s="2" t="s">
        <v>21864</v>
      </c>
      <c r="G2107" s="3" t="s">
        <v>64</v>
      </c>
      <c r="I2107" s="3" t="s">
        <v>64</v>
      </c>
      <c r="J2107" s="3" t="s">
        <v>64</v>
      </c>
      <c r="K2107" s="3" t="s">
        <v>65</v>
      </c>
      <c r="M2107" s="2" t="s">
        <v>6841</v>
      </c>
      <c r="N2107" s="3" t="s">
        <v>377</v>
      </c>
      <c r="P2107" s="3" t="s">
        <v>69</v>
      </c>
      <c r="Q2107" s="2" t="s">
        <v>21865</v>
      </c>
      <c r="R2107" s="3" t="s">
        <v>20939</v>
      </c>
      <c r="S2107" s="4">
        <v>0</v>
      </c>
      <c r="T2107" s="4">
        <v>0</v>
      </c>
      <c r="W2107" s="5" t="s">
        <v>72</v>
      </c>
      <c r="X2107" s="5" t="s">
        <v>72</v>
      </c>
      <c r="Y2107" s="4">
        <v>76</v>
      </c>
      <c r="Z2107" s="4">
        <v>6</v>
      </c>
      <c r="AA2107" s="4">
        <v>7</v>
      </c>
      <c r="AB2107" s="4">
        <v>1</v>
      </c>
      <c r="AC2107" s="4">
        <v>1</v>
      </c>
      <c r="AD2107" s="4">
        <v>45</v>
      </c>
      <c r="AE2107" s="4">
        <v>50</v>
      </c>
      <c r="AF2107" s="4">
        <v>0</v>
      </c>
      <c r="AG2107" s="4">
        <v>0</v>
      </c>
      <c r="AH2107" s="4">
        <v>44</v>
      </c>
      <c r="AI2107" s="4">
        <v>48</v>
      </c>
      <c r="AJ2107" s="4">
        <v>4</v>
      </c>
      <c r="AK2107" s="4">
        <v>5</v>
      </c>
      <c r="AL2107" s="4">
        <v>25</v>
      </c>
      <c r="AM2107" s="4">
        <v>27</v>
      </c>
      <c r="AN2107" s="4">
        <v>0</v>
      </c>
      <c r="AO2107" s="4">
        <v>0</v>
      </c>
      <c r="AP2107" s="4">
        <v>4</v>
      </c>
      <c r="AQ2107" s="4">
        <v>5</v>
      </c>
      <c r="AR2107" s="3" t="s">
        <v>64</v>
      </c>
      <c r="AS2107" s="3" t="s">
        <v>64</v>
      </c>
      <c r="AT2107" s="3" t="s">
        <v>64</v>
      </c>
      <c r="AV2107" s="6" t="str">
        <f>HYPERLINK("http://mcgill.on.worldcat.org/oclc/774982570","Catalog Record")</f>
        <v>Catalog Record</v>
      </c>
      <c r="AW2107" s="6" t="str">
        <f>HYPERLINK("http://www.worldcat.org/oclc/774982570","WorldCat Record")</f>
        <v>WorldCat Record</v>
      </c>
      <c r="AX2107" s="3" t="s">
        <v>21866</v>
      </c>
      <c r="AY2107" s="3" t="s">
        <v>21867</v>
      </c>
      <c r="AZ2107" s="3" t="s">
        <v>21868</v>
      </c>
      <c r="BA2107" s="3" t="s">
        <v>21868</v>
      </c>
      <c r="BB2107" s="3" t="s">
        <v>21869</v>
      </c>
      <c r="BC2107" s="3" t="s">
        <v>78</v>
      </c>
      <c r="BD2107" s="3" t="s">
        <v>79</v>
      </c>
      <c r="BE2107" s="3" t="s">
        <v>21870</v>
      </c>
      <c r="BF2107" s="3" t="s">
        <v>21869</v>
      </c>
      <c r="BG2107" s="3" t="s">
        <v>21871</v>
      </c>
    </row>
    <row r="2108" spans="1:59" ht="58" x14ac:dyDescent="0.35">
      <c r="A2108" s="2" t="s">
        <v>59</v>
      </c>
      <c r="B2108" s="2" t="s">
        <v>94</v>
      </c>
      <c r="C2108" s="2" t="s">
        <v>21872</v>
      </c>
      <c r="D2108" s="2" t="s">
        <v>21873</v>
      </c>
      <c r="E2108" s="2" t="s">
        <v>21874</v>
      </c>
      <c r="G2108" s="3" t="s">
        <v>64</v>
      </c>
      <c r="I2108" s="3" t="s">
        <v>64</v>
      </c>
      <c r="J2108" s="3" t="s">
        <v>64</v>
      </c>
      <c r="K2108" s="3" t="s">
        <v>65</v>
      </c>
      <c r="L2108" s="2" t="s">
        <v>21875</v>
      </c>
      <c r="M2108" s="2" t="s">
        <v>21876</v>
      </c>
      <c r="N2108" s="3" t="s">
        <v>377</v>
      </c>
      <c r="P2108" s="3" t="s">
        <v>69</v>
      </c>
      <c r="Q2108" s="2" t="s">
        <v>21877</v>
      </c>
      <c r="R2108" s="3" t="s">
        <v>20939</v>
      </c>
      <c r="S2108" s="4">
        <v>0</v>
      </c>
      <c r="T2108" s="4">
        <v>0</v>
      </c>
      <c r="W2108" s="5" t="s">
        <v>72</v>
      </c>
      <c r="X2108" s="5" t="s">
        <v>72</v>
      </c>
      <c r="Y2108" s="4">
        <v>76</v>
      </c>
      <c r="Z2108" s="4">
        <v>6</v>
      </c>
      <c r="AA2108" s="4">
        <v>9</v>
      </c>
      <c r="AB2108" s="4">
        <v>1</v>
      </c>
      <c r="AC2108" s="4">
        <v>1</v>
      </c>
      <c r="AD2108" s="4">
        <v>45</v>
      </c>
      <c r="AE2108" s="4">
        <v>53</v>
      </c>
      <c r="AF2108" s="4">
        <v>0</v>
      </c>
      <c r="AG2108" s="4">
        <v>0</v>
      </c>
      <c r="AH2108" s="4">
        <v>44</v>
      </c>
      <c r="AI2108" s="4">
        <v>51</v>
      </c>
      <c r="AJ2108" s="4">
        <v>4</v>
      </c>
      <c r="AK2108" s="4">
        <v>7</v>
      </c>
      <c r="AL2108" s="4">
        <v>25</v>
      </c>
      <c r="AM2108" s="4">
        <v>28</v>
      </c>
      <c r="AN2108" s="4">
        <v>0</v>
      </c>
      <c r="AO2108" s="4">
        <v>0</v>
      </c>
      <c r="AP2108" s="4">
        <v>4</v>
      </c>
      <c r="AQ2108" s="4">
        <v>7</v>
      </c>
      <c r="AR2108" s="3" t="s">
        <v>64</v>
      </c>
      <c r="AS2108" s="3" t="s">
        <v>64</v>
      </c>
      <c r="AT2108" s="3" t="s">
        <v>64</v>
      </c>
      <c r="AV2108" s="6" t="str">
        <f>HYPERLINK("http://mcgill.on.worldcat.org/oclc/802326840","Catalog Record")</f>
        <v>Catalog Record</v>
      </c>
      <c r="AW2108" s="6" t="str">
        <f>HYPERLINK("http://www.worldcat.org/oclc/802326840","WorldCat Record")</f>
        <v>WorldCat Record</v>
      </c>
      <c r="AX2108" s="3" t="s">
        <v>21878</v>
      </c>
      <c r="AY2108" s="3" t="s">
        <v>21879</v>
      </c>
      <c r="AZ2108" s="3" t="s">
        <v>21880</v>
      </c>
      <c r="BA2108" s="3" t="s">
        <v>21880</v>
      </c>
      <c r="BB2108" s="3" t="s">
        <v>21881</v>
      </c>
      <c r="BC2108" s="3" t="s">
        <v>78</v>
      </c>
      <c r="BD2108" s="3" t="s">
        <v>79</v>
      </c>
      <c r="BE2108" s="3" t="s">
        <v>21882</v>
      </c>
      <c r="BF2108" s="3" t="s">
        <v>21881</v>
      </c>
      <c r="BG2108" s="3" t="s">
        <v>21883</v>
      </c>
    </row>
    <row r="2109" spans="1:59" ht="58" x14ac:dyDescent="0.35">
      <c r="A2109" s="2" t="s">
        <v>59</v>
      </c>
      <c r="B2109" s="2" t="s">
        <v>94</v>
      </c>
      <c r="C2109" s="2" t="s">
        <v>21884</v>
      </c>
      <c r="D2109" s="2" t="s">
        <v>21885</v>
      </c>
      <c r="E2109" s="2" t="s">
        <v>21886</v>
      </c>
      <c r="G2109" s="3" t="s">
        <v>64</v>
      </c>
      <c r="I2109" s="3" t="s">
        <v>64</v>
      </c>
      <c r="J2109" s="3" t="s">
        <v>64</v>
      </c>
      <c r="K2109" s="3" t="s">
        <v>65</v>
      </c>
      <c r="M2109" s="2" t="s">
        <v>5089</v>
      </c>
      <c r="N2109" s="3" t="s">
        <v>214</v>
      </c>
      <c r="P2109" s="3" t="s">
        <v>69</v>
      </c>
      <c r="Q2109" s="2" t="s">
        <v>21887</v>
      </c>
      <c r="R2109" s="3" t="s">
        <v>20939</v>
      </c>
      <c r="S2109" s="4">
        <v>0</v>
      </c>
      <c r="T2109" s="4">
        <v>0</v>
      </c>
      <c r="W2109" s="5" t="s">
        <v>72</v>
      </c>
      <c r="X2109" s="5" t="s">
        <v>72</v>
      </c>
      <c r="Y2109" s="4">
        <v>94</v>
      </c>
      <c r="Z2109" s="4">
        <v>8</v>
      </c>
      <c r="AA2109" s="4">
        <v>11</v>
      </c>
      <c r="AB2109" s="4">
        <v>1</v>
      </c>
      <c r="AC2109" s="4">
        <v>1</v>
      </c>
      <c r="AD2109" s="4">
        <v>55</v>
      </c>
      <c r="AE2109" s="4">
        <v>61</v>
      </c>
      <c r="AF2109" s="4">
        <v>0</v>
      </c>
      <c r="AG2109" s="4">
        <v>0</v>
      </c>
      <c r="AH2109" s="4">
        <v>53</v>
      </c>
      <c r="AI2109" s="4">
        <v>58</v>
      </c>
      <c r="AJ2109" s="4">
        <v>5</v>
      </c>
      <c r="AK2109" s="4">
        <v>8</v>
      </c>
      <c r="AL2109" s="4">
        <v>28</v>
      </c>
      <c r="AM2109" s="4">
        <v>29</v>
      </c>
      <c r="AN2109" s="4">
        <v>0</v>
      </c>
      <c r="AO2109" s="4">
        <v>0</v>
      </c>
      <c r="AP2109" s="4">
        <v>6</v>
      </c>
      <c r="AQ2109" s="4">
        <v>9</v>
      </c>
      <c r="AR2109" s="3" t="s">
        <v>64</v>
      </c>
      <c r="AS2109" s="3" t="s">
        <v>64</v>
      </c>
      <c r="AT2109" s="3" t="s">
        <v>64</v>
      </c>
      <c r="AV2109" s="6" t="str">
        <f>HYPERLINK("http://mcgill.on.worldcat.org/oclc/649827266","Catalog Record")</f>
        <v>Catalog Record</v>
      </c>
      <c r="AW2109" s="6" t="str">
        <f>HYPERLINK("http://www.worldcat.org/oclc/649827266","WorldCat Record")</f>
        <v>WorldCat Record</v>
      </c>
      <c r="AX2109" s="3" t="s">
        <v>21888</v>
      </c>
      <c r="AY2109" s="3" t="s">
        <v>21889</v>
      </c>
      <c r="AZ2109" s="3" t="s">
        <v>21890</v>
      </c>
      <c r="BA2109" s="3" t="s">
        <v>21890</v>
      </c>
      <c r="BB2109" s="3" t="s">
        <v>21891</v>
      </c>
      <c r="BC2109" s="3" t="s">
        <v>78</v>
      </c>
      <c r="BD2109" s="3" t="s">
        <v>79</v>
      </c>
      <c r="BE2109" s="3" t="s">
        <v>21892</v>
      </c>
      <c r="BF2109" s="3" t="s">
        <v>21891</v>
      </c>
      <c r="BG2109" s="3" t="s">
        <v>21893</v>
      </c>
    </row>
    <row r="2110" spans="1:59" ht="58" x14ac:dyDescent="0.35">
      <c r="A2110" s="2" t="s">
        <v>59</v>
      </c>
      <c r="B2110" s="2" t="s">
        <v>94</v>
      </c>
      <c r="C2110" s="2" t="s">
        <v>21894</v>
      </c>
      <c r="D2110" s="2" t="s">
        <v>21895</v>
      </c>
      <c r="E2110" s="2" t="s">
        <v>21896</v>
      </c>
      <c r="G2110" s="3" t="s">
        <v>64</v>
      </c>
      <c r="I2110" s="3" t="s">
        <v>64</v>
      </c>
      <c r="J2110" s="3" t="s">
        <v>64</v>
      </c>
      <c r="K2110" s="3" t="s">
        <v>65</v>
      </c>
      <c r="L2110" s="2" t="s">
        <v>10730</v>
      </c>
      <c r="M2110" s="2" t="s">
        <v>21897</v>
      </c>
      <c r="N2110" s="3" t="s">
        <v>315</v>
      </c>
      <c r="P2110" s="3" t="s">
        <v>69</v>
      </c>
      <c r="R2110" s="3" t="s">
        <v>20939</v>
      </c>
      <c r="S2110" s="4">
        <v>34</v>
      </c>
      <c r="T2110" s="4">
        <v>34</v>
      </c>
      <c r="U2110" s="5" t="s">
        <v>21898</v>
      </c>
      <c r="V2110" s="5" t="s">
        <v>21898</v>
      </c>
      <c r="W2110" s="5" t="s">
        <v>72</v>
      </c>
      <c r="X2110" s="5" t="s">
        <v>72</v>
      </c>
      <c r="Y2110" s="4">
        <v>1172</v>
      </c>
      <c r="Z2110" s="4">
        <v>42</v>
      </c>
      <c r="AA2110" s="4">
        <v>49</v>
      </c>
      <c r="AB2110" s="4">
        <v>5</v>
      </c>
      <c r="AC2110" s="4">
        <v>8</v>
      </c>
      <c r="AD2110" s="4">
        <v>130</v>
      </c>
      <c r="AE2110" s="4">
        <v>134</v>
      </c>
      <c r="AF2110" s="4">
        <v>2</v>
      </c>
      <c r="AG2110" s="4">
        <v>3</v>
      </c>
      <c r="AH2110" s="4">
        <v>109</v>
      </c>
      <c r="AI2110" s="4">
        <v>110</v>
      </c>
      <c r="AJ2110" s="4">
        <v>19</v>
      </c>
      <c r="AK2110" s="4">
        <v>20</v>
      </c>
      <c r="AL2110" s="4">
        <v>57</v>
      </c>
      <c r="AM2110" s="4">
        <v>57</v>
      </c>
      <c r="AN2110" s="4">
        <v>0</v>
      </c>
      <c r="AO2110" s="4">
        <v>0</v>
      </c>
      <c r="AP2110" s="4">
        <v>29</v>
      </c>
      <c r="AQ2110" s="4">
        <v>32</v>
      </c>
      <c r="AR2110" s="3" t="s">
        <v>64</v>
      </c>
      <c r="AS2110" s="3" t="s">
        <v>64</v>
      </c>
      <c r="AT2110" s="3" t="s">
        <v>64</v>
      </c>
      <c r="AV2110" s="6" t="str">
        <f>HYPERLINK("http://mcgill.on.worldcat.org/oclc/14130372","Catalog Record")</f>
        <v>Catalog Record</v>
      </c>
      <c r="AW2110" s="6" t="str">
        <f>HYPERLINK("http://www.worldcat.org/oclc/14130372","WorldCat Record")</f>
        <v>WorldCat Record</v>
      </c>
      <c r="AX2110" s="3" t="s">
        <v>21899</v>
      </c>
      <c r="AY2110" s="3" t="s">
        <v>21900</v>
      </c>
      <c r="AZ2110" s="3" t="s">
        <v>21901</v>
      </c>
      <c r="BA2110" s="3" t="s">
        <v>21901</v>
      </c>
      <c r="BB2110" s="3" t="s">
        <v>21902</v>
      </c>
      <c r="BC2110" s="3" t="s">
        <v>78</v>
      </c>
      <c r="BD2110" s="3" t="s">
        <v>79</v>
      </c>
      <c r="BE2110" s="3" t="s">
        <v>21903</v>
      </c>
      <c r="BF2110" s="3" t="s">
        <v>21902</v>
      </c>
      <c r="BG2110" s="3" t="s">
        <v>21904</v>
      </c>
    </row>
    <row r="2111" spans="1:59" ht="58" x14ac:dyDescent="0.35">
      <c r="A2111" s="2" t="s">
        <v>59</v>
      </c>
      <c r="B2111" s="2" t="s">
        <v>94</v>
      </c>
      <c r="C2111" s="2" t="s">
        <v>21905</v>
      </c>
      <c r="D2111" s="2" t="s">
        <v>21906</v>
      </c>
      <c r="E2111" s="2" t="s">
        <v>21907</v>
      </c>
      <c r="G2111" s="3" t="s">
        <v>64</v>
      </c>
      <c r="I2111" s="3" t="s">
        <v>64</v>
      </c>
      <c r="J2111" s="3" t="s">
        <v>64</v>
      </c>
      <c r="K2111" s="3" t="s">
        <v>65</v>
      </c>
      <c r="L2111" s="2" t="s">
        <v>21908</v>
      </c>
      <c r="M2111" s="2" t="s">
        <v>18901</v>
      </c>
      <c r="N2111" s="3" t="s">
        <v>524</v>
      </c>
      <c r="P2111" s="3" t="s">
        <v>69</v>
      </c>
      <c r="Q2111" s="2" t="s">
        <v>21909</v>
      </c>
      <c r="R2111" s="3" t="s">
        <v>20939</v>
      </c>
      <c r="S2111" s="4">
        <v>0</v>
      </c>
      <c r="T2111" s="4">
        <v>0</v>
      </c>
      <c r="W2111" s="5" t="s">
        <v>72</v>
      </c>
      <c r="X2111" s="5" t="s">
        <v>72</v>
      </c>
      <c r="Y2111" s="4">
        <v>66</v>
      </c>
      <c r="Z2111" s="4">
        <v>4</v>
      </c>
      <c r="AA2111" s="4">
        <v>32</v>
      </c>
      <c r="AB2111" s="4">
        <v>1</v>
      </c>
      <c r="AC2111" s="4">
        <v>6</v>
      </c>
      <c r="AD2111" s="4">
        <v>42</v>
      </c>
      <c r="AE2111" s="4">
        <v>93</v>
      </c>
      <c r="AF2111" s="4">
        <v>0</v>
      </c>
      <c r="AG2111" s="4">
        <v>2</v>
      </c>
      <c r="AH2111" s="4">
        <v>41</v>
      </c>
      <c r="AI2111" s="4">
        <v>76</v>
      </c>
      <c r="AJ2111" s="4">
        <v>3</v>
      </c>
      <c r="AK2111" s="4">
        <v>13</v>
      </c>
      <c r="AL2111" s="4">
        <v>21</v>
      </c>
      <c r="AM2111" s="4">
        <v>40</v>
      </c>
      <c r="AN2111" s="4">
        <v>0</v>
      </c>
      <c r="AO2111" s="4">
        <v>0</v>
      </c>
      <c r="AP2111" s="4">
        <v>3</v>
      </c>
      <c r="AQ2111" s="4">
        <v>23</v>
      </c>
      <c r="AR2111" s="3" t="s">
        <v>64</v>
      </c>
      <c r="AS2111" s="3" t="s">
        <v>64</v>
      </c>
      <c r="AT2111" s="3" t="s">
        <v>64</v>
      </c>
      <c r="AV2111" s="6" t="str">
        <f>HYPERLINK("http://mcgill.on.worldcat.org/oclc/845349900","Catalog Record")</f>
        <v>Catalog Record</v>
      </c>
      <c r="AW2111" s="6" t="str">
        <f>HYPERLINK("http://www.worldcat.org/oclc/845349900","WorldCat Record")</f>
        <v>WorldCat Record</v>
      </c>
      <c r="AX2111" s="3" t="s">
        <v>21910</v>
      </c>
      <c r="AY2111" s="3" t="s">
        <v>21911</v>
      </c>
      <c r="AZ2111" s="3" t="s">
        <v>21912</v>
      </c>
      <c r="BA2111" s="3" t="s">
        <v>21912</v>
      </c>
      <c r="BB2111" s="3" t="s">
        <v>21913</v>
      </c>
      <c r="BC2111" s="3" t="s">
        <v>78</v>
      </c>
      <c r="BD2111" s="3" t="s">
        <v>79</v>
      </c>
      <c r="BE2111" s="3" t="s">
        <v>21914</v>
      </c>
      <c r="BF2111" s="3" t="s">
        <v>21913</v>
      </c>
      <c r="BG2111" s="3" t="s">
        <v>21915</v>
      </c>
    </row>
    <row r="2112" spans="1:59" ht="58" x14ac:dyDescent="0.35">
      <c r="A2112" s="2" t="s">
        <v>59</v>
      </c>
      <c r="B2112" s="2" t="s">
        <v>94</v>
      </c>
      <c r="C2112" s="2" t="s">
        <v>21916</v>
      </c>
      <c r="D2112" s="2" t="s">
        <v>21917</v>
      </c>
      <c r="E2112" s="2" t="s">
        <v>21918</v>
      </c>
      <c r="G2112" s="3" t="s">
        <v>64</v>
      </c>
      <c r="I2112" s="3" t="s">
        <v>64</v>
      </c>
      <c r="J2112" s="3" t="s">
        <v>64</v>
      </c>
      <c r="K2112" s="3" t="s">
        <v>65</v>
      </c>
      <c r="L2112" s="2" t="s">
        <v>21919</v>
      </c>
      <c r="M2112" s="2" t="s">
        <v>21920</v>
      </c>
      <c r="N2112" s="3" t="s">
        <v>5692</v>
      </c>
      <c r="P2112" s="3" t="s">
        <v>69</v>
      </c>
      <c r="R2112" s="3" t="s">
        <v>20939</v>
      </c>
      <c r="S2112" s="4">
        <v>7</v>
      </c>
      <c r="T2112" s="4">
        <v>7</v>
      </c>
      <c r="U2112" s="5" t="s">
        <v>21921</v>
      </c>
      <c r="V2112" s="5" t="s">
        <v>21921</v>
      </c>
      <c r="W2112" s="5" t="s">
        <v>72</v>
      </c>
      <c r="X2112" s="5" t="s">
        <v>72</v>
      </c>
      <c r="Y2112" s="4">
        <v>630</v>
      </c>
      <c r="Z2112" s="4">
        <v>24</v>
      </c>
      <c r="AA2112" s="4">
        <v>30</v>
      </c>
      <c r="AB2112" s="4">
        <v>1</v>
      </c>
      <c r="AC2112" s="4">
        <v>3</v>
      </c>
      <c r="AD2112" s="4">
        <v>112</v>
      </c>
      <c r="AE2112" s="4">
        <v>115</v>
      </c>
      <c r="AF2112" s="4">
        <v>0</v>
      </c>
      <c r="AG2112" s="4">
        <v>0</v>
      </c>
      <c r="AH2112" s="4">
        <v>98</v>
      </c>
      <c r="AI2112" s="4">
        <v>101</v>
      </c>
      <c r="AJ2112" s="4">
        <v>18</v>
      </c>
      <c r="AK2112" s="4">
        <v>19</v>
      </c>
      <c r="AL2112" s="4">
        <v>53</v>
      </c>
      <c r="AM2112" s="4">
        <v>54</v>
      </c>
      <c r="AN2112" s="4">
        <v>0</v>
      </c>
      <c r="AO2112" s="4">
        <v>0</v>
      </c>
      <c r="AP2112" s="4">
        <v>20</v>
      </c>
      <c r="AQ2112" s="4">
        <v>21</v>
      </c>
      <c r="AR2112" s="3" t="s">
        <v>64</v>
      </c>
      <c r="AS2112" s="3" t="s">
        <v>64</v>
      </c>
      <c r="AT2112" s="3" t="s">
        <v>73</v>
      </c>
      <c r="AU2112" s="6" t="str">
        <f>HYPERLINK("http://catalog.hathitrust.org/Record/001622373","HathiTrust Record")</f>
        <v>HathiTrust Record</v>
      </c>
      <c r="AV2112" s="6" t="str">
        <f>HYPERLINK("http://mcgill.on.worldcat.org/oclc/745538","Catalog Record")</f>
        <v>Catalog Record</v>
      </c>
      <c r="AW2112" s="6" t="str">
        <f>HYPERLINK("http://www.worldcat.org/oclc/745538","WorldCat Record")</f>
        <v>WorldCat Record</v>
      </c>
      <c r="AX2112" s="3" t="s">
        <v>21922</v>
      </c>
      <c r="AY2112" s="3" t="s">
        <v>21923</v>
      </c>
      <c r="AZ2112" s="3" t="s">
        <v>21924</v>
      </c>
      <c r="BA2112" s="3" t="s">
        <v>21924</v>
      </c>
      <c r="BB2112" s="3" t="s">
        <v>21925</v>
      </c>
      <c r="BC2112" s="3" t="s">
        <v>78</v>
      </c>
      <c r="BD2112" s="3" t="s">
        <v>79</v>
      </c>
      <c r="BF2112" s="3" t="s">
        <v>21925</v>
      </c>
      <c r="BG2112" s="3" t="s">
        <v>21926</v>
      </c>
    </row>
    <row r="2113" spans="1:59" ht="58" x14ac:dyDescent="0.35">
      <c r="A2113" s="2" t="s">
        <v>59</v>
      </c>
      <c r="B2113" s="2" t="s">
        <v>94</v>
      </c>
      <c r="C2113" s="2" t="s">
        <v>21927</v>
      </c>
      <c r="D2113" s="2" t="s">
        <v>21928</v>
      </c>
      <c r="E2113" s="2" t="s">
        <v>21929</v>
      </c>
      <c r="G2113" s="3" t="s">
        <v>64</v>
      </c>
      <c r="I2113" s="3" t="s">
        <v>64</v>
      </c>
      <c r="J2113" s="3" t="s">
        <v>64</v>
      </c>
      <c r="K2113" s="3" t="s">
        <v>65</v>
      </c>
      <c r="L2113" s="2" t="s">
        <v>21930</v>
      </c>
      <c r="M2113" s="2" t="s">
        <v>21931</v>
      </c>
      <c r="N2113" s="3" t="s">
        <v>377</v>
      </c>
      <c r="P2113" s="3" t="s">
        <v>69</v>
      </c>
      <c r="Q2113" s="2" t="s">
        <v>21932</v>
      </c>
      <c r="R2113" s="3" t="s">
        <v>20939</v>
      </c>
      <c r="S2113" s="4">
        <v>0</v>
      </c>
      <c r="T2113" s="4">
        <v>0</v>
      </c>
      <c r="W2113" s="5" t="s">
        <v>72</v>
      </c>
      <c r="X2113" s="5" t="s">
        <v>72</v>
      </c>
      <c r="Y2113" s="4">
        <v>82</v>
      </c>
      <c r="Z2113" s="4">
        <v>4</v>
      </c>
      <c r="AA2113" s="4">
        <v>32</v>
      </c>
      <c r="AB2113" s="4">
        <v>1</v>
      </c>
      <c r="AC2113" s="4">
        <v>6</v>
      </c>
      <c r="AD2113" s="4">
        <v>49</v>
      </c>
      <c r="AE2113" s="4">
        <v>97</v>
      </c>
      <c r="AF2113" s="4">
        <v>0</v>
      </c>
      <c r="AG2113" s="4">
        <v>2</v>
      </c>
      <c r="AH2113" s="4">
        <v>48</v>
      </c>
      <c r="AI2113" s="4">
        <v>80</v>
      </c>
      <c r="AJ2113" s="4">
        <v>3</v>
      </c>
      <c r="AK2113" s="4">
        <v>13</v>
      </c>
      <c r="AL2113" s="4">
        <v>28</v>
      </c>
      <c r="AM2113" s="4">
        <v>44</v>
      </c>
      <c r="AN2113" s="4">
        <v>0</v>
      </c>
      <c r="AO2113" s="4">
        <v>0</v>
      </c>
      <c r="AP2113" s="4">
        <v>3</v>
      </c>
      <c r="AQ2113" s="4">
        <v>23</v>
      </c>
      <c r="AR2113" s="3" t="s">
        <v>64</v>
      </c>
      <c r="AS2113" s="3" t="s">
        <v>64</v>
      </c>
      <c r="AT2113" s="3" t="s">
        <v>64</v>
      </c>
      <c r="AV2113" s="6" t="str">
        <f>HYPERLINK("http://mcgill.on.worldcat.org/oclc/813931976","Catalog Record")</f>
        <v>Catalog Record</v>
      </c>
      <c r="AW2113" s="6" t="str">
        <f>HYPERLINK("http://www.worldcat.org/oclc/813931976","WorldCat Record")</f>
        <v>WorldCat Record</v>
      </c>
      <c r="AX2113" s="3" t="s">
        <v>21933</v>
      </c>
      <c r="AY2113" s="3" t="s">
        <v>21934</v>
      </c>
      <c r="AZ2113" s="3" t="s">
        <v>21935</v>
      </c>
      <c r="BA2113" s="3" t="s">
        <v>21935</v>
      </c>
      <c r="BB2113" s="3" t="s">
        <v>21936</v>
      </c>
      <c r="BC2113" s="3" t="s">
        <v>78</v>
      </c>
      <c r="BD2113" s="3" t="s">
        <v>79</v>
      </c>
      <c r="BE2113" s="3" t="s">
        <v>21937</v>
      </c>
      <c r="BF2113" s="3" t="s">
        <v>21936</v>
      </c>
      <c r="BG2113" s="3" t="s">
        <v>21938</v>
      </c>
    </row>
    <row r="2114" spans="1:59" ht="58" x14ac:dyDescent="0.35">
      <c r="A2114" s="2" t="s">
        <v>59</v>
      </c>
      <c r="B2114" s="2" t="s">
        <v>94</v>
      </c>
      <c r="C2114" s="2" t="s">
        <v>21939</v>
      </c>
      <c r="D2114" s="2" t="s">
        <v>21940</v>
      </c>
      <c r="E2114" s="2" t="s">
        <v>21941</v>
      </c>
      <c r="G2114" s="3" t="s">
        <v>64</v>
      </c>
      <c r="I2114" s="3" t="s">
        <v>64</v>
      </c>
      <c r="J2114" s="3" t="s">
        <v>64</v>
      </c>
      <c r="K2114" s="3" t="s">
        <v>65</v>
      </c>
      <c r="M2114" s="2" t="s">
        <v>20007</v>
      </c>
      <c r="N2114" s="3" t="s">
        <v>328</v>
      </c>
      <c r="P2114" s="3" t="s">
        <v>69</v>
      </c>
      <c r="Q2114" s="2" t="s">
        <v>21942</v>
      </c>
      <c r="R2114" s="3" t="s">
        <v>20939</v>
      </c>
      <c r="S2114" s="4">
        <v>0</v>
      </c>
      <c r="T2114" s="4">
        <v>0</v>
      </c>
      <c r="W2114" s="5" t="s">
        <v>72</v>
      </c>
      <c r="X2114" s="5" t="s">
        <v>72</v>
      </c>
      <c r="Y2114" s="4">
        <v>90</v>
      </c>
      <c r="Z2114" s="4">
        <v>7</v>
      </c>
      <c r="AA2114" s="4">
        <v>10</v>
      </c>
      <c r="AB2114" s="4">
        <v>1</v>
      </c>
      <c r="AC2114" s="4">
        <v>1</v>
      </c>
      <c r="AD2114" s="4">
        <v>51</v>
      </c>
      <c r="AE2114" s="4">
        <v>57</v>
      </c>
      <c r="AF2114" s="4">
        <v>0</v>
      </c>
      <c r="AG2114" s="4">
        <v>0</v>
      </c>
      <c r="AH2114" s="4">
        <v>49</v>
      </c>
      <c r="AI2114" s="4">
        <v>54</v>
      </c>
      <c r="AJ2114" s="4">
        <v>4</v>
      </c>
      <c r="AK2114" s="4">
        <v>7</v>
      </c>
      <c r="AL2114" s="4">
        <v>28</v>
      </c>
      <c r="AM2114" s="4">
        <v>29</v>
      </c>
      <c r="AN2114" s="4">
        <v>0</v>
      </c>
      <c r="AO2114" s="4">
        <v>0</v>
      </c>
      <c r="AP2114" s="4">
        <v>5</v>
      </c>
      <c r="AQ2114" s="4">
        <v>8</v>
      </c>
      <c r="AR2114" s="3" t="s">
        <v>64</v>
      </c>
      <c r="AS2114" s="3" t="s">
        <v>64</v>
      </c>
      <c r="AT2114" s="3" t="s">
        <v>64</v>
      </c>
      <c r="AV2114" s="6" t="str">
        <f>HYPERLINK("http://mcgill.on.worldcat.org/oclc/699009815","Catalog Record")</f>
        <v>Catalog Record</v>
      </c>
      <c r="AW2114" s="6" t="str">
        <f>HYPERLINK("http://www.worldcat.org/oclc/699009815","WorldCat Record")</f>
        <v>WorldCat Record</v>
      </c>
      <c r="AX2114" s="3" t="s">
        <v>21943</v>
      </c>
      <c r="AY2114" s="3" t="s">
        <v>21944</v>
      </c>
      <c r="AZ2114" s="3" t="s">
        <v>21945</v>
      </c>
      <c r="BA2114" s="3" t="s">
        <v>21945</v>
      </c>
      <c r="BB2114" s="3" t="s">
        <v>21946</v>
      </c>
      <c r="BC2114" s="3" t="s">
        <v>78</v>
      </c>
      <c r="BD2114" s="3" t="s">
        <v>79</v>
      </c>
      <c r="BE2114" s="3" t="s">
        <v>21947</v>
      </c>
      <c r="BF2114" s="3" t="s">
        <v>21946</v>
      </c>
      <c r="BG2114" s="3" t="s">
        <v>21948</v>
      </c>
    </row>
    <row r="2115" spans="1:59" ht="58" x14ac:dyDescent="0.35">
      <c r="A2115" s="2" t="s">
        <v>59</v>
      </c>
      <c r="B2115" s="2" t="s">
        <v>94</v>
      </c>
      <c r="C2115" s="2" t="s">
        <v>21949</v>
      </c>
      <c r="D2115" s="2" t="s">
        <v>21950</v>
      </c>
      <c r="E2115" s="2" t="s">
        <v>21951</v>
      </c>
      <c r="G2115" s="3" t="s">
        <v>64</v>
      </c>
      <c r="I2115" s="3" t="s">
        <v>64</v>
      </c>
      <c r="J2115" s="3" t="s">
        <v>64</v>
      </c>
      <c r="K2115" s="3" t="s">
        <v>65</v>
      </c>
      <c r="M2115" s="2" t="s">
        <v>18562</v>
      </c>
      <c r="N2115" s="3" t="s">
        <v>68</v>
      </c>
      <c r="P2115" s="3" t="s">
        <v>69</v>
      </c>
      <c r="R2115" s="3" t="s">
        <v>20939</v>
      </c>
      <c r="S2115" s="4">
        <v>4</v>
      </c>
      <c r="T2115" s="4">
        <v>4</v>
      </c>
      <c r="U2115" s="5" t="s">
        <v>20747</v>
      </c>
      <c r="V2115" s="5" t="s">
        <v>20747</v>
      </c>
      <c r="W2115" s="5" t="s">
        <v>72</v>
      </c>
      <c r="X2115" s="5" t="s">
        <v>72</v>
      </c>
      <c r="Y2115" s="4">
        <v>120</v>
      </c>
      <c r="Z2115" s="4">
        <v>7</v>
      </c>
      <c r="AA2115" s="4">
        <v>11</v>
      </c>
      <c r="AB2115" s="4">
        <v>1</v>
      </c>
      <c r="AC2115" s="4">
        <v>2</v>
      </c>
      <c r="AD2115" s="4">
        <v>68</v>
      </c>
      <c r="AE2115" s="4">
        <v>74</v>
      </c>
      <c r="AF2115" s="4">
        <v>0</v>
      </c>
      <c r="AG2115" s="4">
        <v>0</v>
      </c>
      <c r="AH2115" s="4">
        <v>66</v>
      </c>
      <c r="AI2115" s="4">
        <v>70</v>
      </c>
      <c r="AJ2115" s="4">
        <v>5</v>
      </c>
      <c r="AK2115" s="4">
        <v>8</v>
      </c>
      <c r="AL2115" s="4">
        <v>40</v>
      </c>
      <c r="AM2115" s="4">
        <v>40</v>
      </c>
      <c r="AN2115" s="4">
        <v>0</v>
      </c>
      <c r="AO2115" s="4">
        <v>0</v>
      </c>
      <c r="AP2115" s="4">
        <v>5</v>
      </c>
      <c r="AQ2115" s="4">
        <v>7</v>
      </c>
      <c r="AR2115" s="3" t="s">
        <v>64</v>
      </c>
      <c r="AS2115" s="3" t="s">
        <v>64</v>
      </c>
      <c r="AT2115" s="3" t="s">
        <v>64</v>
      </c>
      <c r="AV2115" s="6" t="str">
        <f>HYPERLINK("http://mcgill.on.worldcat.org/oclc/61757988","Catalog Record")</f>
        <v>Catalog Record</v>
      </c>
      <c r="AW2115" s="6" t="str">
        <f>HYPERLINK("http://www.worldcat.org/oclc/61757988","WorldCat Record")</f>
        <v>WorldCat Record</v>
      </c>
      <c r="AX2115" s="3" t="s">
        <v>21952</v>
      </c>
      <c r="AY2115" s="3" t="s">
        <v>21953</v>
      </c>
      <c r="AZ2115" s="3" t="s">
        <v>21954</v>
      </c>
      <c r="BA2115" s="3" t="s">
        <v>21954</v>
      </c>
      <c r="BB2115" s="3" t="s">
        <v>21955</v>
      </c>
      <c r="BC2115" s="3" t="s">
        <v>78</v>
      </c>
      <c r="BD2115" s="3" t="s">
        <v>79</v>
      </c>
      <c r="BE2115" s="3" t="s">
        <v>21956</v>
      </c>
      <c r="BF2115" s="3" t="s">
        <v>21955</v>
      </c>
      <c r="BG2115" s="3" t="s">
        <v>21957</v>
      </c>
    </row>
    <row r="2116" spans="1:59" ht="58" x14ac:dyDescent="0.35">
      <c r="A2116" s="2" t="s">
        <v>59</v>
      </c>
      <c r="B2116" s="2" t="s">
        <v>94</v>
      </c>
      <c r="C2116" s="2" t="s">
        <v>21958</v>
      </c>
      <c r="D2116" s="2" t="s">
        <v>21959</v>
      </c>
      <c r="E2116" s="2" t="s">
        <v>21960</v>
      </c>
      <c r="G2116" s="3" t="s">
        <v>64</v>
      </c>
      <c r="I2116" s="3" t="s">
        <v>64</v>
      </c>
      <c r="J2116" s="3" t="s">
        <v>64</v>
      </c>
      <c r="K2116" s="3" t="s">
        <v>65</v>
      </c>
      <c r="M2116" s="2" t="s">
        <v>6841</v>
      </c>
      <c r="N2116" s="3" t="s">
        <v>377</v>
      </c>
      <c r="P2116" s="3" t="s">
        <v>69</v>
      </c>
      <c r="Q2116" s="2" t="s">
        <v>21961</v>
      </c>
      <c r="R2116" s="3" t="s">
        <v>20939</v>
      </c>
      <c r="S2116" s="4">
        <v>0</v>
      </c>
      <c r="T2116" s="4">
        <v>0</v>
      </c>
      <c r="W2116" s="5" t="s">
        <v>72</v>
      </c>
      <c r="X2116" s="5" t="s">
        <v>72</v>
      </c>
      <c r="Y2116" s="4">
        <v>73</v>
      </c>
      <c r="Z2116" s="4">
        <v>4</v>
      </c>
      <c r="AA2116" s="4">
        <v>32</v>
      </c>
      <c r="AB2116" s="4">
        <v>1</v>
      </c>
      <c r="AC2116" s="4">
        <v>6</v>
      </c>
      <c r="AD2116" s="4">
        <v>46</v>
      </c>
      <c r="AE2116" s="4">
        <v>94</v>
      </c>
      <c r="AF2116" s="4">
        <v>0</v>
      </c>
      <c r="AG2116" s="4">
        <v>2</v>
      </c>
      <c r="AH2116" s="4">
        <v>45</v>
      </c>
      <c r="AI2116" s="4">
        <v>77</v>
      </c>
      <c r="AJ2116" s="4">
        <v>3</v>
      </c>
      <c r="AK2116" s="4">
        <v>13</v>
      </c>
      <c r="AL2116" s="4">
        <v>26</v>
      </c>
      <c r="AM2116" s="4">
        <v>42</v>
      </c>
      <c r="AN2116" s="4">
        <v>0</v>
      </c>
      <c r="AO2116" s="4">
        <v>0</v>
      </c>
      <c r="AP2116" s="4">
        <v>3</v>
      </c>
      <c r="AQ2116" s="4">
        <v>23</v>
      </c>
      <c r="AR2116" s="3" t="s">
        <v>64</v>
      </c>
      <c r="AS2116" s="3" t="s">
        <v>64</v>
      </c>
      <c r="AT2116" s="3" t="s">
        <v>64</v>
      </c>
      <c r="AV2116" s="6" t="str">
        <f>HYPERLINK("http://mcgill.on.worldcat.org/oclc/794228003","Catalog Record")</f>
        <v>Catalog Record</v>
      </c>
      <c r="AW2116" s="6" t="str">
        <f>HYPERLINK("http://www.worldcat.org/oclc/794228003","WorldCat Record")</f>
        <v>WorldCat Record</v>
      </c>
      <c r="AX2116" s="3" t="s">
        <v>21962</v>
      </c>
      <c r="AY2116" s="3" t="s">
        <v>21963</v>
      </c>
      <c r="AZ2116" s="3" t="s">
        <v>21964</v>
      </c>
      <c r="BA2116" s="3" t="s">
        <v>21964</v>
      </c>
      <c r="BB2116" s="3" t="s">
        <v>21965</v>
      </c>
      <c r="BC2116" s="3" t="s">
        <v>78</v>
      </c>
      <c r="BD2116" s="3" t="s">
        <v>79</v>
      </c>
      <c r="BE2116" s="3" t="s">
        <v>21966</v>
      </c>
      <c r="BF2116" s="3" t="s">
        <v>21965</v>
      </c>
      <c r="BG2116" s="3" t="s">
        <v>21967</v>
      </c>
    </row>
    <row r="2117" spans="1:59" ht="72.5" x14ac:dyDescent="0.35">
      <c r="A2117" s="2" t="s">
        <v>59</v>
      </c>
      <c r="B2117" s="2" t="s">
        <v>94</v>
      </c>
      <c r="C2117" s="2" t="s">
        <v>21968</v>
      </c>
      <c r="D2117" s="2" t="s">
        <v>21969</v>
      </c>
      <c r="E2117" s="2" t="s">
        <v>21970</v>
      </c>
      <c r="G2117" s="3" t="s">
        <v>64</v>
      </c>
      <c r="I2117" s="3" t="s">
        <v>64</v>
      </c>
      <c r="J2117" s="3" t="s">
        <v>64</v>
      </c>
      <c r="K2117" s="3" t="s">
        <v>65</v>
      </c>
      <c r="L2117" s="2" t="s">
        <v>21971</v>
      </c>
      <c r="M2117" s="2" t="s">
        <v>2030</v>
      </c>
      <c r="N2117" s="3" t="s">
        <v>524</v>
      </c>
      <c r="P2117" s="3" t="s">
        <v>69</v>
      </c>
      <c r="Q2117" s="2" t="s">
        <v>16675</v>
      </c>
      <c r="R2117" s="3" t="s">
        <v>20939</v>
      </c>
      <c r="S2117" s="4">
        <v>0</v>
      </c>
      <c r="T2117" s="4">
        <v>0</v>
      </c>
      <c r="W2117" s="5" t="s">
        <v>72</v>
      </c>
      <c r="X2117" s="5" t="s">
        <v>72</v>
      </c>
      <c r="Y2117" s="4">
        <v>65</v>
      </c>
      <c r="Z2117" s="4">
        <v>6</v>
      </c>
      <c r="AA2117" s="4">
        <v>34</v>
      </c>
      <c r="AB2117" s="4">
        <v>1</v>
      </c>
      <c r="AC2117" s="4">
        <v>6</v>
      </c>
      <c r="AD2117" s="4">
        <v>42</v>
      </c>
      <c r="AE2117" s="4">
        <v>93</v>
      </c>
      <c r="AF2117" s="4">
        <v>0</v>
      </c>
      <c r="AG2117" s="4">
        <v>2</v>
      </c>
      <c r="AH2117" s="4">
        <v>41</v>
      </c>
      <c r="AI2117" s="4">
        <v>76</v>
      </c>
      <c r="AJ2117" s="4">
        <v>4</v>
      </c>
      <c r="AK2117" s="4">
        <v>14</v>
      </c>
      <c r="AL2117" s="4">
        <v>22</v>
      </c>
      <c r="AM2117" s="4">
        <v>41</v>
      </c>
      <c r="AN2117" s="4">
        <v>0</v>
      </c>
      <c r="AO2117" s="4">
        <v>0</v>
      </c>
      <c r="AP2117" s="4">
        <v>4</v>
      </c>
      <c r="AQ2117" s="4">
        <v>24</v>
      </c>
      <c r="AR2117" s="3" t="s">
        <v>64</v>
      </c>
      <c r="AS2117" s="3" t="s">
        <v>64</v>
      </c>
      <c r="AT2117" s="3" t="s">
        <v>64</v>
      </c>
      <c r="AV2117" s="6" t="str">
        <f>HYPERLINK("http://mcgill.on.worldcat.org/oclc/855043625","Catalog Record")</f>
        <v>Catalog Record</v>
      </c>
      <c r="AW2117" s="6" t="str">
        <f>HYPERLINK("http://www.worldcat.org/oclc/855043625","WorldCat Record")</f>
        <v>WorldCat Record</v>
      </c>
      <c r="AX2117" s="3" t="s">
        <v>21972</v>
      </c>
      <c r="AY2117" s="3" t="s">
        <v>21973</v>
      </c>
      <c r="AZ2117" s="3" t="s">
        <v>21974</v>
      </c>
      <c r="BA2117" s="3" t="s">
        <v>21974</v>
      </c>
      <c r="BB2117" s="3" t="s">
        <v>21975</v>
      </c>
      <c r="BC2117" s="3" t="s">
        <v>78</v>
      </c>
      <c r="BD2117" s="3" t="s">
        <v>79</v>
      </c>
      <c r="BE2117" s="3" t="s">
        <v>21976</v>
      </c>
      <c r="BF2117" s="3" t="s">
        <v>21975</v>
      </c>
      <c r="BG2117" s="3" t="s">
        <v>21977</v>
      </c>
    </row>
    <row r="2118" spans="1:59" ht="58" x14ac:dyDescent="0.35">
      <c r="A2118" s="2" t="s">
        <v>59</v>
      </c>
      <c r="B2118" s="2" t="s">
        <v>94</v>
      </c>
      <c r="C2118" s="2" t="s">
        <v>21978</v>
      </c>
      <c r="D2118" s="2" t="s">
        <v>21979</v>
      </c>
      <c r="E2118" s="2" t="s">
        <v>21980</v>
      </c>
      <c r="G2118" s="3" t="s">
        <v>64</v>
      </c>
      <c r="I2118" s="3" t="s">
        <v>64</v>
      </c>
      <c r="J2118" s="3" t="s">
        <v>64</v>
      </c>
      <c r="K2118" s="3" t="s">
        <v>65</v>
      </c>
      <c r="L2118" s="2" t="s">
        <v>21981</v>
      </c>
      <c r="M2118" s="2" t="s">
        <v>19744</v>
      </c>
      <c r="N2118" s="3" t="s">
        <v>1530</v>
      </c>
      <c r="P2118" s="3" t="s">
        <v>69</v>
      </c>
      <c r="R2118" s="3" t="s">
        <v>20939</v>
      </c>
      <c r="S2118" s="4">
        <v>3</v>
      </c>
      <c r="T2118" s="4">
        <v>3</v>
      </c>
      <c r="U2118" s="5" t="s">
        <v>1766</v>
      </c>
      <c r="V2118" s="5" t="s">
        <v>1766</v>
      </c>
      <c r="W2118" s="5" t="s">
        <v>72</v>
      </c>
      <c r="X2118" s="5" t="s">
        <v>72</v>
      </c>
      <c r="Y2118" s="4">
        <v>144</v>
      </c>
      <c r="Z2118" s="4">
        <v>8</v>
      </c>
      <c r="AA2118" s="4">
        <v>11</v>
      </c>
      <c r="AB2118" s="4">
        <v>2</v>
      </c>
      <c r="AC2118" s="4">
        <v>3</v>
      </c>
      <c r="AD2118" s="4">
        <v>78</v>
      </c>
      <c r="AE2118" s="4">
        <v>82</v>
      </c>
      <c r="AF2118" s="4">
        <v>0</v>
      </c>
      <c r="AG2118" s="4">
        <v>0</v>
      </c>
      <c r="AH2118" s="4">
        <v>77</v>
      </c>
      <c r="AI2118" s="4">
        <v>80</v>
      </c>
      <c r="AJ2118" s="4">
        <v>4</v>
      </c>
      <c r="AK2118" s="4">
        <v>6</v>
      </c>
      <c r="AL2118" s="4">
        <v>41</v>
      </c>
      <c r="AM2118" s="4">
        <v>42</v>
      </c>
      <c r="AN2118" s="4">
        <v>0</v>
      </c>
      <c r="AO2118" s="4">
        <v>0</v>
      </c>
      <c r="AP2118" s="4">
        <v>5</v>
      </c>
      <c r="AQ2118" s="4">
        <v>7</v>
      </c>
      <c r="AR2118" s="3" t="s">
        <v>64</v>
      </c>
      <c r="AS2118" s="3" t="s">
        <v>64</v>
      </c>
      <c r="AT2118" s="3" t="s">
        <v>64</v>
      </c>
      <c r="AV2118" s="6" t="str">
        <f>HYPERLINK("http://mcgill.on.worldcat.org/oclc/48391272","Catalog Record")</f>
        <v>Catalog Record</v>
      </c>
      <c r="AW2118" s="6" t="str">
        <f>HYPERLINK("http://www.worldcat.org/oclc/48391272","WorldCat Record")</f>
        <v>WorldCat Record</v>
      </c>
      <c r="AX2118" s="3" t="s">
        <v>21982</v>
      </c>
      <c r="AY2118" s="3" t="s">
        <v>21983</v>
      </c>
      <c r="AZ2118" s="3" t="s">
        <v>21984</v>
      </c>
      <c r="BA2118" s="3" t="s">
        <v>21984</v>
      </c>
      <c r="BB2118" s="3" t="s">
        <v>21985</v>
      </c>
      <c r="BC2118" s="3" t="s">
        <v>78</v>
      </c>
      <c r="BD2118" s="3" t="s">
        <v>79</v>
      </c>
      <c r="BE2118" s="3" t="s">
        <v>21986</v>
      </c>
      <c r="BF2118" s="3" t="s">
        <v>21985</v>
      </c>
      <c r="BG2118" s="3" t="s">
        <v>21987</v>
      </c>
    </row>
    <row r="2119" spans="1:59" ht="58" x14ac:dyDescent="0.35">
      <c r="A2119" s="2" t="s">
        <v>59</v>
      </c>
      <c r="B2119" s="2" t="s">
        <v>94</v>
      </c>
      <c r="C2119" s="2" t="s">
        <v>21988</v>
      </c>
      <c r="D2119" s="2" t="s">
        <v>21989</v>
      </c>
      <c r="E2119" s="2" t="s">
        <v>21990</v>
      </c>
      <c r="G2119" s="3" t="s">
        <v>64</v>
      </c>
      <c r="I2119" s="3" t="s">
        <v>64</v>
      </c>
      <c r="J2119" s="3" t="s">
        <v>64</v>
      </c>
      <c r="K2119" s="3" t="s">
        <v>65</v>
      </c>
      <c r="M2119" s="2" t="s">
        <v>5089</v>
      </c>
      <c r="N2119" s="3" t="s">
        <v>214</v>
      </c>
      <c r="P2119" s="3" t="s">
        <v>69</v>
      </c>
      <c r="Q2119" s="2" t="s">
        <v>5134</v>
      </c>
      <c r="R2119" s="3" t="s">
        <v>20939</v>
      </c>
      <c r="S2119" s="4">
        <v>0</v>
      </c>
      <c r="T2119" s="4">
        <v>0</v>
      </c>
      <c r="W2119" s="5" t="s">
        <v>72</v>
      </c>
      <c r="X2119" s="5" t="s">
        <v>72</v>
      </c>
      <c r="Y2119" s="4">
        <v>98</v>
      </c>
      <c r="Z2119" s="4">
        <v>8</v>
      </c>
      <c r="AA2119" s="4">
        <v>11</v>
      </c>
      <c r="AB2119" s="4">
        <v>1</v>
      </c>
      <c r="AC2119" s="4">
        <v>1</v>
      </c>
      <c r="AD2119" s="4">
        <v>55</v>
      </c>
      <c r="AE2119" s="4">
        <v>61</v>
      </c>
      <c r="AF2119" s="4">
        <v>0</v>
      </c>
      <c r="AG2119" s="4">
        <v>0</v>
      </c>
      <c r="AH2119" s="4">
        <v>52</v>
      </c>
      <c r="AI2119" s="4">
        <v>57</v>
      </c>
      <c r="AJ2119" s="4">
        <v>5</v>
      </c>
      <c r="AK2119" s="4">
        <v>8</v>
      </c>
      <c r="AL2119" s="4">
        <v>29</v>
      </c>
      <c r="AM2119" s="4">
        <v>30</v>
      </c>
      <c r="AN2119" s="4">
        <v>0</v>
      </c>
      <c r="AO2119" s="4">
        <v>0</v>
      </c>
      <c r="AP2119" s="4">
        <v>6</v>
      </c>
      <c r="AQ2119" s="4">
        <v>9</v>
      </c>
      <c r="AR2119" s="3" t="s">
        <v>64</v>
      </c>
      <c r="AS2119" s="3" t="s">
        <v>64</v>
      </c>
      <c r="AT2119" s="3" t="s">
        <v>64</v>
      </c>
      <c r="AV2119" s="6" t="str">
        <f>HYPERLINK("http://mcgill.on.worldcat.org/oclc/458583012","Catalog Record")</f>
        <v>Catalog Record</v>
      </c>
      <c r="AW2119" s="6" t="str">
        <f>HYPERLINK("http://www.worldcat.org/oclc/458583012","WorldCat Record")</f>
        <v>WorldCat Record</v>
      </c>
      <c r="AX2119" s="3" t="s">
        <v>21991</v>
      </c>
      <c r="AY2119" s="3" t="s">
        <v>21992</v>
      </c>
      <c r="AZ2119" s="3" t="s">
        <v>21993</v>
      </c>
      <c r="BA2119" s="3" t="s">
        <v>21993</v>
      </c>
      <c r="BB2119" s="3" t="s">
        <v>21994</v>
      </c>
      <c r="BC2119" s="3" t="s">
        <v>78</v>
      </c>
      <c r="BD2119" s="3" t="s">
        <v>79</v>
      </c>
      <c r="BE2119" s="3" t="s">
        <v>21995</v>
      </c>
      <c r="BF2119" s="3" t="s">
        <v>21994</v>
      </c>
      <c r="BG2119" s="3" t="s">
        <v>21996</v>
      </c>
    </row>
    <row r="2120" spans="1:59" ht="58" x14ac:dyDescent="0.35">
      <c r="A2120" s="2" t="s">
        <v>59</v>
      </c>
      <c r="B2120" s="2" t="s">
        <v>94</v>
      </c>
      <c r="C2120" s="2" t="s">
        <v>21997</v>
      </c>
      <c r="D2120" s="2" t="s">
        <v>21998</v>
      </c>
      <c r="E2120" s="2" t="s">
        <v>21999</v>
      </c>
      <c r="G2120" s="3" t="s">
        <v>64</v>
      </c>
      <c r="I2120" s="3" t="s">
        <v>64</v>
      </c>
      <c r="J2120" s="3" t="s">
        <v>64</v>
      </c>
      <c r="K2120" s="3" t="s">
        <v>65</v>
      </c>
      <c r="L2120" s="2" t="s">
        <v>22000</v>
      </c>
      <c r="M2120" s="2" t="s">
        <v>22001</v>
      </c>
      <c r="N2120" s="3" t="s">
        <v>524</v>
      </c>
      <c r="P2120" s="3" t="s">
        <v>69</v>
      </c>
      <c r="Q2120" s="2" t="s">
        <v>7262</v>
      </c>
      <c r="R2120" s="3" t="s">
        <v>20939</v>
      </c>
      <c r="S2120" s="4">
        <v>0</v>
      </c>
      <c r="T2120" s="4">
        <v>0</v>
      </c>
      <c r="W2120" s="5" t="s">
        <v>72</v>
      </c>
      <c r="X2120" s="5" t="s">
        <v>72</v>
      </c>
      <c r="Y2120" s="4">
        <v>72</v>
      </c>
      <c r="Z2120" s="4">
        <v>4</v>
      </c>
      <c r="AA2120" s="4">
        <v>105</v>
      </c>
      <c r="AB2120" s="4">
        <v>1</v>
      </c>
      <c r="AC2120" s="4">
        <v>17</v>
      </c>
      <c r="AD2120" s="4">
        <v>43</v>
      </c>
      <c r="AE2120" s="4">
        <v>131</v>
      </c>
      <c r="AF2120" s="4">
        <v>0</v>
      </c>
      <c r="AG2120" s="4">
        <v>8</v>
      </c>
      <c r="AH2120" s="4">
        <v>42</v>
      </c>
      <c r="AI2120" s="4">
        <v>91</v>
      </c>
      <c r="AJ2120" s="4">
        <v>3</v>
      </c>
      <c r="AK2120" s="4">
        <v>21</v>
      </c>
      <c r="AL2120" s="4">
        <v>23</v>
      </c>
      <c r="AM2120" s="4">
        <v>48</v>
      </c>
      <c r="AN2120" s="4">
        <v>0</v>
      </c>
      <c r="AO2120" s="4">
        <v>0</v>
      </c>
      <c r="AP2120" s="4">
        <v>3</v>
      </c>
      <c r="AQ2120" s="4">
        <v>44</v>
      </c>
      <c r="AR2120" s="3" t="s">
        <v>64</v>
      </c>
      <c r="AS2120" s="3" t="s">
        <v>64</v>
      </c>
      <c r="AT2120" s="3" t="s">
        <v>64</v>
      </c>
      <c r="AV2120" s="6" t="str">
        <f>HYPERLINK("http://mcgill.on.worldcat.org/oclc/862883350","Catalog Record")</f>
        <v>Catalog Record</v>
      </c>
      <c r="AW2120" s="6" t="str">
        <f>HYPERLINK("http://www.worldcat.org/oclc/862883350","WorldCat Record")</f>
        <v>WorldCat Record</v>
      </c>
      <c r="AX2120" s="3" t="s">
        <v>22002</v>
      </c>
      <c r="AY2120" s="3" t="s">
        <v>22003</v>
      </c>
      <c r="AZ2120" s="3" t="s">
        <v>22004</v>
      </c>
      <c r="BA2120" s="3" t="s">
        <v>22004</v>
      </c>
      <c r="BB2120" s="3" t="s">
        <v>22005</v>
      </c>
      <c r="BC2120" s="3" t="s">
        <v>78</v>
      </c>
      <c r="BD2120" s="3" t="s">
        <v>79</v>
      </c>
      <c r="BE2120" s="3" t="s">
        <v>22006</v>
      </c>
      <c r="BF2120" s="3" t="s">
        <v>22005</v>
      </c>
      <c r="BG2120" s="3" t="s">
        <v>22007</v>
      </c>
    </row>
    <row r="2121" spans="1:59" ht="58" x14ac:dyDescent="0.35">
      <c r="A2121" s="2" t="s">
        <v>59</v>
      </c>
      <c r="B2121" s="2" t="s">
        <v>94</v>
      </c>
      <c r="C2121" s="2" t="s">
        <v>22008</v>
      </c>
      <c r="D2121" s="2" t="s">
        <v>22009</v>
      </c>
      <c r="E2121" s="2" t="s">
        <v>22010</v>
      </c>
      <c r="F2121" s="3" t="s">
        <v>22011</v>
      </c>
      <c r="G2121" s="3" t="s">
        <v>64</v>
      </c>
      <c r="I2121" s="3" t="s">
        <v>64</v>
      </c>
      <c r="J2121" s="3" t="s">
        <v>64</v>
      </c>
      <c r="K2121" s="3" t="s">
        <v>65</v>
      </c>
      <c r="M2121" s="2" t="s">
        <v>5100</v>
      </c>
      <c r="N2121" s="3" t="s">
        <v>328</v>
      </c>
      <c r="P2121" s="3" t="s">
        <v>69</v>
      </c>
      <c r="Q2121" s="2" t="s">
        <v>22012</v>
      </c>
      <c r="R2121" s="3" t="s">
        <v>20939</v>
      </c>
      <c r="S2121" s="4">
        <v>0</v>
      </c>
      <c r="T2121" s="4">
        <v>0</v>
      </c>
      <c r="W2121" s="5" t="s">
        <v>72</v>
      </c>
      <c r="X2121" s="5" t="s">
        <v>72</v>
      </c>
      <c r="Y2121" s="4">
        <v>68</v>
      </c>
      <c r="Z2121" s="4">
        <v>2</v>
      </c>
      <c r="AA2121" s="4">
        <v>6</v>
      </c>
      <c r="AB2121" s="4">
        <v>1</v>
      </c>
      <c r="AC2121" s="4">
        <v>1</v>
      </c>
      <c r="AD2121" s="4">
        <v>38</v>
      </c>
      <c r="AE2121" s="4">
        <v>49</v>
      </c>
      <c r="AF2121" s="4">
        <v>0</v>
      </c>
      <c r="AG2121" s="4">
        <v>0</v>
      </c>
      <c r="AH2121" s="4">
        <v>37</v>
      </c>
      <c r="AI2121" s="4">
        <v>47</v>
      </c>
      <c r="AJ2121" s="4">
        <v>1</v>
      </c>
      <c r="AK2121" s="4">
        <v>4</v>
      </c>
      <c r="AL2121" s="4">
        <v>19</v>
      </c>
      <c r="AM2121" s="4">
        <v>26</v>
      </c>
      <c r="AN2121" s="4">
        <v>0</v>
      </c>
      <c r="AO2121" s="4">
        <v>0</v>
      </c>
      <c r="AP2121" s="4">
        <v>1</v>
      </c>
      <c r="AQ2121" s="4">
        <v>4</v>
      </c>
      <c r="AR2121" s="3" t="s">
        <v>64</v>
      </c>
      <c r="AS2121" s="3" t="s">
        <v>64</v>
      </c>
      <c r="AT2121" s="3" t="s">
        <v>64</v>
      </c>
      <c r="AV2121" s="6" t="str">
        <f>HYPERLINK("http://mcgill.on.worldcat.org/oclc/727074192","Catalog Record")</f>
        <v>Catalog Record</v>
      </c>
      <c r="AW2121" s="6" t="str">
        <f>HYPERLINK("http://www.worldcat.org/oclc/727074192","WorldCat Record")</f>
        <v>WorldCat Record</v>
      </c>
      <c r="AX2121" s="3" t="s">
        <v>22013</v>
      </c>
      <c r="AY2121" s="3" t="s">
        <v>22014</v>
      </c>
      <c r="AZ2121" s="3" t="s">
        <v>22015</v>
      </c>
      <c r="BA2121" s="3" t="s">
        <v>22015</v>
      </c>
      <c r="BB2121" s="3" t="s">
        <v>22016</v>
      </c>
      <c r="BC2121" s="3" t="s">
        <v>78</v>
      </c>
      <c r="BD2121" s="3" t="s">
        <v>79</v>
      </c>
      <c r="BE2121" s="3" t="s">
        <v>22017</v>
      </c>
      <c r="BF2121" s="3" t="s">
        <v>22016</v>
      </c>
      <c r="BG2121" s="3" t="s">
        <v>22018</v>
      </c>
    </row>
    <row r="2122" spans="1:59" ht="58" x14ac:dyDescent="0.35">
      <c r="A2122" s="2" t="s">
        <v>59</v>
      </c>
      <c r="B2122" s="2" t="s">
        <v>94</v>
      </c>
      <c r="C2122" s="2" t="s">
        <v>22019</v>
      </c>
      <c r="D2122" s="2" t="s">
        <v>22020</v>
      </c>
      <c r="E2122" s="2" t="s">
        <v>22021</v>
      </c>
      <c r="G2122" s="3" t="s">
        <v>64</v>
      </c>
      <c r="I2122" s="3" t="s">
        <v>73</v>
      </c>
      <c r="J2122" s="3" t="s">
        <v>64</v>
      </c>
      <c r="K2122" s="3" t="s">
        <v>65</v>
      </c>
      <c r="M2122" s="2" t="s">
        <v>22022</v>
      </c>
      <c r="N2122" s="3" t="s">
        <v>719</v>
      </c>
      <c r="P2122" s="3" t="s">
        <v>69</v>
      </c>
      <c r="R2122" s="3" t="s">
        <v>20939</v>
      </c>
      <c r="S2122" s="4">
        <v>12</v>
      </c>
      <c r="T2122" s="4">
        <v>14</v>
      </c>
      <c r="U2122" s="5" t="s">
        <v>8472</v>
      </c>
      <c r="V2122" s="5" t="s">
        <v>8472</v>
      </c>
      <c r="W2122" s="5" t="s">
        <v>72</v>
      </c>
      <c r="X2122" s="5" t="s">
        <v>72</v>
      </c>
      <c r="Y2122" s="4">
        <v>106</v>
      </c>
      <c r="Z2122" s="4">
        <v>67</v>
      </c>
      <c r="AA2122" s="4">
        <v>71</v>
      </c>
      <c r="AB2122" s="4">
        <v>1</v>
      </c>
      <c r="AC2122" s="4">
        <v>3</v>
      </c>
      <c r="AD2122" s="4">
        <v>40</v>
      </c>
      <c r="AE2122" s="4">
        <v>42</v>
      </c>
      <c r="AF2122" s="4">
        <v>0</v>
      </c>
      <c r="AG2122" s="4">
        <v>1</v>
      </c>
      <c r="AH2122" s="4">
        <v>21</v>
      </c>
      <c r="AI2122" s="4">
        <v>22</v>
      </c>
      <c r="AJ2122" s="4">
        <v>20</v>
      </c>
      <c r="AK2122" s="4">
        <v>21</v>
      </c>
      <c r="AL2122" s="4">
        <v>7</v>
      </c>
      <c r="AM2122" s="4">
        <v>7</v>
      </c>
      <c r="AN2122" s="4">
        <v>0</v>
      </c>
      <c r="AO2122" s="4">
        <v>0</v>
      </c>
      <c r="AP2122" s="4">
        <v>26</v>
      </c>
      <c r="AQ2122" s="4">
        <v>27</v>
      </c>
      <c r="AR2122" s="3" t="s">
        <v>73</v>
      </c>
      <c r="AS2122" s="3" t="s">
        <v>64</v>
      </c>
      <c r="AT2122" s="3" t="s">
        <v>73</v>
      </c>
      <c r="AU2122" s="6" t="str">
        <f>HYPERLINK("http://catalog.hathitrust.org/Record/000370937","HathiTrust Record")</f>
        <v>HathiTrust Record</v>
      </c>
      <c r="AV2122" s="6" t="str">
        <f>HYPERLINK("http://mcgill.on.worldcat.org/oclc/12582777","Catalog Record")</f>
        <v>Catalog Record</v>
      </c>
      <c r="AW2122" s="6" t="str">
        <f>HYPERLINK("http://www.worldcat.org/oclc/12582777","WorldCat Record")</f>
        <v>WorldCat Record</v>
      </c>
      <c r="AX2122" s="3" t="s">
        <v>22023</v>
      </c>
      <c r="AY2122" s="3" t="s">
        <v>22024</v>
      </c>
      <c r="AZ2122" s="3" t="s">
        <v>22025</v>
      </c>
      <c r="BA2122" s="3" t="s">
        <v>22025</v>
      </c>
      <c r="BB2122" s="3" t="s">
        <v>22026</v>
      </c>
      <c r="BC2122" s="3" t="s">
        <v>78</v>
      </c>
      <c r="BD2122" s="3" t="s">
        <v>79</v>
      </c>
      <c r="BE2122" s="3" t="s">
        <v>22027</v>
      </c>
      <c r="BF2122" s="3" t="s">
        <v>22026</v>
      </c>
      <c r="BG2122" s="3" t="s">
        <v>22028</v>
      </c>
    </row>
    <row r="2123" spans="1:59" ht="58" x14ac:dyDescent="0.35">
      <c r="A2123" s="2" t="s">
        <v>59</v>
      </c>
      <c r="B2123" s="2" t="s">
        <v>94</v>
      </c>
      <c r="C2123" s="2" t="s">
        <v>22029</v>
      </c>
      <c r="D2123" s="2" t="s">
        <v>22030</v>
      </c>
      <c r="E2123" s="2" t="s">
        <v>22031</v>
      </c>
      <c r="G2123" s="3" t="s">
        <v>64</v>
      </c>
      <c r="I2123" s="3" t="s">
        <v>64</v>
      </c>
      <c r="J2123" s="3" t="s">
        <v>64</v>
      </c>
      <c r="K2123" s="3" t="s">
        <v>65</v>
      </c>
      <c r="L2123" s="2" t="s">
        <v>22032</v>
      </c>
      <c r="M2123" s="2" t="s">
        <v>22033</v>
      </c>
      <c r="N2123" s="3" t="s">
        <v>87</v>
      </c>
      <c r="P2123" s="3" t="s">
        <v>69</v>
      </c>
      <c r="R2123" s="3" t="s">
        <v>20939</v>
      </c>
      <c r="S2123" s="4">
        <v>1</v>
      </c>
      <c r="T2123" s="4">
        <v>1</v>
      </c>
      <c r="U2123" s="5" t="s">
        <v>10013</v>
      </c>
      <c r="V2123" s="5" t="s">
        <v>10013</v>
      </c>
      <c r="W2123" s="5" t="s">
        <v>72</v>
      </c>
      <c r="X2123" s="5" t="s">
        <v>72</v>
      </c>
      <c r="Y2123" s="4">
        <v>31</v>
      </c>
      <c r="Z2123" s="4">
        <v>22</v>
      </c>
      <c r="AA2123" s="4">
        <v>22</v>
      </c>
      <c r="AB2123" s="4">
        <v>2</v>
      </c>
      <c r="AC2123" s="4">
        <v>2</v>
      </c>
      <c r="AD2123" s="4">
        <v>17</v>
      </c>
      <c r="AE2123" s="4">
        <v>17</v>
      </c>
      <c r="AF2123" s="4">
        <v>1</v>
      </c>
      <c r="AG2123" s="4">
        <v>1</v>
      </c>
      <c r="AH2123" s="4">
        <v>7</v>
      </c>
      <c r="AI2123" s="4">
        <v>7</v>
      </c>
      <c r="AJ2123" s="4">
        <v>12</v>
      </c>
      <c r="AK2123" s="4">
        <v>12</v>
      </c>
      <c r="AL2123" s="4">
        <v>0</v>
      </c>
      <c r="AM2123" s="4">
        <v>0</v>
      </c>
      <c r="AN2123" s="4">
        <v>0</v>
      </c>
      <c r="AO2123" s="4">
        <v>0</v>
      </c>
      <c r="AP2123" s="4">
        <v>15</v>
      </c>
      <c r="AQ2123" s="4">
        <v>15</v>
      </c>
      <c r="AR2123" s="3" t="s">
        <v>73</v>
      </c>
      <c r="AS2123" s="3" t="s">
        <v>64</v>
      </c>
      <c r="AT2123" s="3" t="s">
        <v>64</v>
      </c>
      <c r="AV2123" s="6" t="str">
        <f>HYPERLINK("http://mcgill.on.worldcat.org/oclc/916492335","Catalog Record")</f>
        <v>Catalog Record</v>
      </c>
      <c r="AW2123" s="6" t="str">
        <f>HYPERLINK("http://www.worldcat.org/oclc/916492335","WorldCat Record")</f>
        <v>WorldCat Record</v>
      </c>
      <c r="AX2123" s="3" t="s">
        <v>22034</v>
      </c>
      <c r="AY2123" s="3" t="s">
        <v>22035</v>
      </c>
      <c r="AZ2123" s="3" t="s">
        <v>22036</v>
      </c>
      <c r="BA2123" s="3" t="s">
        <v>22036</v>
      </c>
      <c r="BB2123" s="3" t="s">
        <v>22037</v>
      </c>
      <c r="BC2123" s="3" t="s">
        <v>78</v>
      </c>
      <c r="BD2123" s="3" t="s">
        <v>79</v>
      </c>
      <c r="BE2123" s="3" t="s">
        <v>22038</v>
      </c>
      <c r="BF2123" s="3" t="s">
        <v>22037</v>
      </c>
      <c r="BG2123" s="3" t="s">
        <v>22039</v>
      </c>
    </row>
    <row r="2124" spans="1:59" ht="72.5" x14ac:dyDescent="0.35">
      <c r="A2124" s="2" t="s">
        <v>59</v>
      </c>
      <c r="B2124" s="2" t="s">
        <v>94</v>
      </c>
      <c r="C2124" s="2" t="s">
        <v>22040</v>
      </c>
      <c r="D2124" s="2" t="s">
        <v>22041</v>
      </c>
      <c r="E2124" s="2" t="s">
        <v>22042</v>
      </c>
      <c r="F2124" s="3" t="s">
        <v>388</v>
      </c>
      <c r="G2124" s="3" t="s">
        <v>73</v>
      </c>
      <c r="I2124" s="3" t="s">
        <v>73</v>
      </c>
      <c r="J2124" s="3" t="s">
        <v>64</v>
      </c>
      <c r="K2124" s="3" t="s">
        <v>65</v>
      </c>
      <c r="M2124" s="2" t="s">
        <v>22043</v>
      </c>
      <c r="N2124" s="3" t="s">
        <v>486</v>
      </c>
      <c r="P2124" s="3" t="s">
        <v>69</v>
      </c>
      <c r="R2124" s="3" t="s">
        <v>20939</v>
      </c>
      <c r="S2124" s="4">
        <v>7</v>
      </c>
      <c r="T2124" s="4">
        <v>44</v>
      </c>
      <c r="U2124" s="5" t="s">
        <v>22044</v>
      </c>
      <c r="V2124" s="5" t="s">
        <v>8472</v>
      </c>
      <c r="W2124" s="5" t="s">
        <v>72</v>
      </c>
      <c r="X2124" s="5" t="s">
        <v>72</v>
      </c>
      <c r="Y2124" s="4">
        <v>277</v>
      </c>
      <c r="Z2124" s="4">
        <v>78</v>
      </c>
      <c r="AA2124" s="4">
        <v>96</v>
      </c>
      <c r="AB2124" s="4">
        <v>1</v>
      </c>
      <c r="AC2124" s="4">
        <v>3</v>
      </c>
      <c r="AD2124" s="4">
        <v>82</v>
      </c>
      <c r="AE2124" s="4">
        <v>90</v>
      </c>
      <c r="AF2124" s="4">
        <v>0</v>
      </c>
      <c r="AG2124" s="4">
        <v>1</v>
      </c>
      <c r="AH2124" s="4">
        <v>59</v>
      </c>
      <c r="AI2124" s="4">
        <v>62</v>
      </c>
      <c r="AJ2124" s="4">
        <v>12</v>
      </c>
      <c r="AK2124" s="4">
        <v>17</v>
      </c>
      <c r="AL2124" s="4">
        <v>32</v>
      </c>
      <c r="AM2124" s="4">
        <v>32</v>
      </c>
      <c r="AN2124" s="4">
        <v>0</v>
      </c>
      <c r="AO2124" s="4">
        <v>0</v>
      </c>
      <c r="AP2124" s="4">
        <v>28</v>
      </c>
      <c r="AQ2124" s="4">
        <v>35</v>
      </c>
      <c r="AR2124" s="3" t="s">
        <v>73</v>
      </c>
      <c r="AS2124" s="3" t="s">
        <v>64</v>
      </c>
      <c r="AT2124" s="3" t="s">
        <v>73</v>
      </c>
      <c r="AU2124" s="6" t="str">
        <f t="shared" ref="AU2124:AU2129" si="24">HYPERLINK("http://catalog.hathitrust.org/Record/000185677","HathiTrust Record")</f>
        <v>HathiTrust Record</v>
      </c>
      <c r="AV2124" s="6" t="str">
        <f t="shared" ref="AV2124:AV2129" si="25">HYPERLINK("http://mcgill.on.worldcat.org/oclc/7596341","Catalog Record")</f>
        <v>Catalog Record</v>
      </c>
      <c r="AW2124" s="6" t="str">
        <f t="shared" ref="AW2124:AW2129" si="26">HYPERLINK("http://www.worldcat.org/oclc/7596341","WorldCat Record")</f>
        <v>WorldCat Record</v>
      </c>
      <c r="AX2124" s="3" t="s">
        <v>22045</v>
      </c>
      <c r="AY2124" s="3" t="s">
        <v>22046</v>
      </c>
      <c r="AZ2124" s="3" t="s">
        <v>22047</v>
      </c>
      <c r="BA2124" s="3" t="s">
        <v>22047</v>
      </c>
      <c r="BB2124" s="3" t="s">
        <v>22048</v>
      </c>
      <c r="BC2124" s="3" t="s">
        <v>78</v>
      </c>
      <c r="BD2124" s="3" t="s">
        <v>79</v>
      </c>
      <c r="BE2124" s="3" t="s">
        <v>22049</v>
      </c>
      <c r="BF2124" s="3" t="s">
        <v>22048</v>
      </c>
      <c r="BG2124" s="3" t="s">
        <v>22050</v>
      </c>
    </row>
    <row r="2125" spans="1:59" ht="72.5" x14ac:dyDescent="0.35">
      <c r="A2125" s="2" t="s">
        <v>59</v>
      </c>
      <c r="B2125" s="2" t="s">
        <v>94</v>
      </c>
      <c r="C2125" s="2" t="s">
        <v>22040</v>
      </c>
      <c r="D2125" s="2" t="s">
        <v>22041</v>
      </c>
      <c r="E2125" s="2" t="s">
        <v>22042</v>
      </c>
      <c r="F2125" s="3" t="s">
        <v>388</v>
      </c>
      <c r="G2125" s="3" t="s">
        <v>73</v>
      </c>
      <c r="I2125" s="3" t="s">
        <v>73</v>
      </c>
      <c r="J2125" s="3" t="s">
        <v>64</v>
      </c>
      <c r="K2125" s="3" t="s">
        <v>65</v>
      </c>
      <c r="M2125" s="2" t="s">
        <v>22043</v>
      </c>
      <c r="N2125" s="3" t="s">
        <v>486</v>
      </c>
      <c r="P2125" s="3" t="s">
        <v>69</v>
      </c>
      <c r="R2125" s="3" t="s">
        <v>20939</v>
      </c>
      <c r="S2125" s="4">
        <v>6</v>
      </c>
      <c r="T2125" s="4">
        <v>44</v>
      </c>
      <c r="U2125" s="5" t="s">
        <v>22051</v>
      </c>
      <c r="V2125" s="5" t="s">
        <v>8472</v>
      </c>
      <c r="W2125" s="5" t="s">
        <v>72</v>
      </c>
      <c r="X2125" s="5" t="s">
        <v>72</v>
      </c>
      <c r="Y2125" s="4">
        <v>277</v>
      </c>
      <c r="Z2125" s="4">
        <v>78</v>
      </c>
      <c r="AA2125" s="4">
        <v>96</v>
      </c>
      <c r="AB2125" s="4">
        <v>1</v>
      </c>
      <c r="AC2125" s="4">
        <v>3</v>
      </c>
      <c r="AD2125" s="4">
        <v>82</v>
      </c>
      <c r="AE2125" s="4">
        <v>90</v>
      </c>
      <c r="AF2125" s="4">
        <v>0</v>
      </c>
      <c r="AG2125" s="4">
        <v>1</v>
      </c>
      <c r="AH2125" s="4">
        <v>59</v>
      </c>
      <c r="AI2125" s="4">
        <v>62</v>
      </c>
      <c r="AJ2125" s="4">
        <v>12</v>
      </c>
      <c r="AK2125" s="4">
        <v>17</v>
      </c>
      <c r="AL2125" s="4">
        <v>32</v>
      </c>
      <c r="AM2125" s="4">
        <v>32</v>
      </c>
      <c r="AN2125" s="4">
        <v>0</v>
      </c>
      <c r="AO2125" s="4">
        <v>0</v>
      </c>
      <c r="AP2125" s="4">
        <v>28</v>
      </c>
      <c r="AQ2125" s="4">
        <v>35</v>
      </c>
      <c r="AR2125" s="3" t="s">
        <v>73</v>
      </c>
      <c r="AS2125" s="3" t="s">
        <v>64</v>
      </c>
      <c r="AT2125" s="3" t="s">
        <v>73</v>
      </c>
      <c r="AU2125" s="6" t="str">
        <f t="shared" si="24"/>
        <v>HathiTrust Record</v>
      </c>
      <c r="AV2125" s="6" t="str">
        <f t="shared" si="25"/>
        <v>Catalog Record</v>
      </c>
      <c r="AW2125" s="6" t="str">
        <f t="shared" si="26"/>
        <v>WorldCat Record</v>
      </c>
      <c r="AX2125" s="3" t="s">
        <v>22045</v>
      </c>
      <c r="AY2125" s="3" t="s">
        <v>22046</v>
      </c>
      <c r="AZ2125" s="3" t="s">
        <v>22047</v>
      </c>
      <c r="BA2125" s="3" t="s">
        <v>22047</v>
      </c>
      <c r="BB2125" s="3" t="s">
        <v>22052</v>
      </c>
      <c r="BC2125" s="3" t="s">
        <v>78</v>
      </c>
      <c r="BD2125" s="3" t="s">
        <v>79</v>
      </c>
      <c r="BE2125" s="3" t="s">
        <v>22049</v>
      </c>
      <c r="BF2125" s="3" t="s">
        <v>22052</v>
      </c>
      <c r="BG2125" s="3" t="s">
        <v>22053</v>
      </c>
    </row>
    <row r="2126" spans="1:59" ht="72.5" x14ac:dyDescent="0.35">
      <c r="A2126" s="2" t="s">
        <v>59</v>
      </c>
      <c r="B2126" s="2" t="s">
        <v>94</v>
      </c>
      <c r="C2126" s="2" t="s">
        <v>22040</v>
      </c>
      <c r="D2126" s="2" t="s">
        <v>22041</v>
      </c>
      <c r="E2126" s="2" t="s">
        <v>22042</v>
      </c>
      <c r="F2126" s="3" t="s">
        <v>3660</v>
      </c>
      <c r="G2126" s="3" t="s">
        <v>73</v>
      </c>
      <c r="I2126" s="3" t="s">
        <v>73</v>
      </c>
      <c r="J2126" s="3" t="s">
        <v>64</v>
      </c>
      <c r="K2126" s="3" t="s">
        <v>65</v>
      </c>
      <c r="M2126" s="2" t="s">
        <v>22043</v>
      </c>
      <c r="N2126" s="3" t="s">
        <v>486</v>
      </c>
      <c r="P2126" s="3" t="s">
        <v>69</v>
      </c>
      <c r="R2126" s="3" t="s">
        <v>20939</v>
      </c>
      <c r="S2126" s="4">
        <v>11</v>
      </c>
      <c r="T2126" s="4">
        <v>44</v>
      </c>
      <c r="U2126" s="5" t="s">
        <v>8472</v>
      </c>
      <c r="V2126" s="5" t="s">
        <v>8472</v>
      </c>
      <c r="W2126" s="5" t="s">
        <v>72</v>
      </c>
      <c r="X2126" s="5" t="s">
        <v>72</v>
      </c>
      <c r="Y2126" s="4">
        <v>277</v>
      </c>
      <c r="Z2126" s="4">
        <v>78</v>
      </c>
      <c r="AA2126" s="4">
        <v>96</v>
      </c>
      <c r="AB2126" s="4">
        <v>1</v>
      </c>
      <c r="AC2126" s="4">
        <v>3</v>
      </c>
      <c r="AD2126" s="4">
        <v>82</v>
      </c>
      <c r="AE2126" s="4">
        <v>90</v>
      </c>
      <c r="AF2126" s="4">
        <v>0</v>
      </c>
      <c r="AG2126" s="4">
        <v>1</v>
      </c>
      <c r="AH2126" s="4">
        <v>59</v>
      </c>
      <c r="AI2126" s="4">
        <v>62</v>
      </c>
      <c r="AJ2126" s="4">
        <v>12</v>
      </c>
      <c r="AK2126" s="4">
        <v>17</v>
      </c>
      <c r="AL2126" s="4">
        <v>32</v>
      </c>
      <c r="AM2126" s="4">
        <v>32</v>
      </c>
      <c r="AN2126" s="4">
        <v>0</v>
      </c>
      <c r="AO2126" s="4">
        <v>0</v>
      </c>
      <c r="AP2126" s="4">
        <v>28</v>
      </c>
      <c r="AQ2126" s="4">
        <v>35</v>
      </c>
      <c r="AR2126" s="3" t="s">
        <v>73</v>
      </c>
      <c r="AS2126" s="3" t="s">
        <v>64</v>
      </c>
      <c r="AT2126" s="3" t="s">
        <v>73</v>
      </c>
      <c r="AU2126" s="6" t="str">
        <f t="shared" si="24"/>
        <v>HathiTrust Record</v>
      </c>
      <c r="AV2126" s="6" t="str">
        <f t="shared" si="25"/>
        <v>Catalog Record</v>
      </c>
      <c r="AW2126" s="6" t="str">
        <f t="shared" si="26"/>
        <v>WorldCat Record</v>
      </c>
      <c r="AX2126" s="3" t="s">
        <v>22045</v>
      </c>
      <c r="AY2126" s="3" t="s">
        <v>22046</v>
      </c>
      <c r="AZ2126" s="3" t="s">
        <v>22047</v>
      </c>
      <c r="BA2126" s="3" t="s">
        <v>22047</v>
      </c>
      <c r="BB2126" s="3" t="s">
        <v>22054</v>
      </c>
      <c r="BC2126" s="3" t="s">
        <v>78</v>
      </c>
      <c r="BD2126" s="3" t="s">
        <v>79</v>
      </c>
      <c r="BE2126" s="3" t="s">
        <v>22049</v>
      </c>
      <c r="BF2126" s="3" t="s">
        <v>22054</v>
      </c>
      <c r="BG2126" s="3" t="s">
        <v>22055</v>
      </c>
    </row>
    <row r="2127" spans="1:59" ht="72.5" x14ac:dyDescent="0.35">
      <c r="A2127" s="2" t="s">
        <v>59</v>
      </c>
      <c r="B2127" s="2" t="s">
        <v>94</v>
      </c>
      <c r="C2127" s="2" t="s">
        <v>22040</v>
      </c>
      <c r="D2127" s="2" t="s">
        <v>22041</v>
      </c>
      <c r="E2127" s="2" t="s">
        <v>22042</v>
      </c>
      <c r="F2127" s="3" t="s">
        <v>399</v>
      </c>
      <c r="G2127" s="3" t="s">
        <v>73</v>
      </c>
      <c r="I2127" s="3" t="s">
        <v>73</v>
      </c>
      <c r="J2127" s="3" t="s">
        <v>64</v>
      </c>
      <c r="K2127" s="3" t="s">
        <v>65</v>
      </c>
      <c r="M2127" s="2" t="s">
        <v>22043</v>
      </c>
      <c r="N2127" s="3" t="s">
        <v>486</v>
      </c>
      <c r="P2127" s="3" t="s">
        <v>69</v>
      </c>
      <c r="R2127" s="3" t="s">
        <v>20939</v>
      </c>
      <c r="S2127" s="4">
        <v>7</v>
      </c>
      <c r="T2127" s="4">
        <v>44</v>
      </c>
      <c r="U2127" s="5" t="s">
        <v>22056</v>
      </c>
      <c r="V2127" s="5" t="s">
        <v>8472</v>
      </c>
      <c r="W2127" s="5" t="s">
        <v>72</v>
      </c>
      <c r="X2127" s="5" t="s">
        <v>72</v>
      </c>
      <c r="Y2127" s="4">
        <v>277</v>
      </c>
      <c r="Z2127" s="4">
        <v>78</v>
      </c>
      <c r="AA2127" s="4">
        <v>96</v>
      </c>
      <c r="AB2127" s="4">
        <v>1</v>
      </c>
      <c r="AC2127" s="4">
        <v>3</v>
      </c>
      <c r="AD2127" s="4">
        <v>82</v>
      </c>
      <c r="AE2127" s="4">
        <v>90</v>
      </c>
      <c r="AF2127" s="4">
        <v>0</v>
      </c>
      <c r="AG2127" s="4">
        <v>1</v>
      </c>
      <c r="AH2127" s="4">
        <v>59</v>
      </c>
      <c r="AI2127" s="4">
        <v>62</v>
      </c>
      <c r="AJ2127" s="4">
        <v>12</v>
      </c>
      <c r="AK2127" s="4">
        <v>17</v>
      </c>
      <c r="AL2127" s="4">
        <v>32</v>
      </c>
      <c r="AM2127" s="4">
        <v>32</v>
      </c>
      <c r="AN2127" s="4">
        <v>0</v>
      </c>
      <c r="AO2127" s="4">
        <v>0</v>
      </c>
      <c r="AP2127" s="4">
        <v>28</v>
      </c>
      <c r="AQ2127" s="4">
        <v>35</v>
      </c>
      <c r="AR2127" s="3" t="s">
        <v>73</v>
      </c>
      <c r="AS2127" s="3" t="s">
        <v>64</v>
      </c>
      <c r="AT2127" s="3" t="s">
        <v>73</v>
      </c>
      <c r="AU2127" s="6" t="str">
        <f t="shared" si="24"/>
        <v>HathiTrust Record</v>
      </c>
      <c r="AV2127" s="6" t="str">
        <f t="shared" si="25"/>
        <v>Catalog Record</v>
      </c>
      <c r="AW2127" s="6" t="str">
        <f t="shared" si="26"/>
        <v>WorldCat Record</v>
      </c>
      <c r="AX2127" s="3" t="s">
        <v>22045</v>
      </c>
      <c r="AY2127" s="3" t="s">
        <v>22046</v>
      </c>
      <c r="AZ2127" s="3" t="s">
        <v>22047</v>
      </c>
      <c r="BA2127" s="3" t="s">
        <v>22047</v>
      </c>
      <c r="BB2127" s="3" t="s">
        <v>22057</v>
      </c>
      <c r="BC2127" s="3" t="s">
        <v>78</v>
      </c>
      <c r="BD2127" s="3" t="s">
        <v>79</v>
      </c>
      <c r="BE2127" s="3" t="s">
        <v>22049</v>
      </c>
      <c r="BF2127" s="3" t="s">
        <v>22057</v>
      </c>
      <c r="BG2127" s="3" t="s">
        <v>22058</v>
      </c>
    </row>
    <row r="2128" spans="1:59" ht="72.5" x14ac:dyDescent="0.35">
      <c r="A2128" s="2" t="s">
        <v>59</v>
      </c>
      <c r="B2128" s="2" t="s">
        <v>94</v>
      </c>
      <c r="C2128" s="2" t="s">
        <v>22040</v>
      </c>
      <c r="D2128" s="2" t="s">
        <v>22041</v>
      </c>
      <c r="E2128" s="2" t="s">
        <v>22042</v>
      </c>
      <c r="F2128" s="3" t="s">
        <v>399</v>
      </c>
      <c r="G2128" s="3" t="s">
        <v>73</v>
      </c>
      <c r="I2128" s="3" t="s">
        <v>73</v>
      </c>
      <c r="J2128" s="3" t="s">
        <v>64</v>
      </c>
      <c r="K2128" s="3" t="s">
        <v>65</v>
      </c>
      <c r="M2128" s="2" t="s">
        <v>22043</v>
      </c>
      <c r="N2128" s="3" t="s">
        <v>486</v>
      </c>
      <c r="P2128" s="3" t="s">
        <v>69</v>
      </c>
      <c r="R2128" s="3" t="s">
        <v>20939</v>
      </c>
      <c r="S2128" s="4">
        <v>7</v>
      </c>
      <c r="T2128" s="4">
        <v>44</v>
      </c>
      <c r="U2128" s="5" t="s">
        <v>22059</v>
      </c>
      <c r="V2128" s="5" t="s">
        <v>8472</v>
      </c>
      <c r="W2128" s="5" t="s">
        <v>72</v>
      </c>
      <c r="X2128" s="5" t="s">
        <v>72</v>
      </c>
      <c r="Y2128" s="4">
        <v>277</v>
      </c>
      <c r="Z2128" s="4">
        <v>78</v>
      </c>
      <c r="AA2128" s="4">
        <v>96</v>
      </c>
      <c r="AB2128" s="4">
        <v>1</v>
      </c>
      <c r="AC2128" s="4">
        <v>3</v>
      </c>
      <c r="AD2128" s="4">
        <v>82</v>
      </c>
      <c r="AE2128" s="4">
        <v>90</v>
      </c>
      <c r="AF2128" s="4">
        <v>0</v>
      </c>
      <c r="AG2128" s="4">
        <v>1</v>
      </c>
      <c r="AH2128" s="4">
        <v>59</v>
      </c>
      <c r="AI2128" s="4">
        <v>62</v>
      </c>
      <c r="AJ2128" s="4">
        <v>12</v>
      </c>
      <c r="AK2128" s="4">
        <v>17</v>
      </c>
      <c r="AL2128" s="4">
        <v>32</v>
      </c>
      <c r="AM2128" s="4">
        <v>32</v>
      </c>
      <c r="AN2128" s="4">
        <v>0</v>
      </c>
      <c r="AO2128" s="4">
        <v>0</v>
      </c>
      <c r="AP2128" s="4">
        <v>28</v>
      </c>
      <c r="AQ2128" s="4">
        <v>35</v>
      </c>
      <c r="AR2128" s="3" t="s">
        <v>73</v>
      </c>
      <c r="AS2128" s="3" t="s">
        <v>64</v>
      </c>
      <c r="AT2128" s="3" t="s">
        <v>73</v>
      </c>
      <c r="AU2128" s="6" t="str">
        <f t="shared" si="24"/>
        <v>HathiTrust Record</v>
      </c>
      <c r="AV2128" s="6" t="str">
        <f t="shared" si="25"/>
        <v>Catalog Record</v>
      </c>
      <c r="AW2128" s="6" t="str">
        <f t="shared" si="26"/>
        <v>WorldCat Record</v>
      </c>
      <c r="AX2128" s="3" t="s">
        <v>22045</v>
      </c>
      <c r="AY2128" s="3" t="s">
        <v>22046</v>
      </c>
      <c r="AZ2128" s="3" t="s">
        <v>22047</v>
      </c>
      <c r="BA2128" s="3" t="s">
        <v>22047</v>
      </c>
      <c r="BB2128" s="3" t="s">
        <v>22060</v>
      </c>
      <c r="BC2128" s="3" t="s">
        <v>78</v>
      </c>
      <c r="BD2128" s="3" t="s">
        <v>79</v>
      </c>
      <c r="BE2128" s="3" t="s">
        <v>22049</v>
      </c>
      <c r="BF2128" s="3" t="s">
        <v>22060</v>
      </c>
      <c r="BG2128" s="3" t="s">
        <v>22061</v>
      </c>
    </row>
    <row r="2129" spans="1:59" ht="72.5" x14ac:dyDescent="0.35">
      <c r="A2129" s="2" t="s">
        <v>59</v>
      </c>
      <c r="B2129" s="2" t="s">
        <v>94</v>
      </c>
      <c r="C2129" s="2" t="s">
        <v>22040</v>
      </c>
      <c r="D2129" s="2" t="s">
        <v>22041</v>
      </c>
      <c r="E2129" s="2" t="s">
        <v>22042</v>
      </c>
      <c r="F2129" s="3" t="s">
        <v>3660</v>
      </c>
      <c r="G2129" s="3" t="s">
        <v>73</v>
      </c>
      <c r="I2129" s="3" t="s">
        <v>73</v>
      </c>
      <c r="J2129" s="3" t="s">
        <v>64</v>
      </c>
      <c r="K2129" s="3" t="s">
        <v>65</v>
      </c>
      <c r="M2129" s="2" t="s">
        <v>22043</v>
      </c>
      <c r="N2129" s="3" t="s">
        <v>486</v>
      </c>
      <c r="P2129" s="3" t="s">
        <v>69</v>
      </c>
      <c r="R2129" s="3" t="s">
        <v>20939</v>
      </c>
      <c r="S2129" s="4">
        <v>6</v>
      </c>
      <c r="T2129" s="4">
        <v>44</v>
      </c>
      <c r="U2129" s="5" t="s">
        <v>22062</v>
      </c>
      <c r="V2129" s="5" t="s">
        <v>8472</v>
      </c>
      <c r="W2129" s="5" t="s">
        <v>72</v>
      </c>
      <c r="X2129" s="5" t="s">
        <v>72</v>
      </c>
      <c r="Y2129" s="4">
        <v>277</v>
      </c>
      <c r="Z2129" s="4">
        <v>78</v>
      </c>
      <c r="AA2129" s="4">
        <v>96</v>
      </c>
      <c r="AB2129" s="4">
        <v>1</v>
      </c>
      <c r="AC2129" s="4">
        <v>3</v>
      </c>
      <c r="AD2129" s="4">
        <v>82</v>
      </c>
      <c r="AE2129" s="4">
        <v>90</v>
      </c>
      <c r="AF2129" s="4">
        <v>0</v>
      </c>
      <c r="AG2129" s="4">
        <v>1</v>
      </c>
      <c r="AH2129" s="4">
        <v>59</v>
      </c>
      <c r="AI2129" s="4">
        <v>62</v>
      </c>
      <c r="AJ2129" s="4">
        <v>12</v>
      </c>
      <c r="AK2129" s="4">
        <v>17</v>
      </c>
      <c r="AL2129" s="4">
        <v>32</v>
      </c>
      <c r="AM2129" s="4">
        <v>32</v>
      </c>
      <c r="AN2129" s="4">
        <v>0</v>
      </c>
      <c r="AO2129" s="4">
        <v>0</v>
      </c>
      <c r="AP2129" s="4">
        <v>28</v>
      </c>
      <c r="AQ2129" s="4">
        <v>35</v>
      </c>
      <c r="AR2129" s="3" t="s">
        <v>73</v>
      </c>
      <c r="AS2129" s="3" t="s">
        <v>64</v>
      </c>
      <c r="AT2129" s="3" t="s">
        <v>73</v>
      </c>
      <c r="AU2129" s="6" t="str">
        <f t="shared" si="24"/>
        <v>HathiTrust Record</v>
      </c>
      <c r="AV2129" s="6" t="str">
        <f t="shared" si="25"/>
        <v>Catalog Record</v>
      </c>
      <c r="AW2129" s="6" t="str">
        <f t="shared" si="26"/>
        <v>WorldCat Record</v>
      </c>
      <c r="AX2129" s="3" t="s">
        <v>22045</v>
      </c>
      <c r="AY2129" s="3" t="s">
        <v>22046</v>
      </c>
      <c r="AZ2129" s="3" t="s">
        <v>22047</v>
      </c>
      <c r="BA2129" s="3" t="s">
        <v>22047</v>
      </c>
      <c r="BB2129" s="3" t="s">
        <v>22063</v>
      </c>
      <c r="BC2129" s="3" t="s">
        <v>78</v>
      </c>
      <c r="BD2129" s="3" t="s">
        <v>79</v>
      </c>
      <c r="BE2129" s="3" t="s">
        <v>22049</v>
      </c>
      <c r="BF2129" s="3" t="s">
        <v>22063</v>
      </c>
      <c r="BG2129" s="3" t="s">
        <v>22064</v>
      </c>
    </row>
    <row r="2130" spans="1:59" ht="58" x14ac:dyDescent="0.35">
      <c r="A2130" s="2" t="s">
        <v>59</v>
      </c>
      <c r="B2130" s="2" t="s">
        <v>94</v>
      </c>
      <c r="C2130" s="2" t="s">
        <v>22065</v>
      </c>
      <c r="D2130" s="2" t="s">
        <v>22066</v>
      </c>
      <c r="E2130" s="2" t="s">
        <v>22067</v>
      </c>
      <c r="G2130" s="3" t="s">
        <v>64</v>
      </c>
      <c r="I2130" s="3" t="s">
        <v>64</v>
      </c>
      <c r="J2130" s="3" t="s">
        <v>64</v>
      </c>
      <c r="K2130" s="3" t="s">
        <v>65</v>
      </c>
      <c r="L2130" s="2" t="s">
        <v>22068</v>
      </c>
      <c r="M2130" s="2" t="s">
        <v>22069</v>
      </c>
      <c r="N2130" s="3" t="s">
        <v>214</v>
      </c>
      <c r="P2130" s="3" t="s">
        <v>162</v>
      </c>
      <c r="Q2130" s="2" t="s">
        <v>22070</v>
      </c>
      <c r="R2130" s="3" t="s">
        <v>20939</v>
      </c>
      <c r="S2130" s="4">
        <v>0</v>
      </c>
      <c r="T2130" s="4">
        <v>0</v>
      </c>
      <c r="W2130" s="5" t="s">
        <v>72</v>
      </c>
      <c r="X2130" s="5" t="s">
        <v>72</v>
      </c>
      <c r="Y2130" s="4">
        <v>2</v>
      </c>
      <c r="Z2130" s="4">
        <v>2</v>
      </c>
      <c r="AA2130" s="4">
        <v>4</v>
      </c>
      <c r="AB2130" s="4">
        <v>1</v>
      </c>
      <c r="AC2130" s="4">
        <v>2</v>
      </c>
      <c r="AD2130" s="4">
        <v>0</v>
      </c>
      <c r="AE2130" s="4">
        <v>1</v>
      </c>
      <c r="AF2130" s="4">
        <v>0</v>
      </c>
      <c r="AG2130" s="4">
        <v>0</v>
      </c>
      <c r="AH2130" s="4">
        <v>0</v>
      </c>
      <c r="AI2130" s="4">
        <v>0</v>
      </c>
      <c r="AJ2130" s="4">
        <v>0</v>
      </c>
      <c r="AK2130" s="4">
        <v>1</v>
      </c>
      <c r="AL2130" s="4">
        <v>0</v>
      </c>
      <c r="AM2130" s="4">
        <v>0</v>
      </c>
      <c r="AN2130" s="4">
        <v>0</v>
      </c>
      <c r="AO2130" s="4">
        <v>0</v>
      </c>
      <c r="AP2130" s="4">
        <v>0</v>
      </c>
      <c r="AQ2130" s="4">
        <v>0</v>
      </c>
      <c r="AR2130" s="3" t="s">
        <v>73</v>
      </c>
      <c r="AS2130" s="3" t="s">
        <v>64</v>
      </c>
      <c r="AT2130" s="3" t="s">
        <v>64</v>
      </c>
      <c r="AV2130" s="6" t="str">
        <f>HYPERLINK("http://mcgill.on.worldcat.org/oclc/841630624","Catalog Record")</f>
        <v>Catalog Record</v>
      </c>
      <c r="AW2130" s="6" t="str">
        <f>HYPERLINK("http://www.worldcat.org/oclc/841630624","WorldCat Record")</f>
        <v>WorldCat Record</v>
      </c>
      <c r="AX2130" s="3" t="s">
        <v>22071</v>
      </c>
      <c r="AY2130" s="3" t="s">
        <v>22072</v>
      </c>
      <c r="AZ2130" s="3" t="s">
        <v>22073</v>
      </c>
      <c r="BA2130" s="3" t="s">
        <v>22073</v>
      </c>
      <c r="BB2130" s="3" t="s">
        <v>22074</v>
      </c>
      <c r="BC2130" s="3" t="s">
        <v>78</v>
      </c>
      <c r="BD2130" s="3" t="s">
        <v>79</v>
      </c>
      <c r="BE2130" s="3" t="s">
        <v>22075</v>
      </c>
      <c r="BF2130" s="3" t="s">
        <v>22074</v>
      </c>
      <c r="BG2130" s="3" t="s">
        <v>22076</v>
      </c>
    </row>
    <row r="2131" spans="1:59" ht="58" x14ac:dyDescent="0.35">
      <c r="A2131" s="2" t="s">
        <v>59</v>
      </c>
      <c r="B2131" s="2" t="s">
        <v>94</v>
      </c>
      <c r="C2131" s="2" t="s">
        <v>22077</v>
      </c>
      <c r="D2131" s="2" t="s">
        <v>22078</v>
      </c>
      <c r="E2131" s="2" t="s">
        <v>22079</v>
      </c>
      <c r="G2131" s="3" t="s">
        <v>64</v>
      </c>
      <c r="I2131" s="3" t="s">
        <v>64</v>
      </c>
      <c r="J2131" s="3" t="s">
        <v>73</v>
      </c>
      <c r="K2131" s="3" t="s">
        <v>65</v>
      </c>
      <c r="L2131" s="2" t="s">
        <v>22080</v>
      </c>
      <c r="M2131" s="2" t="s">
        <v>22081</v>
      </c>
      <c r="N2131" s="3" t="s">
        <v>4535</v>
      </c>
      <c r="P2131" s="3" t="s">
        <v>69</v>
      </c>
      <c r="R2131" s="3" t="s">
        <v>20939</v>
      </c>
      <c r="S2131" s="4">
        <v>0</v>
      </c>
      <c r="T2131" s="4">
        <v>0</v>
      </c>
      <c r="W2131" s="5" t="s">
        <v>5821</v>
      </c>
      <c r="X2131" s="5" t="s">
        <v>5821</v>
      </c>
      <c r="Y2131" s="4">
        <v>6</v>
      </c>
      <c r="Z2131" s="4">
        <v>1</v>
      </c>
      <c r="AA2131" s="4">
        <v>1</v>
      </c>
      <c r="AB2131" s="4">
        <v>1</v>
      </c>
      <c r="AC2131" s="4">
        <v>1</v>
      </c>
      <c r="AD2131" s="4">
        <v>0</v>
      </c>
      <c r="AE2131" s="4">
        <v>1</v>
      </c>
      <c r="AF2131" s="4">
        <v>0</v>
      </c>
      <c r="AG2131" s="4">
        <v>0</v>
      </c>
      <c r="AH2131" s="4">
        <v>0</v>
      </c>
      <c r="AI2131" s="4">
        <v>1</v>
      </c>
      <c r="AJ2131" s="4">
        <v>0</v>
      </c>
      <c r="AK2131" s="4">
        <v>0</v>
      </c>
      <c r="AL2131" s="4">
        <v>0</v>
      </c>
      <c r="AM2131" s="4">
        <v>0</v>
      </c>
      <c r="AN2131" s="4">
        <v>0</v>
      </c>
      <c r="AO2131" s="4">
        <v>0</v>
      </c>
      <c r="AP2131" s="4">
        <v>0</v>
      </c>
      <c r="AQ2131" s="4">
        <v>0</v>
      </c>
      <c r="AR2131" s="3" t="s">
        <v>64</v>
      </c>
      <c r="AS2131" s="3" t="s">
        <v>64</v>
      </c>
      <c r="AT2131" s="3" t="s">
        <v>64</v>
      </c>
      <c r="AV2131" s="6" t="str">
        <f>HYPERLINK("http://mcgill.on.worldcat.org/oclc/1023093099","Catalog Record")</f>
        <v>Catalog Record</v>
      </c>
      <c r="AW2131" s="6" t="str">
        <f>HYPERLINK("http://www.worldcat.org/oclc/1023093099","WorldCat Record")</f>
        <v>WorldCat Record</v>
      </c>
      <c r="AX2131" s="3" t="s">
        <v>22082</v>
      </c>
      <c r="AY2131" s="3" t="s">
        <v>22083</v>
      </c>
      <c r="AZ2131" s="3" t="s">
        <v>22084</v>
      </c>
      <c r="BA2131" s="3" t="s">
        <v>22084</v>
      </c>
      <c r="BB2131" s="3" t="s">
        <v>22085</v>
      </c>
      <c r="BC2131" s="3" t="s">
        <v>78</v>
      </c>
      <c r="BD2131" s="3" t="s">
        <v>79</v>
      </c>
      <c r="BE2131" s="3" t="s">
        <v>22086</v>
      </c>
      <c r="BF2131" s="3" t="s">
        <v>22085</v>
      </c>
      <c r="BG2131" s="3" t="s">
        <v>22087</v>
      </c>
    </row>
    <row r="2132" spans="1:59" ht="58" x14ac:dyDescent="0.35">
      <c r="A2132" s="2" t="s">
        <v>59</v>
      </c>
      <c r="B2132" s="2" t="s">
        <v>94</v>
      </c>
      <c r="C2132" s="2" t="s">
        <v>22088</v>
      </c>
      <c r="D2132" s="2" t="s">
        <v>22089</v>
      </c>
      <c r="E2132" s="2" t="s">
        <v>22090</v>
      </c>
      <c r="G2132" s="3" t="s">
        <v>64</v>
      </c>
      <c r="I2132" s="3" t="s">
        <v>64</v>
      </c>
      <c r="J2132" s="3" t="s">
        <v>64</v>
      </c>
      <c r="K2132" s="3" t="s">
        <v>65</v>
      </c>
      <c r="L2132" s="2" t="s">
        <v>22091</v>
      </c>
      <c r="M2132" s="2" t="s">
        <v>22092</v>
      </c>
      <c r="N2132" s="3" t="s">
        <v>21736</v>
      </c>
      <c r="P2132" s="3" t="s">
        <v>69</v>
      </c>
      <c r="R2132" s="3" t="s">
        <v>20939</v>
      </c>
      <c r="S2132" s="4">
        <v>1</v>
      </c>
      <c r="T2132" s="4">
        <v>1</v>
      </c>
      <c r="U2132" s="5" t="s">
        <v>8295</v>
      </c>
      <c r="V2132" s="5" t="s">
        <v>8295</v>
      </c>
      <c r="W2132" s="5" t="s">
        <v>72</v>
      </c>
      <c r="X2132" s="5" t="s">
        <v>72</v>
      </c>
      <c r="Y2132" s="4">
        <v>46</v>
      </c>
      <c r="Z2132" s="4">
        <v>4</v>
      </c>
      <c r="AA2132" s="4">
        <v>4</v>
      </c>
      <c r="AB2132" s="4">
        <v>1</v>
      </c>
      <c r="AC2132" s="4">
        <v>1</v>
      </c>
      <c r="AD2132" s="4">
        <v>15</v>
      </c>
      <c r="AE2132" s="4">
        <v>15</v>
      </c>
      <c r="AF2132" s="4">
        <v>0</v>
      </c>
      <c r="AG2132" s="4">
        <v>0</v>
      </c>
      <c r="AH2132" s="4">
        <v>14</v>
      </c>
      <c r="AI2132" s="4">
        <v>14</v>
      </c>
      <c r="AJ2132" s="4">
        <v>2</v>
      </c>
      <c r="AK2132" s="4">
        <v>2</v>
      </c>
      <c r="AL2132" s="4">
        <v>7</v>
      </c>
      <c r="AM2132" s="4">
        <v>7</v>
      </c>
      <c r="AN2132" s="4">
        <v>0</v>
      </c>
      <c r="AO2132" s="4">
        <v>0</v>
      </c>
      <c r="AP2132" s="4">
        <v>2</v>
      </c>
      <c r="AQ2132" s="4">
        <v>2</v>
      </c>
      <c r="AR2132" s="3" t="s">
        <v>64</v>
      </c>
      <c r="AS2132" s="3" t="s">
        <v>64</v>
      </c>
      <c r="AT2132" s="3" t="s">
        <v>64</v>
      </c>
      <c r="AV2132" s="6" t="str">
        <f>HYPERLINK("http://mcgill.on.worldcat.org/oclc/3679160","Catalog Record")</f>
        <v>Catalog Record</v>
      </c>
      <c r="AW2132" s="6" t="str">
        <f>HYPERLINK("http://www.worldcat.org/oclc/3679160","WorldCat Record")</f>
        <v>WorldCat Record</v>
      </c>
      <c r="AX2132" s="3" t="s">
        <v>22093</v>
      </c>
      <c r="AY2132" s="3" t="s">
        <v>22094</v>
      </c>
      <c r="AZ2132" s="3" t="s">
        <v>22095</v>
      </c>
      <c r="BA2132" s="3" t="s">
        <v>22095</v>
      </c>
      <c r="BB2132" s="3" t="s">
        <v>22096</v>
      </c>
      <c r="BC2132" s="3" t="s">
        <v>78</v>
      </c>
      <c r="BD2132" s="3" t="s">
        <v>79</v>
      </c>
      <c r="BF2132" s="3" t="s">
        <v>22096</v>
      </c>
      <c r="BG2132" s="3" t="s">
        <v>22097</v>
      </c>
    </row>
    <row r="2133" spans="1:59" ht="58" x14ac:dyDescent="0.35">
      <c r="A2133" s="2" t="s">
        <v>59</v>
      </c>
      <c r="B2133" s="2" t="s">
        <v>94</v>
      </c>
      <c r="C2133" s="2" t="s">
        <v>22098</v>
      </c>
      <c r="D2133" s="2" t="s">
        <v>22099</v>
      </c>
      <c r="E2133" s="2" t="s">
        <v>22100</v>
      </c>
      <c r="G2133" s="3" t="s">
        <v>64</v>
      </c>
      <c r="I2133" s="3" t="s">
        <v>64</v>
      </c>
      <c r="J2133" s="3" t="s">
        <v>64</v>
      </c>
      <c r="K2133" s="3" t="s">
        <v>65</v>
      </c>
      <c r="L2133" s="2" t="s">
        <v>22101</v>
      </c>
      <c r="M2133" s="2" t="s">
        <v>22102</v>
      </c>
      <c r="N2133" s="3" t="s">
        <v>377</v>
      </c>
      <c r="P2133" s="3" t="s">
        <v>69</v>
      </c>
      <c r="Q2133" s="2" t="s">
        <v>22103</v>
      </c>
      <c r="R2133" s="3" t="s">
        <v>20939</v>
      </c>
      <c r="S2133" s="4">
        <v>0</v>
      </c>
      <c r="T2133" s="4">
        <v>0</v>
      </c>
      <c r="W2133" s="5" t="s">
        <v>72</v>
      </c>
      <c r="X2133" s="5" t="s">
        <v>72</v>
      </c>
      <c r="Y2133" s="4">
        <v>41</v>
      </c>
      <c r="Z2133" s="4">
        <v>3</v>
      </c>
      <c r="AA2133" s="4">
        <v>21</v>
      </c>
      <c r="AB2133" s="4">
        <v>1</v>
      </c>
      <c r="AC2133" s="4">
        <v>4</v>
      </c>
      <c r="AD2133" s="4">
        <v>18</v>
      </c>
      <c r="AE2133" s="4">
        <v>33</v>
      </c>
      <c r="AF2133" s="4">
        <v>0</v>
      </c>
      <c r="AG2133" s="4">
        <v>0</v>
      </c>
      <c r="AH2133" s="4">
        <v>17</v>
      </c>
      <c r="AI2133" s="4">
        <v>30</v>
      </c>
      <c r="AJ2133" s="4">
        <v>1</v>
      </c>
      <c r="AK2133" s="4">
        <v>3</v>
      </c>
      <c r="AL2133" s="4">
        <v>10</v>
      </c>
      <c r="AM2133" s="4">
        <v>19</v>
      </c>
      <c r="AN2133" s="4">
        <v>0</v>
      </c>
      <c r="AO2133" s="4">
        <v>0</v>
      </c>
      <c r="AP2133" s="4">
        <v>1</v>
      </c>
      <c r="AQ2133" s="4">
        <v>5</v>
      </c>
      <c r="AR2133" s="3" t="s">
        <v>64</v>
      </c>
      <c r="AS2133" s="3" t="s">
        <v>64</v>
      </c>
      <c r="AT2133" s="3" t="s">
        <v>64</v>
      </c>
      <c r="AV2133" s="6" t="str">
        <f>HYPERLINK("http://mcgill.on.worldcat.org/oclc/756045569","Catalog Record")</f>
        <v>Catalog Record</v>
      </c>
      <c r="AW2133" s="6" t="str">
        <f>HYPERLINK("http://www.worldcat.org/oclc/756045569","WorldCat Record")</f>
        <v>WorldCat Record</v>
      </c>
      <c r="AX2133" s="3" t="s">
        <v>22104</v>
      </c>
      <c r="AY2133" s="3" t="s">
        <v>22105</v>
      </c>
      <c r="AZ2133" s="3" t="s">
        <v>22106</v>
      </c>
      <c r="BA2133" s="3" t="s">
        <v>22106</v>
      </c>
      <c r="BB2133" s="3" t="s">
        <v>22107</v>
      </c>
      <c r="BC2133" s="3" t="s">
        <v>78</v>
      </c>
      <c r="BD2133" s="3" t="s">
        <v>79</v>
      </c>
      <c r="BE2133" s="3" t="s">
        <v>22108</v>
      </c>
      <c r="BF2133" s="3" t="s">
        <v>22107</v>
      </c>
      <c r="BG2133" s="3" t="s">
        <v>22109</v>
      </c>
    </row>
    <row r="2134" spans="1:59" ht="58" x14ac:dyDescent="0.35">
      <c r="A2134" s="2" t="s">
        <v>59</v>
      </c>
      <c r="B2134" s="2" t="s">
        <v>94</v>
      </c>
      <c r="C2134" s="2" t="s">
        <v>22110</v>
      </c>
      <c r="D2134" s="2" t="s">
        <v>22111</v>
      </c>
      <c r="E2134" s="2" t="s">
        <v>22112</v>
      </c>
      <c r="G2134" s="3" t="s">
        <v>64</v>
      </c>
      <c r="I2134" s="3" t="s">
        <v>64</v>
      </c>
      <c r="J2134" s="3" t="s">
        <v>64</v>
      </c>
      <c r="K2134" s="3" t="s">
        <v>65</v>
      </c>
      <c r="L2134" s="2" t="s">
        <v>18092</v>
      </c>
      <c r="M2134" s="2" t="s">
        <v>22113</v>
      </c>
      <c r="N2134" s="3" t="s">
        <v>2116</v>
      </c>
      <c r="P2134" s="3" t="s">
        <v>69</v>
      </c>
      <c r="R2134" s="3" t="s">
        <v>20939</v>
      </c>
      <c r="S2134" s="4">
        <v>19</v>
      </c>
      <c r="T2134" s="4">
        <v>19</v>
      </c>
      <c r="U2134" s="5" t="s">
        <v>8415</v>
      </c>
      <c r="V2134" s="5" t="s">
        <v>8415</v>
      </c>
      <c r="W2134" s="5" t="s">
        <v>72</v>
      </c>
      <c r="X2134" s="5" t="s">
        <v>72</v>
      </c>
      <c r="Y2134" s="4">
        <v>188</v>
      </c>
      <c r="Z2134" s="4">
        <v>27</v>
      </c>
      <c r="AA2134" s="4">
        <v>27</v>
      </c>
      <c r="AB2134" s="4">
        <v>2</v>
      </c>
      <c r="AC2134" s="4">
        <v>2</v>
      </c>
      <c r="AD2134" s="4">
        <v>74</v>
      </c>
      <c r="AE2134" s="4">
        <v>74</v>
      </c>
      <c r="AF2134" s="4">
        <v>1</v>
      </c>
      <c r="AG2134" s="4">
        <v>1</v>
      </c>
      <c r="AH2134" s="4">
        <v>59</v>
      </c>
      <c r="AI2134" s="4">
        <v>59</v>
      </c>
      <c r="AJ2134" s="4">
        <v>16</v>
      </c>
      <c r="AK2134" s="4">
        <v>16</v>
      </c>
      <c r="AL2134" s="4">
        <v>31</v>
      </c>
      <c r="AM2134" s="4">
        <v>31</v>
      </c>
      <c r="AN2134" s="4">
        <v>0</v>
      </c>
      <c r="AO2134" s="4">
        <v>0</v>
      </c>
      <c r="AP2134" s="4">
        <v>22</v>
      </c>
      <c r="AQ2134" s="4">
        <v>22</v>
      </c>
      <c r="AR2134" s="3" t="s">
        <v>64</v>
      </c>
      <c r="AS2134" s="3" t="s">
        <v>64</v>
      </c>
      <c r="AT2134" s="3" t="s">
        <v>73</v>
      </c>
      <c r="AU2134" s="6" t="str">
        <f>HYPERLINK("http://catalog.hathitrust.org/Record/000169524","HathiTrust Record")</f>
        <v>HathiTrust Record</v>
      </c>
      <c r="AV2134" s="6" t="str">
        <f>HYPERLINK("http://mcgill.on.worldcat.org/oclc/2654895","Catalog Record")</f>
        <v>Catalog Record</v>
      </c>
      <c r="AW2134" s="6" t="str">
        <f>HYPERLINK("http://www.worldcat.org/oclc/2654895","WorldCat Record")</f>
        <v>WorldCat Record</v>
      </c>
      <c r="AX2134" s="3" t="s">
        <v>22114</v>
      </c>
      <c r="AY2134" s="3" t="s">
        <v>22115</v>
      </c>
      <c r="AZ2134" s="3" t="s">
        <v>22116</v>
      </c>
      <c r="BA2134" s="3" t="s">
        <v>22116</v>
      </c>
      <c r="BB2134" s="3" t="s">
        <v>22117</v>
      </c>
      <c r="BC2134" s="3" t="s">
        <v>78</v>
      </c>
      <c r="BD2134" s="3" t="s">
        <v>79</v>
      </c>
      <c r="BE2134" s="3" t="s">
        <v>22118</v>
      </c>
      <c r="BF2134" s="3" t="s">
        <v>22117</v>
      </c>
      <c r="BG2134" s="3" t="s">
        <v>22119</v>
      </c>
    </row>
    <row r="2135" spans="1:59" ht="58" x14ac:dyDescent="0.35">
      <c r="A2135" s="2" t="s">
        <v>59</v>
      </c>
      <c r="B2135" s="2" t="s">
        <v>94</v>
      </c>
      <c r="C2135" s="2" t="s">
        <v>22120</v>
      </c>
      <c r="D2135" s="2" t="s">
        <v>22121</v>
      </c>
      <c r="E2135" s="2" t="s">
        <v>22122</v>
      </c>
      <c r="G2135" s="3" t="s">
        <v>64</v>
      </c>
      <c r="I2135" s="3" t="s">
        <v>64</v>
      </c>
      <c r="J2135" s="3" t="s">
        <v>64</v>
      </c>
      <c r="K2135" s="3" t="s">
        <v>65</v>
      </c>
      <c r="L2135" s="2" t="s">
        <v>22123</v>
      </c>
      <c r="M2135" s="2" t="s">
        <v>22124</v>
      </c>
      <c r="N2135" s="3" t="s">
        <v>719</v>
      </c>
      <c r="P2135" s="3" t="s">
        <v>69</v>
      </c>
      <c r="R2135" s="3" t="s">
        <v>20939</v>
      </c>
      <c r="S2135" s="4">
        <v>15</v>
      </c>
      <c r="T2135" s="4">
        <v>15</v>
      </c>
      <c r="U2135" s="5" t="s">
        <v>8295</v>
      </c>
      <c r="V2135" s="5" t="s">
        <v>8295</v>
      </c>
      <c r="W2135" s="5" t="s">
        <v>72</v>
      </c>
      <c r="X2135" s="5" t="s">
        <v>72</v>
      </c>
      <c r="Y2135" s="4">
        <v>311</v>
      </c>
      <c r="Z2135" s="4">
        <v>30</v>
      </c>
      <c r="AA2135" s="4">
        <v>30</v>
      </c>
      <c r="AB2135" s="4">
        <v>1</v>
      </c>
      <c r="AC2135" s="4">
        <v>1</v>
      </c>
      <c r="AD2135" s="4">
        <v>105</v>
      </c>
      <c r="AE2135" s="4">
        <v>105</v>
      </c>
      <c r="AF2135" s="4">
        <v>0</v>
      </c>
      <c r="AG2135" s="4">
        <v>0</v>
      </c>
      <c r="AH2135" s="4">
        <v>89</v>
      </c>
      <c r="AI2135" s="4">
        <v>89</v>
      </c>
      <c r="AJ2135" s="4">
        <v>16</v>
      </c>
      <c r="AK2135" s="4">
        <v>16</v>
      </c>
      <c r="AL2135" s="4">
        <v>50</v>
      </c>
      <c r="AM2135" s="4">
        <v>50</v>
      </c>
      <c r="AN2135" s="4">
        <v>0</v>
      </c>
      <c r="AO2135" s="4">
        <v>0</v>
      </c>
      <c r="AP2135" s="4">
        <v>23</v>
      </c>
      <c r="AQ2135" s="4">
        <v>23</v>
      </c>
      <c r="AR2135" s="3" t="s">
        <v>64</v>
      </c>
      <c r="AS2135" s="3" t="s">
        <v>64</v>
      </c>
      <c r="AT2135" s="3" t="s">
        <v>73</v>
      </c>
      <c r="AU2135" s="6" t="str">
        <f>HYPERLINK("http://catalog.hathitrust.org/Record/000783039","HathiTrust Record")</f>
        <v>HathiTrust Record</v>
      </c>
      <c r="AV2135" s="6" t="str">
        <f>HYPERLINK("http://mcgill.on.worldcat.org/oclc/10300707","Catalog Record")</f>
        <v>Catalog Record</v>
      </c>
      <c r="AW2135" s="6" t="str">
        <f>HYPERLINK("http://www.worldcat.org/oclc/10300707","WorldCat Record")</f>
        <v>WorldCat Record</v>
      </c>
      <c r="AX2135" s="3" t="s">
        <v>22125</v>
      </c>
      <c r="AY2135" s="3" t="s">
        <v>22126</v>
      </c>
      <c r="AZ2135" s="3" t="s">
        <v>22127</v>
      </c>
      <c r="BA2135" s="3" t="s">
        <v>22127</v>
      </c>
      <c r="BB2135" s="3" t="s">
        <v>22128</v>
      </c>
      <c r="BC2135" s="3" t="s">
        <v>78</v>
      </c>
      <c r="BD2135" s="3" t="s">
        <v>79</v>
      </c>
      <c r="BE2135" s="3" t="s">
        <v>22129</v>
      </c>
      <c r="BF2135" s="3" t="s">
        <v>22128</v>
      </c>
      <c r="BG2135" s="3" t="s">
        <v>22130</v>
      </c>
    </row>
    <row r="2136" spans="1:59" ht="72.5" x14ac:dyDescent="0.35">
      <c r="A2136" s="2" t="s">
        <v>59</v>
      </c>
      <c r="B2136" s="2" t="s">
        <v>94</v>
      </c>
      <c r="C2136" s="2" t="s">
        <v>22131</v>
      </c>
      <c r="D2136" s="2" t="s">
        <v>22132</v>
      </c>
      <c r="E2136" s="2" t="s">
        <v>22133</v>
      </c>
      <c r="G2136" s="3" t="s">
        <v>64</v>
      </c>
      <c r="I2136" s="3" t="s">
        <v>64</v>
      </c>
      <c r="J2136" s="3" t="s">
        <v>64</v>
      </c>
      <c r="K2136" s="3" t="s">
        <v>65</v>
      </c>
      <c r="L2136" s="2" t="s">
        <v>22134</v>
      </c>
      <c r="M2136" s="2" t="s">
        <v>22135</v>
      </c>
      <c r="N2136" s="3" t="s">
        <v>252</v>
      </c>
      <c r="P2136" s="3" t="s">
        <v>4547</v>
      </c>
      <c r="Q2136" s="2" t="s">
        <v>22136</v>
      </c>
      <c r="R2136" s="3" t="s">
        <v>20939</v>
      </c>
      <c r="S2136" s="4">
        <v>2</v>
      </c>
      <c r="T2136" s="4">
        <v>2</v>
      </c>
      <c r="U2136" s="5" t="s">
        <v>22137</v>
      </c>
      <c r="V2136" s="5" t="s">
        <v>22137</v>
      </c>
      <c r="W2136" s="5" t="s">
        <v>72</v>
      </c>
      <c r="X2136" s="5" t="s">
        <v>72</v>
      </c>
      <c r="Y2136" s="4">
        <v>13</v>
      </c>
      <c r="Z2136" s="4">
        <v>2</v>
      </c>
      <c r="AA2136" s="4">
        <v>2</v>
      </c>
      <c r="AB2136" s="4">
        <v>1</v>
      </c>
      <c r="AC2136" s="4">
        <v>1</v>
      </c>
      <c r="AD2136" s="4">
        <v>7</v>
      </c>
      <c r="AE2136" s="4">
        <v>7</v>
      </c>
      <c r="AF2136" s="4">
        <v>0</v>
      </c>
      <c r="AG2136" s="4">
        <v>0</v>
      </c>
      <c r="AH2136" s="4">
        <v>7</v>
      </c>
      <c r="AI2136" s="4">
        <v>7</v>
      </c>
      <c r="AJ2136" s="4">
        <v>0</v>
      </c>
      <c r="AK2136" s="4">
        <v>0</v>
      </c>
      <c r="AL2136" s="4">
        <v>4</v>
      </c>
      <c r="AM2136" s="4">
        <v>4</v>
      </c>
      <c r="AN2136" s="4">
        <v>0</v>
      </c>
      <c r="AO2136" s="4">
        <v>0</v>
      </c>
      <c r="AP2136" s="4">
        <v>0</v>
      </c>
      <c r="AQ2136" s="4">
        <v>0</v>
      </c>
      <c r="AR2136" s="3" t="s">
        <v>64</v>
      </c>
      <c r="AS2136" s="3" t="s">
        <v>64</v>
      </c>
      <c r="AT2136" s="3" t="s">
        <v>64</v>
      </c>
      <c r="AV2136" s="6" t="str">
        <f>HYPERLINK("http://mcgill.on.worldcat.org/oclc/11329894","Catalog Record")</f>
        <v>Catalog Record</v>
      </c>
      <c r="AW2136" s="6" t="str">
        <f>HYPERLINK("http://www.worldcat.org/oclc/11329894","WorldCat Record")</f>
        <v>WorldCat Record</v>
      </c>
      <c r="AX2136" s="3" t="s">
        <v>22138</v>
      </c>
      <c r="AY2136" s="3" t="s">
        <v>22139</v>
      </c>
      <c r="AZ2136" s="3" t="s">
        <v>22140</v>
      </c>
      <c r="BA2136" s="3" t="s">
        <v>22140</v>
      </c>
      <c r="BB2136" s="3" t="s">
        <v>22141</v>
      </c>
      <c r="BC2136" s="3" t="s">
        <v>78</v>
      </c>
      <c r="BD2136" s="3" t="s">
        <v>79</v>
      </c>
      <c r="BF2136" s="3" t="s">
        <v>22141</v>
      </c>
      <c r="BG2136" s="3" t="s">
        <v>22142</v>
      </c>
    </row>
    <row r="2137" spans="1:59" ht="58" x14ac:dyDescent="0.35">
      <c r="A2137" s="2" t="s">
        <v>59</v>
      </c>
      <c r="B2137" s="2" t="s">
        <v>94</v>
      </c>
      <c r="C2137" s="2" t="s">
        <v>22143</v>
      </c>
      <c r="D2137" s="2" t="s">
        <v>22144</v>
      </c>
      <c r="E2137" s="2" t="s">
        <v>22145</v>
      </c>
      <c r="G2137" s="3" t="s">
        <v>64</v>
      </c>
      <c r="I2137" s="3" t="s">
        <v>64</v>
      </c>
      <c r="J2137" s="3" t="s">
        <v>64</v>
      </c>
      <c r="K2137" s="3" t="s">
        <v>65</v>
      </c>
      <c r="L2137" s="2" t="s">
        <v>22146</v>
      </c>
      <c r="M2137" s="2" t="s">
        <v>22147</v>
      </c>
      <c r="N2137" s="3" t="s">
        <v>1764</v>
      </c>
      <c r="O2137" s="2" t="s">
        <v>1294</v>
      </c>
      <c r="P2137" s="3" t="s">
        <v>69</v>
      </c>
      <c r="R2137" s="3" t="s">
        <v>20939</v>
      </c>
      <c r="S2137" s="4">
        <v>1</v>
      </c>
      <c r="T2137" s="4">
        <v>1</v>
      </c>
      <c r="U2137" s="5" t="s">
        <v>11081</v>
      </c>
      <c r="V2137" s="5" t="s">
        <v>11081</v>
      </c>
      <c r="W2137" s="5" t="s">
        <v>72</v>
      </c>
      <c r="X2137" s="5" t="s">
        <v>72</v>
      </c>
      <c r="Y2137" s="4">
        <v>46</v>
      </c>
      <c r="Z2137" s="4">
        <v>4</v>
      </c>
      <c r="AA2137" s="4">
        <v>9</v>
      </c>
      <c r="AB2137" s="4">
        <v>1</v>
      </c>
      <c r="AC2137" s="4">
        <v>2</v>
      </c>
      <c r="AD2137" s="4">
        <v>30</v>
      </c>
      <c r="AE2137" s="4">
        <v>34</v>
      </c>
      <c r="AF2137" s="4">
        <v>0</v>
      </c>
      <c r="AG2137" s="4">
        <v>1</v>
      </c>
      <c r="AH2137" s="4">
        <v>29</v>
      </c>
      <c r="AI2137" s="4">
        <v>32</v>
      </c>
      <c r="AJ2137" s="4">
        <v>2</v>
      </c>
      <c r="AK2137" s="4">
        <v>6</v>
      </c>
      <c r="AL2137" s="4">
        <v>19</v>
      </c>
      <c r="AM2137" s="4">
        <v>20</v>
      </c>
      <c r="AN2137" s="4">
        <v>0</v>
      </c>
      <c r="AO2137" s="4">
        <v>0</v>
      </c>
      <c r="AP2137" s="4">
        <v>2</v>
      </c>
      <c r="AQ2137" s="4">
        <v>6</v>
      </c>
      <c r="AR2137" s="3" t="s">
        <v>64</v>
      </c>
      <c r="AS2137" s="3" t="s">
        <v>64</v>
      </c>
      <c r="AT2137" s="3" t="s">
        <v>73</v>
      </c>
      <c r="AU2137" s="6" t="str">
        <f>HYPERLINK("http://catalog.hathitrust.org/Record/000830722","HathiTrust Record")</f>
        <v>HathiTrust Record</v>
      </c>
      <c r="AV2137" s="6" t="str">
        <f>HYPERLINK("http://mcgill.on.worldcat.org/oclc/9748813","Catalog Record")</f>
        <v>Catalog Record</v>
      </c>
      <c r="AW2137" s="6" t="str">
        <f>HYPERLINK("http://www.worldcat.org/oclc/9748813","WorldCat Record")</f>
        <v>WorldCat Record</v>
      </c>
      <c r="AX2137" s="3" t="s">
        <v>22148</v>
      </c>
      <c r="AY2137" s="3" t="s">
        <v>22149</v>
      </c>
      <c r="AZ2137" s="3" t="s">
        <v>22150</v>
      </c>
      <c r="BA2137" s="3" t="s">
        <v>22150</v>
      </c>
      <c r="BB2137" s="3" t="s">
        <v>22151</v>
      </c>
      <c r="BC2137" s="3" t="s">
        <v>78</v>
      </c>
      <c r="BD2137" s="3" t="s">
        <v>79</v>
      </c>
      <c r="BF2137" s="3" t="s">
        <v>22151</v>
      </c>
      <c r="BG2137" s="3" t="s">
        <v>22152</v>
      </c>
    </row>
    <row r="2138" spans="1:59" ht="72.5" x14ac:dyDescent="0.35">
      <c r="A2138" s="2" t="s">
        <v>59</v>
      </c>
      <c r="B2138" s="2" t="s">
        <v>94</v>
      </c>
      <c r="C2138" s="2" t="s">
        <v>22153</v>
      </c>
      <c r="D2138" s="2" t="s">
        <v>22154</v>
      </c>
      <c r="E2138" s="2" t="s">
        <v>22155</v>
      </c>
      <c r="G2138" s="3" t="s">
        <v>64</v>
      </c>
      <c r="I2138" s="3" t="s">
        <v>64</v>
      </c>
      <c r="J2138" s="3" t="s">
        <v>64</v>
      </c>
      <c r="K2138" s="3" t="s">
        <v>65</v>
      </c>
      <c r="L2138" s="2" t="s">
        <v>22156</v>
      </c>
      <c r="M2138" s="2" t="s">
        <v>5066</v>
      </c>
      <c r="N2138" s="3" t="s">
        <v>175</v>
      </c>
      <c r="P2138" s="3" t="s">
        <v>69</v>
      </c>
      <c r="Q2138" s="2" t="s">
        <v>7262</v>
      </c>
      <c r="R2138" s="3" t="s">
        <v>20939</v>
      </c>
      <c r="S2138" s="4">
        <v>0</v>
      </c>
      <c r="T2138" s="4">
        <v>0</v>
      </c>
      <c r="W2138" s="5" t="s">
        <v>72</v>
      </c>
      <c r="X2138" s="5" t="s">
        <v>72</v>
      </c>
      <c r="Y2138" s="4">
        <v>64</v>
      </c>
      <c r="Z2138" s="4">
        <v>2</v>
      </c>
      <c r="AA2138" s="4">
        <v>32</v>
      </c>
      <c r="AB2138" s="4">
        <v>1</v>
      </c>
      <c r="AC2138" s="4">
        <v>6</v>
      </c>
      <c r="AD2138" s="4">
        <v>41</v>
      </c>
      <c r="AE2138" s="4">
        <v>95</v>
      </c>
      <c r="AF2138" s="4">
        <v>0</v>
      </c>
      <c r="AG2138" s="4">
        <v>2</v>
      </c>
      <c r="AH2138" s="4">
        <v>40</v>
      </c>
      <c r="AI2138" s="4">
        <v>78</v>
      </c>
      <c r="AJ2138" s="4">
        <v>1</v>
      </c>
      <c r="AK2138" s="4">
        <v>13</v>
      </c>
      <c r="AL2138" s="4">
        <v>25</v>
      </c>
      <c r="AM2138" s="4">
        <v>44</v>
      </c>
      <c r="AN2138" s="4">
        <v>0</v>
      </c>
      <c r="AO2138" s="4">
        <v>0</v>
      </c>
      <c r="AP2138" s="4">
        <v>1</v>
      </c>
      <c r="AQ2138" s="4">
        <v>23</v>
      </c>
      <c r="AR2138" s="3" t="s">
        <v>64</v>
      </c>
      <c r="AS2138" s="3" t="s">
        <v>64</v>
      </c>
      <c r="AT2138" s="3" t="s">
        <v>64</v>
      </c>
      <c r="AV2138" s="6" t="str">
        <f>HYPERLINK("http://mcgill.on.worldcat.org/oclc/881399541","Catalog Record")</f>
        <v>Catalog Record</v>
      </c>
      <c r="AW2138" s="6" t="str">
        <f>HYPERLINK("http://www.worldcat.org/oclc/881399541","WorldCat Record")</f>
        <v>WorldCat Record</v>
      </c>
      <c r="AX2138" s="3" t="s">
        <v>22157</v>
      </c>
      <c r="AY2138" s="3" t="s">
        <v>22158</v>
      </c>
      <c r="AZ2138" s="3" t="s">
        <v>22159</v>
      </c>
      <c r="BA2138" s="3" t="s">
        <v>22159</v>
      </c>
      <c r="BB2138" s="3" t="s">
        <v>22160</v>
      </c>
      <c r="BC2138" s="3" t="s">
        <v>78</v>
      </c>
      <c r="BD2138" s="3" t="s">
        <v>79</v>
      </c>
      <c r="BE2138" s="3" t="s">
        <v>22161</v>
      </c>
      <c r="BF2138" s="3" t="s">
        <v>22160</v>
      </c>
      <c r="BG2138" s="3" t="s">
        <v>22162</v>
      </c>
    </row>
    <row r="2139" spans="1:59" ht="58" x14ac:dyDescent="0.35">
      <c r="A2139" s="2" t="s">
        <v>59</v>
      </c>
      <c r="B2139" s="2" t="s">
        <v>94</v>
      </c>
      <c r="C2139" s="2" t="s">
        <v>22163</v>
      </c>
      <c r="D2139" s="2" t="s">
        <v>22164</v>
      </c>
      <c r="E2139" s="2" t="s">
        <v>22165</v>
      </c>
      <c r="G2139" s="3" t="s">
        <v>64</v>
      </c>
      <c r="I2139" s="3" t="s">
        <v>64</v>
      </c>
      <c r="J2139" s="3" t="s">
        <v>64</v>
      </c>
      <c r="K2139" s="3" t="s">
        <v>65</v>
      </c>
      <c r="M2139" s="2" t="s">
        <v>5100</v>
      </c>
      <c r="N2139" s="3" t="s">
        <v>328</v>
      </c>
      <c r="P2139" s="3" t="s">
        <v>69</v>
      </c>
      <c r="Q2139" s="2" t="s">
        <v>22166</v>
      </c>
      <c r="R2139" s="3" t="s">
        <v>20939</v>
      </c>
      <c r="S2139" s="4">
        <v>0</v>
      </c>
      <c r="T2139" s="4">
        <v>0</v>
      </c>
      <c r="W2139" s="5" t="s">
        <v>72</v>
      </c>
      <c r="X2139" s="5" t="s">
        <v>72</v>
      </c>
      <c r="Y2139" s="4">
        <v>90</v>
      </c>
      <c r="Z2139" s="4">
        <v>5</v>
      </c>
      <c r="AA2139" s="4">
        <v>7</v>
      </c>
      <c r="AB2139" s="4">
        <v>1</v>
      </c>
      <c r="AC2139" s="4">
        <v>1</v>
      </c>
      <c r="AD2139" s="4">
        <v>49</v>
      </c>
      <c r="AE2139" s="4">
        <v>54</v>
      </c>
      <c r="AF2139" s="4">
        <v>0</v>
      </c>
      <c r="AG2139" s="4">
        <v>0</v>
      </c>
      <c r="AH2139" s="4">
        <v>48</v>
      </c>
      <c r="AI2139" s="4">
        <v>53</v>
      </c>
      <c r="AJ2139" s="4">
        <v>3</v>
      </c>
      <c r="AK2139" s="4">
        <v>5</v>
      </c>
      <c r="AL2139" s="4">
        <v>28</v>
      </c>
      <c r="AM2139" s="4">
        <v>29</v>
      </c>
      <c r="AN2139" s="4">
        <v>0</v>
      </c>
      <c r="AO2139" s="4">
        <v>0</v>
      </c>
      <c r="AP2139" s="4">
        <v>3</v>
      </c>
      <c r="AQ2139" s="4">
        <v>5</v>
      </c>
      <c r="AR2139" s="3" t="s">
        <v>64</v>
      </c>
      <c r="AS2139" s="3" t="s">
        <v>64</v>
      </c>
      <c r="AT2139" s="3" t="s">
        <v>64</v>
      </c>
      <c r="AV2139" s="6" t="str">
        <f>HYPERLINK("http://mcgill.on.worldcat.org/oclc/696561288","Catalog Record")</f>
        <v>Catalog Record</v>
      </c>
      <c r="AW2139" s="6" t="str">
        <f>HYPERLINK("http://www.worldcat.org/oclc/696561288","WorldCat Record")</f>
        <v>WorldCat Record</v>
      </c>
      <c r="AX2139" s="3" t="s">
        <v>22167</v>
      </c>
      <c r="AY2139" s="3" t="s">
        <v>22168</v>
      </c>
      <c r="AZ2139" s="3" t="s">
        <v>22169</v>
      </c>
      <c r="BA2139" s="3" t="s">
        <v>22169</v>
      </c>
      <c r="BB2139" s="3" t="s">
        <v>22170</v>
      </c>
      <c r="BC2139" s="3" t="s">
        <v>78</v>
      </c>
      <c r="BD2139" s="3" t="s">
        <v>79</v>
      </c>
      <c r="BE2139" s="3" t="s">
        <v>22171</v>
      </c>
      <c r="BF2139" s="3" t="s">
        <v>22170</v>
      </c>
      <c r="BG2139" s="3" t="s">
        <v>22172</v>
      </c>
    </row>
    <row r="2140" spans="1:59" ht="58" x14ac:dyDescent="0.35">
      <c r="A2140" s="2" t="s">
        <v>59</v>
      </c>
      <c r="B2140" s="2" t="s">
        <v>94</v>
      </c>
      <c r="C2140" s="2" t="s">
        <v>22173</v>
      </c>
      <c r="D2140" s="2" t="s">
        <v>22174</v>
      </c>
      <c r="E2140" s="2" t="s">
        <v>22175</v>
      </c>
      <c r="G2140" s="3" t="s">
        <v>64</v>
      </c>
      <c r="I2140" s="3" t="s">
        <v>64</v>
      </c>
      <c r="J2140" s="3" t="s">
        <v>64</v>
      </c>
      <c r="K2140" s="3" t="s">
        <v>65</v>
      </c>
      <c r="L2140" s="2" t="s">
        <v>22176</v>
      </c>
      <c r="M2140" s="2" t="s">
        <v>22177</v>
      </c>
      <c r="N2140" s="3" t="s">
        <v>328</v>
      </c>
      <c r="P2140" s="3" t="s">
        <v>69</v>
      </c>
      <c r="Q2140" s="2" t="s">
        <v>22178</v>
      </c>
      <c r="R2140" s="3" t="s">
        <v>20939</v>
      </c>
      <c r="S2140" s="4">
        <v>0</v>
      </c>
      <c r="T2140" s="4">
        <v>0</v>
      </c>
      <c r="W2140" s="5" t="s">
        <v>72</v>
      </c>
      <c r="X2140" s="5" t="s">
        <v>72</v>
      </c>
      <c r="Y2140" s="4">
        <v>82</v>
      </c>
      <c r="Z2140" s="4">
        <v>4</v>
      </c>
      <c r="AA2140" s="4">
        <v>7</v>
      </c>
      <c r="AB2140" s="4">
        <v>1</v>
      </c>
      <c r="AC2140" s="4">
        <v>1</v>
      </c>
      <c r="AD2140" s="4">
        <v>45</v>
      </c>
      <c r="AE2140" s="4">
        <v>49</v>
      </c>
      <c r="AF2140" s="4">
        <v>0</v>
      </c>
      <c r="AG2140" s="4">
        <v>0</v>
      </c>
      <c r="AH2140" s="4">
        <v>44</v>
      </c>
      <c r="AI2140" s="4">
        <v>47</v>
      </c>
      <c r="AJ2140" s="4">
        <v>2</v>
      </c>
      <c r="AK2140" s="4">
        <v>4</v>
      </c>
      <c r="AL2140" s="4">
        <v>25</v>
      </c>
      <c r="AM2140" s="4">
        <v>25</v>
      </c>
      <c r="AN2140" s="4">
        <v>0</v>
      </c>
      <c r="AO2140" s="4">
        <v>0</v>
      </c>
      <c r="AP2140" s="4">
        <v>2</v>
      </c>
      <c r="AQ2140" s="4">
        <v>5</v>
      </c>
      <c r="AR2140" s="3" t="s">
        <v>64</v>
      </c>
      <c r="AS2140" s="3" t="s">
        <v>64</v>
      </c>
      <c r="AT2140" s="3" t="s">
        <v>64</v>
      </c>
      <c r="AV2140" s="6" t="str">
        <f>HYPERLINK("http://mcgill.on.worldcat.org/oclc/678924410","Catalog Record")</f>
        <v>Catalog Record</v>
      </c>
      <c r="AW2140" s="6" t="str">
        <f>HYPERLINK("http://www.worldcat.org/oclc/678924410","WorldCat Record")</f>
        <v>WorldCat Record</v>
      </c>
      <c r="AX2140" s="3" t="s">
        <v>22179</v>
      </c>
      <c r="AY2140" s="3" t="s">
        <v>22180</v>
      </c>
      <c r="AZ2140" s="3" t="s">
        <v>22181</v>
      </c>
      <c r="BA2140" s="3" t="s">
        <v>22181</v>
      </c>
      <c r="BB2140" s="3" t="s">
        <v>22182</v>
      </c>
      <c r="BC2140" s="3" t="s">
        <v>78</v>
      </c>
      <c r="BD2140" s="3" t="s">
        <v>79</v>
      </c>
      <c r="BE2140" s="3" t="s">
        <v>22183</v>
      </c>
      <c r="BF2140" s="3" t="s">
        <v>22182</v>
      </c>
      <c r="BG2140" s="3" t="s">
        <v>22184</v>
      </c>
    </row>
    <row r="2141" spans="1:59" ht="58" x14ac:dyDescent="0.35">
      <c r="A2141" s="2" t="s">
        <v>59</v>
      </c>
      <c r="B2141" s="2" t="s">
        <v>94</v>
      </c>
      <c r="C2141" s="2" t="s">
        <v>22185</v>
      </c>
      <c r="D2141" s="2" t="s">
        <v>22186</v>
      </c>
      <c r="E2141" s="2" t="s">
        <v>22187</v>
      </c>
      <c r="G2141" s="3" t="s">
        <v>64</v>
      </c>
      <c r="I2141" s="3" t="s">
        <v>64</v>
      </c>
      <c r="J2141" s="3" t="s">
        <v>64</v>
      </c>
      <c r="K2141" s="3" t="s">
        <v>65</v>
      </c>
      <c r="L2141" s="2" t="s">
        <v>22188</v>
      </c>
      <c r="M2141" s="2" t="s">
        <v>22189</v>
      </c>
      <c r="N2141" s="3" t="s">
        <v>214</v>
      </c>
      <c r="P2141" s="3" t="s">
        <v>69</v>
      </c>
      <c r="Q2141" s="2" t="s">
        <v>22190</v>
      </c>
      <c r="R2141" s="3" t="s">
        <v>20939</v>
      </c>
      <c r="S2141" s="4">
        <v>0</v>
      </c>
      <c r="T2141" s="4">
        <v>0</v>
      </c>
      <c r="W2141" s="5" t="s">
        <v>72</v>
      </c>
      <c r="X2141" s="5" t="s">
        <v>72</v>
      </c>
      <c r="Y2141" s="4">
        <v>96</v>
      </c>
      <c r="Z2141" s="4">
        <v>8</v>
      </c>
      <c r="AA2141" s="4">
        <v>11</v>
      </c>
      <c r="AB2141" s="4">
        <v>1</v>
      </c>
      <c r="AC2141" s="4">
        <v>1</v>
      </c>
      <c r="AD2141" s="4">
        <v>57</v>
      </c>
      <c r="AE2141" s="4">
        <v>61</v>
      </c>
      <c r="AF2141" s="4">
        <v>0</v>
      </c>
      <c r="AG2141" s="4">
        <v>0</v>
      </c>
      <c r="AH2141" s="4">
        <v>54</v>
      </c>
      <c r="AI2141" s="4">
        <v>57</v>
      </c>
      <c r="AJ2141" s="4">
        <v>5</v>
      </c>
      <c r="AK2141" s="4">
        <v>8</v>
      </c>
      <c r="AL2141" s="4">
        <v>30</v>
      </c>
      <c r="AM2141" s="4">
        <v>30</v>
      </c>
      <c r="AN2141" s="4">
        <v>0</v>
      </c>
      <c r="AO2141" s="4">
        <v>0</v>
      </c>
      <c r="AP2141" s="4">
        <v>6</v>
      </c>
      <c r="AQ2141" s="4">
        <v>9</v>
      </c>
      <c r="AR2141" s="3" t="s">
        <v>64</v>
      </c>
      <c r="AS2141" s="3" t="s">
        <v>64</v>
      </c>
      <c r="AT2141" s="3" t="s">
        <v>64</v>
      </c>
      <c r="AV2141" s="6" t="str">
        <f>HYPERLINK("http://mcgill.on.worldcat.org/oclc/630469393","Catalog Record")</f>
        <v>Catalog Record</v>
      </c>
      <c r="AW2141" s="6" t="str">
        <f>HYPERLINK("http://www.worldcat.org/oclc/630469393","WorldCat Record")</f>
        <v>WorldCat Record</v>
      </c>
      <c r="AX2141" s="3" t="s">
        <v>22191</v>
      </c>
      <c r="AY2141" s="3" t="s">
        <v>22192</v>
      </c>
      <c r="AZ2141" s="3" t="s">
        <v>22193</v>
      </c>
      <c r="BA2141" s="3" t="s">
        <v>22193</v>
      </c>
      <c r="BB2141" s="3" t="s">
        <v>22194</v>
      </c>
      <c r="BC2141" s="3" t="s">
        <v>78</v>
      </c>
      <c r="BD2141" s="3" t="s">
        <v>79</v>
      </c>
      <c r="BE2141" s="3" t="s">
        <v>22195</v>
      </c>
      <c r="BF2141" s="3" t="s">
        <v>22194</v>
      </c>
      <c r="BG2141" s="3" t="s">
        <v>22196</v>
      </c>
    </row>
    <row r="2142" spans="1:59" ht="58" x14ac:dyDescent="0.35">
      <c r="A2142" s="2" t="s">
        <v>59</v>
      </c>
      <c r="B2142" s="2" t="s">
        <v>94</v>
      </c>
      <c r="C2142" s="2" t="s">
        <v>22197</v>
      </c>
      <c r="D2142" s="2" t="s">
        <v>22198</v>
      </c>
      <c r="E2142" s="2" t="s">
        <v>22199</v>
      </c>
      <c r="G2142" s="3" t="s">
        <v>64</v>
      </c>
      <c r="I2142" s="3" t="s">
        <v>64</v>
      </c>
      <c r="J2142" s="3" t="s">
        <v>64</v>
      </c>
      <c r="K2142" s="3" t="s">
        <v>65</v>
      </c>
      <c r="M2142" s="2" t="s">
        <v>6841</v>
      </c>
      <c r="N2142" s="3" t="s">
        <v>377</v>
      </c>
      <c r="P2142" s="3" t="s">
        <v>69</v>
      </c>
      <c r="Q2142" s="2" t="s">
        <v>22200</v>
      </c>
      <c r="R2142" s="3" t="s">
        <v>20939</v>
      </c>
      <c r="S2142" s="4">
        <v>0</v>
      </c>
      <c r="T2142" s="4">
        <v>0</v>
      </c>
      <c r="W2142" s="5" t="s">
        <v>72</v>
      </c>
      <c r="X2142" s="5" t="s">
        <v>72</v>
      </c>
      <c r="Y2142" s="4">
        <v>78</v>
      </c>
      <c r="Z2142" s="4">
        <v>5</v>
      </c>
      <c r="AA2142" s="4">
        <v>7</v>
      </c>
      <c r="AB2142" s="4">
        <v>1</v>
      </c>
      <c r="AC2142" s="4">
        <v>1</v>
      </c>
      <c r="AD2142" s="4">
        <v>45</v>
      </c>
      <c r="AE2142" s="4">
        <v>49</v>
      </c>
      <c r="AF2142" s="4">
        <v>0</v>
      </c>
      <c r="AG2142" s="4">
        <v>0</v>
      </c>
      <c r="AH2142" s="4">
        <v>44</v>
      </c>
      <c r="AI2142" s="4">
        <v>47</v>
      </c>
      <c r="AJ2142" s="4">
        <v>3</v>
      </c>
      <c r="AK2142" s="4">
        <v>5</v>
      </c>
      <c r="AL2142" s="4">
        <v>26</v>
      </c>
      <c r="AM2142" s="4">
        <v>27</v>
      </c>
      <c r="AN2142" s="4">
        <v>0</v>
      </c>
      <c r="AO2142" s="4">
        <v>0</v>
      </c>
      <c r="AP2142" s="4">
        <v>3</v>
      </c>
      <c r="AQ2142" s="4">
        <v>5</v>
      </c>
      <c r="AR2142" s="3" t="s">
        <v>64</v>
      </c>
      <c r="AS2142" s="3" t="s">
        <v>64</v>
      </c>
      <c r="AT2142" s="3" t="s">
        <v>64</v>
      </c>
      <c r="AV2142" s="6" t="str">
        <f>HYPERLINK("http://mcgill.on.worldcat.org/oclc/768417989","Catalog Record")</f>
        <v>Catalog Record</v>
      </c>
      <c r="AW2142" s="6" t="str">
        <f>HYPERLINK("http://www.worldcat.org/oclc/768417989","WorldCat Record")</f>
        <v>WorldCat Record</v>
      </c>
      <c r="AX2142" s="3" t="s">
        <v>22201</v>
      </c>
      <c r="AY2142" s="3" t="s">
        <v>22202</v>
      </c>
      <c r="AZ2142" s="3" t="s">
        <v>22203</v>
      </c>
      <c r="BA2142" s="3" t="s">
        <v>22203</v>
      </c>
      <c r="BB2142" s="3" t="s">
        <v>22204</v>
      </c>
      <c r="BC2142" s="3" t="s">
        <v>78</v>
      </c>
      <c r="BD2142" s="3" t="s">
        <v>79</v>
      </c>
      <c r="BE2142" s="3" t="s">
        <v>22205</v>
      </c>
      <c r="BF2142" s="3" t="s">
        <v>22204</v>
      </c>
      <c r="BG2142" s="3" t="s">
        <v>22206</v>
      </c>
    </row>
    <row r="2143" spans="1:59" ht="58" x14ac:dyDescent="0.35">
      <c r="A2143" s="2" t="s">
        <v>59</v>
      </c>
      <c r="B2143" s="2" t="s">
        <v>94</v>
      </c>
      <c r="C2143" s="2" t="s">
        <v>22207</v>
      </c>
      <c r="D2143" s="2" t="s">
        <v>22208</v>
      </c>
      <c r="E2143" s="2" t="s">
        <v>22209</v>
      </c>
      <c r="G2143" s="3" t="s">
        <v>64</v>
      </c>
      <c r="I2143" s="3" t="s">
        <v>64</v>
      </c>
      <c r="J2143" s="3" t="s">
        <v>64</v>
      </c>
      <c r="K2143" s="3" t="s">
        <v>65</v>
      </c>
      <c r="M2143" s="2" t="s">
        <v>6841</v>
      </c>
      <c r="N2143" s="3" t="s">
        <v>377</v>
      </c>
      <c r="P2143" s="3" t="s">
        <v>69</v>
      </c>
      <c r="Q2143" s="2" t="s">
        <v>22210</v>
      </c>
      <c r="R2143" s="3" t="s">
        <v>20939</v>
      </c>
      <c r="S2143" s="4">
        <v>0</v>
      </c>
      <c r="T2143" s="4">
        <v>0</v>
      </c>
      <c r="W2143" s="5" t="s">
        <v>72</v>
      </c>
      <c r="X2143" s="5" t="s">
        <v>72</v>
      </c>
      <c r="Y2143" s="4">
        <v>78</v>
      </c>
      <c r="Z2143" s="4">
        <v>3</v>
      </c>
      <c r="AA2143" s="4">
        <v>32</v>
      </c>
      <c r="AB2143" s="4">
        <v>1</v>
      </c>
      <c r="AC2143" s="4">
        <v>6</v>
      </c>
      <c r="AD2143" s="4">
        <v>46</v>
      </c>
      <c r="AE2143" s="4">
        <v>95</v>
      </c>
      <c r="AF2143" s="4">
        <v>0</v>
      </c>
      <c r="AG2143" s="4">
        <v>2</v>
      </c>
      <c r="AH2143" s="4">
        <v>45</v>
      </c>
      <c r="AI2143" s="4">
        <v>78</v>
      </c>
      <c r="AJ2143" s="4">
        <v>2</v>
      </c>
      <c r="AK2143" s="4">
        <v>13</v>
      </c>
      <c r="AL2143" s="4">
        <v>27</v>
      </c>
      <c r="AM2143" s="4">
        <v>43</v>
      </c>
      <c r="AN2143" s="4">
        <v>0</v>
      </c>
      <c r="AO2143" s="4">
        <v>0</v>
      </c>
      <c r="AP2143" s="4">
        <v>2</v>
      </c>
      <c r="AQ2143" s="4">
        <v>23</v>
      </c>
      <c r="AR2143" s="3" t="s">
        <v>64</v>
      </c>
      <c r="AS2143" s="3" t="s">
        <v>64</v>
      </c>
      <c r="AT2143" s="3" t="s">
        <v>64</v>
      </c>
      <c r="AV2143" s="6" t="str">
        <f>HYPERLINK("http://mcgill.on.worldcat.org/oclc/812531832","Catalog Record")</f>
        <v>Catalog Record</v>
      </c>
      <c r="AW2143" s="6" t="str">
        <f>HYPERLINK("http://www.worldcat.org/oclc/812531832","WorldCat Record")</f>
        <v>WorldCat Record</v>
      </c>
      <c r="AX2143" s="3" t="s">
        <v>22211</v>
      </c>
      <c r="AY2143" s="3" t="s">
        <v>22212</v>
      </c>
      <c r="AZ2143" s="3" t="s">
        <v>22213</v>
      </c>
      <c r="BA2143" s="3" t="s">
        <v>22213</v>
      </c>
      <c r="BB2143" s="3" t="s">
        <v>22214</v>
      </c>
      <c r="BC2143" s="3" t="s">
        <v>78</v>
      </c>
      <c r="BD2143" s="3" t="s">
        <v>79</v>
      </c>
      <c r="BE2143" s="3" t="s">
        <v>22215</v>
      </c>
      <c r="BF2143" s="3" t="s">
        <v>22214</v>
      </c>
      <c r="BG2143" s="3" t="s">
        <v>22216</v>
      </c>
    </row>
    <row r="2144" spans="1:59" ht="72.5" x14ac:dyDescent="0.35">
      <c r="A2144" s="2" t="s">
        <v>59</v>
      </c>
      <c r="B2144" s="2" t="s">
        <v>94</v>
      </c>
      <c r="C2144" s="2" t="s">
        <v>22217</v>
      </c>
      <c r="D2144" s="2" t="s">
        <v>22218</v>
      </c>
      <c r="E2144" s="2" t="s">
        <v>22219</v>
      </c>
      <c r="G2144" s="3" t="s">
        <v>64</v>
      </c>
      <c r="I2144" s="3" t="s">
        <v>64</v>
      </c>
      <c r="J2144" s="3" t="s">
        <v>64</v>
      </c>
      <c r="K2144" s="3" t="s">
        <v>65</v>
      </c>
      <c r="L2144" s="2" t="s">
        <v>22220</v>
      </c>
      <c r="M2144" s="2" t="s">
        <v>10496</v>
      </c>
      <c r="N2144" s="3" t="s">
        <v>524</v>
      </c>
      <c r="P2144" s="3" t="s">
        <v>69</v>
      </c>
      <c r="Q2144" s="2" t="s">
        <v>22221</v>
      </c>
      <c r="R2144" s="3" t="s">
        <v>20939</v>
      </c>
      <c r="S2144" s="4">
        <v>0</v>
      </c>
      <c r="T2144" s="4">
        <v>0</v>
      </c>
      <c r="W2144" s="5" t="s">
        <v>72</v>
      </c>
      <c r="X2144" s="5" t="s">
        <v>72</v>
      </c>
      <c r="Y2144" s="4">
        <v>77</v>
      </c>
      <c r="Z2144" s="4">
        <v>4</v>
      </c>
      <c r="AA2144" s="4">
        <v>32</v>
      </c>
      <c r="AB2144" s="4">
        <v>1</v>
      </c>
      <c r="AC2144" s="4">
        <v>6</v>
      </c>
      <c r="AD2144" s="4">
        <v>45</v>
      </c>
      <c r="AE2144" s="4">
        <v>95</v>
      </c>
      <c r="AF2144" s="4">
        <v>0</v>
      </c>
      <c r="AG2144" s="4">
        <v>2</v>
      </c>
      <c r="AH2144" s="4">
        <v>44</v>
      </c>
      <c r="AI2144" s="4">
        <v>78</v>
      </c>
      <c r="AJ2144" s="4">
        <v>3</v>
      </c>
      <c r="AK2144" s="4">
        <v>13</v>
      </c>
      <c r="AL2144" s="4">
        <v>24</v>
      </c>
      <c r="AM2144" s="4">
        <v>42</v>
      </c>
      <c r="AN2144" s="4">
        <v>0</v>
      </c>
      <c r="AO2144" s="4">
        <v>0</v>
      </c>
      <c r="AP2144" s="4">
        <v>3</v>
      </c>
      <c r="AQ2144" s="4">
        <v>23</v>
      </c>
      <c r="AR2144" s="3" t="s">
        <v>64</v>
      </c>
      <c r="AS2144" s="3" t="s">
        <v>64</v>
      </c>
      <c r="AT2144" s="3" t="s">
        <v>64</v>
      </c>
      <c r="AV2144" s="6" t="str">
        <f>HYPERLINK("http://mcgill.on.worldcat.org/oclc/830322035","Catalog Record")</f>
        <v>Catalog Record</v>
      </c>
      <c r="AW2144" s="6" t="str">
        <f>HYPERLINK("http://www.worldcat.org/oclc/830322035","WorldCat Record")</f>
        <v>WorldCat Record</v>
      </c>
      <c r="AX2144" s="3" t="s">
        <v>22222</v>
      </c>
      <c r="AY2144" s="3" t="s">
        <v>22223</v>
      </c>
      <c r="AZ2144" s="3" t="s">
        <v>22224</v>
      </c>
      <c r="BA2144" s="3" t="s">
        <v>22224</v>
      </c>
      <c r="BB2144" s="3" t="s">
        <v>22225</v>
      </c>
      <c r="BC2144" s="3" t="s">
        <v>78</v>
      </c>
      <c r="BD2144" s="3" t="s">
        <v>79</v>
      </c>
      <c r="BE2144" s="3" t="s">
        <v>22226</v>
      </c>
      <c r="BF2144" s="3" t="s">
        <v>22225</v>
      </c>
      <c r="BG2144" s="3" t="s">
        <v>22227</v>
      </c>
    </row>
    <row r="2145" spans="1:59" ht="58" x14ac:dyDescent="0.35">
      <c r="A2145" s="2" t="s">
        <v>59</v>
      </c>
      <c r="B2145" s="2" t="s">
        <v>94</v>
      </c>
      <c r="C2145" s="2" t="s">
        <v>22228</v>
      </c>
      <c r="D2145" s="2" t="s">
        <v>22229</v>
      </c>
      <c r="E2145" s="2" t="s">
        <v>22230</v>
      </c>
      <c r="G2145" s="3" t="s">
        <v>64</v>
      </c>
      <c r="I2145" s="3" t="s">
        <v>64</v>
      </c>
      <c r="J2145" s="3" t="s">
        <v>64</v>
      </c>
      <c r="K2145" s="3" t="s">
        <v>65</v>
      </c>
      <c r="L2145" s="2" t="s">
        <v>22231</v>
      </c>
      <c r="M2145" s="2" t="s">
        <v>15791</v>
      </c>
      <c r="N2145" s="3" t="s">
        <v>705</v>
      </c>
      <c r="P2145" s="3" t="s">
        <v>69</v>
      </c>
      <c r="Q2145" s="2" t="s">
        <v>450</v>
      </c>
      <c r="R2145" s="3" t="s">
        <v>20939</v>
      </c>
      <c r="S2145" s="4">
        <v>34</v>
      </c>
      <c r="T2145" s="4">
        <v>34</v>
      </c>
      <c r="U2145" s="5" t="s">
        <v>639</v>
      </c>
      <c r="V2145" s="5" t="s">
        <v>639</v>
      </c>
      <c r="W2145" s="5" t="s">
        <v>72</v>
      </c>
      <c r="X2145" s="5" t="s">
        <v>72</v>
      </c>
      <c r="Y2145" s="4">
        <v>432</v>
      </c>
      <c r="Z2145" s="4">
        <v>17</v>
      </c>
      <c r="AA2145" s="4">
        <v>22</v>
      </c>
      <c r="AB2145" s="4">
        <v>2</v>
      </c>
      <c r="AC2145" s="4">
        <v>6</v>
      </c>
      <c r="AD2145" s="4">
        <v>100</v>
      </c>
      <c r="AE2145" s="4">
        <v>105</v>
      </c>
      <c r="AF2145" s="4">
        <v>1</v>
      </c>
      <c r="AG2145" s="4">
        <v>2</v>
      </c>
      <c r="AH2145" s="4">
        <v>92</v>
      </c>
      <c r="AI2145" s="4">
        <v>96</v>
      </c>
      <c r="AJ2145" s="4">
        <v>10</v>
      </c>
      <c r="AK2145" s="4">
        <v>11</v>
      </c>
      <c r="AL2145" s="4">
        <v>53</v>
      </c>
      <c r="AM2145" s="4">
        <v>54</v>
      </c>
      <c r="AN2145" s="4">
        <v>0</v>
      </c>
      <c r="AO2145" s="4">
        <v>0</v>
      </c>
      <c r="AP2145" s="4">
        <v>12</v>
      </c>
      <c r="AQ2145" s="4">
        <v>13</v>
      </c>
      <c r="AR2145" s="3" t="s">
        <v>64</v>
      </c>
      <c r="AS2145" s="3" t="s">
        <v>64</v>
      </c>
      <c r="AT2145" s="3" t="s">
        <v>73</v>
      </c>
      <c r="AU2145" s="6" t="str">
        <f>HYPERLINK("http://catalog.hathitrust.org/Record/003062224","HathiTrust Record")</f>
        <v>HathiTrust Record</v>
      </c>
      <c r="AV2145" s="6" t="str">
        <f>HYPERLINK("http://mcgill.on.worldcat.org/oclc/33334826","Catalog Record")</f>
        <v>Catalog Record</v>
      </c>
      <c r="AW2145" s="6" t="str">
        <f>HYPERLINK("http://www.worldcat.org/oclc/33334826","WorldCat Record")</f>
        <v>WorldCat Record</v>
      </c>
      <c r="AX2145" s="3" t="s">
        <v>22232</v>
      </c>
      <c r="AY2145" s="3" t="s">
        <v>22233</v>
      </c>
      <c r="AZ2145" s="3" t="s">
        <v>22234</v>
      </c>
      <c r="BA2145" s="3" t="s">
        <v>22234</v>
      </c>
      <c r="BB2145" s="3" t="s">
        <v>22235</v>
      </c>
      <c r="BC2145" s="3" t="s">
        <v>78</v>
      </c>
      <c r="BD2145" s="3" t="s">
        <v>79</v>
      </c>
      <c r="BE2145" s="3" t="s">
        <v>22236</v>
      </c>
      <c r="BF2145" s="3" t="s">
        <v>22235</v>
      </c>
      <c r="BG2145" s="3" t="s">
        <v>22237</v>
      </c>
    </row>
    <row r="2146" spans="1:59" ht="58" x14ac:dyDescent="0.35">
      <c r="A2146" s="2" t="s">
        <v>59</v>
      </c>
      <c r="B2146" s="2" t="s">
        <v>94</v>
      </c>
      <c r="C2146" s="2" t="s">
        <v>22238</v>
      </c>
      <c r="D2146" s="2" t="s">
        <v>22239</v>
      </c>
      <c r="E2146" s="2" t="s">
        <v>22240</v>
      </c>
      <c r="G2146" s="3" t="s">
        <v>64</v>
      </c>
      <c r="I2146" s="3" t="s">
        <v>64</v>
      </c>
      <c r="J2146" s="3" t="s">
        <v>64</v>
      </c>
      <c r="K2146" s="3" t="s">
        <v>2292</v>
      </c>
      <c r="M2146" s="2" t="s">
        <v>22241</v>
      </c>
      <c r="N2146" s="3" t="s">
        <v>175</v>
      </c>
      <c r="P2146" s="3" t="s">
        <v>69</v>
      </c>
      <c r="R2146" s="3" t="s">
        <v>20939</v>
      </c>
      <c r="S2146" s="4">
        <v>0</v>
      </c>
      <c r="T2146" s="4">
        <v>0</v>
      </c>
      <c r="W2146" s="5" t="s">
        <v>72</v>
      </c>
      <c r="X2146" s="5" t="s">
        <v>72</v>
      </c>
      <c r="Y2146" s="4">
        <v>197</v>
      </c>
      <c r="Z2146" s="4">
        <v>6</v>
      </c>
      <c r="AA2146" s="4">
        <v>46</v>
      </c>
      <c r="AB2146" s="4">
        <v>1</v>
      </c>
      <c r="AC2146" s="4">
        <v>7</v>
      </c>
      <c r="AD2146" s="4">
        <v>43</v>
      </c>
      <c r="AE2146" s="4">
        <v>83</v>
      </c>
      <c r="AF2146" s="4">
        <v>0</v>
      </c>
      <c r="AG2146" s="4">
        <v>3</v>
      </c>
      <c r="AH2146" s="4">
        <v>41</v>
      </c>
      <c r="AI2146" s="4">
        <v>66</v>
      </c>
      <c r="AJ2146" s="4">
        <v>3</v>
      </c>
      <c r="AK2146" s="4">
        <v>11</v>
      </c>
      <c r="AL2146" s="4">
        <v>26</v>
      </c>
      <c r="AM2146" s="4">
        <v>42</v>
      </c>
      <c r="AN2146" s="4">
        <v>0</v>
      </c>
      <c r="AO2146" s="4">
        <v>0</v>
      </c>
      <c r="AP2146" s="4">
        <v>3</v>
      </c>
      <c r="AQ2146" s="4">
        <v>16</v>
      </c>
      <c r="AR2146" s="3" t="s">
        <v>64</v>
      </c>
      <c r="AS2146" s="3" t="s">
        <v>64</v>
      </c>
      <c r="AT2146" s="3" t="s">
        <v>64</v>
      </c>
      <c r="AV2146" s="6" t="str">
        <f>HYPERLINK("http://mcgill.on.worldcat.org/oclc/871219642","Catalog Record")</f>
        <v>Catalog Record</v>
      </c>
      <c r="AW2146" s="6" t="str">
        <f>HYPERLINK("http://www.worldcat.org/oclc/871219642","WorldCat Record")</f>
        <v>WorldCat Record</v>
      </c>
      <c r="AX2146" s="3" t="s">
        <v>22242</v>
      </c>
      <c r="AY2146" s="3" t="s">
        <v>22243</v>
      </c>
      <c r="AZ2146" s="3" t="s">
        <v>22244</v>
      </c>
      <c r="BA2146" s="3" t="s">
        <v>22244</v>
      </c>
      <c r="BB2146" s="3" t="s">
        <v>22245</v>
      </c>
      <c r="BC2146" s="3" t="s">
        <v>78</v>
      </c>
      <c r="BD2146" s="3" t="s">
        <v>79</v>
      </c>
      <c r="BE2146" s="3" t="s">
        <v>22246</v>
      </c>
      <c r="BF2146" s="3" t="s">
        <v>22245</v>
      </c>
      <c r="BG2146" s="3" t="s">
        <v>22247</v>
      </c>
    </row>
    <row r="2147" spans="1:59" ht="58" x14ac:dyDescent="0.35">
      <c r="A2147" s="2" t="s">
        <v>59</v>
      </c>
      <c r="B2147" s="2" t="s">
        <v>94</v>
      </c>
      <c r="C2147" s="2" t="s">
        <v>22248</v>
      </c>
      <c r="D2147" s="2" t="s">
        <v>22249</v>
      </c>
      <c r="E2147" s="2" t="s">
        <v>22250</v>
      </c>
      <c r="G2147" s="3" t="s">
        <v>64</v>
      </c>
      <c r="I2147" s="3" t="s">
        <v>64</v>
      </c>
      <c r="J2147" s="3" t="s">
        <v>64</v>
      </c>
      <c r="K2147" s="3" t="s">
        <v>65</v>
      </c>
      <c r="L2147" s="2" t="s">
        <v>22251</v>
      </c>
      <c r="M2147" s="2" t="s">
        <v>22252</v>
      </c>
      <c r="N2147" s="3" t="s">
        <v>524</v>
      </c>
      <c r="P2147" s="3" t="s">
        <v>69</v>
      </c>
      <c r="R2147" s="3" t="s">
        <v>20939</v>
      </c>
      <c r="S2147" s="4">
        <v>1</v>
      </c>
      <c r="T2147" s="4">
        <v>1</v>
      </c>
      <c r="U2147" s="5" t="s">
        <v>22253</v>
      </c>
      <c r="V2147" s="5" t="s">
        <v>22253</v>
      </c>
      <c r="W2147" s="5" t="s">
        <v>72</v>
      </c>
      <c r="X2147" s="5" t="s">
        <v>72</v>
      </c>
      <c r="Y2147" s="4">
        <v>57</v>
      </c>
      <c r="Z2147" s="4">
        <v>3</v>
      </c>
      <c r="AA2147" s="4">
        <v>3</v>
      </c>
      <c r="AB2147" s="4">
        <v>1</v>
      </c>
      <c r="AC2147" s="4">
        <v>1</v>
      </c>
      <c r="AD2147" s="4">
        <v>36</v>
      </c>
      <c r="AE2147" s="4">
        <v>39</v>
      </c>
      <c r="AF2147" s="4">
        <v>0</v>
      </c>
      <c r="AG2147" s="4">
        <v>0</v>
      </c>
      <c r="AH2147" s="4">
        <v>36</v>
      </c>
      <c r="AI2147" s="4">
        <v>39</v>
      </c>
      <c r="AJ2147" s="4">
        <v>2</v>
      </c>
      <c r="AK2147" s="4">
        <v>2</v>
      </c>
      <c r="AL2147" s="4">
        <v>19</v>
      </c>
      <c r="AM2147" s="4">
        <v>20</v>
      </c>
      <c r="AN2147" s="4">
        <v>0</v>
      </c>
      <c r="AO2147" s="4">
        <v>0</v>
      </c>
      <c r="AP2147" s="4">
        <v>2</v>
      </c>
      <c r="AQ2147" s="4">
        <v>2</v>
      </c>
      <c r="AR2147" s="3" t="s">
        <v>64</v>
      </c>
      <c r="AS2147" s="3" t="s">
        <v>64</v>
      </c>
      <c r="AT2147" s="3" t="s">
        <v>64</v>
      </c>
      <c r="AV2147" s="6" t="str">
        <f>HYPERLINK("http://mcgill.on.worldcat.org/oclc/859201839","Catalog Record")</f>
        <v>Catalog Record</v>
      </c>
      <c r="AW2147" s="6" t="str">
        <f>HYPERLINK("http://www.worldcat.org/oclc/859201839","WorldCat Record")</f>
        <v>WorldCat Record</v>
      </c>
      <c r="AX2147" s="3" t="s">
        <v>22254</v>
      </c>
      <c r="AY2147" s="3" t="s">
        <v>22255</v>
      </c>
      <c r="AZ2147" s="3" t="s">
        <v>22256</v>
      </c>
      <c r="BA2147" s="3" t="s">
        <v>22256</v>
      </c>
      <c r="BB2147" s="3" t="s">
        <v>22257</v>
      </c>
      <c r="BC2147" s="3" t="s">
        <v>78</v>
      </c>
      <c r="BD2147" s="3" t="s">
        <v>79</v>
      </c>
      <c r="BE2147" s="3" t="s">
        <v>22258</v>
      </c>
      <c r="BF2147" s="3" t="s">
        <v>22257</v>
      </c>
      <c r="BG2147" s="3" t="s">
        <v>22259</v>
      </c>
    </row>
    <row r="2148" spans="1:59" ht="58" x14ac:dyDescent="0.35">
      <c r="A2148" s="2" t="s">
        <v>59</v>
      </c>
      <c r="B2148" s="2" t="s">
        <v>94</v>
      </c>
      <c r="C2148" s="2" t="s">
        <v>22260</v>
      </c>
      <c r="D2148" s="2" t="s">
        <v>22261</v>
      </c>
      <c r="E2148" s="2" t="s">
        <v>22262</v>
      </c>
      <c r="G2148" s="3" t="s">
        <v>64</v>
      </c>
      <c r="I2148" s="3" t="s">
        <v>64</v>
      </c>
      <c r="J2148" s="3" t="s">
        <v>64</v>
      </c>
      <c r="K2148" s="3" t="s">
        <v>65</v>
      </c>
      <c r="L2148" s="2" t="s">
        <v>13064</v>
      </c>
      <c r="M2148" s="2" t="s">
        <v>22263</v>
      </c>
      <c r="N2148" s="3" t="s">
        <v>315</v>
      </c>
      <c r="P2148" s="3" t="s">
        <v>69</v>
      </c>
      <c r="R2148" s="3" t="s">
        <v>20939</v>
      </c>
      <c r="S2148" s="4">
        <v>40</v>
      </c>
      <c r="T2148" s="4">
        <v>40</v>
      </c>
      <c r="U2148" s="5" t="s">
        <v>11609</v>
      </c>
      <c r="V2148" s="5" t="s">
        <v>11609</v>
      </c>
      <c r="W2148" s="5" t="s">
        <v>72</v>
      </c>
      <c r="X2148" s="5" t="s">
        <v>72</v>
      </c>
      <c r="Y2148" s="4">
        <v>278</v>
      </c>
      <c r="Z2148" s="4">
        <v>73</v>
      </c>
      <c r="AA2148" s="4">
        <v>76</v>
      </c>
      <c r="AB2148" s="4">
        <v>4</v>
      </c>
      <c r="AC2148" s="4">
        <v>6</v>
      </c>
      <c r="AD2148" s="4">
        <v>131</v>
      </c>
      <c r="AE2148" s="4">
        <v>133</v>
      </c>
      <c r="AF2148" s="4">
        <v>2</v>
      </c>
      <c r="AG2148" s="4">
        <v>4</v>
      </c>
      <c r="AH2148" s="4">
        <v>96</v>
      </c>
      <c r="AI2148" s="4">
        <v>97</v>
      </c>
      <c r="AJ2148" s="4">
        <v>24</v>
      </c>
      <c r="AK2148" s="4">
        <v>26</v>
      </c>
      <c r="AL2148" s="4">
        <v>52</v>
      </c>
      <c r="AM2148" s="4">
        <v>52</v>
      </c>
      <c r="AN2148" s="4">
        <v>0</v>
      </c>
      <c r="AO2148" s="4">
        <v>0</v>
      </c>
      <c r="AP2148" s="4">
        <v>43</v>
      </c>
      <c r="AQ2148" s="4">
        <v>44</v>
      </c>
      <c r="AR2148" s="3" t="s">
        <v>73</v>
      </c>
      <c r="AS2148" s="3" t="s">
        <v>64</v>
      </c>
      <c r="AT2148" s="3" t="s">
        <v>73</v>
      </c>
      <c r="AU2148" s="6" t="str">
        <f>HYPERLINK("http://catalog.hathitrust.org/Record/000840971","HathiTrust Record")</f>
        <v>HathiTrust Record</v>
      </c>
      <c r="AV2148" s="6" t="str">
        <f>HYPERLINK("http://mcgill.on.worldcat.org/oclc/18379835","Catalog Record")</f>
        <v>Catalog Record</v>
      </c>
      <c r="AW2148" s="6" t="str">
        <f>HYPERLINK("http://www.worldcat.org/oclc/18379835","WorldCat Record")</f>
        <v>WorldCat Record</v>
      </c>
      <c r="AX2148" s="3" t="s">
        <v>22264</v>
      </c>
      <c r="AY2148" s="3" t="s">
        <v>22265</v>
      </c>
      <c r="AZ2148" s="3" t="s">
        <v>22266</v>
      </c>
      <c r="BA2148" s="3" t="s">
        <v>22266</v>
      </c>
      <c r="BB2148" s="3" t="s">
        <v>22267</v>
      </c>
      <c r="BC2148" s="3" t="s">
        <v>78</v>
      </c>
      <c r="BD2148" s="3" t="s">
        <v>79</v>
      </c>
      <c r="BE2148" s="3" t="s">
        <v>22268</v>
      </c>
      <c r="BF2148" s="3" t="s">
        <v>22267</v>
      </c>
      <c r="BG2148" s="3" t="s">
        <v>22269</v>
      </c>
    </row>
    <row r="2149" spans="1:59" ht="116" x14ac:dyDescent="0.35">
      <c r="A2149" s="2" t="s">
        <v>59</v>
      </c>
      <c r="B2149" s="2" t="s">
        <v>3778</v>
      </c>
      <c r="C2149" s="2" t="s">
        <v>22270</v>
      </c>
      <c r="D2149" s="2" t="s">
        <v>22271</v>
      </c>
      <c r="E2149" s="2" t="s">
        <v>22272</v>
      </c>
      <c r="F2149" s="3" t="s">
        <v>399</v>
      </c>
      <c r="G2149" s="3" t="s">
        <v>73</v>
      </c>
      <c r="I2149" s="3" t="s">
        <v>64</v>
      </c>
      <c r="J2149" s="3" t="s">
        <v>64</v>
      </c>
      <c r="K2149" s="3" t="s">
        <v>65</v>
      </c>
      <c r="M2149" s="2" t="s">
        <v>22273</v>
      </c>
      <c r="N2149" s="3" t="s">
        <v>1645</v>
      </c>
      <c r="O2149" s="2" t="s">
        <v>3783</v>
      </c>
      <c r="P2149" s="3" t="s">
        <v>3784</v>
      </c>
      <c r="R2149" s="3" t="s">
        <v>20939</v>
      </c>
      <c r="S2149" s="4">
        <v>0</v>
      </c>
      <c r="T2149" s="4">
        <v>0</v>
      </c>
      <c r="W2149" s="5" t="s">
        <v>72</v>
      </c>
      <c r="X2149" s="5" t="s">
        <v>72</v>
      </c>
      <c r="Y2149" s="4">
        <v>8</v>
      </c>
      <c r="Z2149" s="4">
        <v>1</v>
      </c>
      <c r="AA2149" s="4">
        <v>1</v>
      </c>
      <c r="AB2149" s="4">
        <v>1</v>
      </c>
      <c r="AC2149" s="4">
        <v>1</v>
      </c>
      <c r="AD2149" s="4">
        <v>4</v>
      </c>
      <c r="AE2149" s="4">
        <v>4</v>
      </c>
      <c r="AF2149" s="4">
        <v>0</v>
      </c>
      <c r="AG2149" s="4">
        <v>0</v>
      </c>
      <c r="AH2149" s="4">
        <v>4</v>
      </c>
      <c r="AI2149" s="4">
        <v>4</v>
      </c>
      <c r="AJ2149" s="4">
        <v>0</v>
      </c>
      <c r="AK2149" s="4">
        <v>0</v>
      </c>
      <c r="AL2149" s="4">
        <v>3</v>
      </c>
      <c r="AM2149" s="4">
        <v>3</v>
      </c>
      <c r="AN2149" s="4">
        <v>0</v>
      </c>
      <c r="AO2149" s="4">
        <v>0</v>
      </c>
      <c r="AP2149" s="4">
        <v>0</v>
      </c>
      <c r="AQ2149" s="4">
        <v>0</v>
      </c>
      <c r="AR2149" s="3" t="s">
        <v>64</v>
      </c>
      <c r="AS2149" s="3" t="s">
        <v>64</v>
      </c>
      <c r="AT2149" s="3" t="s">
        <v>64</v>
      </c>
      <c r="AV2149" s="6" t="str">
        <f>HYPERLINK("http://mcgill.on.worldcat.org/oclc/1026305536","Catalog Record")</f>
        <v>Catalog Record</v>
      </c>
      <c r="AW2149" s="6" t="str">
        <f>HYPERLINK("http://www.worldcat.org/oclc/1026305536","WorldCat Record")</f>
        <v>WorldCat Record</v>
      </c>
      <c r="AX2149" s="3" t="s">
        <v>22274</v>
      </c>
      <c r="AY2149" s="3" t="s">
        <v>22275</v>
      </c>
      <c r="AZ2149" s="3" t="s">
        <v>22276</v>
      </c>
      <c r="BA2149" s="3" t="s">
        <v>22276</v>
      </c>
      <c r="BB2149" s="3" t="s">
        <v>22277</v>
      </c>
      <c r="BC2149" s="3" t="s">
        <v>78</v>
      </c>
      <c r="BD2149" s="3" t="s">
        <v>79</v>
      </c>
      <c r="BE2149" s="3" t="s">
        <v>22278</v>
      </c>
      <c r="BF2149" s="3" t="s">
        <v>22277</v>
      </c>
      <c r="BG2149" s="3" t="s">
        <v>22279</v>
      </c>
    </row>
    <row r="2150" spans="1:59" ht="116" x14ac:dyDescent="0.35">
      <c r="A2150" s="2" t="s">
        <v>59</v>
      </c>
      <c r="B2150" s="2" t="s">
        <v>3778</v>
      </c>
      <c r="C2150" s="2" t="s">
        <v>22270</v>
      </c>
      <c r="D2150" s="2" t="s">
        <v>22271</v>
      </c>
      <c r="E2150" s="2" t="s">
        <v>22272</v>
      </c>
      <c r="F2150" s="3" t="s">
        <v>388</v>
      </c>
      <c r="G2150" s="3" t="s">
        <v>73</v>
      </c>
      <c r="I2150" s="3" t="s">
        <v>64</v>
      </c>
      <c r="J2150" s="3" t="s">
        <v>64</v>
      </c>
      <c r="K2150" s="3" t="s">
        <v>65</v>
      </c>
      <c r="M2150" s="2" t="s">
        <v>22273</v>
      </c>
      <c r="N2150" s="3" t="s">
        <v>1645</v>
      </c>
      <c r="O2150" s="2" t="s">
        <v>3783</v>
      </c>
      <c r="P2150" s="3" t="s">
        <v>3784</v>
      </c>
      <c r="R2150" s="3" t="s">
        <v>20939</v>
      </c>
      <c r="S2150" s="4">
        <v>0</v>
      </c>
      <c r="T2150" s="4">
        <v>0</v>
      </c>
      <c r="W2150" s="5" t="s">
        <v>72</v>
      </c>
      <c r="X2150" s="5" t="s">
        <v>72</v>
      </c>
      <c r="Y2150" s="4">
        <v>8</v>
      </c>
      <c r="Z2150" s="4">
        <v>1</v>
      </c>
      <c r="AA2150" s="4">
        <v>1</v>
      </c>
      <c r="AB2150" s="4">
        <v>1</v>
      </c>
      <c r="AC2150" s="4">
        <v>1</v>
      </c>
      <c r="AD2150" s="4">
        <v>4</v>
      </c>
      <c r="AE2150" s="4">
        <v>4</v>
      </c>
      <c r="AF2150" s="4">
        <v>0</v>
      </c>
      <c r="AG2150" s="4">
        <v>0</v>
      </c>
      <c r="AH2150" s="4">
        <v>4</v>
      </c>
      <c r="AI2150" s="4">
        <v>4</v>
      </c>
      <c r="AJ2150" s="4">
        <v>0</v>
      </c>
      <c r="AK2150" s="4">
        <v>0</v>
      </c>
      <c r="AL2150" s="4">
        <v>3</v>
      </c>
      <c r="AM2150" s="4">
        <v>3</v>
      </c>
      <c r="AN2150" s="4">
        <v>0</v>
      </c>
      <c r="AO2150" s="4">
        <v>0</v>
      </c>
      <c r="AP2150" s="4">
        <v>0</v>
      </c>
      <c r="AQ2150" s="4">
        <v>0</v>
      </c>
      <c r="AR2150" s="3" t="s">
        <v>64</v>
      </c>
      <c r="AS2150" s="3" t="s">
        <v>64</v>
      </c>
      <c r="AT2150" s="3" t="s">
        <v>64</v>
      </c>
      <c r="AV2150" s="6" t="str">
        <f>HYPERLINK("http://mcgill.on.worldcat.org/oclc/1026305536","Catalog Record")</f>
        <v>Catalog Record</v>
      </c>
      <c r="AW2150" s="6" t="str">
        <f>HYPERLINK("http://www.worldcat.org/oclc/1026305536","WorldCat Record")</f>
        <v>WorldCat Record</v>
      </c>
      <c r="AX2150" s="3" t="s">
        <v>22274</v>
      </c>
      <c r="AY2150" s="3" t="s">
        <v>22275</v>
      </c>
      <c r="AZ2150" s="3" t="s">
        <v>22276</v>
      </c>
      <c r="BA2150" s="3" t="s">
        <v>22276</v>
      </c>
      <c r="BB2150" s="3" t="s">
        <v>22280</v>
      </c>
      <c r="BC2150" s="3" t="s">
        <v>78</v>
      </c>
      <c r="BD2150" s="3" t="s">
        <v>79</v>
      </c>
      <c r="BE2150" s="3" t="s">
        <v>22278</v>
      </c>
      <c r="BF2150" s="3" t="s">
        <v>22280</v>
      </c>
      <c r="BG2150" s="3" t="s">
        <v>22281</v>
      </c>
    </row>
    <row r="2151" spans="1:59" ht="58" x14ac:dyDescent="0.35">
      <c r="A2151" s="2" t="s">
        <v>59</v>
      </c>
      <c r="B2151" s="2" t="s">
        <v>94</v>
      </c>
      <c r="C2151" s="2" t="s">
        <v>22282</v>
      </c>
      <c r="D2151" s="2" t="s">
        <v>22283</v>
      </c>
      <c r="E2151" s="2" t="s">
        <v>22284</v>
      </c>
      <c r="G2151" s="3" t="s">
        <v>64</v>
      </c>
      <c r="I2151" s="3" t="s">
        <v>64</v>
      </c>
      <c r="J2151" s="3" t="s">
        <v>64</v>
      </c>
      <c r="K2151" s="3" t="s">
        <v>65</v>
      </c>
      <c r="L2151" s="2" t="s">
        <v>22285</v>
      </c>
      <c r="M2151" s="2" t="s">
        <v>22286</v>
      </c>
      <c r="N2151" s="3" t="s">
        <v>524</v>
      </c>
      <c r="P2151" s="3" t="s">
        <v>69</v>
      </c>
      <c r="Q2151" s="2" t="s">
        <v>22287</v>
      </c>
      <c r="R2151" s="3" t="s">
        <v>20939</v>
      </c>
      <c r="S2151" s="4">
        <v>1</v>
      </c>
      <c r="T2151" s="4">
        <v>1</v>
      </c>
      <c r="U2151" s="5" t="s">
        <v>22288</v>
      </c>
      <c r="V2151" s="5" t="s">
        <v>22288</v>
      </c>
      <c r="W2151" s="5" t="s">
        <v>72</v>
      </c>
      <c r="X2151" s="5" t="s">
        <v>72</v>
      </c>
      <c r="Y2151" s="4">
        <v>56</v>
      </c>
      <c r="Z2151" s="4">
        <v>4</v>
      </c>
      <c r="AA2151" s="4">
        <v>8</v>
      </c>
      <c r="AB2151" s="4">
        <v>1</v>
      </c>
      <c r="AC2151" s="4">
        <v>4</v>
      </c>
      <c r="AD2151" s="4">
        <v>19</v>
      </c>
      <c r="AE2151" s="4">
        <v>29</v>
      </c>
      <c r="AF2151" s="4">
        <v>0</v>
      </c>
      <c r="AG2151" s="4">
        <v>0</v>
      </c>
      <c r="AH2151" s="4">
        <v>19</v>
      </c>
      <c r="AI2151" s="4">
        <v>27</v>
      </c>
      <c r="AJ2151" s="4">
        <v>2</v>
      </c>
      <c r="AK2151" s="4">
        <v>3</v>
      </c>
      <c r="AL2151" s="4">
        <v>13</v>
      </c>
      <c r="AM2151" s="4">
        <v>21</v>
      </c>
      <c r="AN2151" s="4">
        <v>0</v>
      </c>
      <c r="AO2151" s="4">
        <v>0</v>
      </c>
      <c r="AP2151" s="4">
        <v>2</v>
      </c>
      <c r="AQ2151" s="4">
        <v>3</v>
      </c>
      <c r="AR2151" s="3" t="s">
        <v>64</v>
      </c>
      <c r="AS2151" s="3" t="s">
        <v>64</v>
      </c>
      <c r="AT2151" s="3" t="s">
        <v>64</v>
      </c>
      <c r="AV2151" s="6" t="str">
        <f>HYPERLINK("http://mcgill.on.worldcat.org/oclc/813415354","Catalog Record")</f>
        <v>Catalog Record</v>
      </c>
      <c r="AW2151" s="6" t="str">
        <f>HYPERLINK("http://www.worldcat.org/oclc/813415354","WorldCat Record")</f>
        <v>WorldCat Record</v>
      </c>
      <c r="AX2151" s="3" t="s">
        <v>22289</v>
      </c>
      <c r="AY2151" s="3" t="s">
        <v>22290</v>
      </c>
      <c r="AZ2151" s="3" t="s">
        <v>22291</v>
      </c>
      <c r="BA2151" s="3" t="s">
        <v>22291</v>
      </c>
      <c r="BB2151" s="3" t="s">
        <v>22292</v>
      </c>
      <c r="BC2151" s="3" t="s">
        <v>78</v>
      </c>
      <c r="BD2151" s="3" t="s">
        <v>79</v>
      </c>
      <c r="BE2151" s="3" t="s">
        <v>22293</v>
      </c>
      <c r="BF2151" s="3" t="s">
        <v>22292</v>
      </c>
      <c r="BG2151" s="3" t="s">
        <v>22294</v>
      </c>
    </row>
    <row r="2152" spans="1:59" ht="58" x14ac:dyDescent="0.35">
      <c r="A2152" s="2" t="s">
        <v>59</v>
      </c>
      <c r="B2152" s="2" t="s">
        <v>94</v>
      </c>
      <c r="C2152" s="2" t="s">
        <v>22295</v>
      </c>
      <c r="D2152" s="2" t="s">
        <v>22296</v>
      </c>
      <c r="E2152" s="2" t="s">
        <v>22297</v>
      </c>
      <c r="G2152" s="3" t="s">
        <v>64</v>
      </c>
      <c r="I2152" s="3" t="s">
        <v>64</v>
      </c>
      <c r="J2152" s="3" t="s">
        <v>64</v>
      </c>
      <c r="K2152" s="3" t="s">
        <v>65</v>
      </c>
      <c r="L2152" s="2" t="s">
        <v>22298</v>
      </c>
      <c r="M2152" s="2" t="s">
        <v>17009</v>
      </c>
      <c r="N2152" s="3" t="s">
        <v>524</v>
      </c>
      <c r="P2152" s="3" t="s">
        <v>69</v>
      </c>
      <c r="R2152" s="3" t="s">
        <v>20939</v>
      </c>
      <c r="S2152" s="4">
        <v>0</v>
      </c>
      <c r="T2152" s="4">
        <v>0</v>
      </c>
      <c r="W2152" s="5" t="s">
        <v>72</v>
      </c>
      <c r="X2152" s="5" t="s">
        <v>72</v>
      </c>
      <c r="Y2152" s="4">
        <v>65</v>
      </c>
      <c r="Z2152" s="4">
        <v>3</v>
      </c>
      <c r="AA2152" s="4">
        <v>105</v>
      </c>
      <c r="AB2152" s="4">
        <v>1</v>
      </c>
      <c r="AC2152" s="4">
        <v>17</v>
      </c>
      <c r="AD2152" s="4">
        <v>42</v>
      </c>
      <c r="AE2152" s="4">
        <v>129</v>
      </c>
      <c r="AF2152" s="4">
        <v>0</v>
      </c>
      <c r="AG2152" s="4">
        <v>8</v>
      </c>
      <c r="AH2152" s="4">
        <v>41</v>
      </c>
      <c r="AI2152" s="4">
        <v>89</v>
      </c>
      <c r="AJ2152" s="4">
        <v>2</v>
      </c>
      <c r="AK2152" s="4">
        <v>21</v>
      </c>
      <c r="AL2152" s="4">
        <v>23</v>
      </c>
      <c r="AM2152" s="4">
        <v>48</v>
      </c>
      <c r="AN2152" s="4">
        <v>0</v>
      </c>
      <c r="AO2152" s="4">
        <v>0</v>
      </c>
      <c r="AP2152" s="4">
        <v>2</v>
      </c>
      <c r="AQ2152" s="4">
        <v>44</v>
      </c>
      <c r="AR2152" s="3" t="s">
        <v>64</v>
      </c>
      <c r="AS2152" s="3" t="s">
        <v>64</v>
      </c>
      <c r="AT2152" s="3" t="s">
        <v>64</v>
      </c>
      <c r="AV2152" s="6" t="str">
        <f>HYPERLINK("http://mcgill.on.worldcat.org/oclc/867838985","Catalog Record")</f>
        <v>Catalog Record</v>
      </c>
      <c r="AW2152" s="6" t="str">
        <f>HYPERLINK("http://www.worldcat.org/oclc/867838985","WorldCat Record")</f>
        <v>WorldCat Record</v>
      </c>
      <c r="AX2152" s="3" t="s">
        <v>22299</v>
      </c>
      <c r="AY2152" s="3" t="s">
        <v>22300</v>
      </c>
      <c r="AZ2152" s="3" t="s">
        <v>22301</v>
      </c>
      <c r="BA2152" s="3" t="s">
        <v>22301</v>
      </c>
      <c r="BB2152" s="3" t="s">
        <v>22302</v>
      </c>
      <c r="BC2152" s="3" t="s">
        <v>78</v>
      </c>
      <c r="BD2152" s="3" t="s">
        <v>79</v>
      </c>
      <c r="BE2152" s="3" t="s">
        <v>22303</v>
      </c>
      <c r="BF2152" s="3" t="s">
        <v>22302</v>
      </c>
      <c r="BG2152" s="3" t="s">
        <v>22304</v>
      </c>
    </row>
    <row r="2153" spans="1:59" ht="58" x14ac:dyDescent="0.35">
      <c r="A2153" s="2" t="s">
        <v>59</v>
      </c>
      <c r="B2153" s="2" t="s">
        <v>94</v>
      </c>
      <c r="C2153" s="2" t="s">
        <v>22305</v>
      </c>
      <c r="D2153" s="2" t="s">
        <v>22306</v>
      </c>
      <c r="E2153" s="2" t="s">
        <v>22307</v>
      </c>
      <c r="G2153" s="3" t="s">
        <v>64</v>
      </c>
      <c r="I2153" s="3" t="s">
        <v>64</v>
      </c>
      <c r="J2153" s="3" t="s">
        <v>64</v>
      </c>
      <c r="K2153" s="3" t="s">
        <v>65</v>
      </c>
      <c r="L2153" s="2" t="s">
        <v>22308</v>
      </c>
      <c r="M2153" s="2" t="s">
        <v>22309</v>
      </c>
      <c r="N2153" s="3" t="s">
        <v>524</v>
      </c>
      <c r="P2153" s="3" t="s">
        <v>69</v>
      </c>
      <c r="R2153" s="3" t="s">
        <v>20939</v>
      </c>
      <c r="S2153" s="4">
        <v>0</v>
      </c>
      <c r="T2153" s="4">
        <v>0</v>
      </c>
      <c r="W2153" s="5" t="s">
        <v>72</v>
      </c>
      <c r="X2153" s="5" t="s">
        <v>72</v>
      </c>
      <c r="Y2153" s="4">
        <v>58</v>
      </c>
      <c r="Z2153" s="4">
        <v>3</v>
      </c>
      <c r="AA2153" s="4">
        <v>23</v>
      </c>
      <c r="AB2153" s="4">
        <v>1</v>
      </c>
      <c r="AC2153" s="4">
        <v>4</v>
      </c>
      <c r="AD2153" s="4">
        <v>20</v>
      </c>
      <c r="AE2153" s="4">
        <v>32</v>
      </c>
      <c r="AF2153" s="4">
        <v>0</v>
      </c>
      <c r="AG2153" s="4">
        <v>0</v>
      </c>
      <c r="AH2153" s="4">
        <v>20</v>
      </c>
      <c r="AI2153" s="4">
        <v>29</v>
      </c>
      <c r="AJ2153" s="4">
        <v>1</v>
      </c>
      <c r="AK2153" s="4">
        <v>3</v>
      </c>
      <c r="AL2153" s="4">
        <v>12</v>
      </c>
      <c r="AM2153" s="4">
        <v>16</v>
      </c>
      <c r="AN2153" s="4">
        <v>0</v>
      </c>
      <c r="AO2153" s="4">
        <v>0</v>
      </c>
      <c r="AP2153" s="4">
        <v>1</v>
      </c>
      <c r="AQ2153" s="4">
        <v>6</v>
      </c>
      <c r="AR2153" s="3" t="s">
        <v>64</v>
      </c>
      <c r="AS2153" s="3" t="s">
        <v>64</v>
      </c>
      <c r="AT2153" s="3" t="s">
        <v>64</v>
      </c>
      <c r="AV2153" s="6" t="str">
        <f>HYPERLINK("http://mcgill.on.worldcat.org/oclc/843810348","Catalog Record")</f>
        <v>Catalog Record</v>
      </c>
      <c r="AW2153" s="6" t="str">
        <f>HYPERLINK("http://www.worldcat.org/oclc/843810348","WorldCat Record")</f>
        <v>WorldCat Record</v>
      </c>
      <c r="AX2153" s="3" t="s">
        <v>22310</v>
      </c>
      <c r="AY2153" s="3" t="s">
        <v>22311</v>
      </c>
      <c r="AZ2153" s="3" t="s">
        <v>22312</v>
      </c>
      <c r="BA2153" s="3" t="s">
        <v>22312</v>
      </c>
      <c r="BB2153" s="3" t="s">
        <v>22313</v>
      </c>
      <c r="BC2153" s="3" t="s">
        <v>78</v>
      </c>
      <c r="BD2153" s="3" t="s">
        <v>79</v>
      </c>
      <c r="BE2153" s="3" t="s">
        <v>22314</v>
      </c>
      <c r="BF2153" s="3" t="s">
        <v>22313</v>
      </c>
      <c r="BG2153" s="3" t="s">
        <v>22315</v>
      </c>
    </row>
    <row r="2154" spans="1:59" ht="58" x14ac:dyDescent="0.35">
      <c r="A2154" s="2" t="s">
        <v>59</v>
      </c>
      <c r="B2154" s="2" t="s">
        <v>94</v>
      </c>
      <c r="C2154" s="2" t="s">
        <v>22316</v>
      </c>
      <c r="D2154" s="2" t="s">
        <v>22317</v>
      </c>
      <c r="E2154" s="2" t="s">
        <v>22318</v>
      </c>
      <c r="G2154" s="3" t="s">
        <v>64</v>
      </c>
      <c r="I2154" s="3" t="s">
        <v>64</v>
      </c>
      <c r="J2154" s="3" t="s">
        <v>64</v>
      </c>
      <c r="K2154" s="3" t="s">
        <v>65</v>
      </c>
      <c r="L2154" s="2" t="s">
        <v>22319</v>
      </c>
      <c r="M2154" s="2" t="s">
        <v>22320</v>
      </c>
      <c r="N2154" s="3" t="s">
        <v>328</v>
      </c>
      <c r="P2154" s="3" t="s">
        <v>69</v>
      </c>
      <c r="Q2154" s="2" t="s">
        <v>22321</v>
      </c>
      <c r="R2154" s="3" t="s">
        <v>20939</v>
      </c>
      <c r="S2154" s="4">
        <v>2</v>
      </c>
      <c r="T2154" s="4">
        <v>2</v>
      </c>
      <c r="U2154" s="5" t="s">
        <v>22322</v>
      </c>
      <c r="V2154" s="5" t="s">
        <v>22322</v>
      </c>
      <c r="W2154" s="5" t="s">
        <v>72</v>
      </c>
      <c r="X2154" s="5" t="s">
        <v>72</v>
      </c>
      <c r="Y2154" s="4">
        <v>44</v>
      </c>
      <c r="Z2154" s="4">
        <v>4</v>
      </c>
      <c r="AA2154" s="4">
        <v>4</v>
      </c>
      <c r="AB2154" s="4">
        <v>1</v>
      </c>
      <c r="AC2154" s="4">
        <v>1</v>
      </c>
      <c r="AD2154" s="4">
        <v>31</v>
      </c>
      <c r="AE2154" s="4">
        <v>32</v>
      </c>
      <c r="AF2154" s="4">
        <v>0</v>
      </c>
      <c r="AG2154" s="4">
        <v>0</v>
      </c>
      <c r="AH2154" s="4">
        <v>30</v>
      </c>
      <c r="AI2154" s="4">
        <v>31</v>
      </c>
      <c r="AJ2154" s="4">
        <v>2</v>
      </c>
      <c r="AK2154" s="4">
        <v>2</v>
      </c>
      <c r="AL2154" s="4">
        <v>23</v>
      </c>
      <c r="AM2154" s="4">
        <v>24</v>
      </c>
      <c r="AN2154" s="4">
        <v>0</v>
      </c>
      <c r="AO2154" s="4">
        <v>0</v>
      </c>
      <c r="AP2154" s="4">
        <v>2</v>
      </c>
      <c r="AQ2154" s="4">
        <v>2</v>
      </c>
      <c r="AR2154" s="3" t="s">
        <v>64</v>
      </c>
      <c r="AS2154" s="3" t="s">
        <v>64</v>
      </c>
      <c r="AT2154" s="3" t="s">
        <v>64</v>
      </c>
      <c r="AV2154" s="6" t="str">
        <f>HYPERLINK("http://mcgill.on.worldcat.org/oclc/752132235","Catalog Record")</f>
        <v>Catalog Record</v>
      </c>
      <c r="AW2154" s="6" t="str">
        <f>HYPERLINK("http://www.worldcat.org/oclc/752132235","WorldCat Record")</f>
        <v>WorldCat Record</v>
      </c>
      <c r="AX2154" s="3" t="s">
        <v>22323</v>
      </c>
      <c r="AY2154" s="3" t="s">
        <v>22324</v>
      </c>
      <c r="AZ2154" s="3" t="s">
        <v>22325</v>
      </c>
      <c r="BA2154" s="3" t="s">
        <v>22325</v>
      </c>
      <c r="BB2154" s="3" t="s">
        <v>22326</v>
      </c>
      <c r="BC2154" s="3" t="s">
        <v>78</v>
      </c>
      <c r="BD2154" s="3" t="s">
        <v>79</v>
      </c>
      <c r="BF2154" s="3" t="s">
        <v>22326</v>
      </c>
      <c r="BG2154" s="3" t="s">
        <v>22327</v>
      </c>
    </row>
    <row r="2155" spans="1:59" ht="58" x14ac:dyDescent="0.35">
      <c r="A2155" s="2" t="s">
        <v>59</v>
      </c>
      <c r="B2155" s="2" t="s">
        <v>94</v>
      </c>
      <c r="C2155" s="2" t="s">
        <v>22328</v>
      </c>
      <c r="D2155" s="2" t="s">
        <v>22329</v>
      </c>
      <c r="E2155" s="2" t="s">
        <v>22330</v>
      </c>
      <c r="G2155" s="3" t="s">
        <v>64</v>
      </c>
      <c r="I2155" s="3" t="s">
        <v>64</v>
      </c>
      <c r="J2155" s="3" t="s">
        <v>64</v>
      </c>
      <c r="K2155" s="3" t="s">
        <v>65</v>
      </c>
      <c r="L2155" s="2" t="s">
        <v>22331</v>
      </c>
      <c r="M2155" s="2" t="s">
        <v>22332</v>
      </c>
      <c r="N2155" s="3" t="s">
        <v>87</v>
      </c>
      <c r="O2155" s="2" t="s">
        <v>525</v>
      </c>
      <c r="P2155" s="3" t="s">
        <v>69</v>
      </c>
      <c r="Q2155" s="2" t="s">
        <v>22333</v>
      </c>
      <c r="R2155" s="3" t="s">
        <v>20939</v>
      </c>
      <c r="S2155" s="4">
        <v>0</v>
      </c>
      <c r="T2155" s="4">
        <v>0</v>
      </c>
      <c r="W2155" s="5" t="s">
        <v>72</v>
      </c>
      <c r="X2155" s="5" t="s">
        <v>72</v>
      </c>
      <c r="Y2155" s="4">
        <v>37</v>
      </c>
      <c r="Z2155" s="4">
        <v>3</v>
      </c>
      <c r="AA2155" s="4">
        <v>13</v>
      </c>
      <c r="AB2155" s="4">
        <v>1</v>
      </c>
      <c r="AC2155" s="4">
        <v>5</v>
      </c>
      <c r="AD2155" s="4">
        <v>20</v>
      </c>
      <c r="AE2155" s="4">
        <v>33</v>
      </c>
      <c r="AF2155" s="4">
        <v>0</v>
      </c>
      <c r="AG2155" s="4">
        <v>3</v>
      </c>
      <c r="AH2155" s="4">
        <v>19</v>
      </c>
      <c r="AI2155" s="4">
        <v>27</v>
      </c>
      <c r="AJ2155" s="4">
        <v>1</v>
      </c>
      <c r="AK2155" s="4">
        <v>4</v>
      </c>
      <c r="AL2155" s="4">
        <v>15</v>
      </c>
      <c r="AM2155" s="4">
        <v>21</v>
      </c>
      <c r="AN2155" s="4">
        <v>0</v>
      </c>
      <c r="AO2155" s="4">
        <v>0</v>
      </c>
      <c r="AP2155" s="4">
        <v>1</v>
      </c>
      <c r="AQ2155" s="4">
        <v>8</v>
      </c>
      <c r="AR2155" s="3" t="s">
        <v>64</v>
      </c>
      <c r="AS2155" s="3" t="s">
        <v>64</v>
      </c>
      <c r="AT2155" s="3" t="s">
        <v>64</v>
      </c>
      <c r="AV2155" s="6" t="str">
        <f>HYPERLINK("http://mcgill.on.worldcat.org/oclc/911004679","Catalog Record")</f>
        <v>Catalog Record</v>
      </c>
      <c r="AW2155" s="6" t="str">
        <f>HYPERLINK("http://www.worldcat.org/oclc/911004679","WorldCat Record")</f>
        <v>WorldCat Record</v>
      </c>
      <c r="AX2155" s="3" t="s">
        <v>22334</v>
      </c>
      <c r="AY2155" s="3" t="s">
        <v>22335</v>
      </c>
      <c r="AZ2155" s="3" t="s">
        <v>22336</v>
      </c>
      <c r="BA2155" s="3" t="s">
        <v>22336</v>
      </c>
      <c r="BB2155" s="3" t="s">
        <v>22337</v>
      </c>
      <c r="BC2155" s="3" t="s">
        <v>78</v>
      </c>
      <c r="BD2155" s="3" t="s">
        <v>79</v>
      </c>
      <c r="BE2155" s="3" t="s">
        <v>22338</v>
      </c>
      <c r="BF2155" s="3" t="s">
        <v>22337</v>
      </c>
      <c r="BG2155" s="3" t="s">
        <v>22339</v>
      </c>
    </row>
    <row r="2156" spans="1:59" ht="58" x14ac:dyDescent="0.35">
      <c r="A2156" s="2" t="s">
        <v>59</v>
      </c>
      <c r="B2156" s="2" t="s">
        <v>94</v>
      </c>
      <c r="C2156" s="2" t="s">
        <v>22340</v>
      </c>
      <c r="D2156" s="2" t="s">
        <v>22341</v>
      </c>
      <c r="E2156" s="2" t="s">
        <v>22342</v>
      </c>
      <c r="G2156" s="3" t="s">
        <v>64</v>
      </c>
      <c r="I2156" s="3" t="s">
        <v>64</v>
      </c>
      <c r="J2156" s="3" t="s">
        <v>64</v>
      </c>
      <c r="K2156" s="3" t="s">
        <v>65</v>
      </c>
      <c r="M2156" s="2" t="s">
        <v>6841</v>
      </c>
      <c r="N2156" s="3" t="s">
        <v>377</v>
      </c>
      <c r="P2156" s="3" t="s">
        <v>69</v>
      </c>
      <c r="Q2156" s="2" t="s">
        <v>18487</v>
      </c>
      <c r="R2156" s="3" t="s">
        <v>20939</v>
      </c>
      <c r="S2156" s="4">
        <v>0</v>
      </c>
      <c r="T2156" s="4">
        <v>0</v>
      </c>
      <c r="W2156" s="5" t="s">
        <v>72</v>
      </c>
      <c r="X2156" s="5" t="s">
        <v>72</v>
      </c>
      <c r="Y2156" s="4">
        <v>85</v>
      </c>
      <c r="Z2156" s="4">
        <v>5</v>
      </c>
      <c r="AA2156" s="4">
        <v>8</v>
      </c>
      <c r="AB2156" s="4">
        <v>1</v>
      </c>
      <c r="AC2156" s="4">
        <v>1</v>
      </c>
      <c r="AD2156" s="4">
        <v>47</v>
      </c>
      <c r="AE2156" s="4">
        <v>53</v>
      </c>
      <c r="AF2156" s="4">
        <v>0</v>
      </c>
      <c r="AG2156" s="4">
        <v>0</v>
      </c>
      <c r="AH2156" s="4">
        <v>46</v>
      </c>
      <c r="AI2156" s="4">
        <v>50</v>
      </c>
      <c r="AJ2156" s="4">
        <v>3</v>
      </c>
      <c r="AK2156" s="4">
        <v>6</v>
      </c>
      <c r="AL2156" s="4">
        <v>28</v>
      </c>
      <c r="AM2156" s="4">
        <v>29</v>
      </c>
      <c r="AN2156" s="4">
        <v>0</v>
      </c>
      <c r="AO2156" s="4">
        <v>0</v>
      </c>
      <c r="AP2156" s="4">
        <v>3</v>
      </c>
      <c r="AQ2156" s="4">
        <v>6</v>
      </c>
      <c r="AR2156" s="3" t="s">
        <v>64</v>
      </c>
      <c r="AS2156" s="3" t="s">
        <v>64</v>
      </c>
      <c r="AT2156" s="3" t="s">
        <v>64</v>
      </c>
      <c r="AV2156" s="6" t="str">
        <f>HYPERLINK("http://mcgill.on.worldcat.org/oclc/773534862","Catalog Record")</f>
        <v>Catalog Record</v>
      </c>
      <c r="AW2156" s="6" t="str">
        <f>HYPERLINK("http://www.worldcat.org/oclc/773534862","WorldCat Record")</f>
        <v>WorldCat Record</v>
      </c>
      <c r="AX2156" s="3" t="s">
        <v>22343</v>
      </c>
      <c r="AY2156" s="3" t="s">
        <v>22344</v>
      </c>
      <c r="AZ2156" s="3" t="s">
        <v>22345</v>
      </c>
      <c r="BA2156" s="3" t="s">
        <v>22345</v>
      </c>
      <c r="BB2156" s="3" t="s">
        <v>22346</v>
      </c>
      <c r="BC2156" s="3" t="s">
        <v>78</v>
      </c>
      <c r="BD2156" s="3" t="s">
        <v>79</v>
      </c>
      <c r="BE2156" s="3" t="s">
        <v>22347</v>
      </c>
      <c r="BF2156" s="3" t="s">
        <v>22346</v>
      </c>
      <c r="BG2156" s="3" t="s">
        <v>22348</v>
      </c>
    </row>
    <row r="2157" spans="1:59" ht="87" x14ac:dyDescent="0.35">
      <c r="A2157" s="2" t="s">
        <v>59</v>
      </c>
      <c r="B2157" s="2" t="s">
        <v>94</v>
      </c>
      <c r="C2157" s="2" t="s">
        <v>22349</v>
      </c>
      <c r="D2157" s="2" t="s">
        <v>22350</v>
      </c>
      <c r="E2157" s="2" t="s">
        <v>22351</v>
      </c>
      <c r="G2157" s="3" t="s">
        <v>64</v>
      </c>
      <c r="I2157" s="3" t="s">
        <v>64</v>
      </c>
      <c r="J2157" s="3" t="s">
        <v>64</v>
      </c>
      <c r="K2157" s="3" t="s">
        <v>65</v>
      </c>
      <c r="L2157" s="2" t="s">
        <v>22352</v>
      </c>
      <c r="M2157" s="2" t="s">
        <v>5066</v>
      </c>
      <c r="N2157" s="3" t="s">
        <v>175</v>
      </c>
      <c r="P2157" s="3" t="s">
        <v>69</v>
      </c>
      <c r="Q2157" s="2" t="s">
        <v>22353</v>
      </c>
      <c r="R2157" s="3" t="s">
        <v>20939</v>
      </c>
      <c r="S2157" s="4">
        <v>0</v>
      </c>
      <c r="T2157" s="4">
        <v>0</v>
      </c>
      <c r="W2157" s="5" t="s">
        <v>72</v>
      </c>
      <c r="X2157" s="5" t="s">
        <v>72</v>
      </c>
      <c r="Y2157" s="4">
        <v>59</v>
      </c>
      <c r="Z2157" s="4">
        <v>3</v>
      </c>
      <c r="AA2157" s="4">
        <v>32</v>
      </c>
      <c r="AB2157" s="4">
        <v>1</v>
      </c>
      <c r="AC2157" s="4">
        <v>6</v>
      </c>
      <c r="AD2157" s="4">
        <v>39</v>
      </c>
      <c r="AE2157" s="4">
        <v>93</v>
      </c>
      <c r="AF2157" s="4">
        <v>0</v>
      </c>
      <c r="AG2157" s="4">
        <v>2</v>
      </c>
      <c r="AH2157" s="4">
        <v>38</v>
      </c>
      <c r="AI2157" s="4">
        <v>76</v>
      </c>
      <c r="AJ2157" s="4">
        <v>2</v>
      </c>
      <c r="AK2157" s="4">
        <v>13</v>
      </c>
      <c r="AL2157" s="4">
        <v>22</v>
      </c>
      <c r="AM2157" s="4">
        <v>42</v>
      </c>
      <c r="AN2157" s="4">
        <v>0</v>
      </c>
      <c r="AO2157" s="4">
        <v>0</v>
      </c>
      <c r="AP2157" s="4">
        <v>2</v>
      </c>
      <c r="AQ2157" s="4">
        <v>23</v>
      </c>
      <c r="AR2157" s="3" t="s">
        <v>64</v>
      </c>
      <c r="AS2157" s="3" t="s">
        <v>64</v>
      </c>
      <c r="AT2157" s="3" t="s">
        <v>64</v>
      </c>
      <c r="AV2157" s="6" t="str">
        <f>HYPERLINK("http://mcgill.on.worldcat.org/oclc/880565122","Catalog Record")</f>
        <v>Catalog Record</v>
      </c>
      <c r="AW2157" s="6" t="str">
        <f>HYPERLINK("http://www.worldcat.org/oclc/880565122","WorldCat Record")</f>
        <v>WorldCat Record</v>
      </c>
      <c r="AX2157" s="3" t="s">
        <v>22354</v>
      </c>
      <c r="AY2157" s="3" t="s">
        <v>22355</v>
      </c>
      <c r="AZ2157" s="3" t="s">
        <v>22356</v>
      </c>
      <c r="BA2157" s="3" t="s">
        <v>22356</v>
      </c>
      <c r="BB2157" s="3" t="s">
        <v>22357</v>
      </c>
      <c r="BC2157" s="3" t="s">
        <v>78</v>
      </c>
      <c r="BD2157" s="3" t="s">
        <v>79</v>
      </c>
      <c r="BE2157" s="3" t="s">
        <v>22358</v>
      </c>
      <c r="BF2157" s="3" t="s">
        <v>22357</v>
      </c>
      <c r="BG2157" s="3" t="s">
        <v>22359</v>
      </c>
    </row>
    <row r="2158" spans="1:59" ht="58" x14ac:dyDescent="0.35">
      <c r="A2158" s="2" t="s">
        <v>59</v>
      </c>
      <c r="B2158" s="2" t="s">
        <v>94</v>
      </c>
      <c r="C2158" s="2" t="s">
        <v>22360</v>
      </c>
      <c r="D2158" s="2" t="s">
        <v>22361</v>
      </c>
      <c r="E2158" s="2" t="s">
        <v>22362</v>
      </c>
      <c r="G2158" s="3" t="s">
        <v>64</v>
      </c>
      <c r="I2158" s="3" t="s">
        <v>64</v>
      </c>
      <c r="J2158" s="3" t="s">
        <v>64</v>
      </c>
      <c r="K2158" s="3" t="s">
        <v>65</v>
      </c>
      <c r="M2158" s="2" t="s">
        <v>5089</v>
      </c>
      <c r="N2158" s="3" t="s">
        <v>214</v>
      </c>
      <c r="P2158" s="3" t="s">
        <v>69</v>
      </c>
      <c r="Q2158" s="2" t="s">
        <v>22363</v>
      </c>
      <c r="R2158" s="3" t="s">
        <v>20939</v>
      </c>
      <c r="S2158" s="4">
        <v>0</v>
      </c>
      <c r="T2158" s="4">
        <v>0</v>
      </c>
      <c r="W2158" s="5" t="s">
        <v>72</v>
      </c>
      <c r="X2158" s="5" t="s">
        <v>72</v>
      </c>
      <c r="Y2158" s="4">
        <v>90</v>
      </c>
      <c r="Z2158" s="4">
        <v>5</v>
      </c>
      <c r="AA2158" s="4">
        <v>10</v>
      </c>
      <c r="AB2158" s="4">
        <v>1</v>
      </c>
      <c r="AC2158" s="4">
        <v>1</v>
      </c>
      <c r="AD2158" s="4">
        <v>51</v>
      </c>
      <c r="AE2158" s="4">
        <v>59</v>
      </c>
      <c r="AF2158" s="4">
        <v>0</v>
      </c>
      <c r="AG2158" s="4">
        <v>0</v>
      </c>
      <c r="AH2158" s="4">
        <v>49</v>
      </c>
      <c r="AI2158" s="4">
        <v>56</v>
      </c>
      <c r="AJ2158" s="4">
        <v>3</v>
      </c>
      <c r="AK2158" s="4">
        <v>7</v>
      </c>
      <c r="AL2158" s="4">
        <v>25</v>
      </c>
      <c r="AM2158" s="4">
        <v>26</v>
      </c>
      <c r="AN2158" s="4">
        <v>5</v>
      </c>
      <c r="AO2158" s="4">
        <v>5</v>
      </c>
      <c r="AP2158" s="4">
        <v>3</v>
      </c>
      <c r="AQ2158" s="4">
        <v>8</v>
      </c>
      <c r="AR2158" s="3" t="s">
        <v>64</v>
      </c>
      <c r="AS2158" s="3" t="s">
        <v>64</v>
      </c>
      <c r="AT2158" s="3" t="s">
        <v>73</v>
      </c>
      <c r="AU2158" s="6" t="str">
        <f>HYPERLINK("http://catalog.hathitrust.org/Record/008459334","HathiTrust Record")</f>
        <v>HathiTrust Record</v>
      </c>
      <c r="AV2158" s="6" t="str">
        <f>HYPERLINK("http://mcgill.on.worldcat.org/oclc/612961771","Catalog Record")</f>
        <v>Catalog Record</v>
      </c>
      <c r="AW2158" s="6" t="str">
        <f>HYPERLINK("http://www.worldcat.org/oclc/612961771","WorldCat Record")</f>
        <v>WorldCat Record</v>
      </c>
      <c r="AX2158" s="3" t="s">
        <v>22364</v>
      </c>
      <c r="AY2158" s="3" t="s">
        <v>22365</v>
      </c>
      <c r="AZ2158" s="3" t="s">
        <v>22366</v>
      </c>
      <c r="BA2158" s="3" t="s">
        <v>22366</v>
      </c>
      <c r="BB2158" s="3" t="s">
        <v>22367</v>
      </c>
      <c r="BC2158" s="3" t="s">
        <v>78</v>
      </c>
      <c r="BD2158" s="3" t="s">
        <v>79</v>
      </c>
      <c r="BE2158" s="3" t="s">
        <v>22368</v>
      </c>
      <c r="BF2158" s="3" t="s">
        <v>22367</v>
      </c>
      <c r="BG2158" s="3" t="s">
        <v>22369</v>
      </c>
    </row>
    <row r="2159" spans="1:59" ht="58" x14ac:dyDescent="0.35">
      <c r="A2159" s="2" t="s">
        <v>59</v>
      </c>
      <c r="B2159" s="2" t="s">
        <v>94</v>
      </c>
      <c r="C2159" s="2" t="s">
        <v>22370</v>
      </c>
      <c r="D2159" s="2" t="s">
        <v>22371</v>
      </c>
      <c r="E2159" s="2" t="s">
        <v>22372</v>
      </c>
      <c r="G2159" s="3" t="s">
        <v>64</v>
      </c>
      <c r="I2159" s="3" t="s">
        <v>64</v>
      </c>
      <c r="J2159" s="3" t="s">
        <v>64</v>
      </c>
      <c r="K2159" s="3" t="s">
        <v>65</v>
      </c>
      <c r="L2159" s="2" t="s">
        <v>22373</v>
      </c>
      <c r="M2159" s="2" t="s">
        <v>5100</v>
      </c>
      <c r="N2159" s="3" t="s">
        <v>328</v>
      </c>
      <c r="P2159" s="3" t="s">
        <v>69</v>
      </c>
      <c r="Q2159" s="2" t="s">
        <v>22374</v>
      </c>
      <c r="R2159" s="3" t="s">
        <v>20939</v>
      </c>
      <c r="S2159" s="4">
        <v>0</v>
      </c>
      <c r="T2159" s="4">
        <v>0</v>
      </c>
      <c r="W2159" s="5" t="s">
        <v>72</v>
      </c>
      <c r="X2159" s="5" t="s">
        <v>72</v>
      </c>
      <c r="Y2159" s="4">
        <v>84</v>
      </c>
      <c r="Z2159" s="4">
        <v>5</v>
      </c>
      <c r="AA2159" s="4">
        <v>8</v>
      </c>
      <c r="AB2159" s="4">
        <v>1</v>
      </c>
      <c r="AC2159" s="4">
        <v>1</v>
      </c>
      <c r="AD2159" s="4">
        <v>47</v>
      </c>
      <c r="AE2159" s="4">
        <v>54</v>
      </c>
      <c r="AF2159" s="4">
        <v>0</v>
      </c>
      <c r="AG2159" s="4">
        <v>0</v>
      </c>
      <c r="AH2159" s="4">
        <v>46</v>
      </c>
      <c r="AI2159" s="4">
        <v>52</v>
      </c>
      <c r="AJ2159" s="4">
        <v>3</v>
      </c>
      <c r="AK2159" s="4">
        <v>6</v>
      </c>
      <c r="AL2159" s="4">
        <v>26</v>
      </c>
      <c r="AM2159" s="4">
        <v>28</v>
      </c>
      <c r="AN2159" s="4">
        <v>0</v>
      </c>
      <c r="AO2159" s="4">
        <v>0</v>
      </c>
      <c r="AP2159" s="4">
        <v>3</v>
      </c>
      <c r="AQ2159" s="4">
        <v>6</v>
      </c>
      <c r="AR2159" s="3" t="s">
        <v>64</v>
      </c>
      <c r="AS2159" s="3" t="s">
        <v>64</v>
      </c>
      <c r="AT2159" s="3" t="s">
        <v>64</v>
      </c>
      <c r="AV2159" s="6" t="str">
        <f>HYPERLINK("http://mcgill.on.worldcat.org/oclc/711959770","Catalog Record")</f>
        <v>Catalog Record</v>
      </c>
      <c r="AW2159" s="6" t="str">
        <f>HYPERLINK("http://www.worldcat.org/oclc/711959770","WorldCat Record")</f>
        <v>WorldCat Record</v>
      </c>
      <c r="AX2159" s="3" t="s">
        <v>22375</v>
      </c>
      <c r="AY2159" s="3" t="s">
        <v>22376</v>
      </c>
      <c r="AZ2159" s="3" t="s">
        <v>22377</v>
      </c>
      <c r="BA2159" s="3" t="s">
        <v>22377</v>
      </c>
      <c r="BB2159" s="3" t="s">
        <v>22378</v>
      </c>
      <c r="BC2159" s="3" t="s">
        <v>78</v>
      </c>
      <c r="BD2159" s="3" t="s">
        <v>79</v>
      </c>
      <c r="BE2159" s="3" t="s">
        <v>22379</v>
      </c>
      <c r="BF2159" s="3" t="s">
        <v>22378</v>
      </c>
      <c r="BG2159" s="3" t="s">
        <v>22380</v>
      </c>
    </row>
    <row r="2160" spans="1:59" ht="58" x14ac:dyDescent="0.35">
      <c r="A2160" s="2" t="s">
        <v>59</v>
      </c>
      <c r="B2160" s="2" t="s">
        <v>94</v>
      </c>
      <c r="C2160" s="2" t="s">
        <v>22381</v>
      </c>
      <c r="D2160" s="2" t="s">
        <v>22382</v>
      </c>
      <c r="E2160" s="2" t="s">
        <v>22383</v>
      </c>
      <c r="G2160" s="3" t="s">
        <v>64</v>
      </c>
      <c r="I2160" s="3" t="s">
        <v>64</v>
      </c>
      <c r="J2160" s="3" t="s">
        <v>64</v>
      </c>
      <c r="K2160" s="3" t="s">
        <v>65</v>
      </c>
      <c r="L2160" s="2" t="s">
        <v>22384</v>
      </c>
      <c r="M2160" s="2" t="s">
        <v>22385</v>
      </c>
      <c r="N2160" s="3" t="s">
        <v>214</v>
      </c>
      <c r="P2160" s="3" t="s">
        <v>69</v>
      </c>
      <c r="Q2160" s="2" t="s">
        <v>18487</v>
      </c>
      <c r="R2160" s="3" t="s">
        <v>20939</v>
      </c>
      <c r="S2160" s="4">
        <v>0</v>
      </c>
      <c r="T2160" s="4">
        <v>0</v>
      </c>
      <c r="W2160" s="5" t="s">
        <v>72</v>
      </c>
      <c r="X2160" s="5" t="s">
        <v>72</v>
      </c>
      <c r="Y2160" s="4">
        <v>93</v>
      </c>
      <c r="Z2160" s="4">
        <v>5</v>
      </c>
      <c r="AA2160" s="4">
        <v>11</v>
      </c>
      <c r="AB2160" s="4">
        <v>1</v>
      </c>
      <c r="AC2160" s="4">
        <v>1</v>
      </c>
      <c r="AD2160" s="4">
        <v>51</v>
      </c>
      <c r="AE2160" s="4">
        <v>61</v>
      </c>
      <c r="AF2160" s="4">
        <v>0</v>
      </c>
      <c r="AG2160" s="4">
        <v>0</v>
      </c>
      <c r="AH2160" s="4">
        <v>50</v>
      </c>
      <c r="AI2160" s="4">
        <v>58</v>
      </c>
      <c r="AJ2160" s="4">
        <v>3</v>
      </c>
      <c r="AK2160" s="4">
        <v>8</v>
      </c>
      <c r="AL2160" s="4">
        <v>27</v>
      </c>
      <c r="AM2160" s="4">
        <v>29</v>
      </c>
      <c r="AN2160" s="4">
        <v>0</v>
      </c>
      <c r="AO2160" s="4">
        <v>0</v>
      </c>
      <c r="AP2160" s="4">
        <v>3</v>
      </c>
      <c r="AQ2160" s="4">
        <v>9</v>
      </c>
      <c r="AR2160" s="3" t="s">
        <v>64</v>
      </c>
      <c r="AS2160" s="3" t="s">
        <v>64</v>
      </c>
      <c r="AT2160" s="3" t="s">
        <v>64</v>
      </c>
      <c r="AV2160" s="6" t="str">
        <f>HYPERLINK("http://mcgill.on.worldcat.org/oclc/467359366","Catalog Record")</f>
        <v>Catalog Record</v>
      </c>
      <c r="AW2160" s="6" t="str">
        <f>HYPERLINK("http://www.worldcat.org/oclc/467359366","WorldCat Record")</f>
        <v>WorldCat Record</v>
      </c>
      <c r="AX2160" s="3" t="s">
        <v>22386</v>
      </c>
      <c r="AY2160" s="3" t="s">
        <v>22387</v>
      </c>
      <c r="AZ2160" s="3" t="s">
        <v>22388</v>
      </c>
      <c r="BA2160" s="3" t="s">
        <v>22388</v>
      </c>
      <c r="BB2160" s="3" t="s">
        <v>22389</v>
      </c>
      <c r="BC2160" s="3" t="s">
        <v>78</v>
      </c>
      <c r="BD2160" s="3" t="s">
        <v>79</v>
      </c>
      <c r="BE2160" s="3" t="s">
        <v>22390</v>
      </c>
      <c r="BF2160" s="3" t="s">
        <v>22389</v>
      </c>
      <c r="BG2160" s="3" t="s">
        <v>22391</v>
      </c>
    </row>
    <row r="2161" spans="1:59" ht="58" x14ac:dyDescent="0.35">
      <c r="A2161" s="2" t="s">
        <v>59</v>
      </c>
      <c r="B2161" s="2" t="s">
        <v>94</v>
      </c>
      <c r="C2161" s="2" t="s">
        <v>22392</v>
      </c>
      <c r="D2161" s="2" t="s">
        <v>22393</v>
      </c>
      <c r="E2161" s="2" t="s">
        <v>22394</v>
      </c>
      <c r="G2161" s="3" t="s">
        <v>64</v>
      </c>
      <c r="I2161" s="3" t="s">
        <v>64</v>
      </c>
      <c r="J2161" s="3" t="s">
        <v>64</v>
      </c>
      <c r="K2161" s="3" t="s">
        <v>65</v>
      </c>
      <c r="L2161" s="2" t="s">
        <v>19221</v>
      </c>
      <c r="M2161" s="2" t="s">
        <v>7296</v>
      </c>
      <c r="N2161" s="3" t="s">
        <v>175</v>
      </c>
      <c r="P2161" s="3" t="s">
        <v>69</v>
      </c>
      <c r="R2161" s="3" t="s">
        <v>20939</v>
      </c>
      <c r="S2161" s="4">
        <v>0</v>
      </c>
      <c r="T2161" s="4">
        <v>0</v>
      </c>
      <c r="W2161" s="5" t="s">
        <v>72</v>
      </c>
      <c r="X2161" s="5" t="s">
        <v>72</v>
      </c>
      <c r="Y2161" s="4">
        <v>62</v>
      </c>
      <c r="Z2161" s="4">
        <v>3</v>
      </c>
      <c r="AA2161" s="4">
        <v>32</v>
      </c>
      <c r="AB2161" s="4">
        <v>1</v>
      </c>
      <c r="AC2161" s="4">
        <v>6</v>
      </c>
      <c r="AD2161" s="4">
        <v>40</v>
      </c>
      <c r="AE2161" s="4">
        <v>94</v>
      </c>
      <c r="AF2161" s="4">
        <v>0</v>
      </c>
      <c r="AG2161" s="4">
        <v>2</v>
      </c>
      <c r="AH2161" s="4">
        <v>39</v>
      </c>
      <c r="AI2161" s="4">
        <v>77</v>
      </c>
      <c r="AJ2161" s="4">
        <v>2</v>
      </c>
      <c r="AK2161" s="4">
        <v>13</v>
      </c>
      <c r="AL2161" s="4">
        <v>22</v>
      </c>
      <c r="AM2161" s="4">
        <v>42</v>
      </c>
      <c r="AN2161" s="4">
        <v>0</v>
      </c>
      <c r="AO2161" s="4">
        <v>0</v>
      </c>
      <c r="AP2161" s="4">
        <v>2</v>
      </c>
      <c r="AQ2161" s="4">
        <v>23</v>
      </c>
      <c r="AR2161" s="3" t="s">
        <v>64</v>
      </c>
      <c r="AS2161" s="3" t="s">
        <v>64</v>
      </c>
      <c r="AT2161" s="3" t="s">
        <v>64</v>
      </c>
      <c r="AV2161" s="6" t="str">
        <f>HYPERLINK("http://mcgill.on.worldcat.org/oclc/878836302","Catalog Record")</f>
        <v>Catalog Record</v>
      </c>
      <c r="AW2161" s="6" t="str">
        <f>HYPERLINK("http://www.worldcat.org/oclc/878836302","WorldCat Record")</f>
        <v>WorldCat Record</v>
      </c>
      <c r="AX2161" s="3" t="s">
        <v>22395</v>
      </c>
      <c r="AY2161" s="3" t="s">
        <v>22396</v>
      </c>
      <c r="AZ2161" s="3" t="s">
        <v>22397</v>
      </c>
      <c r="BA2161" s="3" t="s">
        <v>22397</v>
      </c>
      <c r="BB2161" s="3" t="s">
        <v>22398</v>
      </c>
      <c r="BC2161" s="3" t="s">
        <v>78</v>
      </c>
      <c r="BD2161" s="3" t="s">
        <v>79</v>
      </c>
      <c r="BE2161" s="3" t="s">
        <v>22399</v>
      </c>
      <c r="BF2161" s="3" t="s">
        <v>22398</v>
      </c>
      <c r="BG2161" s="3" t="s">
        <v>22400</v>
      </c>
    </row>
    <row r="2162" spans="1:59" ht="87" x14ac:dyDescent="0.35">
      <c r="A2162" s="2" t="s">
        <v>59</v>
      </c>
      <c r="B2162" s="2" t="s">
        <v>94</v>
      </c>
      <c r="C2162" s="2" t="s">
        <v>22401</v>
      </c>
      <c r="D2162" s="2" t="s">
        <v>22402</v>
      </c>
      <c r="E2162" s="2" t="s">
        <v>22403</v>
      </c>
      <c r="G2162" s="3" t="s">
        <v>64</v>
      </c>
      <c r="I2162" s="3" t="s">
        <v>64</v>
      </c>
      <c r="J2162" s="3" t="s">
        <v>64</v>
      </c>
      <c r="K2162" s="3" t="s">
        <v>65</v>
      </c>
      <c r="L2162" s="2" t="s">
        <v>22404</v>
      </c>
      <c r="M2162" s="2" t="s">
        <v>7151</v>
      </c>
      <c r="N2162" s="3" t="s">
        <v>524</v>
      </c>
      <c r="P2162" s="3" t="s">
        <v>69</v>
      </c>
      <c r="Q2162" s="2" t="s">
        <v>7262</v>
      </c>
      <c r="R2162" s="3" t="s">
        <v>20939</v>
      </c>
      <c r="S2162" s="4">
        <v>0</v>
      </c>
      <c r="T2162" s="4">
        <v>0</v>
      </c>
      <c r="W2162" s="5" t="s">
        <v>72</v>
      </c>
      <c r="X2162" s="5" t="s">
        <v>72</v>
      </c>
      <c r="Y2162" s="4">
        <v>63</v>
      </c>
      <c r="Z2162" s="4">
        <v>4</v>
      </c>
      <c r="AA2162" s="4">
        <v>32</v>
      </c>
      <c r="AB2162" s="4">
        <v>1</v>
      </c>
      <c r="AC2162" s="4">
        <v>6</v>
      </c>
      <c r="AD2162" s="4">
        <v>42</v>
      </c>
      <c r="AE2162" s="4">
        <v>93</v>
      </c>
      <c r="AF2162" s="4">
        <v>0</v>
      </c>
      <c r="AG2162" s="4">
        <v>2</v>
      </c>
      <c r="AH2162" s="4">
        <v>41</v>
      </c>
      <c r="AI2162" s="4">
        <v>76</v>
      </c>
      <c r="AJ2162" s="4">
        <v>3</v>
      </c>
      <c r="AK2162" s="4">
        <v>13</v>
      </c>
      <c r="AL2162" s="4">
        <v>22</v>
      </c>
      <c r="AM2162" s="4">
        <v>41</v>
      </c>
      <c r="AN2162" s="4">
        <v>0</v>
      </c>
      <c r="AO2162" s="4">
        <v>0</v>
      </c>
      <c r="AP2162" s="4">
        <v>3</v>
      </c>
      <c r="AQ2162" s="4">
        <v>23</v>
      </c>
      <c r="AR2162" s="3" t="s">
        <v>64</v>
      </c>
      <c r="AS2162" s="3" t="s">
        <v>64</v>
      </c>
      <c r="AT2162" s="3" t="s">
        <v>64</v>
      </c>
      <c r="AV2162" s="6" t="str">
        <f>HYPERLINK("http://mcgill.on.worldcat.org/oclc/867481329","Catalog Record")</f>
        <v>Catalog Record</v>
      </c>
      <c r="AW2162" s="6" t="str">
        <f>HYPERLINK("http://www.worldcat.org/oclc/867481329","WorldCat Record")</f>
        <v>WorldCat Record</v>
      </c>
      <c r="AX2162" s="3" t="s">
        <v>22405</v>
      </c>
      <c r="AY2162" s="3" t="s">
        <v>22406</v>
      </c>
      <c r="AZ2162" s="3" t="s">
        <v>22407</v>
      </c>
      <c r="BA2162" s="3" t="s">
        <v>22407</v>
      </c>
      <c r="BB2162" s="3" t="s">
        <v>22408</v>
      </c>
      <c r="BC2162" s="3" t="s">
        <v>78</v>
      </c>
      <c r="BD2162" s="3" t="s">
        <v>79</v>
      </c>
      <c r="BE2162" s="3" t="s">
        <v>22409</v>
      </c>
      <c r="BF2162" s="3" t="s">
        <v>22408</v>
      </c>
      <c r="BG2162" s="3" t="s">
        <v>22410</v>
      </c>
    </row>
    <row r="2163" spans="1:59" ht="58" x14ac:dyDescent="0.35">
      <c r="A2163" s="2" t="s">
        <v>59</v>
      </c>
      <c r="B2163" s="2" t="s">
        <v>94</v>
      </c>
      <c r="C2163" s="2" t="s">
        <v>22411</v>
      </c>
      <c r="D2163" s="2" t="s">
        <v>22412</v>
      </c>
      <c r="E2163" s="2" t="s">
        <v>22413</v>
      </c>
      <c r="G2163" s="3" t="s">
        <v>64</v>
      </c>
      <c r="I2163" s="3" t="s">
        <v>64</v>
      </c>
      <c r="J2163" s="3" t="s">
        <v>64</v>
      </c>
      <c r="K2163" s="3" t="s">
        <v>65</v>
      </c>
      <c r="L2163" s="2" t="s">
        <v>22414</v>
      </c>
      <c r="M2163" s="2" t="s">
        <v>22415</v>
      </c>
      <c r="N2163" s="3" t="s">
        <v>214</v>
      </c>
      <c r="P2163" s="3" t="s">
        <v>69</v>
      </c>
      <c r="R2163" s="3" t="s">
        <v>20939</v>
      </c>
      <c r="S2163" s="4">
        <v>1</v>
      </c>
      <c r="T2163" s="4">
        <v>1</v>
      </c>
      <c r="U2163" s="5" t="s">
        <v>22416</v>
      </c>
      <c r="V2163" s="5" t="s">
        <v>22416</v>
      </c>
      <c r="W2163" s="5" t="s">
        <v>72</v>
      </c>
      <c r="X2163" s="5" t="s">
        <v>72</v>
      </c>
      <c r="Y2163" s="4">
        <v>42</v>
      </c>
      <c r="Z2163" s="4">
        <v>31</v>
      </c>
      <c r="AA2163" s="4">
        <v>31</v>
      </c>
      <c r="AB2163" s="4">
        <v>1</v>
      </c>
      <c r="AC2163" s="4">
        <v>1</v>
      </c>
      <c r="AD2163" s="4">
        <v>25</v>
      </c>
      <c r="AE2163" s="4">
        <v>25</v>
      </c>
      <c r="AF2163" s="4">
        <v>0</v>
      </c>
      <c r="AG2163" s="4">
        <v>0</v>
      </c>
      <c r="AH2163" s="4">
        <v>14</v>
      </c>
      <c r="AI2163" s="4">
        <v>14</v>
      </c>
      <c r="AJ2163" s="4">
        <v>14</v>
      </c>
      <c r="AK2163" s="4">
        <v>14</v>
      </c>
      <c r="AL2163" s="4">
        <v>6</v>
      </c>
      <c r="AM2163" s="4">
        <v>6</v>
      </c>
      <c r="AN2163" s="4">
        <v>0</v>
      </c>
      <c r="AO2163" s="4">
        <v>0</v>
      </c>
      <c r="AP2163" s="4">
        <v>18</v>
      </c>
      <c r="AQ2163" s="4">
        <v>18</v>
      </c>
      <c r="AR2163" s="3" t="s">
        <v>73</v>
      </c>
      <c r="AS2163" s="3" t="s">
        <v>64</v>
      </c>
      <c r="AT2163" s="3" t="s">
        <v>64</v>
      </c>
      <c r="AV2163" s="6" t="str">
        <f>HYPERLINK("http://mcgill.on.worldcat.org/oclc/502633372","Catalog Record")</f>
        <v>Catalog Record</v>
      </c>
      <c r="AW2163" s="6" t="str">
        <f>HYPERLINK("http://www.worldcat.org/oclc/502633372","WorldCat Record")</f>
        <v>WorldCat Record</v>
      </c>
      <c r="AX2163" s="3" t="s">
        <v>22417</v>
      </c>
      <c r="AY2163" s="3" t="s">
        <v>22418</v>
      </c>
      <c r="AZ2163" s="3" t="s">
        <v>22419</v>
      </c>
      <c r="BA2163" s="3" t="s">
        <v>22419</v>
      </c>
      <c r="BB2163" s="3" t="s">
        <v>22420</v>
      </c>
      <c r="BC2163" s="3" t="s">
        <v>78</v>
      </c>
      <c r="BD2163" s="3" t="s">
        <v>79</v>
      </c>
      <c r="BE2163" s="3" t="s">
        <v>22421</v>
      </c>
      <c r="BF2163" s="3" t="s">
        <v>22420</v>
      </c>
      <c r="BG2163" s="3" t="s">
        <v>22422</v>
      </c>
    </row>
    <row r="2164" spans="1:59" ht="72.5" x14ac:dyDescent="0.35">
      <c r="A2164" s="2" t="s">
        <v>59</v>
      </c>
      <c r="B2164" s="2" t="s">
        <v>94</v>
      </c>
      <c r="C2164" s="2" t="s">
        <v>22423</v>
      </c>
      <c r="D2164" s="2" t="s">
        <v>22424</v>
      </c>
      <c r="E2164" s="2" t="s">
        <v>22425</v>
      </c>
      <c r="G2164" s="3" t="s">
        <v>64</v>
      </c>
      <c r="I2164" s="3" t="s">
        <v>64</v>
      </c>
      <c r="J2164" s="3" t="s">
        <v>64</v>
      </c>
      <c r="K2164" s="3" t="s">
        <v>65</v>
      </c>
      <c r="L2164" s="2" t="s">
        <v>22426</v>
      </c>
      <c r="M2164" s="2" t="s">
        <v>17102</v>
      </c>
      <c r="N2164" s="3" t="s">
        <v>175</v>
      </c>
      <c r="P2164" s="3" t="s">
        <v>69</v>
      </c>
      <c r="Q2164" s="2" t="s">
        <v>7262</v>
      </c>
      <c r="R2164" s="3" t="s">
        <v>20939</v>
      </c>
      <c r="S2164" s="4">
        <v>0</v>
      </c>
      <c r="T2164" s="4">
        <v>0</v>
      </c>
      <c r="W2164" s="5" t="s">
        <v>72</v>
      </c>
      <c r="X2164" s="5" t="s">
        <v>72</v>
      </c>
      <c r="Y2164" s="4">
        <v>59</v>
      </c>
      <c r="Z2164" s="4">
        <v>2</v>
      </c>
      <c r="AA2164" s="4">
        <v>32</v>
      </c>
      <c r="AB2164" s="4">
        <v>1</v>
      </c>
      <c r="AC2164" s="4">
        <v>6</v>
      </c>
      <c r="AD2164" s="4">
        <v>37</v>
      </c>
      <c r="AE2164" s="4">
        <v>91</v>
      </c>
      <c r="AF2164" s="4">
        <v>0</v>
      </c>
      <c r="AG2164" s="4">
        <v>2</v>
      </c>
      <c r="AH2164" s="4">
        <v>36</v>
      </c>
      <c r="AI2164" s="4">
        <v>74</v>
      </c>
      <c r="AJ2164" s="4">
        <v>1</v>
      </c>
      <c r="AK2164" s="4">
        <v>13</v>
      </c>
      <c r="AL2164" s="4">
        <v>21</v>
      </c>
      <c r="AM2164" s="4">
        <v>40</v>
      </c>
      <c r="AN2164" s="4">
        <v>0</v>
      </c>
      <c r="AO2164" s="4">
        <v>0</v>
      </c>
      <c r="AP2164" s="4">
        <v>1</v>
      </c>
      <c r="AQ2164" s="4">
        <v>23</v>
      </c>
      <c r="AR2164" s="3" t="s">
        <v>64</v>
      </c>
      <c r="AS2164" s="3" t="s">
        <v>64</v>
      </c>
      <c r="AT2164" s="3" t="s">
        <v>64</v>
      </c>
      <c r="AV2164" s="6" t="str">
        <f>HYPERLINK("http://mcgill.on.worldcat.org/oclc/870248625","Catalog Record")</f>
        <v>Catalog Record</v>
      </c>
      <c r="AW2164" s="6" t="str">
        <f>HYPERLINK("http://www.worldcat.org/oclc/870248625","WorldCat Record")</f>
        <v>WorldCat Record</v>
      </c>
      <c r="AX2164" s="3" t="s">
        <v>22427</v>
      </c>
      <c r="AY2164" s="3" t="s">
        <v>22428</v>
      </c>
      <c r="AZ2164" s="3" t="s">
        <v>22429</v>
      </c>
      <c r="BA2164" s="3" t="s">
        <v>22429</v>
      </c>
      <c r="BB2164" s="3" t="s">
        <v>22430</v>
      </c>
      <c r="BC2164" s="3" t="s">
        <v>78</v>
      </c>
      <c r="BD2164" s="3" t="s">
        <v>79</v>
      </c>
      <c r="BE2164" s="3" t="s">
        <v>22431</v>
      </c>
      <c r="BF2164" s="3" t="s">
        <v>22430</v>
      </c>
      <c r="BG2164" s="3" t="s">
        <v>22432</v>
      </c>
    </row>
    <row r="2165" spans="1:59" ht="58" x14ac:dyDescent="0.35">
      <c r="A2165" s="2" t="s">
        <v>59</v>
      </c>
      <c r="B2165" s="2" t="s">
        <v>94</v>
      </c>
      <c r="C2165" s="2" t="s">
        <v>22433</v>
      </c>
      <c r="D2165" s="2" t="s">
        <v>22434</v>
      </c>
      <c r="E2165" s="2" t="s">
        <v>22435</v>
      </c>
      <c r="G2165" s="3" t="s">
        <v>64</v>
      </c>
      <c r="I2165" s="3" t="s">
        <v>64</v>
      </c>
      <c r="J2165" s="3" t="s">
        <v>64</v>
      </c>
      <c r="K2165" s="3" t="s">
        <v>65</v>
      </c>
      <c r="L2165" s="2" t="s">
        <v>22384</v>
      </c>
      <c r="M2165" s="2" t="s">
        <v>6841</v>
      </c>
      <c r="N2165" s="3" t="s">
        <v>377</v>
      </c>
      <c r="P2165" s="3" t="s">
        <v>69</v>
      </c>
      <c r="Q2165" s="2" t="s">
        <v>7005</v>
      </c>
      <c r="R2165" s="3" t="s">
        <v>20939</v>
      </c>
      <c r="S2165" s="4">
        <v>0</v>
      </c>
      <c r="T2165" s="4">
        <v>0</v>
      </c>
      <c r="W2165" s="5" t="s">
        <v>72</v>
      </c>
      <c r="X2165" s="5" t="s">
        <v>72</v>
      </c>
      <c r="Y2165" s="4">
        <v>86</v>
      </c>
      <c r="Z2165" s="4">
        <v>5</v>
      </c>
      <c r="AA2165" s="4">
        <v>8</v>
      </c>
      <c r="AB2165" s="4">
        <v>1</v>
      </c>
      <c r="AC2165" s="4">
        <v>1</v>
      </c>
      <c r="AD2165" s="4">
        <v>46</v>
      </c>
      <c r="AE2165" s="4">
        <v>51</v>
      </c>
      <c r="AF2165" s="4">
        <v>0</v>
      </c>
      <c r="AG2165" s="4">
        <v>0</v>
      </c>
      <c r="AH2165" s="4">
        <v>45</v>
      </c>
      <c r="AI2165" s="4">
        <v>48</v>
      </c>
      <c r="AJ2165" s="4">
        <v>3</v>
      </c>
      <c r="AK2165" s="4">
        <v>6</v>
      </c>
      <c r="AL2165" s="4">
        <v>27</v>
      </c>
      <c r="AM2165" s="4">
        <v>28</v>
      </c>
      <c r="AN2165" s="4">
        <v>0</v>
      </c>
      <c r="AO2165" s="4">
        <v>0</v>
      </c>
      <c r="AP2165" s="4">
        <v>3</v>
      </c>
      <c r="AQ2165" s="4">
        <v>6</v>
      </c>
      <c r="AR2165" s="3" t="s">
        <v>64</v>
      </c>
      <c r="AS2165" s="3" t="s">
        <v>64</v>
      </c>
      <c r="AT2165" s="3" t="s">
        <v>64</v>
      </c>
      <c r="AV2165" s="6" t="str">
        <f>HYPERLINK("http://mcgill.on.worldcat.org/oclc/772611146","Catalog Record")</f>
        <v>Catalog Record</v>
      </c>
      <c r="AW2165" s="6" t="str">
        <f>HYPERLINK("http://www.worldcat.org/oclc/772611146","WorldCat Record")</f>
        <v>WorldCat Record</v>
      </c>
      <c r="AX2165" s="3" t="s">
        <v>22436</v>
      </c>
      <c r="AY2165" s="3" t="s">
        <v>22437</v>
      </c>
      <c r="AZ2165" s="3" t="s">
        <v>22438</v>
      </c>
      <c r="BA2165" s="3" t="s">
        <v>22438</v>
      </c>
      <c r="BB2165" s="3" t="s">
        <v>22439</v>
      </c>
      <c r="BC2165" s="3" t="s">
        <v>78</v>
      </c>
      <c r="BD2165" s="3" t="s">
        <v>79</v>
      </c>
      <c r="BE2165" s="3" t="s">
        <v>22440</v>
      </c>
      <c r="BF2165" s="3" t="s">
        <v>22439</v>
      </c>
      <c r="BG2165" s="3" t="s">
        <v>22441</v>
      </c>
    </row>
    <row r="2166" spans="1:59" ht="58" x14ac:dyDescent="0.35">
      <c r="A2166" s="2" t="s">
        <v>59</v>
      </c>
      <c r="B2166" s="2" t="s">
        <v>94</v>
      </c>
      <c r="C2166" s="2" t="s">
        <v>22442</v>
      </c>
      <c r="D2166" s="2" t="s">
        <v>22443</v>
      </c>
      <c r="E2166" s="2" t="s">
        <v>22444</v>
      </c>
      <c r="G2166" s="3" t="s">
        <v>64</v>
      </c>
      <c r="I2166" s="3" t="s">
        <v>64</v>
      </c>
      <c r="J2166" s="3" t="s">
        <v>64</v>
      </c>
      <c r="K2166" s="3" t="s">
        <v>65</v>
      </c>
      <c r="M2166" s="2" t="s">
        <v>6841</v>
      </c>
      <c r="N2166" s="3" t="s">
        <v>377</v>
      </c>
      <c r="P2166" s="3" t="s">
        <v>69</v>
      </c>
      <c r="Q2166" s="2" t="s">
        <v>22445</v>
      </c>
      <c r="R2166" s="3" t="s">
        <v>20939</v>
      </c>
      <c r="S2166" s="4">
        <v>0</v>
      </c>
      <c r="T2166" s="4">
        <v>0</v>
      </c>
      <c r="W2166" s="5" t="s">
        <v>72</v>
      </c>
      <c r="X2166" s="5" t="s">
        <v>72</v>
      </c>
      <c r="Y2166" s="4">
        <v>83</v>
      </c>
      <c r="Z2166" s="4">
        <v>6</v>
      </c>
      <c r="AA2166" s="4">
        <v>8</v>
      </c>
      <c r="AB2166" s="4">
        <v>1</v>
      </c>
      <c r="AC2166" s="4">
        <v>1</v>
      </c>
      <c r="AD2166" s="4">
        <v>49</v>
      </c>
      <c r="AE2166" s="4">
        <v>55</v>
      </c>
      <c r="AF2166" s="4">
        <v>0</v>
      </c>
      <c r="AG2166" s="4">
        <v>0</v>
      </c>
      <c r="AH2166" s="4">
        <v>48</v>
      </c>
      <c r="AI2166" s="4">
        <v>53</v>
      </c>
      <c r="AJ2166" s="4">
        <v>4</v>
      </c>
      <c r="AK2166" s="4">
        <v>6</v>
      </c>
      <c r="AL2166" s="4">
        <v>28</v>
      </c>
      <c r="AM2166" s="4">
        <v>30</v>
      </c>
      <c r="AN2166" s="4">
        <v>0</v>
      </c>
      <c r="AO2166" s="4">
        <v>0</v>
      </c>
      <c r="AP2166" s="4">
        <v>4</v>
      </c>
      <c r="AQ2166" s="4">
        <v>6</v>
      </c>
      <c r="AR2166" s="3" t="s">
        <v>64</v>
      </c>
      <c r="AS2166" s="3" t="s">
        <v>64</v>
      </c>
      <c r="AT2166" s="3" t="s">
        <v>64</v>
      </c>
      <c r="AV2166" s="6" t="str">
        <f>HYPERLINK("http://mcgill.on.worldcat.org/oclc/797970056","Catalog Record")</f>
        <v>Catalog Record</v>
      </c>
      <c r="AW2166" s="6" t="str">
        <f>HYPERLINK("http://www.worldcat.org/oclc/797970056","WorldCat Record")</f>
        <v>WorldCat Record</v>
      </c>
      <c r="AX2166" s="3" t="s">
        <v>22446</v>
      </c>
      <c r="AY2166" s="3" t="s">
        <v>22447</v>
      </c>
      <c r="AZ2166" s="3" t="s">
        <v>22448</v>
      </c>
      <c r="BA2166" s="3" t="s">
        <v>22448</v>
      </c>
      <c r="BB2166" s="3" t="s">
        <v>22449</v>
      </c>
      <c r="BC2166" s="3" t="s">
        <v>78</v>
      </c>
      <c r="BD2166" s="3" t="s">
        <v>79</v>
      </c>
      <c r="BE2166" s="3" t="s">
        <v>22450</v>
      </c>
      <c r="BF2166" s="3" t="s">
        <v>22449</v>
      </c>
      <c r="BG2166" s="3" t="s">
        <v>22451</v>
      </c>
    </row>
    <row r="2167" spans="1:59" ht="58" x14ac:dyDescent="0.35">
      <c r="A2167" s="2" t="s">
        <v>59</v>
      </c>
      <c r="B2167" s="2" t="s">
        <v>94</v>
      </c>
      <c r="C2167" s="2" t="s">
        <v>22452</v>
      </c>
      <c r="D2167" s="2" t="s">
        <v>22453</v>
      </c>
      <c r="E2167" s="2" t="s">
        <v>22454</v>
      </c>
      <c r="G2167" s="3" t="s">
        <v>64</v>
      </c>
      <c r="I2167" s="3" t="s">
        <v>64</v>
      </c>
      <c r="J2167" s="3" t="s">
        <v>64</v>
      </c>
      <c r="K2167" s="3" t="s">
        <v>65</v>
      </c>
      <c r="M2167" s="2" t="s">
        <v>5089</v>
      </c>
      <c r="N2167" s="3" t="s">
        <v>214</v>
      </c>
      <c r="P2167" s="3" t="s">
        <v>69</v>
      </c>
      <c r="Q2167" s="2" t="s">
        <v>14524</v>
      </c>
      <c r="R2167" s="3" t="s">
        <v>20939</v>
      </c>
      <c r="S2167" s="4">
        <v>0</v>
      </c>
      <c r="T2167" s="4">
        <v>0</v>
      </c>
      <c r="W2167" s="5" t="s">
        <v>72</v>
      </c>
      <c r="X2167" s="5" t="s">
        <v>72</v>
      </c>
      <c r="Y2167" s="4">
        <v>86</v>
      </c>
      <c r="Z2167" s="4">
        <v>5</v>
      </c>
      <c r="AA2167" s="4">
        <v>105</v>
      </c>
      <c r="AB2167" s="4">
        <v>1</v>
      </c>
      <c r="AC2167" s="4">
        <v>20</v>
      </c>
      <c r="AD2167" s="4">
        <v>48</v>
      </c>
      <c r="AE2167" s="4">
        <v>136</v>
      </c>
      <c r="AF2167" s="4">
        <v>0</v>
      </c>
      <c r="AG2167" s="4">
        <v>8</v>
      </c>
      <c r="AH2167" s="4">
        <v>46</v>
      </c>
      <c r="AI2167" s="4">
        <v>95</v>
      </c>
      <c r="AJ2167" s="4">
        <v>3</v>
      </c>
      <c r="AK2167" s="4">
        <v>23</v>
      </c>
      <c r="AL2167" s="4">
        <v>24</v>
      </c>
      <c r="AM2167" s="4">
        <v>50</v>
      </c>
      <c r="AN2167" s="4">
        <v>0</v>
      </c>
      <c r="AO2167" s="4">
        <v>0</v>
      </c>
      <c r="AP2167" s="4">
        <v>3</v>
      </c>
      <c r="AQ2167" s="4">
        <v>47</v>
      </c>
      <c r="AR2167" s="3" t="s">
        <v>64</v>
      </c>
      <c r="AS2167" s="3" t="s">
        <v>64</v>
      </c>
      <c r="AT2167" s="3" t="s">
        <v>64</v>
      </c>
      <c r="AV2167" s="6" t="str">
        <f>HYPERLINK("http://mcgill.on.worldcat.org/oclc/682903847","Catalog Record")</f>
        <v>Catalog Record</v>
      </c>
      <c r="AW2167" s="6" t="str">
        <f>HYPERLINK("http://www.worldcat.org/oclc/682903847","WorldCat Record")</f>
        <v>WorldCat Record</v>
      </c>
      <c r="AX2167" s="3" t="s">
        <v>22455</v>
      </c>
      <c r="AY2167" s="3" t="s">
        <v>22456</v>
      </c>
      <c r="AZ2167" s="3" t="s">
        <v>22457</v>
      </c>
      <c r="BA2167" s="3" t="s">
        <v>22457</v>
      </c>
      <c r="BB2167" s="3" t="s">
        <v>22458</v>
      </c>
      <c r="BC2167" s="3" t="s">
        <v>78</v>
      </c>
      <c r="BD2167" s="3" t="s">
        <v>79</v>
      </c>
      <c r="BE2167" s="3" t="s">
        <v>22459</v>
      </c>
      <c r="BF2167" s="3" t="s">
        <v>22458</v>
      </c>
      <c r="BG2167" s="3" t="s">
        <v>22460</v>
      </c>
    </row>
    <row r="2168" spans="1:59" ht="58" x14ac:dyDescent="0.35">
      <c r="A2168" s="2" t="s">
        <v>59</v>
      </c>
      <c r="B2168" s="2" t="s">
        <v>94</v>
      </c>
      <c r="C2168" s="2" t="s">
        <v>22461</v>
      </c>
      <c r="D2168" s="2" t="s">
        <v>22462</v>
      </c>
      <c r="E2168" s="2" t="s">
        <v>22463</v>
      </c>
      <c r="G2168" s="3" t="s">
        <v>64</v>
      </c>
      <c r="I2168" s="3" t="s">
        <v>64</v>
      </c>
      <c r="J2168" s="3" t="s">
        <v>64</v>
      </c>
      <c r="K2168" s="3" t="s">
        <v>65</v>
      </c>
      <c r="L2168" s="2" t="s">
        <v>22464</v>
      </c>
      <c r="M2168" s="2" t="s">
        <v>5089</v>
      </c>
      <c r="N2168" s="3" t="s">
        <v>214</v>
      </c>
      <c r="P2168" s="3" t="s">
        <v>69</v>
      </c>
      <c r="Q2168" s="2" t="s">
        <v>22465</v>
      </c>
      <c r="R2168" s="3" t="s">
        <v>20939</v>
      </c>
      <c r="S2168" s="4">
        <v>0</v>
      </c>
      <c r="T2168" s="4">
        <v>0</v>
      </c>
      <c r="W2168" s="5" t="s">
        <v>72</v>
      </c>
      <c r="X2168" s="5" t="s">
        <v>72</v>
      </c>
      <c r="Y2168" s="4">
        <v>99</v>
      </c>
      <c r="Z2168" s="4">
        <v>8</v>
      </c>
      <c r="AA2168" s="4">
        <v>10</v>
      </c>
      <c r="AB2168" s="4">
        <v>1</v>
      </c>
      <c r="AC2168" s="4">
        <v>1</v>
      </c>
      <c r="AD2168" s="4">
        <v>55</v>
      </c>
      <c r="AE2168" s="4">
        <v>60</v>
      </c>
      <c r="AF2168" s="4">
        <v>0</v>
      </c>
      <c r="AG2168" s="4">
        <v>0</v>
      </c>
      <c r="AH2168" s="4">
        <v>52</v>
      </c>
      <c r="AI2168" s="4">
        <v>57</v>
      </c>
      <c r="AJ2168" s="4">
        <v>5</v>
      </c>
      <c r="AK2168" s="4">
        <v>7</v>
      </c>
      <c r="AL2168" s="4">
        <v>27</v>
      </c>
      <c r="AM2168" s="4">
        <v>28</v>
      </c>
      <c r="AN2168" s="4">
        <v>5</v>
      </c>
      <c r="AO2168" s="4">
        <v>5</v>
      </c>
      <c r="AP2168" s="4">
        <v>6</v>
      </c>
      <c r="AQ2168" s="4">
        <v>8</v>
      </c>
      <c r="AR2168" s="3" t="s">
        <v>64</v>
      </c>
      <c r="AS2168" s="3" t="s">
        <v>64</v>
      </c>
      <c r="AT2168" s="3" t="s">
        <v>73</v>
      </c>
      <c r="AU2168" s="6" t="str">
        <f>HYPERLINK("http://catalog.hathitrust.org/Record/008464091","HathiTrust Record")</f>
        <v>HathiTrust Record</v>
      </c>
      <c r="AV2168" s="6" t="str">
        <f>HYPERLINK("http://mcgill.on.worldcat.org/oclc/608298990","Catalog Record")</f>
        <v>Catalog Record</v>
      </c>
      <c r="AW2168" s="6" t="str">
        <f>HYPERLINK("http://www.worldcat.org/oclc/608298990","WorldCat Record")</f>
        <v>WorldCat Record</v>
      </c>
      <c r="AX2168" s="3" t="s">
        <v>22466</v>
      </c>
      <c r="AY2168" s="3" t="s">
        <v>22467</v>
      </c>
      <c r="AZ2168" s="3" t="s">
        <v>22468</v>
      </c>
      <c r="BA2168" s="3" t="s">
        <v>22468</v>
      </c>
      <c r="BB2168" s="3" t="s">
        <v>22469</v>
      </c>
      <c r="BC2168" s="3" t="s">
        <v>78</v>
      </c>
      <c r="BD2168" s="3" t="s">
        <v>79</v>
      </c>
      <c r="BE2168" s="3" t="s">
        <v>22470</v>
      </c>
      <c r="BF2168" s="3" t="s">
        <v>22469</v>
      </c>
      <c r="BG2168" s="3" t="s">
        <v>22471</v>
      </c>
    </row>
    <row r="2169" spans="1:59" ht="87" x14ac:dyDescent="0.35">
      <c r="A2169" s="2" t="s">
        <v>59</v>
      </c>
      <c r="B2169" s="2" t="s">
        <v>94</v>
      </c>
      <c r="C2169" s="2" t="s">
        <v>22472</v>
      </c>
      <c r="D2169" s="2" t="s">
        <v>22473</v>
      </c>
      <c r="E2169" s="2" t="s">
        <v>22474</v>
      </c>
      <c r="G2169" s="3" t="s">
        <v>64</v>
      </c>
      <c r="I2169" s="3" t="s">
        <v>64</v>
      </c>
      <c r="J2169" s="3" t="s">
        <v>64</v>
      </c>
      <c r="K2169" s="3" t="s">
        <v>65</v>
      </c>
      <c r="L2169" s="2" t="s">
        <v>22475</v>
      </c>
      <c r="M2169" s="2" t="s">
        <v>22476</v>
      </c>
      <c r="N2169" s="3" t="s">
        <v>524</v>
      </c>
      <c r="P2169" s="3" t="s">
        <v>69</v>
      </c>
      <c r="Q2169" s="2" t="s">
        <v>22477</v>
      </c>
      <c r="R2169" s="3" t="s">
        <v>20939</v>
      </c>
      <c r="S2169" s="4">
        <v>0</v>
      </c>
      <c r="T2169" s="4">
        <v>0</v>
      </c>
      <c r="W2169" s="5" t="s">
        <v>72</v>
      </c>
      <c r="X2169" s="5" t="s">
        <v>72</v>
      </c>
      <c r="Y2169" s="4">
        <v>65</v>
      </c>
      <c r="Z2169" s="4">
        <v>4</v>
      </c>
      <c r="AA2169" s="4">
        <v>32</v>
      </c>
      <c r="AB2169" s="4">
        <v>1</v>
      </c>
      <c r="AC2169" s="4">
        <v>6</v>
      </c>
      <c r="AD2169" s="4">
        <v>43</v>
      </c>
      <c r="AE2169" s="4">
        <v>93</v>
      </c>
      <c r="AF2169" s="4">
        <v>0</v>
      </c>
      <c r="AG2169" s="4">
        <v>2</v>
      </c>
      <c r="AH2169" s="4">
        <v>42</v>
      </c>
      <c r="AI2169" s="4">
        <v>76</v>
      </c>
      <c r="AJ2169" s="4">
        <v>3</v>
      </c>
      <c r="AK2169" s="4">
        <v>13</v>
      </c>
      <c r="AL2169" s="4">
        <v>22</v>
      </c>
      <c r="AM2169" s="4">
        <v>40</v>
      </c>
      <c r="AN2169" s="4">
        <v>0</v>
      </c>
      <c r="AO2169" s="4">
        <v>0</v>
      </c>
      <c r="AP2169" s="4">
        <v>3</v>
      </c>
      <c r="AQ2169" s="4">
        <v>23</v>
      </c>
      <c r="AR2169" s="3" t="s">
        <v>64</v>
      </c>
      <c r="AS2169" s="3" t="s">
        <v>64</v>
      </c>
      <c r="AT2169" s="3" t="s">
        <v>64</v>
      </c>
      <c r="AV2169" s="6" t="str">
        <f>HYPERLINK("http://mcgill.on.worldcat.org/oclc/856976978","Catalog Record")</f>
        <v>Catalog Record</v>
      </c>
      <c r="AW2169" s="6" t="str">
        <f>HYPERLINK("http://www.worldcat.org/oclc/856976978","WorldCat Record")</f>
        <v>WorldCat Record</v>
      </c>
      <c r="AX2169" s="3" t="s">
        <v>22478</v>
      </c>
      <c r="AY2169" s="3" t="s">
        <v>22479</v>
      </c>
      <c r="AZ2169" s="3" t="s">
        <v>22480</v>
      </c>
      <c r="BA2169" s="3" t="s">
        <v>22480</v>
      </c>
      <c r="BB2169" s="3" t="s">
        <v>22481</v>
      </c>
      <c r="BC2169" s="3" t="s">
        <v>78</v>
      </c>
      <c r="BD2169" s="3" t="s">
        <v>79</v>
      </c>
      <c r="BE2169" s="3" t="s">
        <v>22482</v>
      </c>
      <c r="BF2169" s="3" t="s">
        <v>22481</v>
      </c>
      <c r="BG2169" s="3" t="s">
        <v>22483</v>
      </c>
    </row>
    <row r="2170" spans="1:59" ht="58" x14ac:dyDescent="0.35">
      <c r="A2170" s="2" t="s">
        <v>59</v>
      </c>
      <c r="B2170" s="2" t="s">
        <v>94</v>
      </c>
      <c r="C2170" s="2" t="s">
        <v>22484</v>
      </c>
      <c r="D2170" s="2" t="s">
        <v>22485</v>
      </c>
      <c r="E2170" s="2" t="s">
        <v>22486</v>
      </c>
      <c r="G2170" s="3" t="s">
        <v>64</v>
      </c>
      <c r="I2170" s="3" t="s">
        <v>64</v>
      </c>
      <c r="J2170" s="3" t="s">
        <v>64</v>
      </c>
      <c r="K2170" s="3" t="s">
        <v>65</v>
      </c>
      <c r="M2170" s="2" t="s">
        <v>6841</v>
      </c>
      <c r="N2170" s="3" t="s">
        <v>377</v>
      </c>
      <c r="P2170" s="3" t="s">
        <v>69</v>
      </c>
      <c r="Q2170" s="2" t="s">
        <v>22487</v>
      </c>
      <c r="R2170" s="3" t="s">
        <v>20939</v>
      </c>
      <c r="S2170" s="4">
        <v>0</v>
      </c>
      <c r="T2170" s="4">
        <v>0</v>
      </c>
      <c r="W2170" s="5" t="s">
        <v>72</v>
      </c>
      <c r="X2170" s="5" t="s">
        <v>72</v>
      </c>
      <c r="Y2170" s="4">
        <v>73</v>
      </c>
      <c r="Z2170" s="4">
        <v>4</v>
      </c>
      <c r="AA2170" s="4">
        <v>6</v>
      </c>
      <c r="AB2170" s="4">
        <v>1</v>
      </c>
      <c r="AC2170" s="4">
        <v>1</v>
      </c>
      <c r="AD2170" s="4">
        <v>44</v>
      </c>
      <c r="AE2170" s="4">
        <v>51</v>
      </c>
      <c r="AF2170" s="4">
        <v>0</v>
      </c>
      <c r="AG2170" s="4">
        <v>0</v>
      </c>
      <c r="AH2170" s="4">
        <v>43</v>
      </c>
      <c r="AI2170" s="4">
        <v>49</v>
      </c>
      <c r="AJ2170" s="4">
        <v>3</v>
      </c>
      <c r="AK2170" s="4">
        <v>5</v>
      </c>
      <c r="AL2170" s="4">
        <v>24</v>
      </c>
      <c r="AM2170" s="4">
        <v>27</v>
      </c>
      <c r="AN2170" s="4">
        <v>0</v>
      </c>
      <c r="AO2170" s="4">
        <v>0</v>
      </c>
      <c r="AP2170" s="4">
        <v>3</v>
      </c>
      <c r="AQ2170" s="4">
        <v>5</v>
      </c>
      <c r="AR2170" s="3" t="s">
        <v>64</v>
      </c>
      <c r="AS2170" s="3" t="s">
        <v>64</v>
      </c>
      <c r="AT2170" s="3" t="s">
        <v>64</v>
      </c>
      <c r="AV2170" s="6" t="str">
        <f>HYPERLINK("http://mcgill.on.worldcat.org/oclc/793973967","Catalog Record")</f>
        <v>Catalog Record</v>
      </c>
      <c r="AW2170" s="6" t="str">
        <f>HYPERLINK("http://www.worldcat.org/oclc/793973967","WorldCat Record")</f>
        <v>WorldCat Record</v>
      </c>
      <c r="AX2170" s="3" t="s">
        <v>22488</v>
      </c>
      <c r="AY2170" s="3" t="s">
        <v>22489</v>
      </c>
      <c r="AZ2170" s="3" t="s">
        <v>22490</v>
      </c>
      <c r="BA2170" s="3" t="s">
        <v>22490</v>
      </c>
      <c r="BB2170" s="3" t="s">
        <v>22491</v>
      </c>
      <c r="BC2170" s="3" t="s">
        <v>78</v>
      </c>
      <c r="BD2170" s="3" t="s">
        <v>79</v>
      </c>
      <c r="BE2170" s="3" t="s">
        <v>22492</v>
      </c>
      <c r="BF2170" s="3" t="s">
        <v>22491</v>
      </c>
      <c r="BG2170" s="3" t="s">
        <v>22493</v>
      </c>
    </row>
    <row r="2171" spans="1:59" ht="58" x14ac:dyDescent="0.35">
      <c r="A2171" s="2" t="s">
        <v>59</v>
      </c>
      <c r="B2171" s="2" t="s">
        <v>94</v>
      </c>
      <c r="C2171" s="2" t="s">
        <v>22494</v>
      </c>
      <c r="D2171" s="2" t="s">
        <v>22495</v>
      </c>
      <c r="E2171" s="2" t="s">
        <v>22496</v>
      </c>
      <c r="G2171" s="3" t="s">
        <v>64</v>
      </c>
      <c r="I2171" s="3" t="s">
        <v>64</v>
      </c>
      <c r="J2171" s="3" t="s">
        <v>64</v>
      </c>
      <c r="K2171" s="3" t="s">
        <v>65</v>
      </c>
      <c r="M2171" s="2" t="s">
        <v>1435</v>
      </c>
      <c r="N2171" s="3" t="s">
        <v>377</v>
      </c>
      <c r="P2171" s="3" t="s">
        <v>69</v>
      </c>
      <c r="Q2171" s="2" t="s">
        <v>5134</v>
      </c>
      <c r="R2171" s="3" t="s">
        <v>20939</v>
      </c>
      <c r="S2171" s="4">
        <v>0</v>
      </c>
      <c r="T2171" s="4">
        <v>0</v>
      </c>
      <c r="W2171" s="5" t="s">
        <v>72</v>
      </c>
      <c r="X2171" s="5" t="s">
        <v>72</v>
      </c>
      <c r="Y2171" s="4">
        <v>82</v>
      </c>
      <c r="Z2171" s="4">
        <v>6</v>
      </c>
      <c r="AA2171" s="4">
        <v>7</v>
      </c>
      <c r="AB2171" s="4">
        <v>1</v>
      </c>
      <c r="AC2171" s="4">
        <v>1</v>
      </c>
      <c r="AD2171" s="4">
        <v>46</v>
      </c>
      <c r="AE2171" s="4">
        <v>52</v>
      </c>
      <c r="AF2171" s="4">
        <v>0</v>
      </c>
      <c r="AG2171" s="4">
        <v>0</v>
      </c>
      <c r="AH2171" s="4">
        <v>45</v>
      </c>
      <c r="AI2171" s="4">
        <v>50</v>
      </c>
      <c r="AJ2171" s="4">
        <v>4</v>
      </c>
      <c r="AK2171" s="4">
        <v>5</v>
      </c>
      <c r="AL2171" s="4">
        <v>25</v>
      </c>
      <c r="AM2171" s="4">
        <v>28</v>
      </c>
      <c r="AN2171" s="4">
        <v>0</v>
      </c>
      <c r="AO2171" s="4">
        <v>0</v>
      </c>
      <c r="AP2171" s="4">
        <v>4</v>
      </c>
      <c r="AQ2171" s="4">
        <v>5</v>
      </c>
      <c r="AR2171" s="3" t="s">
        <v>64</v>
      </c>
      <c r="AS2171" s="3" t="s">
        <v>64</v>
      </c>
      <c r="AT2171" s="3" t="s">
        <v>64</v>
      </c>
      <c r="AV2171" s="6" t="str">
        <f>HYPERLINK("http://mcgill.on.worldcat.org/oclc/802326848","Catalog Record")</f>
        <v>Catalog Record</v>
      </c>
      <c r="AW2171" s="6" t="str">
        <f>HYPERLINK("http://www.worldcat.org/oclc/802326848","WorldCat Record")</f>
        <v>WorldCat Record</v>
      </c>
      <c r="AX2171" s="3" t="s">
        <v>22497</v>
      </c>
      <c r="AY2171" s="3" t="s">
        <v>22498</v>
      </c>
      <c r="AZ2171" s="3" t="s">
        <v>22499</v>
      </c>
      <c r="BA2171" s="3" t="s">
        <v>22499</v>
      </c>
      <c r="BB2171" s="3" t="s">
        <v>22500</v>
      </c>
      <c r="BC2171" s="3" t="s">
        <v>78</v>
      </c>
      <c r="BD2171" s="3" t="s">
        <v>79</v>
      </c>
      <c r="BE2171" s="3" t="s">
        <v>22501</v>
      </c>
      <c r="BF2171" s="3" t="s">
        <v>22500</v>
      </c>
      <c r="BG2171" s="3" t="s">
        <v>22502</v>
      </c>
    </row>
    <row r="2172" spans="1:59" ht="58" x14ac:dyDescent="0.35">
      <c r="A2172" s="2" t="s">
        <v>59</v>
      </c>
      <c r="B2172" s="2" t="s">
        <v>94</v>
      </c>
      <c r="C2172" s="2" t="s">
        <v>22503</v>
      </c>
      <c r="D2172" s="2" t="s">
        <v>22504</v>
      </c>
      <c r="E2172" s="2" t="s">
        <v>22505</v>
      </c>
      <c r="G2172" s="3" t="s">
        <v>64</v>
      </c>
      <c r="I2172" s="3" t="s">
        <v>64</v>
      </c>
      <c r="J2172" s="3" t="s">
        <v>64</v>
      </c>
      <c r="K2172" s="3" t="s">
        <v>65</v>
      </c>
      <c r="L2172" s="2" t="s">
        <v>22506</v>
      </c>
      <c r="M2172" s="2" t="s">
        <v>22507</v>
      </c>
      <c r="N2172" s="3" t="s">
        <v>524</v>
      </c>
      <c r="P2172" s="3" t="s">
        <v>69</v>
      </c>
      <c r="R2172" s="3" t="s">
        <v>20939</v>
      </c>
      <c r="S2172" s="4">
        <v>0</v>
      </c>
      <c r="T2172" s="4">
        <v>0</v>
      </c>
      <c r="W2172" s="5" t="s">
        <v>72</v>
      </c>
      <c r="X2172" s="5" t="s">
        <v>72</v>
      </c>
      <c r="Y2172" s="4">
        <v>66</v>
      </c>
      <c r="Z2172" s="4">
        <v>4</v>
      </c>
      <c r="AA2172" s="4">
        <v>32</v>
      </c>
      <c r="AB2172" s="4">
        <v>1</v>
      </c>
      <c r="AC2172" s="4">
        <v>6</v>
      </c>
      <c r="AD2172" s="4">
        <v>44</v>
      </c>
      <c r="AE2172" s="4">
        <v>94</v>
      </c>
      <c r="AF2172" s="4">
        <v>0</v>
      </c>
      <c r="AG2172" s="4">
        <v>2</v>
      </c>
      <c r="AH2172" s="4">
        <v>43</v>
      </c>
      <c r="AI2172" s="4">
        <v>77</v>
      </c>
      <c r="AJ2172" s="4">
        <v>3</v>
      </c>
      <c r="AK2172" s="4">
        <v>13</v>
      </c>
      <c r="AL2172" s="4">
        <v>22</v>
      </c>
      <c r="AM2172" s="4">
        <v>40</v>
      </c>
      <c r="AN2172" s="4">
        <v>0</v>
      </c>
      <c r="AO2172" s="4">
        <v>0</v>
      </c>
      <c r="AP2172" s="4">
        <v>3</v>
      </c>
      <c r="AQ2172" s="4">
        <v>23</v>
      </c>
      <c r="AR2172" s="3" t="s">
        <v>64</v>
      </c>
      <c r="AS2172" s="3" t="s">
        <v>64</v>
      </c>
      <c r="AT2172" s="3" t="s">
        <v>64</v>
      </c>
      <c r="AV2172" s="6" t="str">
        <f>HYPERLINK("http://mcgill.on.worldcat.org/oclc/854980500","Catalog Record")</f>
        <v>Catalog Record</v>
      </c>
      <c r="AW2172" s="6" t="str">
        <f>HYPERLINK("http://www.worldcat.org/oclc/854980500","WorldCat Record")</f>
        <v>WorldCat Record</v>
      </c>
      <c r="AX2172" s="3" t="s">
        <v>22508</v>
      </c>
      <c r="AY2172" s="3" t="s">
        <v>22509</v>
      </c>
      <c r="AZ2172" s="3" t="s">
        <v>22510</v>
      </c>
      <c r="BA2172" s="3" t="s">
        <v>22510</v>
      </c>
      <c r="BB2172" s="3" t="s">
        <v>22511</v>
      </c>
      <c r="BC2172" s="3" t="s">
        <v>78</v>
      </c>
      <c r="BD2172" s="3" t="s">
        <v>79</v>
      </c>
      <c r="BE2172" s="3" t="s">
        <v>22512</v>
      </c>
      <c r="BF2172" s="3" t="s">
        <v>22511</v>
      </c>
      <c r="BG2172" s="3" t="s">
        <v>22513</v>
      </c>
    </row>
    <row r="2173" spans="1:59" ht="58" x14ac:dyDescent="0.35">
      <c r="A2173" s="2" t="s">
        <v>59</v>
      </c>
      <c r="B2173" s="2" t="s">
        <v>94</v>
      </c>
      <c r="C2173" s="2" t="s">
        <v>22514</v>
      </c>
      <c r="D2173" s="2" t="s">
        <v>22515</v>
      </c>
      <c r="E2173" s="2" t="s">
        <v>22516</v>
      </c>
      <c r="G2173" s="3" t="s">
        <v>64</v>
      </c>
      <c r="I2173" s="3" t="s">
        <v>64</v>
      </c>
      <c r="J2173" s="3" t="s">
        <v>64</v>
      </c>
      <c r="K2173" s="3" t="s">
        <v>65</v>
      </c>
      <c r="L2173" s="2" t="s">
        <v>22517</v>
      </c>
      <c r="M2173" s="2" t="s">
        <v>5100</v>
      </c>
      <c r="N2173" s="3" t="s">
        <v>328</v>
      </c>
      <c r="P2173" s="3" t="s">
        <v>69</v>
      </c>
      <c r="R2173" s="3" t="s">
        <v>20939</v>
      </c>
      <c r="S2173" s="4">
        <v>0</v>
      </c>
      <c r="T2173" s="4">
        <v>0</v>
      </c>
      <c r="W2173" s="5" t="s">
        <v>72</v>
      </c>
      <c r="X2173" s="5" t="s">
        <v>72</v>
      </c>
      <c r="Y2173" s="4">
        <v>88</v>
      </c>
      <c r="Z2173" s="4">
        <v>5</v>
      </c>
      <c r="AA2173" s="4">
        <v>9</v>
      </c>
      <c r="AB2173" s="4">
        <v>1</v>
      </c>
      <c r="AC2173" s="4">
        <v>1</v>
      </c>
      <c r="AD2173" s="4">
        <v>47</v>
      </c>
      <c r="AE2173" s="4">
        <v>56</v>
      </c>
      <c r="AF2173" s="4">
        <v>0</v>
      </c>
      <c r="AG2173" s="4">
        <v>0</v>
      </c>
      <c r="AH2173" s="4">
        <v>45</v>
      </c>
      <c r="AI2173" s="4">
        <v>53</v>
      </c>
      <c r="AJ2173" s="4">
        <v>3</v>
      </c>
      <c r="AK2173" s="4">
        <v>6</v>
      </c>
      <c r="AL2173" s="4">
        <v>23</v>
      </c>
      <c r="AM2173" s="4">
        <v>28</v>
      </c>
      <c r="AN2173" s="4">
        <v>0</v>
      </c>
      <c r="AO2173" s="4">
        <v>0</v>
      </c>
      <c r="AP2173" s="4">
        <v>4</v>
      </c>
      <c r="AQ2173" s="4">
        <v>7</v>
      </c>
      <c r="AR2173" s="3" t="s">
        <v>64</v>
      </c>
      <c r="AS2173" s="3" t="s">
        <v>64</v>
      </c>
      <c r="AT2173" s="3" t="s">
        <v>64</v>
      </c>
      <c r="AV2173" s="6" t="str">
        <f>HYPERLINK("http://mcgill.on.worldcat.org/oclc/701242483","Catalog Record")</f>
        <v>Catalog Record</v>
      </c>
      <c r="AW2173" s="6" t="str">
        <f>HYPERLINK("http://www.worldcat.org/oclc/701242483","WorldCat Record")</f>
        <v>WorldCat Record</v>
      </c>
      <c r="AX2173" s="3" t="s">
        <v>22518</v>
      </c>
      <c r="AY2173" s="3" t="s">
        <v>22519</v>
      </c>
      <c r="AZ2173" s="3" t="s">
        <v>22520</v>
      </c>
      <c r="BA2173" s="3" t="s">
        <v>22520</v>
      </c>
      <c r="BB2173" s="3" t="s">
        <v>22521</v>
      </c>
      <c r="BC2173" s="3" t="s">
        <v>78</v>
      </c>
      <c r="BD2173" s="3" t="s">
        <v>79</v>
      </c>
      <c r="BE2173" s="3" t="s">
        <v>22522</v>
      </c>
      <c r="BF2173" s="3" t="s">
        <v>22521</v>
      </c>
      <c r="BG2173" s="3" t="s">
        <v>22523</v>
      </c>
    </row>
    <row r="2174" spans="1:59" ht="72.5" x14ac:dyDescent="0.35">
      <c r="A2174" s="2" t="s">
        <v>59</v>
      </c>
      <c r="B2174" s="2" t="s">
        <v>94</v>
      </c>
      <c r="C2174" s="2" t="s">
        <v>22524</v>
      </c>
      <c r="D2174" s="2" t="s">
        <v>22525</v>
      </c>
      <c r="E2174" s="2" t="s">
        <v>22526</v>
      </c>
      <c r="G2174" s="3" t="s">
        <v>64</v>
      </c>
      <c r="I2174" s="3" t="s">
        <v>64</v>
      </c>
      <c r="J2174" s="3" t="s">
        <v>64</v>
      </c>
      <c r="K2174" s="3" t="s">
        <v>65</v>
      </c>
      <c r="M2174" s="2" t="s">
        <v>6240</v>
      </c>
      <c r="N2174" s="3" t="s">
        <v>377</v>
      </c>
      <c r="P2174" s="3" t="s">
        <v>69</v>
      </c>
      <c r="Q2174" s="2" t="s">
        <v>22527</v>
      </c>
      <c r="R2174" s="3" t="s">
        <v>20939</v>
      </c>
      <c r="S2174" s="4">
        <v>0</v>
      </c>
      <c r="T2174" s="4">
        <v>0</v>
      </c>
      <c r="W2174" s="5" t="s">
        <v>72</v>
      </c>
      <c r="X2174" s="5" t="s">
        <v>72</v>
      </c>
      <c r="Y2174" s="4">
        <v>74</v>
      </c>
      <c r="Z2174" s="4">
        <v>5</v>
      </c>
      <c r="AA2174" s="4">
        <v>8</v>
      </c>
      <c r="AB2174" s="4">
        <v>1</v>
      </c>
      <c r="AC2174" s="4">
        <v>1</v>
      </c>
      <c r="AD2174" s="4">
        <v>43</v>
      </c>
      <c r="AE2174" s="4">
        <v>51</v>
      </c>
      <c r="AF2174" s="4">
        <v>0</v>
      </c>
      <c r="AG2174" s="4">
        <v>0</v>
      </c>
      <c r="AH2174" s="4">
        <v>42</v>
      </c>
      <c r="AI2174" s="4">
        <v>49</v>
      </c>
      <c r="AJ2174" s="4">
        <v>3</v>
      </c>
      <c r="AK2174" s="4">
        <v>6</v>
      </c>
      <c r="AL2174" s="4">
        <v>24</v>
      </c>
      <c r="AM2174" s="4">
        <v>26</v>
      </c>
      <c r="AN2174" s="4">
        <v>0</v>
      </c>
      <c r="AO2174" s="4">
        <v>0</v>
      </c>
      <c r="AP2174" s="4">
        <v>3</v>
      </c>
      <c r="AQ2174" s="4">
        <v>6</v>
      </c>
      <c r="AR2174" s="3" t="s">
        <v>64</v>
      </c>
      <c r="AS2174" s="3" t="s">
        <v>64</v>
      </c>
      <c r="AT2174" s="3" t="s">
        <v>64</v>
      </c>
      <c r="AV2174" s="6" t="str">
        <f>HYPERLINK("http://mcgill.on.worldcat.org/oclc/712780964","Catalog Record")</f>
        <v>Catalog Record</v>
      </c>
      <c r="AW2174" s="6" t="str">
        <f>HYPERLINK("http://www.worldcat.org/oclc/712780964","WorldCat Record")</f>
        <v>WorldCat Record</v>
      </c>
      <c r="AX2174" s="3" t="s">
        <v>22528</v>
      </c>
      <c r="AY2174" s="3" t="s">
        <v>22529</v>
      </c>
      <c r="AZ2174" s="3" t="s">
        <v>22530</v>
      </c>
      <c r="BA2174" s="3" t="s">
        <v>22530</v>
      </c>
      <c r="BB2174" s="3" t="s">
        <v>22531</v>
      </c>
      <c r="BC2174" s="3" t="s">
        <v>78</v>
      </c>
      <c r="BD2174" s="3" t="s">
        <v>79</v>
      </c>
      <c r="BE2174" s="3" t="s">
        <v>22532</v>
      </c>
      <c r="BF2174" s="3" t="s">
        <v>22531</v>
      </c>
      <c r="BG2174" s="3" t="s">
        <v>22533</v>
      </c>
    </row>
    <row r="2175" spans="1:59" ht="58" x14ac:dyDescent="0.35">
      <c r="A2175" s="2" t="s">
        <v>59</v>
      </c>
      <c r="B2175" s="2" t="s">
        <v>94</v>
      </c>
      <c r="C2175" s="2" t="s">
        <v>22534</v>
      </c>
      <c r="D2175" s="2" t="s">
        <v>22535</v>
      </c>
      <c r="E2175" s="2" t="s">
        <v>22536</v>
      </c>
      <c r="G2175" s="3" t="s">
        <v>64</v>
      </c>
      <c r="I2175" s="3" t="s">
        <v>64</v>
      </c>
      <c r="J2175" s="3" t="s">
        <v>64</v>
      </c>
      <c r="K2175" s="3" t="s">
        <v>65</v>
      </c>
      <c r="L2175" s="2" t="s">
        <v>22537</v>
      </c>
      <c r="M2175" s="2" t="s">
        <v>7151</v>
      </c>
      <c r="N2175" s="3" t="s">
        <v>524</v>
      </c>
      <c r="P2175" s="3" t="s">
        <v>69</v>
      </c>
      <c r="Q2175" s="2" t="s">
        <v>22538</v>
      </c>
      <c r="R2175" s="3" t="s">
        <v>20939</v>
      </c>
      <c r="S2175" s="4">
        <v>0</v>
      </c>
      <c r="T2175" s="4">
        <v>0</v>
      </c>
      <c r="W2175" s="5" t="s">
        <v>72</v>
      </c>
      <c r="X2175" s="5" t="s">
        <v>72</v>
      </c>
      <c r="Y2175" s="4">
        <v>64</v>
      </c>
      <c r="Z2175" s="4">
        <v>4</v>
      </c>
      <c r="AA2175" s="4">
        <v>32</v>
      </c>
      <c r="AB2175" s="4">
        <v>1</v>
      </c>
      <c r="AC2175" s="4">
        <v>6</v>
      </c>
      <c r="AD2175" s="4">
        <v>42</v>
      </c>
      <c r="AE2175" s="4">
        <v>91</v>
      </c>
      <c r="AF2175" s="4">
        <v>0</v>
      </c>
      <c r="AG2175" s="4">
        <v>2</v>
      </c>
      <c r="AH2175" s="4">
        <v>42</v>
      </c>
      <c r="AI2175" s="4">
        <v>74</v>
      </c>
      <c r="AJ2175" s="4">
        <v>3</v>
      </c>
      <c r="AK2175" s="4">
        <v>13</v>
      </c>
      <c r="AL2175" s="4">
        <v>22</v>
      </c>
      <c r="AM2175" s="4">
        <v>40</v>
      </c>
      <c r="AN2175" s="4">
        <v>0</v>
      </c>
      <c r="AO2175" s="4">
        <v>0</v>
      </c>
      <c r="AP2175" s="4">
        <v>3</v>
      </c>
      <c r="AQ2175" s="4">
        <v>23</v>
      </c>
      <c r="AR2175" s="3" t="s">
        <v>64</v>
      </c>
      <c r="AS2175" s="3" t="s">
        <v>64</v>
      </c>
      <c r="AT2175" s="3" t="s">
        <v>64</v>
      </c>
      <c r="AV2175" s="6" t="str">
        <f>HYPERLINK("http://mcgill.on.worldcat.org/oclc/853278671","Catalog Record")</f>
        <v>Catalog Record</v>
      </c>
      <c r="AW2175" s="6" t="str">
        <f>HYPERLINK("http://www.worldcat.org/oclc/853278671","WorldCat Record")</f>
        <v>WorldCat Record</v>
      </c>
      <c r="AX2175" s="3" t="s">
        <v>22539</v>
      </c>
      <c r="AY2175" s="3" t="s">
        <v>22540</v>
      </c>
      <c r="AZ2175" s="3" t="s">
        <v>22541</v>
      </c>
      <c r="BA2175" s="3" t="s">
        <v>22541</v>
      </c>
      <c r="BB2175" s="3" t="s">
        <v>22542</v>
      </c>
      <c r="BC2175" s="3" t="s">
        <v>78</v>
      </c>
      <c r="BD2175" s="3" t="s">
        <v>79</v>
      </c>
      <c r="BE2175" s="3" t="s">
        <v>22543</v>
      </c>
      <c r="BF2175" s="3" t="s">
        <v>22542</v>
      </c>
      <c r="BG2175" s="3" t="s">
        <v>22544</v>
      </c>
    </row>
    <row r="2176" spans="1:59" ht="58" x14ac:dyDescent="0.35">
      <c r="A2176" s="2" t="s">
        <v>59</v>
      </c>
      <c r="B2176" s="2" t="s">
        <v>94</v>
      </c>
      <c r="C2176" s="2" t="s">
        <v>22545</v>
      </c>
      <c r="D2176" s="2" t="s">
        <v>22546</v>
      </c>
      <c r="E2176" s="2" t="s">
        <v>22547</v>
      </c>
      <c r="G2176" s="3" t="s">
        <v>64</v>
      </c>
      <c r="I2176" s="3" t="s">
        <v>64</v>
      </c>
      <c r="J2176" s="3" t="s">
        <v>64</v>
      </c>
      <c r="K2176" s="3" t="s">
        <v>65</v>
      </c>
      <c r="M2176" s="2" t="s">
        <v>5089</v>
      </c>
      <c r="N2176" s="3" t="s">
        <v>214</v>
      </c>
      <c r="P2176" s="3" t="s">
        <v>69</v>
      </c>
      <c r="Q2176" s="2" t="s">
        <v>5134</v>
      </c>
      <c r="R2176" s="3" t="s">
        <v>20939</v>
      </c>
      <c r="S2176" s="4">
        <v>0</v>
      </c>
      <c r="T2176" s="4">
        <v>0</v>
      </c>
      <c r="W2176" s="5" t="s">
        <v>72</v>
      </c>
      <c r="X2176" s="5" t="s">
        <v>72</v>
      </c>
      <c r="Y2176" s="4">
        <v>86</v>
      </c>
      <c r="Z2176" s="4">
        <v>6</v>
      </c>
      <c r="AA2176" s="4">
        <v>47</v>
      </c>
      <c r="AB2176" s="4">
        <v>1</v>
      </c>
      <c r="AC2176" s="4">
        <v>9</v>
      </c>
      <c r="AD2176" s="4">
        <v>52</v>
      </c>
      <c r="AE2176" s="4">
        <v>107</v>
      </c>
      <c r="AF2176" s="4">
        <v>0</v>
      </c>
      <c r="AG2176" s="4">
        <v>3</v>
      </c>
      <c r="AH2176" s="4">
        <v>50</v>
      </c>
      <c r="AI2176" s="4">
        <v>86</v>
      </c>
      <c r="AJ2176" s="4">
        <v>4</v>
      </c>
      <c r="AK2176" s="4">
        <v>14</v>
      </c>
      <c r="AL2176" s="4">
        <v>24</v>
      </c>
      <c r="AM2176" s="4">
        <v>43</v>
      </c>
      <c r="AN2176" s="4">
        <v>0</v>
      </c>
      <c r="AO2176" s="4">
        <v>0</v>
      </c>
      <c r="AP2176" s="4">
        <v>5</v>
      </c>
      <c r="AQ2176" s="4">
        <v>28</v>
      </c>
      <c r="AR2176" s="3" t="s">
        <v>64</v>
      </c>
      <c r="AS2176" s="3" t="s">
        <v>64</v>
      </c>
      <c r="AT2176" s="3" t="s">
        <v>64</v>
      </c>
      <c r="AV2176" s="6" t="str">
        <f>HYPERLINK("http://mcgill.on.worldcat.org/oclc/649927347","Catalog Record")</f>
        <v>Catalog Record</v>
      </c>
      <c r="AW2176" s="6" t="str">
        <f>HYPERLINK("http://www.worldcat.org/oclc/649927347","WorldCat Record")</f>
        <v>WorldCat Record</v>
      </c>
      <c r="AX2176" s="3" t="s">
        <v>22548</v>
      </c>
      <c r="AY2176" s="3" t="s">
        <v>22549</v>
      </c>
      <c r="AZ2176" s="3" t="s">
        <v>22550</v>
      </c>
      <c r="BA2176" s="3" t="s">
        <v>22550</v>
      </c>
      <c r="BB2176" s="3" t="s">
        <v>22551</v>
      </c>
      <c r="BC2176" s="3" t="s">
        <v>78</v>
      </c>
      <c r="BD2176" s="3" t="s">
        <v>79</v>
      </c>
      <c r="BE2176" s="3" t="s">
        <v>22552</v>
      </c>
      <c r="BF2176" s="3" t="s">
        <v>22551</v>
      </c>
      <c r="BG2176" s="3" t="s">
        <v>22553</v>
      </c>
    </row>
    <row r="2177" spans="1:59" ht="58" x14ac:dyDescent="0.35">
      <c r="A2177" s="2" t="s">
        <v>59</v>
      </c>
      <c r="B2177" s="2" t="s">
        <v>94</v>
      </c>
      <c r="C2177" s="2" t="s">
        <v>22554</v>
      </c>
      <c r="D2177" s="2" t="s">
        <v>22555</v>
      </c>
      <c r="E2177" s="2" t="s">
        <v>22556</v>
      </c>
      <c r="G2177" s="3" t="s">
        <v>64</v>
      </c>
      <c r="I2177" s="3" t="s">
        <v>64</v>
      </c>
      <c r="J2177" s="3" t="s">
        <v>64</v>
      </c>
      <c r="K2177" s="3" t="s">
        <v>65</v>
      </c>
      <c r="L2177" s="2" t="s">
        <v>22557</v>
      </c>
      <c r="M2177" s="2" t="s">
        <v>7296</v>
      </c>
      <c r="N2177" s="3" t="s">
        <v>175</v>
      </c>
      <c r="P2177" s="3" t="s">
        <v>69</v>
      </c>
      <c r="Q2177" s="2" t="s">
        <v>7262</v>
      </c>
      <c r="R2177" s="3" t="s">
        <v>20939</v>
      </c>
      <c r="S2177" s="4">
        <v>0</v>
      </c>
      <c r="T2177" s="4">
        <v>0</v>
      </c>
      <c r="W2177" s="5" t="s">
        <v>72</v>
      </c>
      <c r="X2177" s="5" t="s">
        <v>72</v>
      </c>
      <c r="Y2177" s="4">
        <v>64</v>
      </c>
      <c r="Z2177" s="4">
        <v>3</v>
      </c>
      <c r="AA2177" s="4">
        <v>32</v>
      </c>
      <c r="AB2177" s="4">
        <v>1</v>
      </c>
      <c r="AC2177" s="4">
        <v>6</v>
      </c>
      <c r="AD2177" s="4">
        <v>41</v>
      </c>
      <c r="AE2177" s="4">
        <v>91</v>
      </c>
      <c r="AF2177" s="4">
        <v>0</v>
      </c>
      <c r="AG2177" s="4">
        <v>2</v>
      </c>
      <c r="AH2177" s="4">
        <v>40</v>
      </c>
      <c r="AI2177" s="4">
        <v>74</v>
      </c>
      <c r="AJ2177" s="4">
        <v>2</v>
      </c>
      <c r="AK2177" s="4">
        <v>13</v>
      </c>
      <c r="AL2177" s="4">
        <v>23</v>
      </c>
      <c r="AM2177" s="4">
        <v>41</v>
      </c>
      <c r="AN2177" s="4">
        <v>0</v>
      </c>
      <c r="AO2177" s="4">
        <v>0</v>
      </c>
      <c r="AP2177" s="4">
        <v>2</v>
      </c>
      <c r="AQ2177" s="4">
        <v>23</v>
      </c>
      <c r="AR2177" s="3" t="s">
        <v>64</v>
      </c>
      <c r="AS2177" s="3" t="s">
        <v>64</v>
      </c>
      <c r="AT2177" s="3" t="s">
        <v>64</v>
      </c>
      <c r="AV2177" s="6" t="str">
        <f>HYPERLINK("http://mcgill.on.worldcat.org/oclc/863684639","Catalog Record")</f>
        <v>Catalog Record</v>
      </c>
      <c r="AW2177" s="6" t="str">
        <f>HYPERLINK("http://www.worldcat.org/oclc/863684639","WorldCat Record")</f>
        <v>WorldCat Record</v>
      </c>
      <c r="AX2177" s="3" t="s">
        <v>22558</v>
      </c>
      <c r="AY2177" s="3" t="s">
        <v>22559</v>
      </c>
      <c r="AZ2177" s="3" t="s">
        <v>22560</v>
      </c>
      <c r="BA2177" s="3" t="s">
        <v>22560</v>
      </c>
      <c r="BB2177" s="3" t="s">
        <v>22561</v>
      </c>
      <c r="BC2177" s="3" t="s">
        <v>78</v>
      </c>
      <c r="BD2177" s="3" t="s">
        <v>79</v>
      </c>
      <c r="BE2177" s="3" t="s">
        <v>22562</v>
      </c>
      <c r="BF2177" s="3" t="s">
        <v>22561</v>
      </c>
      <c r="BG2177" s="3" t="s">
        <v>22563</v>
      </c>
    </row>
    <row r="2178" spans="1:59" ht="58" x14ac:dyDescent="0.35">
      <c r="A2178" s="2" t="s">
        <v>59</v>
      </c>
      <c r="B2178" s="2" t="s">
        <v>94</v>
      </c>
      <c r="C2178" s="2" t="s">
        <v>22564</v>
      </c>
      <c r="D2178" s="2" t="s">
        <v>22565</v>
      </c>
      <c r="E2178" s="2" t="s">
        <v>22566</v>
      </c>
      <c r="G2178" s="3" t="s">
        <v>64</v>
      </c>
      <c r="I2178" s="3" t="s">
        <v>64</v>
      </c>
      <c r="J2178" s="3" t="s">
        <v>64</v>
      </c>
      <c r="K2178" s="3" t="s">
        <v>65</v>
      </c>
      <c r="L2178" s="2" t="s">
        <v>22567</v>
      </c>
      <c r="M2178" s="2" t="s">
        <v>22568</v>
      </c>
      <c r="N2178" s="3" t="s">
        <v>214</v>
      </c>
      <c r="P2178" s="3" t="s">
        <v>69</v>
      </c>
      <c r="Q2178" s="2" t="s">
        <v>5134</v>
      </c>
      <c r="R2178" s="3" t="s">
        <v>20939</v>
      </c>
      <c r="S2178" s="4">
        <v>0</v>
      </c>
      <c r="T2178" s="4">
        <v>0</v>
      </c>
      <c r="W2178" s="5" t="s">
        <v>72</v>
      </c>
      <c r="X2178" s="5" t="s">
        <v>72</v>
      </c>
      <c r="Y2178" s="4">
        <v>106</v>
      </c>
      <c r="Z2178" s="4">
        <v>5</v>
      </c>
      <c r="AA2178" s="4">
        <v>11</v>
      </c>
      <c r="AB2178" s="4">
        <v>1</v>
      </c>
      <c r="AC2178" s="4">
        <v>1</v>
      </c>
      <c r="AD2178" s="4">
        <v>53</v>
      </c>
      <c r="AE2178" s="4">
        <v>62</v>
      </c>
      <c r="AF2178" s="4">
        <v>0</v>
      </c>
      <c r="AG2178" s="4">
        <v>0</v>
      </c>
      <c r="AH2178" s="4">
        <v>52</v>
      </c>
      <c r="AI2178" s="4">
        <v>59</v>
      </c>
      <c r="AJ2178" s="4">
        <v>3</v>
      </c>
      <c r="AK2178" s="4">
        <v>8</v>
      </c>
      <c r="AL2178" s="4">
        <v>26</v>
      </c>
      <c r="AM2178" s="4">
        <v>27</v>
      </c>
      <c r="AN2178" s="4">
        <v>0</v>
      </c>
      <c r="AO2178" s="4">
        <v>0</v>
      </c>
      <c r="AP2178" s="4">
        <v>3</v>
      </c>
      <c r="AQ2178" s="4">
        <v>9</v>
      </c>
      <c r="AR2178" s="3" t="s">
        <v>64</v>
      </c>
      <c r="AS2178" s="3" t="s">
        <v>64</v>
      </c>
      <c r="AT2178" s="3" t="s">
        <v>64</v>
      </c>
      <c r="AV2178" s="6" t="str">
        <f>HYPERLINK("http://mcgill.on.worldcat.org/oclc/642464827","Catalog Record")</f>
        <v>Catalog Record</v>
      </c>
      <c r="AW2178" s="6" t="str">
        <f>HYPERLINK("http://www.worldcat.org/oclc/642464827","WorldCat Record")</f>
        <v>WorldCat Record</v>
      </c>
      <c r="AX2178" s="3" t="s">
        <v>22569</v>
      </c>
      <c r="AY2178" s="3" t="s">
        <v>22570</v>
      </c>
      <c r="AZ2178" s="3" t="s">
        <v>22571</v>
      </c>
      <c r="BA2178" s="3" t="s">
        <v>22571</v>
      </c>
      <c r="BB2178" s="3" t="s">
        <v>22572</v>
      </c>
      <c r="BC2178" s="3" t="s">
        <v>78</v>
      </c>
      <c r="BD2178" s="3" t="s">
        <v>79</v>
      </c>
      <c r="BE2178" s="3" t="s">
        <v>22573</v>
      </c>
      <c r="BF2178" s="3" t="s">
        <v>22572</v>
      </c>
      <c r="BG2178" s="3" t="s">
        <v>22574</v>
      </c>
    </row>
    <row r="2179" spans="1:59" ht="58" x14ac:dyDescent="0.35">
      <c r="A2179" s="2" t="s">
        <v>59</v>
      </c>
      <c r="B2179" s="2" t="s">
        <v>94</v>
      </c>
      <c r="C2179" s="2" t="s">
        <v>22575</v>
      </c>
      <c r="D2179" s="2" t="s">
        <v>22576</v>
      </c>
      <c r="E2179" s="2" t="s">
        <v>22577</v>
      </c>
      <c r="G2179" s="3" t="s">
        <v>64</v>
      </c>
      <c r="I2179" s="3" t="s">
        <v>64</v>
      </c>
      <c r="J2179" s="3" t="s">
        <v>64</v>
      </c>
      <c r="K2179" s="3" t="s">
        <v>65</v>
      </c>
      <c r="L2179" s="2" t="s">
        <v>22578</v>
      </c>
      <c r="M2179" s="2" t="s">
        <v>22579</v>
      </c>
      <c r="N2179" s="3" t="s">
        <v>524</v>
      </c>
      <c r="O2179" s="2" t="s">
        <v>4073</v>
      </c>
      <c r="P2179" s="3" t="s">
        <v>69</v>
      </c>
      <c r="R2179" s="3" t="s">
        <v>20939</v>
      </c>
      <c r="S2179" s="4">
        <v>11</v>
      </c>
      <c r="T2179" s="4">
        <v>11</v>
      </c>
      <c r="U2179" s="5" t="s">
        <v>2104</v>
      </c>
      <c r="V2179" s="5" t="s">
        <v>2104</v>
      </c>
      <c r="W2179" s="5" t="s">
        <v>72</v>
      </c>
      <c r="X2179" s="5" t="s">
        <v>72</v>
      </c>
      <c r="Y2179" s="4">
        <v>282</v>
      </c>
      <c r="Z2179" s="4">
        <v>11</v>
      </c>
      <c r="AA2179" s="4">
        <v>33</v>
      </c>
      <c r="AB2179" s="4">
        <v>2</v>
      </c>
      <c r="AC2179" s="4">
        <v>7</v>
      </c>
      <c r="AD2179" s="4">
        <v>39</v>
      </c>
      <c r="AE2179" s="4">
        <v>76</v>
      </c>
      <c r="AF2179" s="4">
        <v>0</v>
      </c>
      <c r="AG2179" s="4">
        <v>2</v>
      </c>
      <c r="AH2179" s="4">
        <v>38</v>
      </c>
      <c r="AI2179" s="4">
        <v>66</v>
      </c>
      <c r="AJ2179" s="4">
        <v>2</v>
      </c>
      <c r="AK2179" s="4">
        <v>9</v>
      </c>
      <c r="AL2179" s="4">
        <v>28</v>
      </c>
      <c r="AM2179" s="4">
        <v>44</v>
      </c>
      <c r="AN2179" s="4">
        <v>5</v>
      </c>
      <c r="AO2179" s="4">
        <v>5</v>
      </c>
      <c r="AP2179" s="4">
        <v>3</v>
      </c>
      <c r="AQ2179" s="4">
        <v>11</v>
      </c>
      <c r="AR2179" s="3" t="s">
        <v>64</v>
      </c>
      <c r="AS2179" s="3" t="s">
        <v>64</v>
      </c>
      <c r="AT2179" s="3" t="s">
        <v>73</v>
      </c>
      <c r="AU2179" s="6" t="str">
        <f>HYPERLINK("http://catalog.hathitrust.org/Record/012242981","HathiTrust Record")</f>
        <v>HathiTrust Record</v>
      </c>
      <c r="AV2179" s="6" t="str">
        <f>HYPERLINK("http://mcgill.on.worldcat.org/oclc/813931562","Catalog Record")</f>
        <v>Catalog Record</v>
      </c>
      <c r="AW2179" s="6" t="str">
        <f>HYPERLINK("http://www.worldcat.org/oclc/813931562","WorldCat Record")</f>
        <v>WorldCat Record</v>
      </c>
      <c r="AX2179" s="3" t="s">
        <v>22580</v>
      </c>
      <c r="AY2179" s="3" t="s">
        <v>22581</v>
      </c>
      <c r="AZ2179" s="3" t="s">
        <v>22582</v>
      </c>
      <c r="BA2179" s="3" t="s">
        <v>22582</v>
      </c>
      <c r="BB2179" s="3" t="s">
        <v>22583</v>
      </c>
      <c r="BC2179" s="3" t="s">
        <v>78</v>
      </c>
      <c r="BD2179" s="3" t="s">
        <v>79</v>
      </c>
      <c r="BE2179" s="3" t="s">
        <v>22584</v>
      </c>
      <c r="BF2179" s="3" t="s">
        <v>22583</v>
      </c>
      <c r="BG2179" s="3" t="s">
        <v>22585</v>
      </c>
    </row>
    <row r="2180" spans="1:59" ht="58" x14ac:dyDescent="0.35">
      <c r="A2180" s="2" t="s">
        <v>59</v>
      </c>
      <c r="B2180" s="2" t="s">
        <v>94</v>
      </c>
      <c r="C2180" s="2" t="s">
        <v>22586</v>
      </c>
      <c r="D2180" s="2" t="s">
        <v>22587</v>
      </c>
      <c r="E2180" s="2" t="s">
        <v>22588</v>
      </c>
      <c r="G2180" s="3" t="s">
        <v>64</v>
      </c>
      <c r="I2180" s="3" t="s">
        <v>64</v>
      </c>
      <c r="J2180" s="3" t="s">
        <v>73</v>
      </c>
      <c r="K2180" s="3" t="s">
        <v>65</v>
      </c>
      <c r="L2180" s="2" t="s">
        <v>22589</v>
      </c>
      <c r="M2180" s="2" t="s">
        <v>22590</v>
      </c>
      <c r="N2180" s="3" t="s">
        <v>87</v>
      </c>
      <c r="P2180" s="3" t="s">
        <v>69</v>
      </c>
      <c r="Q2180" s="2" t="s">
        <v>22591</v>
      </c>
      <c r="R2180" s="3" t="s">
        <v>20939</v>
      </c>
      <c r="S2180" s="4">
        <v>5</v>
      </c>
      <c r="T2180" s="4">
        <v>5</v>
      </c>
      <c r="U2180" s="5" t="s">
        <v>22592</v>
      </c>
      <c r="V2180" s="5" t="s">
        <v>22592</v>
      </c>
      <c r="W2180" s="5" t="s">
        <v>72</v>
      </c>
      <c r="X2180" s="5" t="s">
        <v>72</v>
      </c>
      <c r="Y2180" s="4">
        <v>52</v>
      </c>
      <c r="Z2180" s="4">
        <v>3</v>
      </c>
      <c r="AA2180" s="4">
        <v>86</v>
      </c>
      <c r="AB2180" s="4">
        <v>1</v>
      </c>
      <c r="AC2180" s="4">
        <v>15</v>
      </c>
      <c r="AD2180" s="4">
        <v>7</v>
      </c>
      <c r="AE2180" s="4">
        <v>123</v>
      </c>
      <c r="AF2180" s="4">
        <v>0</v>
      </c>
      <c r="AG2180" s="4">
        <v>8</v>
      </c>
      <c r="AH2180" s="4">
        <v>6</v>
      </c>
      <c r="AI2180" s="4">
        <v>88</v>
      </c>
      <c r="AJ2180" s="4">
        <v>2</v>
      </c>
      <c r="AK2180" s="4">
        <v>20</v>
      </c>
      <c r="AL2180" s="4">
        <v>5</v>
      </c>
      <c r="AM2180" s="4">
        <v>49</v>
      </c>
      <c r="AN2180" s="4">
        <v>0</v>
      </c>
      <c r="AO2180" s="4">
        <v>0</v>
      </c>
      <c r="AP2180" s="4">
        <v>2</v>
      </c>
      <c r="AQ2180" s="4">
        <v>41</v>
      </c>
      <c r="AR2180" s="3" t="s">
        <v>64</v>
      </c>
      <c r="AS2180" s="3" t="s">
        <v>64</v>
      </c>
      <c r="AT2180" s="3" t="s">
        <v>64</v>
      </c>
      <c r="AV2180" s="6" t="str">
        <f>HYPERLINK("http://mcgill.on.worldcat.org/oclc/903527249","Catalog Record")</f>
        <v>Catalog Record</v>
      </c>
      <c r="AW2180" s="6" t="str">
        <f>HYPERLINK("http://www.worldcat.org/oclc/903527249","WorldCat Record")</f>
        <v>WorldCat Record</v>
      </c>
      <c r="AX2180" s="3" t="s">
        <v>21633</v>
      </c>
      <c r="AY2180" s="3" t="s">
        <v>22593</v>
      </c>
      <c r="AZ2180" s="3" t="s">
        <v>22594</v>
      </c>
      <c r="BA2180" s="3" t="s">
        <v>22594</v>
      </c>
      <c r="BB2180" s="3" t="s">
        <v>22595</v>
      </c>
      <c r="BC2180" s="3" t="s">
        <v>78</v>
      </c>
      <c r="BD2180" s="3" t="s">
        <v>79</v>
      </c>
      <c r="BE2180" s="3" t="s">
        <v>22596</v>
      </c>
      <c r="BF2180" s="3" t="s">
        <v>22595</v>
      </c>
      <c r="BG2180" s="3" t="s">
        <v>22597</v>
      </c>
    </row>
    <row r="2181" spans="1:59" ht="58" x14ac:dyDescent="0.35">
      <c r="A2181" s="2" t="s">
        <v>59</v>
      </c>
      <c r="B2181" s="2" t="s">
        <v>94</v>
      </c>
      <c r="C2181" s="2" t="s">
        <v>22598</v>
      </c>
      <c r="D2181" s="2" t="s">
        <v>22599</v>
      </c>
      <c r="E2181" s="2" t="s">
        <v>22600</v>
      </c>
      <c r="G2181" s="3" t="s">
        <v>64</v>
      </c>
      <c r="I2181" s="3" t="s">
        <v>64</v>
      </c>
      <c r="J2181" s="3" t="s">
        <v>64</v>
      </c>
      <c r="K2181" s="3" t="s">
        <v>65</v>
      </c>
      <c r="L2181" s="2" t="s">
        <v>22601</v>
      </c>
      <c r="M2181" s="2" t="s">
        <v>22602</v>
      </c>
      <c r="N2181" s="3" t="s">
        <v>87</v>
      </c>
      <c r="O2181" s="2" t="s">
        <v>525</v>
      </c>
      <c r="P2181" s="3" t="s">
        <v>69</v>
      </c>
      <c r="R2181" s="3" t="s">
        <v>20939</v>
      </c>
      <c r="S2181" s="4">
        <v>7</v>
      </c>
      <c r="T2181" s="4">
        <v>7</v>
      </c>
      <c r="U2181" s="5" t="s">
        <v>22603</v>
      </c>
      <c r="V2181" s="5" t="s">
        <v>22603</v>
      </c>
      <c r="W2181" s="5" t="s">
        <v>72</v>
      </c>
      <c r="X2181" s="5" t="s">
        <v>72</v>
      </c>
      <c r="Y2181" s="4">
        <v>1066</v>
      </c>
      <c r="Z2181" s="4">
        <v>19</v>
      </c>
      <c r="AA2181" s="4">
        <v>25</v>
      </c>
      <c r="AB2181" s="4">
        <v>1</v>
      </c>
      <c r="AC2181" s="4">
        <v>5</v>
      </c>
      <c r="AD2181" s="4">
        <v>63</v>
      </c>
      <c r="AE2181" s="4">
        <v>70</v>
      </c>
      <c r="AF2181" s="4">
        <v>0</v>
      </c>
      <c r="AG2181" s="4">
        <v>1</v>
      </c>
      <c r="AH2181" s="4">
        <v>61</v>
      </c>
      <c r="AI2181" s="4">
        <v>66</v>
      </c>
      <c r="AJ2181" s="4">
        <v>3</v>
      </c>
      <c r="AK2181" s="4">
        <v>5</v>
      </c>
      <c r="AL2181" s="4">
        <v>37</v>
      </c>
      <c r="AM2181" s="4">
        <v>41</v>
      </c>
      <c r="AN2181" s="4">
        <v>0</v>
      </c>
      <c r="AO2181" s="4">
        <v>0</v>
      </c>
      <c r="AP2181" s="4">
        <v>3</v>
      </c>
      <c r="AQ2181" s="4">
        <v>3</v>
      </c>
      <c r="AR2181" s="3" t="s">
        <v>64</v>
      </c>
      <c r="AS2181" s="3" t="s">
        <v>64</v>
      </c>
      <c r="AT2181" s="3" t="s">
        <v>64</v>
      </c>
      <c r="AV2181" s="6" t="str">
        <f>HYPERLINK("http://mcgill.on.worldcat.org/oclc/904972176","Catalog Record")</f>
        <v>Catalog Record</v>
      </c>
      <c r="AW2181" s="6" t="str">
        <f>HYPERLINK("http://www.worldcat.org/oclc/904972176","WorldCat Record")</f>
        <v>WorldCat Record</v>
      </c>
      <c r="AX2181" s="3" t="s">
        <v>22604</v>
      </c>
      <c r="AY2181" s="3" t="s">
        <v>22605</v>
      </c>
      <c r="AZ2181" s="3" t="s">
        <v>22606</v>
      </c>
      <c r="BA2181" s="3" t="s">
        <v>22606</v>
      </c>
      <c r="BB2181" s="3" t="s">
        <v>22607</v>
      </c>
      <c r="BC2181" s="3" t="s">
        <v>78</v>
      </c>
      <c r="BD2181" s="3" t="s">
        <v>79</v>
      </c>
      <c r="BE2181" s="3" t="s">
        <v>22608</v>
      </c>
      <c r="BF2181" s="3" t="s">
        <v>22607</v>
      </c>
      <c r="BG2181" s="3" t="s">
        <v>22609</v>
      </c>
    </row>
    <row r="2182" spans="1:59" ht="58" x14ac:dyDescent="0.35">
      <c r="A2182" s="2" t="s">
        <v>59</v>
      </c>
      <c r="B2182" s="2" t="s">
        <v>94</v>
      </c>
      <c r="C2182" s="2" t="s">
        <v>22610</v>
      </c>
      <c r="D2182" s="2" t="s">
        <v>22611</v>
      </c>
      <c r="E2182" s="2" t="s">
        <v>22612</v>
      </c>
      <c r="G2182" s="3" t="s">
        <v>64</v>
      </c>
      <c r="I2182" s="3" t="s">
        <v>64</v>
      </c>
      <c r="J2182" s="3" t="s">
        <v>64</v>
      </c>
      <c r="K2182" s="3" t="s">
        <v>65</v>
      </c>
      <c r="L2182" s="2" t="s">
        <v>22613</v>
      </c>
      <c r="M2182" s="2" t="s">
        <v>22614</v>
      </c>
      <c r="N2182" s="3" t="s">
        <v>175</v>
      </c>
      <c r="P2182" s="3" t="s">
        <v>69</v>
      </c>
      <c r="R2182" s="3" t="s">
        <v>20939</v>
      </c>
      <c r="S2182" s="4">
        <v>0</v>
      </c>
      <c r="T2182" s="4">
        <v>0</v>
      </c>
      <c r="W2182" s="5" t="s">
        <v>72</v>
      </c>
      <c r="X2182" s="5" t="s">
        <v>72</v>
      </c>
      <c r="Y2182" s="4">
        <v>51</v>
      </c>
      <c r="Z2182" s="4">
        <v>3</v>
      </c>
      <c r="AA2182" s="4">
        <v>32</v>
      </c>
      <c r="AB2182" s="4">
        <v>1</v>
      </c>
      <c r="AC2182" s="4">
        <v>6</v>
      </c>
      <c r="AD2182" s="4">
        <v>36</v>
      </c>
      <c r="AE2182" s="4">
        <v>90</v>
      </c>
      <c r="AF2182" s="4">
        <v>0</v>
      </c>
      <c r="AG2182" s="4">
        <v>2</v>
      </c>
      <c r="AH2182" s="4">
        <v>35</v>
      </c>
      <c r="AI2182" s="4">
        <v>73</v>
      </c>
      <c r="AJ2182" s="4">
        <v>2</v>
      </c>
      <c r="AK2182" s="4">
        <v>13</v>
      </c>
      <c r="AL2182" s="4">
        <v>20</v>
      </c>
      <c r="AM2182" s="4">
        <v>40</v>
      </c>
      <c r="AN2182" s="4">
        <v>0</v>
      </c>
      <c r="AO2182" s="4">
        <v>0</v>
      </c>
      <c r="AP2182" s="4">
        <v>2</v>
      </c>
      <c r="AQ2182" s="4">
        <v>23</v>
      </c>
      <c r="AR2182" s="3" t="s">
        <v>64</v>
      </c>
      <c r="AS2182" s="3" t="s">
        <v>64</v>
      </c>
      <c r="AT2182" s="3" t="s">
        <v>64</v>
      </c>
      <c r="AV2182" s="6" t="str">
        <f>HYPERLINK("http://mcgill.on.worldcat.org/oclc/877369408","Catalog Record")</f>
        <v>Catalog Record</v>
      </c>
      <c r="AW2182" s="6" t="str">
        <f>HYPERLINK("http://www.worldcat.org/oclc/877369408","WorldCat Record")</f>
        <v>WorldCat Record</v>
      </c>
      <c r="AX2182" s="3" t="s">
        <v>22615</v>
      </c>
      <c r="AY2182" s="3" t="s">
        <v>22616</v>
      </c>
      <c r="AZ2182" s="3" t="s">
        <v>22617</v>
      </c>
      <c r="BA2182" s="3" t="s">
        <v>22617</v>
      </c>
      <c r="BB2182" s="3" t="s">
        <v>22618</v>
      </c>
      <c r="BC2182" s="3" t="s">
        <v>78</v>
      </c>
      <c r="BD2182" s="3" t="s">
        <v>79</v>
      </c>
      <c r="BE2182" s="3" t="s">
        <v>22619</v>
      </c>
      <c r="BF2182" s="3" t="s">
        <v>22618</v>
      </c>
      <c r="BG2182" s="3" t="s">
        <v>22620</v>
      </c>
    </row>
    <row r="2183" spans="1:59" ht="58" x14ac:dyDescent="0.35">
      <c r="A2183" s="2" t="s">
        <v>59</v>
      </c>
      <c r="B2183" s="2" t="s">
        <v>94</v>
      </c>
      <c r="C2183" s="2" t="s">
        <v>22621</v>
      </c>
      <c r="D2183" s="2" t="s">
        <v>22622</v>
      </c>
      <c r="E2183" s="2" t="s">
        <v>22623</v>
      </c>
      <c r="G2183" s="3" t="s">
        <v>64</v>
      </c>
      <c r="I2183" s="3" t="s">
        <v>64</v>
      </c>
      <c r="J2183" s="3" t="s">
        <v>64</v>
      </c>
      <c r="K2183" s="3" t="s">
        <v>65</v>
      </c>
      <c r="M2183" s="2" t="s">
        <v>22624</v>
      </c>
      <c r="N2183" s="3" t="s">
        <v>87</v>
      </c>
      <c r="P2183" s="3" t="s">
        <v>69</v>
      </c>
      <c r="R2183" s="3" t="s">
        <v>20939</v>
      </c>
      <c r="S2183" s="4">
        <v>8</v>
      </c>
      <c r="T2183" s="4">
        <v>8</v>
      </c>
      <c r="U2183" s="5" t="s">
        <v>22592</v>
      </c>
      <c r="V2183" s="5" t="s">
        <v>22592</v>
      </c>
      <c r="W2183" s="5" t="s">
        <v>4685</v>
      </c>
      <c r="X2183" s="5" t="s">
        <v>4685</v>
      </c>
      <c r="Y2183" s="4">
        <v>295</v>
      </c>
      <c r="Z2183" s="4">
        <v>11</v>
      </c>
      <c r="AA2183" s="4">
        <v>21</v>
      </c>
      <c r="AB2183" s="4">
        <v>1</v>
      </c>
      <c r="AC2183" s="4">
        <v>5</v>
      </c>
      <c r="AD2183" s="4">
        <v>48</v>
      </c>
      <c r="AE2183" s="4">
        <v>55</v>
      </c>
      <c r="AF2183" s="4">
        <v>0</v>
      </c>
      <c r="AG2183" s="4">
        <v>1</v>
      </c>
      <c r="AH2183" s="4">
        <v>45</v>
      </c>
      <c r="AI2183" s="4">
        <v>49</v>
      </c>
      <c r="AJ2183" s="4">
        <v>5</v>
      </c>
      <c r="AK2183" s="4">
        <v>6</v>
      </c>
      <c r="AL2183" s="4">
        <v>29</v>
      </c>
      <c r="AM2183" s="4">
        <v>31</v>
      </c>
      <c r="AN2183" s="4">
        <v>0</v>
      </c>
      <c r="AO2183" s="4">
        <v>0</v>
      </c>
      <c r="AP2183" s="4">
        <v>6</v>
      </c>
      <c r="AQ2183" s="4">
        <v>8</v>
      </c>
      <c r="AR2183" s="3" t="s">
        <v>64</v>
      </c>
      <c r="AS2183" s="3" t="s">
        <v>64</v>
      </c>
      <c r="AT2183" s="3" t="s">
        <v>64</v>
      </c>
      <c r="AV2183" s="6" t="str">
        <f>HYPERLINK("http://mcgill.on.worldcat.org/oclc/889426560","Catalog Record")</f>
        <v>Catalog Record</v>
      </c>
      <c r="AW2183" s="6" t="str">
        <f>HYPERLINK("http://www.worldcat.org/oclc/889426560","WorldCat Record")</f>
        <v>WorldCat Record</v>
      </c>
      <c r="AX2183" s="3" t="s">
        <v>22625</v>
      </c>
      <c r="AY2183" s="3" t="s">
        <v>22626</v>
      </c>
      <c r="AZ2183" s="3" t="s">
        <v>22627</v>
      </c>
      <c r="BA2183" s="3" t="s">
        <v>22627</v>
      </c>
      <c r="BB2183" s="3" t="s">
        <v>22628</v>
      </c>
      <c r="BC2183" s="3" t="s">
        <v>78</v>
      </c>
      <c r="BD2183" s="3" t="s">
        <v>79</v>
      </c>
      <c r="BE2183" s="3" t="s">
        <v>22629</v>
      </c>
      <c r="BF2183" s="3" t="s">
        <v>22628</v>
      </c>
      <c r="BG2183" s="3" t="s">
        <v>22630</v>
      </c>
    </row>
    <row r="2184" spans="1:59" ht="58" x14ac:dyDescent="0.35">
      <c r="A2184" s="2" t="s">
        <v>59</v>
      </c>
      <c r="B2184" s="2" t="s">
        <v>94</v>
      </c>
      <c r="C2184" s="2" t="s">
        <v>22631</v>
      </c>
      <c r="D2184" s="2" t="s">
        <v>22632</v>
      </c>
      <c r="E2184" s="2" t="s">
        <v>22633</v>
      </c>
      <c r="G2184" s="3" t="s">
        <v>64</v>
      </c>
      <c r="I2184" s="3" t="s">
        <v>64</v>
      </c>
      <c r="J2184" s="3" t="s">
        <v>64</v>
      </c>
      <c r="K2184" s="3" t="s">
        <v>65</v>
      </c>
      <c r="L2184" s="2" t="s">
        <v>7770</v>
      </c>
      <c r="M2184" s="2" t="s">
        <v>8161</v>
      </c>
      <c r="N2184" s="3" t="s">
        <v>1813</v>
      </c>
      <c r="P2184" s="3" t="s">
        <v>69</v>
      </c>
      <c r="R2184" s="3" t="s">
        <v>20939</v>
      </c>
      <c r="S2184" s="4">
        <v>3</v>
      </c>
      <c r="T2184" s="4">
        <v>3</v>
      </c>
      <c r="U2184" s="5" t="s">
        <v>2104</v>
      </c>
      <c r="V2184" s="5" t="s">
        <v>2104</v>
      </c>
      <c r="W2184" s="5" t="s">
        <v>72</v>
      </c>
      <c r="X2184" s="5" t="s">
        <v>72</v>
      </c>
      <c r="Y2184" s="4">
        <v>297</v>
      </c>
      <c r="Z2184" s="4">
        <v>7</v>
      </c>
      <c r="AA2184" s="4">
        <v>81</v>
      </c>
      <c r="AB2184" s="4">
        <v>2</v>
      </c>
      <c r="AC2184" s="4">
        <v>19</v>
      </c>
      <c r="AD2184" s="4">
        <v>49</v>
      </c>
      <c r="AE2184" s="4">
        <v>122</v>
      </c>
      <c r="AF2184" s="4">
        <v>0</v>
      </c>
      <c r="AG2184" s="4">
        <v>8</v>
      </c>
      <c r="AH2184" s="4">
        <v>47</v>
      </c>
      <c r="AI2184" s="4">
        <v>88</v>
      </c>
      <c r="AJ2184" s="4">
        <v>1</v>
      </c>
      <c r="AK2184" s="4">
        <v>19</v>
      </c>
      <c r="AL2184" s="4">
        <v>34</v>
      </c>
      <c r="AM2184" s="4">
        <v>49</v>
      </c>
      <c r="AN2184" s="4">
        <v>0</v>
      </c>
      <c r="AO2184" s="4">
        <v>0</v>
      </c>
      <c r="AP2184" s="4">
        <v>1</v>
      </c>
      <c r="AQ2184" s="4">
        <v>40</v>
      </c>
      <c r="AR2184" s="3" t="s">
        <v>64</v>
      </c>
      <c r="AS2184" s="3" t="s">
        <v>64</v>
      </c>
      <c r="AT2184" s="3" t="s">
        <v>64</v>
      </c>
      <c r="AV2184" s="6" t="str">
        <f>HYPERLINK("http://mcgill.on.worldcat.org/oclc/927438386","Catalog Record")</f>
        <v>Catalog Record</v>
      </c>
      <c r="AW2184" s="6" t="str">
        <f>HYPERLINK("http://www.worldcat.org/oclc/927438386","WorldCat Record")</f>
        <v>WorldCat Record</v>
      </c>
      <c r="AX2184" s="3" t="s">
        <v>22634</v>
      </c>
      <c r="AY2184" s="3" t="s">
        <v>22635</v>
      </c>
      <c r="AZ2184" s="3" t="s">
        <v>22636</v>
      </c>
      <c r="BA2184" s="3" t="s">
        <v>22636</v>
      </c>
      <c r="BB2184" s="3" t="s">
        <v>22637</v>
      </c>
      <c r="BC2184" s="3" t="s">
        <v>78</v>
      </c>
      <c r="BD2184" s="3" t="s">
        <v>79</v>
      </c>
      <c r="BE2184" s="3" t="s">
        <v>22638</v>
      </c>
      <c r="BF2184" s="3" t="s">
        <v>22637</v>
      </c>
      <c r="BG2184" s="3" t="s">
        <v>22639</v>
      </c>
    </row>
    <row r="2185" spans="1:59" ht="58" x14ac:dyDescent="0.35">
      <c r="A2185" s="2" t="s">
        <v>59</v>
      </c>
      <c r="B2185" s="2" t="s">
        <v>94</v>
      </c>
      <c r="C2185" s="2" t="s">
        <v>22640</v>
      </c>
      <c r="D2185" s="2" t="s">
        <v>22641</v>
      </c>
      <c r="E2185" s="2" t="s">
        <v>22642</v>
      </c>
      <c r="G2185" s="3" t="s">
        <v>64</v>
      </c>
      <c r="I2185" s="3" t="s">
        <v>64</v>
      </c>
      <c r="J2185" s="3" t="s">
        <v>64</v>
      </c>
      <c r="K2185" s="3" t="s">
        <v>65</v>
      </c>
      <c r="L2185" s="2" t="s">
        <v>22643</v>
      </c>
      <c r="M2185" s="2" t="s">
        <v>5100</v>
      </c>
      <c r="N2185" s="3" t="s">
        <v>328</v>
      </c>
      <c r="P2185" s="3" t="s">
        <v>69</v>
      </c>
      <c r="R2185" s="3" t="s">
        <v>20939</v>
      </c>
      <c r="S2185" s="4">
        <v>0</v>
      </c>
      <c r="T2185" s="4">
        <v>0</v>
      </c>
      <c r="W2185" s="5" t="s">
        <v>72</v>
      </c>
      <c r="X2185" s="5" t="s">
        <v>72</v>
      </c>
      <c r="Y2185" s="4">
        <v>93</v>
      </c>
      <c r="Z2185" s="4">
        <v>5</v>
      </c>
      <c r="AA2185" s="4">
        <v>7</v>
      </c>
      <c r="AB2185" s="4">
        <v>1</v>
      </c>
      <c r="AC2185" s="4">
        <v>1</v>
      </c>
      <c r="AD2185" s="4">
        <v>49</v>
      </c>
      <c r="AE2185" s="4">
        <v>55</v>
      </c>
      <c r="AF2185" s="4">
        <v>0</v>
      </c>
      <c r="AG2185" s="4">
        <v>0</v>
      </c>
      <c r="AH2185" s="4">
        <v>48</v>
      </c>
      <c r="AI2185" s="4">
        <v>53</v>
      </c>
      <c r="AJ2185" s="4">
        <v>3</v>
      </c>
      <c r="AK2185" s="4">
        <v>5</v>
      </c>
      <c r="AL2185" s="4">
        <v>28</v>
      </c>
      <c r="AM2185" s="4">
        <v>30</v>
      </c>
      <c r="AN2185" s="4">
        <v>0</v>
      </c>
      <c r="AO2185" s="4">
        <v>0</v>
      </c>
      <c r="AP2185" s="4">
        <v>3</v>
      </c>
      <c r="AQ2185" s="4">
        <v>5</v>
      </c>
      <c r="AR2185" s="3" t="s">
        <v>64</v>
      </c>
      <c r="AS2185" s="3" t="s">
        <v>64</v>
      </c>
      <c r="AT2185" s="3" t="s">
        <v>64</v>
      </c>
      <c r="AV2185" s="6" t="str">
        <f>HYPERLINK("http://mcgill.on.worldcat.org/oclc/716070908","Catalog Record")</f>
        <v>Catalog Record</v>
      </c>
      <c r="AW2185" s="6" t="str">
        <f>HYPERLINK("http://www.worldcat.org/oclc/716070908","WorldCat Record")</f>
        <v>WorldCat Record</v>
      </c>
      <c r="AX2185" s="3" t="s">
        <v>22644</v>
      </c>
      <c r="AY2185" s="3" t="s">
        <v>22645</v>
      </c>
      <c r="AZ2185" s="3" t="s">
        <v>22646</v>
      </c>
      <c r="BA2185" s="3" t="s">
        <v>22646</v>
      </c>
      <c r="BB2185" s="3" t="s">
        <v>22647</v>
      </c>
      <c r="BC2185" s="3" t="s">
        <v>78</v>
      </c>
      <c r="BD2185" s="3" t="s">
        <v>79</v>
      </c>
      <c r="BE2185" s="3" t="s">
        <v>22648</v>
      </c>
      <c r="BF2185" s="3" t="s">
        <v>22647</v>
      </c>
      <c r="BG2185" s="3" t="s">
        <v>22649</v>
      </c>
    </row>
    <row r="2186" spans="1:59" ht="58" x14ac:dyDescent="0.35">
      <c r="A2186" s="2" t="s">
        <v>59</v>
      </c>
      <c r="B2186" s="2" t="s">
        <v>94</v>
      </c>
      <c r="C2186" s="2" t="s">
        <v>22650</v>
      </c>
      <c r="D2186" s="2" t="s">
        <v>22651</v>
      </c>
      <c r="E2186" s="2" t="s">
        <v>22652</v>
      </c>
      <c r="G2186" s="3" t="s">
        <v>64</v>
      </c>
      <c r="I2186" s="3" t="s">
        <v>64</v>
      </c>
      <c r="J2186" s="3" t="s">
        <v>64</v>
      </c>
      <c r="K2186" s="3" t="s">
        <v>65</v>
      </c>
      <c r="L2186" s="2" t="s">
        <v>22653</v>
      </c>
      <c r="M2186" s="2" t="s">
        <v>17102</v>
      </c>
      <c r="N2186" s="3" t="s">
        <v>175</v>
      </c>
      <c r="P2186" s="3" t="s">
        <v>69</v>
      </c>
      <c r="Q2186" s="2" t="s">
        <v>7262</v>
      </c>
      <c r="R2186" s="3" t="s">
        <v>20939</v>
      </c>
      <c r="S2186" s="4">
        <v>0</v>
      </c>
      <c r="T2186" s="4">
        <v>0</v>
      </c>
      <c r="W2186" s="5" t="s">
        <v>72</v>
      </c>
      <c r="X2186" s="5" t="s">
        <v>72</v>
      </c>
      <c r="Y2186" s="4">
        <v>63</v>
      </c>
      <c r="Z2186" s="4">
        <v>2</v>
      </c>
      <c r="AA2186" s="4">
        <v>32</v>
      </c>
      <c r="AB2186" s="4">
        <v>1</v>
      </c>
      <c r="AC2186" s="4">
        <v>6</v>
      </c>
      <c r="AD2186" s="4">
        <v>38</v>
      </c>
      <c r="AE2186" s="4">
        <v>93</v>
      </c>
      <c r="AF2186" s="4">
        <v>0</v>
      </c>
      <c r="AG2186" s="4">
        <v>2</v>
      </c>
      <c r="AH2186" s="4">
        <v>37</v>
      </c>
      <c r="AI2186" s="4">
        <v>76</v>
      </c>
      <c r="AJ2186" s="4">
        <v>1</v>
      </c>
      <c r="AK2186" s="4">
        <v>13</v>
      </c>
      <c r="AL2186" s="4">
        <v>21</v>
      </c>
      <c r="AM2186" s="4">
        <v>40</v>
      </c>
      <c r="AN2186" s="4">
        <v>0</v>
      </c>
      <c r="AO2186" s="4">
        <v>0</v>
      </c>
      <c r="AP2186" s="4">
        <v>1</v>
      </c>
      <c r="AQ2186" s="4">
        <v>23</v>
      </c>
      <c r="AR2186" s="3" t="s">
        <v>64</v>
      </c>
      <c r="AS2186" s="3" t="s">
        <v>64</v>
      </c>
      <c r="AT2186" s="3" t="s">
        <v>64</v>
      </c>
      <c r="AV2186" s="6" t="str">
        <f>HYPERLINK("http://mcgill.on.worldcat.org/oclc/898066353","Catalog Record")</f>
        <v>Catalog Record</v>
      </c>
      <c r="AW2186" s="6" t="str">
        <f>HYPERLINK("http://www.worldcat.org/oclc/898066353","WorldCat Record")</f>
        <v>WorldCat Record</v>
      </c>
      <c r="AX2186" s="3" t="s">
        <v>22654</v>
      </c>
      <c r="AY2186" s="3" t="s">
        <v>22655</v>
      </c>
      <c r="AZ2186" s="3" t="s">
        <v>22656</v>
      </c>
      <c r="BA2186" s="3" t="s">
        <v>22656</v>
      </c>
      <c r="BB2186" s="3" t="s">
        <v>22657</v>
      </c>
      <c r="BC2186" s="3" t="s">
        <v>78</v>
      </c>
      <c r="BD2186" s="3" t="s">
        <v>79</v>
      </c>
      <c r="BE2186" s="3" t="s">
        <v>22658</v>
      </c>
      <c r="BF2186" s="3" t="s">
        <v>22657</v>
      </c>
      <c r="BG2186" s="3" t="s">
        <v>22659</v>
      </c>
    </row>
    <row r="2187" spans="1:59" ht="58" x14ac:dyDescent="0.35">
      <c r="A2187" s="2" t="s">
        <v>59</v>
      </c>
      <c r="B2187" s="2" t="s">
        <v>94</v>
      </c>
      <c r="C2187" s="2" t="s">
        <v>22660</v>
      </c>
      <c r="D2187" s="2" t="s">
        <v>22661</v>
      </c>
      <c r="E2187" s="2" t="s">
        <v>22662</v>
      </c>
      <c r="G2187" s="3" t="s">
        <v>64</v>
      </c>
      <c r="I2187" s="3" t="s">
        <v>64</v>
      </c>
      <c r="J2187" s="3" t="s">
        <v>64</v>
      </c>
      <c r="K2187" s="3" t="s">
        <v>65</v>
      </c>
      <c r="L2187" s="2" t="s">
        <v>22663</v>
      </c>
      <c r="M2187" s="2" t="s">
        <v>22664</v>
      </c>
      <c r="N2187" s="3" t="s">
        <v>175</v>
      </c>
      <c r="P2187" s="3" t="s">
        <v>69</v>
      </c>
      <c r="R2187" s="3" t="s">
        <v>20939</v>
      </c>
      <c r="S2187" s="4">
        <v>2</v>
      </c>
      <c r="T2187" s="4">
        <v>2</v>
      </c>
      <c r="U2187" s="5" t="s">
        <v>22592</v>
      </c>
      <c r="V2187" s="5" t="s">
        <v>22592</v>
      </c>
      <c r="W2187" s="5" t="s">
        <v>72</v>
      </c>
      <c r="X2187" s="5" t="s">
        <v>72</v>
      </c>
      <c r="Y2187" s="4">
        <v>41</v>
      </c>
      <c r="Z2187" s="4">
        <v>14</v>
      </c>
      <c r="AA2187" s="4">
        <v>67</v>
      </c>
      <c r="AB2187" s="4">
        <v>1</v>
      </c>
      <c r="AC2187" s="4">
        <v>6</v>
      </c>
      <c r="AD2187" s="4">
        <v>14</v>
      </c>
      <c r="AE2187" s="4">
        <v>92</v>
      </c>
      <c r="AF2187" s="4">
        <v>0</v>
      </c>
      <c r="AG2187" s="4">
        <v>2</v>
      </c>
      <c r="AH2187" s="4">
        <v>7</v>
      </c>
      <c r="AI2187" s="4">
        <v>66</v>
      </c>
      <c r="AJ2187" s="4">
        <v>5</v>
      </c>
      <c r="AK2187" s="4">
        <v>17</v>
      </c>
      <c r="AL2187" s="4">
        <v>4</v>
      </c>
      <c r="AM2187" s="4">
        <v>40</v>
      </c>
      <c r="AN2187" s="4">
        <v>0</v>
      </c>
      <c r="AO2187" s="4">
        <v>0</v>
      </c>
      <c r="AP2187" s="4">
        <v>7</v>
      </c>
      <c r="AQ2187" s="4">
        <v>28</v>
      </c>
      <c r="AR2187" s="3" t="s">
        <v>73</v>
      </c>
      <c r="AS2187" s="3" t="s">
        <v>64</v>
      </c>
      <c r="AT2187" s="3" t="s">
        <v>64</v>
      </c>
      <c r="AV2187" s="6" t="str">
        <f>HYPERLINK("http://mcgill.on.worldcat.org/oclc/867557098","Catalog Record")</f>
        <v>Catalog Record</v>
      </c>
      <c r="AW2187" s="6" t="str">
        <f>HYPERLINK("http://www.worldcat.org/oclc/867557098","WorldCat Record")</f>
        <v>WorldCat Record</v>
      </c>
      <c r="AX2187" s="3" t="s">
        <v>22665</v>
      </c>
      <c r="AY2187" s="3" t="s">
        <v>22666</v>
      </c>
      <c r="AZ2187" s="3" t="s">
        <v>22667</v>
      </c>
      <c r="BA2187" s="3" t="s">
        <v>22667</v>
      </c>
      <c r="BB2187" s="3" t="s">
        <v>22668</v>
      </c>
      <c r="BC2187" s="3" t="s">
        <v>78</v>
      </c>
      <c r="BD2187" s="3" t="s">
        <v>79</v>
      </c>
      <c r="BE2187" s="3" t="s">
        <v>22669</v>
      </c>
      <c r="BF2187" s="3" t="s">
        <v>22668</v>
      </c>
      <c r="BG2187" s="3" t="s">
        <v>22670</v>
      </c>
    </row>
    <row r="2188" spans="1:59" ht="58" x14ac:dyDescent="0.35">
      <c r="A2188" s="2" t="s">
        <v>59</v>
      </c>
      <c r="B2188" s="2" t="s">
        <v>94</v>
      </c>
      <c r="C2188" s="2" t="s">
        <v>22671</v>
      </c>
      <c r="D2188" s="2" t="s">
        <v>22672</v>
      </c>
      <c r="E2188" s="2" t="s">
        <v>22673</v>
      </c>
      <c r="G2188" s="3" t="s">
        <v>64</v>
      </c>
      <c r="I2188" s="3" t="s">
        <v>64</v>
      </c>
      <c r="J2188" s="3" t="s">
        <v>64</v>
      </c>
      <c r="K2188" s="3" t="s">
        <v>65</v>
      </c>
      <c r="L2188" s="2" t="s">
        <v>22674</v>
      </c>
      <c r="M2188" s="2" t="s">
        <v>22675</v>
      </c>
      <c r="N2188" s="3" t="s">
        <v>87</v>
      </c>
      <c r="O2188" s="2" t="s">
        <v>525</v>
      </c>
      <c r="P2188" s="3" t="s">
        <v>69</v>
      </c>
      <c r="Q2188" s="2" t="s">
        <v>22676</v>
      </c>
      <c r="R2188" s="3" t="s">
        <v>20939</v>
      </c>
      <c r="S2188" s="4">
        <v>3</v>
      </c>
      <c r="T2188" s="4">
        <v>3</v>
      </c>
      <c r="U2188" s="5" t="s">
        <v>7419</v>
      </c>
      <c r="V2188" s="5" t="s">
        <v>7419</v>
      </c>
      <c r="W2188" s="5" t="s">
        <v>72</v>
      </c>
      <c r="X2188" s="5" t="s">
        <v>72</v>
      </c>
      <c r="Y2188" s="4">
        <v>178</v>
      </c>
      <c r="Z2188" s="4">
        <v>8</v>
      </c>
      <c r="AA2188" s="4">
        <v>80</v>
      </c>
      <c r="AB2188" s="4">
        <v>1</v>
      </c>
      <c r="AC2188" s="4">
        <v>15</v>
      </c>
      <c r="AD2188" s="4">
        <v>43</v>
      </c>
      <c r="AE2188" s="4">
        <v>104</v>
      </c>
      <c r="AF2188" s="4">
        <v>0</v>
      </c>
      <c r="AG2188" s="4">
        <v>8</v>
      </c>
      <c r="AH2188" s="4">
        <v>41</v>
      </c>
      <c r="AI2188" s="4">
        <v>73</v>
      </c>
      <c r="AJ2188" s="4">
        <v>3</v>
      </c>
      <c r="AK2188" s="4">
        <v>18</v>
      </c>
      <c r="AL2188" s="4">
        <v>29</v>
      </c>
      <c r="AM2188" s="4">
        <v>42</v>
      </c>
      <c r="AN2188" s="4">
        <v>0</v>
      </c>
      <c r="AO2188" s="4">
        <v>0</v>
      </c>
      <c r="AP2188" s="4">
        <v>3</v>
      </c>
      <c r="AQ2188" s="4">
        <v>38</v>
      </c>
      <c r="AR2188" s="3" t="s">
        <v>64</v>
      </c>
      <c r="AS2188" s="3" t="s">
        <v>64</v>
      </c>
      <c r="AT2188" s="3" t="s">
        <v>64</v>
      </c>
      <c r="AV2188" s="6" t="str">
        <f>HYPERLINK("http://mcgill.on.worldcat.org/oclc/885378116","Catalog Record")</f>
        <v>Catalog Record</v>
      </c>
      <c r="AW2188" s="6" t="str">
        <f>HYPERLINK("http://www.worldcat.org/oclc/885378116","WorldCat Record")</f>
        <v>WorldCat Record</v>
      </c>
      <c r="AX2188" s="3" t="s">
        <v>22677</v>
      </c>
      <c r="AY2188" s="3" t="s">
        <v>22678</v>
      </c>
      <c r="AZ2188" s="3" t="s">
        <v>22679</v>
      </c>
      <c r="BA2188" s="3" t="s">
        <v>22679</v>
      </c>
      <c r="BB2188" s="3" t="s">
        <v>22680</v>
      </c>
      <c r="BC2188" s="3" t="s">
        <v>78</v>
      </c>
      <c r="BD2188" s="3" t="s">
        <v>79</v>
      </c>
      <c r="BE2188" s="3" t="s">
        <v>22681</v>
      </c>
      <c r="BF2188" s="3" t="s">
        <v>22680</v>
      </c>
      <c r="BG2188" s="3" t="s">
        <v>22682</v>
      </c>
    </row>
    <row r="2189" spans="1:59" ht="58" x14ac:dyDescent="0.35">
      <c r="A2189" s="2" t="s">
        <v>59</v>
      </c>
      <c r="B2189" s="2" t="s">
        <v>94</v>
      </c>
      <c r="C2189" s="2" t="s">
        <v>22683</v>
      </c>
      <c r="D2189" s="2" t="s">
        <v>22684</v>
      </c>
      <c r="E2189" s="2" t="s">
        <v>22685</v>
      </c>
      <c r="G2189" s="3" t="s">
        <v>64</v>
      </c>
      <c r="I2189" s="3" t="s">
        <v>64</v>
      </c>
      <c r="J2189" s="3" t="s">
        <v>64</v>
      </c>
      <c r="K2189" s="3" t="s">
        <v>65</v>
      </c>
      <c r="L2189" s="2" t="s">
        <v>22686</v>
      </c>
      <c r="M2189" s="2" t="s">
        <v>22687</v>
      </c>
      <c r="N2189" s="3" t="s">
        <v>1813</v>
      </c>
      <c r="P2189" s="3" t="s">
        <v>69</v>
      </c>
      <c r="R2189" s="3" t="s">
        <v>20939</v>
      </c>
      <c r="S2189" s="4">
        <v>2</v>
      </c>
      <c r="T2189" s="4">
        <v>2</v>
      </c>
      <c r="U2189" s="5" t="s">
        <v>22688</v>
      </c>
      <c r="V2189" s="5" t="s">
        <v>22688</v>
      </c>
      <c r="W2189" s="5" t="s">
        <v>72</v>
      </c>
      <c r="X2189" s="5" t="s">
        <v>72</v>
      </c>
      <c r="Y2189" s="4">
        <v>33</v>
      </c>
      <c r="Z2189" s="4">
        <v>3</v>
      </c>
      <c r="AA2189" s="4">
        <v>22</v>
      </c>
      <c r="AB2189" s="4">
        <v>1</v>
      </c>
      <c r="AC2189" s="4">
        <v>6</v>
      </c>
      <c r="AD2189" s="4">
        <v>2</v>
      </c>
      <c r="AE2189" s="4">
        <v>55</v>
      </c>
      <c r="AF2189" s="4">
        <v>0</v>
      </c>
      <c r="AG2189" s="4">
        <v>1</v>
      </c>
      <c r="AH2189" s="4">
        <v>2</v>
      </c>
      <c r="AI2189" s="4">
        <v>51</v>
      </c>
      <c r="AJ2189" s="4">
        <v>1</v>
      </c>
      <c r="AK2189" s="4">
        <v>4</v>
      </c>
      <c r="AL2189" s="4">
        <v>1</v>
      </c>
      <c r="AM2189" s="4">
        <v>34</v>
      </c>
      <c r="AN2189" s="4">
        <v>0</v>
      </c>
      <c r="AO2189" s="4">
        <v>0</v>
      </c>
      <c r="AP2189" s="4">
        <v>1</v>
      </c>
      <c r="AQ2189" s="4">
        <v>5</v>
      </c>
      <c r="AR2189" s="3" t="s">
        <v>64</v>
      </c>
      <c r="AS2189" s="3" t="s">
        <v>64</v>
      </c>
      <c r="AT2189" s="3" t="s">
        <v>64</v>
      </c>
      <c r="AV2189" s="6" t="str">
        <f>HYPERLINK("http://mcgill.on.worldcat.org/oclc/950962840","Catalog Record")</f>
        <v>Catalog Record</v>
      </c>
      <c r="AW2189" s="6" t="str">
        <f>HYPERLINK("http://www.worldcat.org/oclc/950962840","WorldCat Record")</f>
        <v>WorldCat Record</v>
      </c>
      <c r="AX2189" s="3" t="s">
        <v>22689</v>
      </c>
      <c r="AY2189" s="3" t="s">
        <v>22690</v>
      </c>
      <c r="AZ2189" s="3" t="s">
        <v>22691</v>
      </c>
      <c r="BA2189" s="3" t="s">
        <v>22691</v>
      </c>
      <c r="BB2189" s="3" t="s">
        <v>22692</v>
      </c>
      <c r="BC2189" s="3" t="s">
        <v>78</v>
      </c>
      <c r="BD2189" s="3" t="s">
        <v>79</v>
      </c>
      <c r="BE2189" s="3" t="s">
        <v>22693</v>
      </c>
      <c r="BF2189" s="3" t="s">
        <v>22692</v>
      </c>
      <c r="BG2189" s="3" t="s">
        <v>22694</v>
      </c>
    </row>
    <row r="2190" spans="1:59" ht="58" x14ac:dyDescent="0.35">
      <c r="A2190" s="2" t="s">
        <v>59</v>
      </c>
      <c r="B2190" s="2" t="s">
        <v>94</v>
      </c>
      <c r="C2190" s="2" t="s">
        <v>22695</v>
      </c>
      <c r="D2190" s="2" t="s">
        <v>22696</v>
      </c>
      <c r="E2190" s="2" t="s">
        <v>22697</v>
      </c>
      <c r="G2190" s="3" t="s">
        <v>64</v>
      </c>
      <c r="I2190" s="3" t="s">
        <v>64</v>
      </c>
      <c r="J2190" s="3" t="s">
        <v>64</v>
      </c>
      <c r="K2190" s="3" t="s">
        <v>65</v>
      </c>
      <c r="L2190" s="2" t="s">
        <v>22698</v>
      </c>
      <c r="M2190" s="2" t="s">
        <v>7151</v>
      </c>
      <c r="N2190" s="3" t="s">
        <v>524</v>
      </c>
      <c r="P2190" s="3" t="s">
        <v>69</v>
      </c>
      <c r="Q2190" s="2" t="s">
        <v>7262</v>
      </c>
      <c r="R2190" s="3" t="s">
        <v>20939</v>
      </c>
      <c r="S2190" s="4">
        <v>0</v>
      </c>
      <c r="T2190" s="4">
        <v>0</v>
      </c>
      <c r="W2190" s="5" t="s">
        <v>72</v>
      </c>
      <c r="X2190" s="5" t="s">
        <v>72</v>
      </c>
      <c r="Y2190" s="4">
        <v>60</v>
      </c>
      <c r="Z2190" s="4">
        <v>2</v>
      </c>
      <c r="AA2190" s="4">
        <v>31</v>
      </c>
      <c r="AB2190" s="4">
        <v>1</v>
      </c>
      <c r="AC2190" s="4">
        <v>6</v>
      </c>
      <c r="AD2190" s="4">
        <v>39</v>
      </c>
      <c r="AE2190" s="4">
        <v>91</v>
      </c>
      <c r="AF2190" s="4">
        <v>0</v>
      </c>
      <c r="AG2190" s="4">
        <v>2</v>
      </c>
      <c r="AH2190" s="4">
        <v>38</v>
      </c>
      <c r="AI2190" s="4">
        <v>74</v>
      </c>
      <c r="AJ2190" s="4">
        <v>1</v>
      </c>
      <c r="AK2190" s="4">
        <v>12</v>
      </c>
      <c r="AL2190" s="4">
        <v>22</v>
      </c>
      <c r="AM2190" s="4">
        <v>41</v>
      </c>
      <c r="AN2190" s="4">
        <v>0</v>
      </c>
      <c r="AO2190" s="4">
        <v>0</v>
      </c>
      <c r="AP2190" s="4">
        <v>1</v>
      </c>
      <c r="AQ2190" s="4">
        <v>22</v>
      </c>
      <c r="AR2190" s="3" t="s">
        <v>64</v>
      </c>
      <c r="AS2190" s="3" t="s">
        <v>64</v>
      </c>
      <c r="AT2190" s="3" t="s">
        <v>64</v>
      </c>
      <c r="AV2190" s="6" t="str">
        <f>HYPERLINK("http://mcgill.on.worldcat.org/oclc/867481374","Catalog Record")</f>
        <v>Catalog Record</v>
      </c>
      <c r="AW2190" s="6" t="str">
        <f>HYPERLINK("http://www.worldcat.org/oclc/867481374","WorldCat Record")</f>
        <v>WorldCat Record</v>
      </c>
      <c r="AX2190" s="3" t="s">
        <v>22699</v>
      </c>
      <c r="AY2190" s="3" t="s">
        <v>22700</v>
      </c>
      <c r="AZ2190" s="3" t="s">
        <v>22701</v>
      </c>
      <c r="BA2190" s="3" t="s">
        <v>22701</v>
      </c>
      <c r="BB2190" s="3" t="s">
        <v>22702</v>
      </c>
      <c r="BC2190" s="3" t="s">
        <v>78</v>
      </c>
      <c r="BD2190" s="3" t="s">
        <v>79</v>
      </c>
      <c r="BE2190" s="3" t="s">
        <v>22703</v>
      </c>
      <c r="BF2190" s="3" t="s">
        <v>22702</v>
      </c>
      <c r="BG2190" s="3" t="s">
        <v>22704</v>
      </c>
    </row>
    <row r="2191" spans="1:59" ht="58" x14ac:dyDescent="0.35">
      <c r="A2191" s="2" t="s">
        <v>59</v>
      </c>
      <c r="B2191" s="2" t="s">
        <v>94</v>
      </c>
      <c r="C2191" s="2" t="s">
        <v>22705</v>
      </c>
      <c r="D2191" s="2" t="s">
        <v>22706</v>
      </c>
      <c r="E2191" s="2" t="s">
        <v>22707</v>
      </c>
      <c r="G2191" s="3" t="s">
        <v>64</v>
      </c>
      <c r="I2191" s="3" t="s">
        <v>64</v>
      </c>
      <c r="J2191" s="3" t="s">
        <v>64</v>
      </c>
      <c r="K2191" s="3" t="s">
        <v>65</v>
      </c>
      <c r="M2191" s="2" t="s">
        <v>22708</v>
      </c>
      <c r="N2191" s="3" t="s">
        <v>214</v>
      </c>
      <c r="P2191" s="3" t="s">
        <v>69</v>
      </c>
      <c r="Q2191" s="2" t="s">
        <v>22709</v>
      </c>
      <c r="R2191" s="3" t="s">
        <v>20939</v>
      </c>
      <c r="S2191" s="4">
        <v>0</v>
      </c>
      <c r="T2191" s="4">
        <v>0</v>
      </c>
      <c r="W2191" s="5" t="s">
        <v>72</v>
      </c>
      <c r="X2191" s="5" t="s">
        <v>72</v>
      </c>
      <c r="Y2191" s="4">
        <v>96</v>
      </c>
      <c r="Z2191" s="4">
        <v>8</v>
      </c>
      <c r="AA2191" s="4">
        <v>11</v>
      </c>
      <c r="AB2191" s="4">
        <v>1</v>
      </c>
      <c r="AC2191" s="4">
        <v>1</v>
      </c>
      <c r="AD2191" s="4">
        <v>54</v>
      </c>
      <c r="AE2191" s="4">
        <v>60</v>
      </c>
      <c r="AF2191" s="4">
        <v>0</v>
      </c>
      <c r="AG2191" s="4">
        <v>0</v>
      </c>
      <c r="AH2191" s="4">
        <v>51</v>
      </c>
      <c r="AI2191" s="4">
        <v>56</v>
      </c>
      <c r="AJ2191" s="4">
        <v>5</v>
      </c>
      <c r="AK2191" s="4">
        <v>8</v>
      </c>
      <c r="AL2191" s="4">
        <v>28</v>
      </c>
      <c r="AM2191" s="4">
        <v>29</v>
      </c>
      <c r="AN2191" s="4">
        <v>0</v>
      </c>
      <c r="AO2191" s="4">
        <v>0</v>
      </c>
      <c r="AP2191" s="4">
        <v>6</v>
      </c>
      <c r="AQ2191" s="4">
        <v>9</v>
      </c>
      <c r="AR2191" s="3" t="s">
        <v>64</v>
      </c>
      <c r="AS2191" s="3" t="s">
        <v>64</v>
      </c>
      <c r="AT2191" s="3" t="s">
        <v>64</v>
      </c>
      <c r="AV2191" s="6" t="str">
        <f>HYPERLINK("http://mcgill.on.worldcat.org/oclc/423389347","Catalog Record")</f>
        <v>Catalog Record</v>
      </c>
      <c r="AW2191" s="6" t="str">
        <f>HYPERLINK("http://www.worldcat.org/oclc/423389347","WorldCat Record")</f>
        <v>WorldCat Record</v>
      </c>
      <c r="AX2191" s="3" t="s">
        <v>22710</v>
      </c>
      <c r="AY2191" s="3" t="s">
        <v>22711</v>
      </c>
      <c r="AZ2191" s="3" t="s">
        <v>22712</v>
      </c>
      <c r="BA2191" s="3" t="s">
        <v>22712</v>
      </c>
      <c r="BB2191" s="3" t="s">
        <v>22713</v>
      </c>
      <c r="BC2191" s="3" t="s">
        <v>78</v>
      </c>
      <c r="BD2191" s="3" t="s">
        <v>79</v>
      </c>
      <c r="BE2191" s="3" t="s">
        <v>22714</v>
      </c>
      <c r="BF2191" s="3" t="s">
        <v>22713</v>
      </c>
      <c r="BG2191" s="3" t="s">
        <v>22715</v>
      </c>
    </row>
    <row r="2192" spans="1:59" ht="58" x14ac:dyDescent="0.35">
      <c r="A2192" s="2" t="s">
        <v>59</v>
      </c>
      <c r="B2192" s="2" t="s">
        <v>94</v>
      </c>
      <c r="C2192" s="2" t="s">
        <v>22716</v>
      </c>
      <c r="D2192" s="2" t="s">
        <v>22717</v>
      </c>
      <c r="E2192" s="2" t="s">
        <v>22718</v>
      </c>
      <c r="G2192" s="3" t="s">
        <v>64</v>
      </c>
      <c r="I2192" s="3" t="s">
        <v>64</v>
      </c>
      <c r="J2192" s="3" t="s">
        <v>73</v>
      </c>
      <c r="K2192" s="3" t="s">
        <v>65</v>
      </c>
      <c r="L2192" s="2" t="s">
        <v>22719</v>
      </c>
      <c r="M2192" s="2" t="s">
        <v>2030</v>
      </c>
      <c r="N2192" s="3" t="s">
        <v>524</v>
      </c>
      <c r="P2192" s="3" t="s">
        <v>69</v>
      </c>
      <c r="R2192" s="3" t="s">
        <v>20939</v>
      </c>
      <c r="S2192" s="4">
        <v>0</v>
      </c>
      <c r="T2192" s="4">
        <v>0</v>
      </c>
      <c r="W2192" s="5" t="s">
        <v>72</v>
      </c>
      <c r="X2192" s="5" t="s">
        <v>72</v>
      </c>
      <c r="Y2192" s="4">
        <v>77</v>
      </c>
      <c r="Z2192" s="4">
        <v>6</v>
      </c>
      <c r="AA2192" s="4">
        <v>34</v>
      </c>
      <c r="AB2192" s="4">
        <v>1</v>
      </c>
      <c r="AC2192" s="4">
        <v>6</v>
      </c>
      <c r="AD2192" s="4">
        <v>46</v>
      </c>
      <c r="AE2192" s="4">
        <v>97</v>
      </c>
      <c r="AF2192" s="4">
        <v>0</v>
      </c>
      <c r="AG2192" s="4">
        <v>2</v>
      </c>
      <c r="AH2192" s="4">
        <v>45</v>
      </c>
      <c r="AI2192" s="4">
        <v>80</v>
      </c>
      <c r="AJ2192" s="4">
        <v>4</v>
      </c>
      <c r="AK2192" s="4">
        <v>14</v>
      </c>
      <c r="AL2192" s="4">
        <v>26</v>
      </c>
      <c r="AM2192" s="4">
        <v>43</v>
      </c>
      <c r="AN2192" s="4">
        <v>0</v>
      </c>
      <c r="AO2192" s="4">
        <v>0</v>
      </c>
      <c r="AP2192" s="4">
        <v>4</v>
      </c>
      <c r="AQ2192" s="4">
        <v>24</v>
      </c>
      <c r="AR2192" s="3" t="s">
        <v>64</v>
      </c>
      <c r="AS2192" s="3" t="s">
        <v>64</v>
      </c>
      <c r="AT2192" s="3" t="s">
        <v>64</v>
      </c>
      <c r="AV2192" s="6" t="str">
        <f>HYPERLINK("http://mcgill.on.worldcat.org/oclc/867478205","Catalog Record")</f>
        <v>Catalog Record</v>
      </c>
      <c r="AW2192" s="6" t="str">
        <f>HYPERLINK("http://www.worldcat.org/oclc/867478205","WorldCat Record")</f>
        <v>WorldCat Record</v>
      </c>
      <c r="AX2192" s="3" t="s">
        <v>22720</v>
      </c>
      <c r="AY2192" s="3" t="s">
        <v>22721</v>
      </c>
      <c r="AZ2192" s="3" t="s">
        <v>22722</v>
      </c>
      <c r="BA2192" s="3" t="s">
        <v>22722</v>
      </c>
      <c r="BB2192" s="3" t="s">
        <v>22723</v>
      </c>
      <c r="BC2192" s="3" t="s">
        <v>78</v>
      </c>
      <c r="BD2192" s="3" t="s">
        <v>79</v>
      </c>
      <c r="BE2192" s="3" t="s">
        <v>22724</v>
      </c>
      <c r="BF2192" s="3" t="s">
        <v>22723</v>
      </c>
      <c r="BG2192" s="3" t="s">
        <v>22725</v>
      </c>
    </row>
    <row r="2193" spans="1:59" ht="72.5" x14ac:dyDescent="0.35">
      <c r="A2193" s="2" t="s">
        <v>59</v>
      </c>
      <c r="B2193" s="2" t="s">
        <v>94</v>
      </c>
      <c r="C2193" s="2" t="s">
        <v>22726</v>
      </c>
      <c r="D2193" s="2" t="s">
        <v>22727</v>
      </c>
      <c r="E2193" s="2" t="s">
        <v>22728</v>
      </c>
      <c r="G2193" s="3" t="s">
        <v>64</v>
      </c>
      <c r="I2193" s="3" t="s">
        <v>64</v>
      </c>
      <c r="J2193" s="3" t="s">
        <v>73</v>
      </c>
      <c r="K2193" s="3" t="s">
        <v>65</v>
      </c>
      <c r="L2193" s="2" t="s">
        <v>22719</v>
      </c>
      <c r="M2193" s="2" t="s">
        <v>7151</v>
      </c>
      <c r="N2193" s="3" t="s">
        <v>524</v>
      </c>
      <c r="P2193" s="3" t="s">
        <v>69</v>
      </c>
      <c r="R2193" s="3" t="s">
        <v>20939</v>
      </c>
      <c r="S2193" s="4">
        <v>0</v>
      </c>
      <c r="T2193" s="4">
        <v>0</v>
      </c>
      <c r="W2193" s="5" t="s">
        <v>72</v>
      </c>
      <c r="X2193" s="5" t="s">
        <v>72</v>
      </c>
      <c r="Y2193" s="4">
        <v>70</v>
      </c>
      <c r="Z2193" s="4">
        <v>4</v>
      </c>
      <c r="AA2193" s="4">
        <v>34</v>
      </c>
      <c r="AB2193" s="4">
        <v>1</v>
      </c>
      <c r="AC2193" s="4">
        <v>6</v>
      </c>
      <c r="AD2193" s="4">
        <v>46</v>
      </c>
      <c r="AE2193" s="4">
        <v>97</v>
      </c>
      <c r="AF2193" s="4">
        <v>0</v>
      </c>
      <c r="AG2193" s="4">
        <v>2</v>
      </c>
      <c r="AH2193" s="4">
        <v>45</v>
      </c>
      <c r="AI2193" s="4">
        <v>80</v>
      </c>
      <c r="AJ2193" s="4">
        <v>3</v>
      </c>
      <c r="AK2193" s="4">
        <v>14</v>
      </c>
      <c r="AL2193" s="4">
        <v>24</v>
      </c>
      <c r="AM2193" s="4">
        <v>43</v>
      </c>
      <c r="AN2193" s="4">
        <v>0</v>
      </c>
      <c r="AO2193" s="4">
        <v>0</v>
      </c>
      <c r="AP2193" s="4">
        <v>3</v>
      </c>
      <c r="AQ2193" s="4">
        <v>24</v>
      </c>
      <c r="AR2193" s="3" t="s">
        <v>64</v>
      </c>
      <c r="AS2193" s="3" t="s">
        <v>64</v>
      </c>
      <c r="AT2193" s="3" t="s">
        <v>64</v>
      </c>
      <c r="AV2193" s="6" t="str">
        <f>HYPERLINK("http://mcgill.on.worldcat.org/oclc/867478202","Catalog Record")</f>
        <v>Catalog Record</v>
      </c>
      <c r="AW2193" s="6" t="str">
        <f>HYPERLINK("http://www.worldcat.org/oclc/867478202","WorldCat Record")</f>
        <v>WorldCat Record</v>
      </c>
      <c r="AX2193" s="3" t="s">
        <v>22720</v>
      </c>
      <c r="AY2193" s="3" t="s">
        <v>22729</v>
      </c>
      <c r="AZ2193" s="3" t="s">
        <v>22730</v>
      </c>
      <c r="BA2193" s="3" t="s">
        <v>22730</v>
      </c>
      <c r="BB2193" s="3" t="s">
        <v>22731</v>
      </c>
      <c r="BC2193" s="3" t="s">
        <v>78</v>
      </c>
      <c r="BD2193" s="3" t="s">
        <v>79</v>
      </c>
      <c r="BE2193" s="3" t="s">
        <v>22732</v>
      </c>
      <c r="BF2193" s="3" t="s">
        <v>22731</v>
      </c>
      <c r="BG2193" s="3" t="s">
        <v>22733</v>
      </c>
    </row>
    <row r="2194" spans="1:59" ht="145" x14ac:dyDescent="0.35">
      <c r="A2194" s="2" t="s">
        <v>59</v>
      </c>
      <c r="B2194" s="2" t="s">
        <v>94</v>
      </c>
      <c r="C2194" s="2" t="s">
        <v>22734</v>
      </c>
      <c r="D2194" s="2" t="s">
        <v>22735</v>
      </c>
      <c r="E2194" s="2" t="s">
        <v>22736</v>
      </c>
      <c r="G2194" s="3" t="s">
        <v>64</v>
      </c>
      <c r="I2194" s="3" t="s">
        <v>64</v>
      </c>
      <c r="J2194" s="3" t="s">
        <v>73</v>
      </c>
      <c r="K2194" s="3" t="s">
        <v>65</v>
      </c>
      <c r="L2194" s="2" t="s">
        <v>20281</v>
      </c>
      <c r="M2194" s="2" t="s">
        <v>10496</v>
      </c>
      <c r="N2194" s="3" t="s">
        <v>524</v>
      </c>
      <c r="P2194" s="3" t="s">
        <v>69</v>
      </c>
      <c r="R2194" s="3" t="s">
        <v>20939</v>
      </c>
      <c r="S2194" s="4">
        <v>0</v>
      </c>
      <c r="T2194" s="4">
        <v>0</v>
      </c>
      <c r="W2194" s="5" t="s">
        <v>72</v>
      </c>
      <c r="X2194" s="5" t="s">
        <v>72</v>
      </c>
      <c r="Y2194" s="4">
        <v>58</v>
      </c>
      <c r="Z2194" s="4">
        <v>3</v>
      </c>
      <c r="AA2194" s="4">
        <v>32</v>
      </c>
      <c r="AB2194" s="4">
        <v>1</v>
      </c>
      <c r="AC2194" s="4">
        <v>6</v>
      </c>
      <c r="AD2194" s="4">
        <v>34</v>
      </c>
      <c r="AE2194" s="4">
        <v>96</v>
      </c>
      <c r="AF2194" s="4">
        <v>0</v>
      </c>
      <c r="AG2194" s="4">
        <v>2</v>
      </c>
      <c r="AH2194" s="4">
        <v>33</v>
      </c>
      <c r="AI2194" s="4">
        <v>79</v>
      </c>
      <c r="AJ2194" s="4">
        <v>2</v>
      </c>
      <c r="AK2194" s="4">
        <v>13</v>
      </c>
      <c r="AL2194" s="4">
        <v>18</v>
      </c>
      <c r="AM2194" s="4">
        <v>43</v>
      </c>
      <c r="AN2194" s="4">
        <v>0</v>
      </c>
      <c r="AO2194" s="4">
        <v>0</v>
      </c>
      <c r="AP2194" s="4">
        <v>2</v>
      </c>
      <c r="AQ2194" s="4">
        <v>23</v>
      </c>
      <c r="AR2194" s="3" t="s">
        <v>64</v>
      </c>
      <c r="AS2194" s="3" t="s">
        <v>64</v>
      </c>
      <c r="AT2194" s="3" t="s">
        <v>64</v>
      </c>
      <c r="AV2194" s="6" t="str">
        <f>HYPERLINK("http://mcgill.on.worldcat.org/oclc/827724519","Catalog Record")</f>
        <v>Catalog Record</v>
      </c>
      <c r="AW2194" s="6" t="str">
        <f>HYPERLINK("http://www.worldcat.org/oclc/827724519","WorldCat Record")</f>
        <v>WorldCat Record</v>
      </c>
      <c r="AX2194" s="3" t="s">
        <v>22737</v>
      </c>
      <c r="AY2194" s="3" t="s">
        <v>22738</v>
      </c>
      <c r="AZ2194" s="3" t="s">
        <v>22739</v>
      </c>
      <c r="BA2194" s="3" t="s">
        <v>22739</v>
      </c>
      <c r="BB2194" s="3" t="s">
        <v>22740</v>
      </c>
      <c r="BC2194" s="3" t="s">
        <v>78</v>
      </c>
      <c r="BD2194" s="3" t="s">
        <v>79</v>
      </c>
      <c r="BE2194" s="3" t="s">
        <v>22741</v>
      </c>
      <c r="BF2194" s="3" t="s">
        <v>22740</v>
      </c>
      <c r="BG2194" s="3" t="s">
        <v>22742</v>
      </c>
    </row>
    <row r="2195" spans="1:59" ht="101.5" x14ac:dyDescent="0.35">
      <c r="A2195" s="2" t="s">
        <v>59</v>
      </c>
      <c r="B2195" s="2" t="s">
        <v>94</v>
      </c>
      <c r="C2195" s="2" t="s">
        <v>22743</v>
      </c>
      <c r="D2195" s="2" t="s">
        <v>22744</v>
      </c>
      <c r="E2195" s="2" t="s">
        <v>22745</v>
      </c>
      <c r="G2195" s="3" t="s">
        <v>64</v>
      </c>
      <c r="I2195" s="3" t="s">
        <v>64</v>
      </c>
      <c r="J2195" s="3" t="s">
        <v>73</v>
      </c>
      <c r="K2195" s="3" t="s">
        <v>65</v>
      </c>
      <c r="L2195" s="2" t="s">
        <v>20281</v>
      </c>
      <c r="M2195" s="2" t="s">
        <v>22746</v>
      </c>
      <c r="N2195" s="3" t="s">
        <v>524</v>
      </c>
      <c r="P2195" s="3" t="s">
        <v>69</v>
      </c>
      <c r="R2195" s="3" t="s">
        <v>20939</v>
      </c>
      <c r="S2195" s="4">
        <v>0</v>
      </c>
      <c r="T2195" s="4">
        <v>0</v>
      </c>
      <c r="W2195" s="5" t="s">
        <v>72</v>
      </c>
      <c r="X2195" s="5" t="s">
        <v>72</v>
      </c>
      <c r="Y2195" s="4">
        <v>63</v>
      </c>
      <c r="Z2195" s="4">
        <v>4</v>
      </c>
      <c r="AA2195" s="4">
        <v>32</v>
      </c>
      <c r="AB2195" s="4">
        <v>1</v>
      </c>
      <c r="AC2195" s="4">
        <v>6</v>
      </c>
      <c r="AD2195" s="4">
        <v>42</v>
      </c>
      <c r="AE2195" s="4">
        <v>96</v>
      </c>
      <c r="AF2195" s="4">
        <v>0</v>
      </c>
      <c r="AG2195" s="4">
        <v>2</v>
      </c>
      <c r="AH2195" s="4">
        <v>41</v>
      </c>
      <c r="AI2195" s="4">
        <v>79</v>
      </c>
      <c r="AJ2195" s="4">
        <v>3</v>
      </c>
      <c r="AK2195" s="4">
        <v>13</v>
      </c>
      <c r="AL2195" s="4">
        <v>24</v>
      </c>
      <c r="AM2195" s="4">
        <v>43</v>
      </c>
      <c r="AN2195" s="4">
        <v>0</v>
      </c>
      <c r="AO2195" s="4">
        <v>0</v>
      </c>
      <c r="AP2195" s="4">
        <v>3</v>
      </c>
      <c r="AQ2195" s="4">
        <v>23</v>
      </c>
      <c r="AR2195" s="3" t="s">
        <v>64</v>
      </c>
      <c r="AS2195" s="3" t="s">
        <v>64</v>
      </c>
      <c r="AT2195" s="3" t="s">
        <v>64</v>
      </c>
      <c r="AV2195" s="6" t="str">
        <f>HYPERLINK("http://mcgill.on.worldcat.org/oclc/828611117","Catalog Record")</f>
        <v>Catalog Record</v>
      </c>
      <c r="AW2195" s="6" t="str">
        <f>HYPERLINK("http://www.worldcat.org/oclc/828611117","WorldCat Record")</f>
        <v>WorldCat Record</v>
      </c>
      <c r="AX2195" s="3" t="s">
        <v>22737</v>
      </c>
      <c r="AY2195" s="3" t="s">
        <v>22747</v>
      </c>
      <c r="AZ2195" s="3" t="s">
        <v>22748</v>
      </c>
      <c r="BA2195" s="3" t="s">
        <v>22748</v>
      </c>
      <c r="BB2195" s="3" t="s">
        <v>22749</v>
      </c>
      <c r="BC2195" s="3" t="s">
        <v>78</v>
      </c>
      <c r="BD2195" s="3" t="s">
        <v>79</v>
      </c>
      <c r="BE2195" s="3" t="s">
        <v>22750</v>
      </c>
      <c r="BF2195" s="3" t="s">
        <v>22749</v>
      </c>
      <c r="BG2195" s="3" t="s">
        <v>22751</v>
      </c>
    </row>
    <row r="2196" spans="1:59" ht="58" x14ac:dyDescent="0.35">
      <c r="A2196" s="2" t="s">
        <v>59</v>
      </c>
      <c r="B2196" s="2" t="s">
        <v>94</v>
      </c>
      <c r="C2196" s="2" t="s">
        <v>22752</v>
      </c>
      <c r="D2196" s="2" t="s">
        <v>22753</v>
      </c>
      <c r="E2196" s="2" t="s">
        <v>22754</v>
      </c>
      <c r="G2196" s="3" t="s">
        <v>64</v>
      </c>
      <c r="I2196" s="3" t="s">
        <v>64</v>
      </c>
      <c r="J2196" s="3" t="s">
        <v>64</v>
      </c>
      <c r="K2196" s="3" t="s">
        <v>65</v>
      </c>
      <c r="M2196" s="2" t="s">
        <v>5100</v>
      </c>
      <c r="N2196" s="3" t="s">
        <v>328</v>
      </c>
      <c r="P2196" s="3" t="s">
        <v>69</v>
      </c>
      <c r="R2196" s="3" t="s">
        <v>20939</v>
      </c>
      <c r="S2196" s="4">
        <v>0</v>
      </c>
      <c r="T2196" s="4">
        <v>0</v>
      </c>
      <c r="W2196" s="5" t="s">
        <v>72</v>
      </c>
      <c r="X2196" s="5" t="s">
        <v>72</v>
      </c>
      <c r="Y2196" s="4">
        <v>89</v>
      </c>
      <c r="Z2196" s="4">
        <v>7</v>
      </c>
      <c r="AA2196" s="4">
        <v>10</v>
      </c>
      <c r="AB2196" s="4">
        <v>1</v>
      </c>
      <c r="AC2196" s="4">
        <v>1</v>
      </c>
      <c r="AD2196" s="4">
        <v>50</v>
      </c>
      <c r="AE2196" s="4">
        <v>56</v>
      </c>
      <c r="AF2196" s="4">
        <v>0</v>
      </c>
      <c r="AG2196" s="4">
        <v>0</v>
      </c>
      <c r="AH2196" s="4">
        <v>48</v>
      </c>
      <c r="AI2196" s="4">
        <v>53</v>
      </c>
      <c r="AJ2196" s="4">
        <v>4</v>
      </c>
      <c r="AK2196" s="4">
        <v>7</v>
      </c>
      <c r="AL2196" s="4">
        <v>27</v>
      </c>
      <c r="AM2196" s="4">
        <v>29</v>
      </c>
      <c r="AN2196" s="4">
        <v>0</v>
      </c>
      <c r="AO2196" s="4">
        <v>0</v>
      </c>
      <c r="AP2196" s="4">
        <v>5</v>
      </c>
      <c r="AQ2196" s="4">
        <v>8</v>
      </c>
      <c r="AR2196" s="3" t="s">
        <v>64</v>
      </c>
      <c r="AS2196" s="3" t="s">
        <v>64</v>
      </c>
      <c r="AT2196" s="3" t="s">
        <v>64</v>
      </c>
      <c r="AV2196" s="6" t="str">
        <f>HYPERLINK("http://mcgill.on.worldcat.org/oclc/633144848","Catalog Record")</f>
        <v>Catalog Record</v>
      </c>
      <c r="AW2196" s="6" t="str">
        <f>HYPERLINK("http://www.worldcat.org/oclc/633144848","WorldCat Record")</f>
        <v>WorldCat Record</v>
      </c>
      <c r="AX2196" s="3" t="s">
        <v>22755</v>
      </c>
      <c r="AY2196" s="3" t="s">
        <v>22756</v>
      </c>
      <c r="AZ2196" s="3" t="s">
        <v>22757</v>
      </c>
      <c r="BA2196" s="3" t="s">
        <v>22757</v>
      </c>
      <c r="BB2196" s="3" t="s">
        <v>22758</v>
      </c>
      <c r="BC2196" s="3" t="s">
        <v>78</v>
      </c>
      <c r="BD2196" s="3" t="s">
        <v>79</v>
      </c>
      <c r="BE2196" s="3" t="s">
        <v>22759</v>
      </c>
      <c r="BF2196" s="3" t="s">
        <v>22758</v>
      </c>
      <c r="BG2196" s="3" t="s">
        <v>22760</v>
      </c>
    </row>
    <row r="2197" spans="1:59" ht="58" x14ac:dyDescent="0.35">
      <c r="A2197" s="2" t="s">
        <v>59</v>
      </c>
      <c r="B2197" s="2" t="s">
        <v>94</v>
      </c>
      <c r="C2197" s="2" t="s">
        <v>22761</v>
      </c>
      <c r="D2197" s="2" t="s">
        <v>22762</v>
      </c>
      <c r="E2197" s="2" t="s">
        <v>22763</v>
      </c>
      <c r="G2197" s="3" t="s">
        <v>64</v>
      </c>
      <c r="I2197" s="3" t="s">
        <v>64</v>
      </c>
      <c r="J2197" s="3" t="s">
        <v>64</v>
      </c>
      <c r="K2197" s="3" t="s">
        <v>65</v>
      </c>
      <c r="M2197" s="2" t="s">
        <v>5077</v>
      </c>
      <c r="N2197" s="3" t="s">
        <v>328</v>
      </c>
      <c r="P2197" s="3" t="s">
        <v>69</v>
      </c>
      <c r="Q2197" s="2" t="s">
        <v>22764</v>
      </c>
      <c r="R2197" s="3" t="s">
        <v>20939</v>
      </c>
      <c r="S2197" s="4">
        <v>0</v>
      </c>
      <c r="T2197" s="4">
        <v>0</v>
      </c>
      <c r="W2197" s="5" t="s">
        <v>72</v>
      </c>
      <c r="X2197" s="5" t="s">
        <v>72</v>
      </c>
      <c r="Y2197" s="4">
        <v>84</v>
      </c>
      <c r="Z2197" s="4">
        <v>4</v>
      </c>
      <c r="AA2197" s="4">
        <v>7</v>
      </c>
      <c r="AB2197" s="4">
        <v>1</v>
      </c>
      <c r="AC2197" s="4">
        <v>1</v>
      </c>
      <c r="AD2197" s="4">
        <v>45</v>
      </c>
      <c r="AE2197" s="4">
        <v>50</v>
      </c>
      <c r="AF2197" s="4">
        <v>0</v>
      </c>
      <c r="AG2197" s="4">
        <v>0</v>
      </c>
      <c r="AH2197" s="4">
        <v>44</v>
      </c>
      <c r="AI2197" s="4">
        <v>48</v>
      </c>
      <c r="AJ2197" s="4">
        <v>2</v>
      </c>
      <c r="AK2197" s="4">
        <v>4</v>
      </c>
      <c r="AL2197" s="4">
        <v>25</v>
      </c>
      <c r="AM2197" s="4">
        <v>25</v>
      </c>
      <c r="AN2197" s="4">
        <v>0</v>
      </c>
      <c r="AO2197" s="4">
        <v>0</v>
      </c>
      <c r="AP2197" s="4">
        <v>2</v>
      </c>
      <c r="AQ2197" s="4">
        <v>5</v>
      </c>
      <c r="AR2197" s="3" t="s">
        <v>64</v>
      </c>
      <c r="AS2197" s="3" t="s">
        <v>64</v>
      </c>
      <c r="AT2197" s="3" t="s">
        <v>64</v>
      </c>
      <c r="AV2197" s="6" t="str">
        <f>HYPERLINK("http://mcgill.on.worldcat.org/oclc/696561284","Catalog Record")</f>
        <v>Catalog Record</v>
      </c>
      <c r="AW2197" s="6" t="str">
        <f>HYPERLINK("http://www.worldcat.org/oclc/696561284","WorldCat Record")</f>
        <v>WorldCat Record</v>
      </c>
      <c r="AX2197" s="3" t="s">
        <v>22765</v>
      </c>
      <c r="AY2197" s="3" t="s">
        <v>22766</v>
      </c>
      <c r="AZ2197" s="3" t="s">
        <v>22767</v>
      </c>
      <c r="BA2197" s="3" t="s">
        <v>22767</v>
      </c>
      <c r="BB2197" s="3" t="s">
        <v>22768</v>
      </c>
      <c r="BC2197" s="3" t="s">
        <v>78</v>
      </c>
      <c r="BD2197" s="3" t="s">
        <v>79</v>
      </c>
      <c r="BE2197" s="3" t="s">
        <v>22769</v>
      </c>
      <c r="BF2197" s="3" t="s">
        <v>22768</v>
      </c>
      <c r="BG2197" s="3" t="s">
        <v>22770</v>
      </c>
    </row>
    <row r="2198" spans="1:59" ht="58" x14ac:dyDescent="0.35">
      <c r="A2198" s="2" t="s">
        <v>59</v>
      </c>
      <c r="B2198" s="2" t="s">
        <v>94</v>
      </c>
      <c r="C2198" s="2" t="s">
        <v>22771</v>
      </c>
      <c r="D2198" s="2" t="s">
        <v>22772</v>
      </c>
      <c r="E2198" s="2" t="s">
        <v>22773</v>
      </c>
      <c r="G2198" s="3" t="s">
        <v>64</v>
      </c>
      <c r="I2198" s="3" t="s">
        <v>64</v>
      </c>
      <c r="J2198" s="3" t="s">
        <v>64</v>
      </c>
      <c r="K2198" s="3" t="s">
        <v>65</v>
      </c>
      <c r="M2198" s="2" t="s">
        <v>20007</v>
      </c>
      <c r="N2198" s="3" t="s">
        <v>328</v>
      </c>
      <c r="P2198" s="3" t="s">
        <v>69</v>
      </c>
      <c r="Q2198" s="2" t="s">
        <v>22774</v>
      </c>
      <c r="R2198" s="3" t="s">
        <v>20939</v>
      </c>
      <c r="S2198" s="4">
        <v>0</v>
      </c>
      <c r="T2198" s="4">
        <v>0</v>
      </c>
      <c r="W2198" s="5" t="s">
        <v>72</v>
      </c>
      <c r="X2198" s="5" t="s">
        <v>72</v>
      </c>
      <c r="Y2198" s="4">
        <v>86</v>
      </c>
      <c r="Z2198" s="4">
        <v>4</v>
      </c>
      <c r="AA2198" s="4">
        <v>7</v>
      </c>
      <c r="AB2198" s="4">
        <v>1</v>
      </c>
      <c r="AC2198" s="4">
        <v>1</v>
      </c>
      <c r="AD2198" s="4">
        <v>46</v>
      </c>
      <c r="AE2198" s="4">
        <v>51</v>
      </c>
      <c r="AF2198" s="4">
        <v>0</v>
      </c>
      <c r="AG2198" s="4">
        <v>0</v>
      </c>
      <c r="AH2198" s="4">
        <v>45</v>
      </c>
      <c r="AI2198" s="4">
        <v>49</v>
      </c>
      <c r="AJ2198" s="4">
        <v>2</v>
      </c>
      <c r="AK2198" s="4">
        <v>5</v>
      </c>
      <c r="AL2198" s="4">
        <v>27</v>
      </c>
      <c r="AM2198" s="4">
        <v>27</v>
      </c>
      <c r="AN2198" s="4">
        <v>0</v>
      </c>
      <c r="AO2198" s="4">
        <v>0</v>
      </c>
      <c r="AP2198" s="4">
        <v>2</v>
      </c>
      <c r="AQ2198" s="4">
        <v>5</v>
      </c>
      <c r="AR2198" s="3" t="s">
        <v>64</v>
      </c>
      <c r="AS2198" s="3" t="s">
        <v>64</v>
      </c>
      <c r="AT2198" s="3" t="s">
        <v>64</v>
      </c>
      <c r="AV2198" s="6" t="str">
        <f>HYPERLINK("http://mcgill.on.worldcat.org/oclc/696561287","Catalog Record")</f>
        <v>Catalog Record</v>
      </c>
      <c r="AW2198" s="6" t="str">
        <f>HYPERLINK("http://www.worldcat.org/oclc/696561287","WorldCat Record")</f>
        <v>WorldCat Record</v>
      </c>
      <c r="AX2198" s="3" t="s">
        <v>22775</v>
      </c>
      <c r="AY2198" s="3" t="s">
        <v>22776</v>
      </c>
      <c r="AZ2198" s="3" t="s">
        <v>22777</v>
      </c>
      <c r="BA2198" s="3" t="s">
        <v>22777</v>
      </c>
      <c r="BB2198" s="3" t="s">
        <v>22778</v>
      </c>
      <c r="BC2198" s="3" t="s">
        <v>78</v>
      </c>
      <c r="BD2198" s="3" t="s">
        <v>79</v>
      </c>
      <c r="BE2198" s="3" t="s">
        <v>22779</v>
      </c>
      <c r="BF2198" s="3" t="s">
        <v>22778</v>
      </c>
      <c r="BG2198" s="3" t="s">
        <v>22780</v>
      </c>
    </row>
    <row r="2199" spans="1:59" ht="58" x14ac:dyDescent="0.35">
      <c r="A2199" s="2" t="s">
        <v>59</v>
      </c>
      <c r="B2199" s="2" t="s">
        <v>94</v>
      </c>
      <c r="C2199" s="2" t="s">
        <v>22781</v>
      </c>
      <c r="D2199" s="2" t="s">
        <v>22782</v>
      </c>
      <c r="E2199" s="2" t="s">
        <v>22783</v>
      </c>
      <c r="G2199" s="3" t="s">
        <v>64</v>
      </c>
      <c r="I2199" s="3" t="s">
        <v>64</v>
      </c>
      <c r="J2199" s="3" t="s">
        <v>64</v>
      </c>
      <c r="K2199" s="3" t="s">
        <v>65</v>
      </c>
      <c r="M2199" s="2" t="s">
        <v>19274</v>
      </c>
      <c r="N2199" s="3" t="s">
        <v>328</v>
      </c>
      <c r="P2199" s="3" t="s">
        <v>69</v>
      </c>
      <c r="Q2199" s="2" t="s">
        <v>22784</v>
      </c>
      <c r="R2199" s="3" t="s">
        <v>20939</v>
      </c>
      <c r="S2199" s="4">
        <v>0</v>
      </c>
      <c r="T2199" s="4">
        <v>0</v>
      </c>
      <c r="W2199" s="5" t="s">
        <v>72</v>
      </c>
      <c r="X2199" s="5" t="s">
        <v>72</v>
      </c>
      <c r="Y2199" s="4">
        <v>89</v>
      </c>
      <c r="Z2199" s="4">
        <v>5</v>
      </c>
      <c r="AA2199" s="4">
        <v>6</v>
      </c>
      <c r="AB2199" s="4">
        <v>1</v>
      </c>
      <c r="AC2199" s="4">
        <v>1</v>
      </c>
      <c r="AD2199" s="4">
        <v>48</v>
      </c>
      <c r="AE2199" s="4">
        <v>53</v>
      </c>
      <c r="AF2199" s="4">
        <v>0</v>
      </c>
      <c r="AG2199" s="4">
        <v>0</v>
      </c>
      <c r="AH2199" s="4">
        <v>47</v>
      </c>
      <c r="AI2199" s="4">
        <v>52</v>
      </c>
      <c r="AJ2199" s="4">
        <v>3</v>
      </c>
      <c r="AK2199" s="4">
        <v>4</v>
      </c>
      <c r="AL2199" s="4">
        <v>27</v>
      </c>
      <c r="AM2199" s="4">
        <v>29</v>
      </c>
      <c r="AN2199" s="4">
        <v>0</v>
      </c>
      <c r="AO2199" s="4">
        <v>0</v>
      </c>
      <c r="AP2199" s="4">
        <v>3</v>
      </c>
      <c r="AQ2199" s="4">
        <v>4</v>
      </c>
      <c r="AR2199" s="3" t="s">
        <v>64</v>
      </c>
      <c r="AS2199" s="3" t="s">
        <v>64</v>
      </c>
      <c r="AT2199" s="3" t="s">
        <v>64</v>
      </c>
      <c r="AV2199" s="6" t="str">
        <f>HYPERLINK("http://mcgill.on.worldcat.org/oclc/688643560","Catalog Record")</f>
        <v>Catalog Record</v>
      </c>
      <c r="AW2199" s="6" t="str">
        <f>HYPERLINK("http://www.worldcat.org/oclc/688643560","WorldCat Record")</f>
        <v>WorldCat Record</v>
      </c>
      <c r="AX2199" s="3" t="s">
        <v>22785</v>
      </c>
      <c r="AY2199" s="3" t="s">
        <v>22786</v>
      </c>
      <c r="AZ2199" s="3" t="s">
        <v>22787</v>
      </c>
      <c r="BA2199" s="3" t="s">
        <v>22787</v>
      </c>
      <c r="BB2199" s="3" t="s">
        <v>22788</v>
      </c>
      <c r="BC2199" s="3" t="s">
        <v>78</v>
      </c>
      <c r="BD2199" s="3" t="s">
        <v>79</v>
      </c>
      <c r="BE2199" s="3" t="s">
        <v>22789</v>
      </c>
      <c r="BF2199" s="3" t="s">
        <v>22788</v>
      </c>
      <c r="BG2199" s="3" t="s">
        <v>22790</v>
      </c>
    </row>
    <row r="2200" spans="1:59" ht="58" x14ac:dyDescent="0.35">
      <c r="A2200" s="2" t="s">
        <v>59</v>
      </c>
      <c r="B2200" s="2" t="s">
        <v>94</v>
      </c>
      <c r="C2200" s="2" t="s">
        <v>22791</v>
      </c>
      <c r="D2200" s="2" t="s">
        <v>22792</v>
      </c>
      <c r="E2200" s="2" t="s">
        <v>22793</v>
      </c>
      <c r="G2200" s="3" t="s">
        <v>64</v>
      </c>
      <c r="I2200" s="3" t="s">
        <v>64</v>
      </c>
      <c r="J2200" s="3" t="s">
        <v>64</v>
      </c>
      <c r="K2200" s="3" t="s">
        <v>65</v>
      </c>
      <c r="M2200" s="2" t="s">
        <v>22794</v>
      </c>
      <c r="N2200" s="3" t="s">
        <v>214</v>
      </c>
      <c r="P2200" s="3" t="s">
        <v>69</v>
      </c>
      <c r="Q2200" s="2" t="s">
        <v>22795</v>
      </c>
      <c r="R2200" s="3" t="s">
        <v>20939</v>
      </c>
      <c r="S2200" s="4">
        <v>0</v>
      </c>
      <c r="T2200" s="4">
        <v>0</v>
      </c>
      <c r="W2200" s="5" t="s">
        <v>72</v>
      </c>
      <c r="X2200" s="5" t="s">
        <v>72</v>
      </c>
      <c r="Y2200" s="4">
        <v>86</v>
      </c>
      <c r="Z2200" s="4">
        <v>6</v>
      </c>
      <c r="AA2200" s="4">
        <v>8</v>
      </c>
      <c r="AB2200" s="4">
        <v>1</v>
      </c>
      <c r="AC2200" s="4">
        <v>1</v>
      </c>
      <c r="AD2200" s="4">
        <v>48</v>
      </c>
      <c r="AE2200" s="4">
        <v>52</v>
      </c>
      <c r="AF2200" s="4">
        <v>0</v>
      </c>
      <c r="AG2200" s="4">
        <v>0</v>
      </c>
      <c r="AH2200" s="4">
        <v>46</v>
      </c>
      <c r="AI2200" s="4">
        <v>49</v>
      </c>
      <c r="AJ2200" s="4">
        <v>4</v>
      </c>
      <c r="AK2200" s="4">
        <v>6</v>
      </c>
      <c r="AL2200" s="4">
        <v>26</v>
      </c>
      <c r="AM2200" s="4">
        <v>26</v>
      </c>
      <c r="AN2200" s="4">
        <v>0</v>
      </c>
      <c r="AO2200" s="4">
        <v>0</v>
      </c>
      <c r="AP2200" s="4">
        <v>4</v>
      </c>
      <c r="AQ2200" s="4">
        <v>6</v>
      </c>
      <c r="AR2200" s="3" t="s">
        <v>64</v>
      </c>
      <c r="AS2200" s="3" t="s">
        <v>64</v>
      </c>
      <c r="AT2200" s="3" t="s">
        <v>64</v>
      </c>
      <c r="AV2200" s="6" t="str">
        <f>HYPERLINK("http://mcgill.on.worldcat.org/oclc/659413024","Catalog Record")</f>
        <v>Catalog Record</v>
      </c>
      <c r="AW2200" s="6" t="str">
        <f>HYPERLINK("http://www.worldcat.org/oclc/659413024","WorldCat Record")</f>
        <v>WorldCat Record</v>
      </c>
      <c r="AX2200" s="3" t="s">
        <v>22796</v>
      </c>
      <c r="AY2200" s="3" t="s">
        <v>22797</v>
      </c>
      <c r="AZ2200" s="3" t="s">
        <v>22798</v>
      </c>
      <c r="BA2200" s="3" t="s">
        <v>22798</v>
      </c>
      <c r="BB2200" s="3" t="s">
        <v>22799</v>
      </c>
      <c r="BC2200" s="3" t="s">
        <v>78</v>
      </c>
      <c r="BD2200" s="3" t="s">
        <v>79</v>
      </c>
      <c r="BE2200" s="3" t="s">
        <v>22800</v>
      </c>
      <c r="BF2200" s="3" t="s">
        <v>22799</v>
      </c>
      <c r="BG2200" s="3" t="s">
        <v>22801</v>
      </c>
    </row>
    <row r="2201" spans="1:59" ht="58" x14ac:dyDescent="0.35">
      <c r="A2201" s="2" t="s">
        <v>59</v>
      </c>
      <c r="B2201" s="2" t="s">
        <v>94</v>
      </c>
      <c r="C2201" s="2" t="s">
        <v>22802</v>
      </c>
      <c r="D2201" s="2" t="s">
        <v>22803</v>
      </c>
      <c r="E2201" s="2" t="s">
        <v>22804</v>
      </c>
      <c r="G2201" s="3" t="s">
        <v>64</v>
      </c>
      <c r="I2201" s="3" t="s">
        <v>64</v>
      </c>
      <c r="J2201" s="3" t="s">
        <v>64</v>
      </c>
      <c r="K2201" s="3" t="s">
        <v>65</v>
      </c>
      <c r="M2201" s="2" t="s">
        <v>5089</v>
      </c>
      <c r="N2201" s="3" t="s">
        <v>214</v>
      </c>
      <c r="P2201" s="3" t="s">
        <v>69</v>
      </c>
      <c r="Q2201" s="2" t="s">
        <v>22805</v>
      </c>
      <c r="R2201" s="3" t="s">
        <v>20939</v>
      </c>
      <c r="S2201" s="4">
        <v>0</v>
      </c>
      <c r="T2201" s="4">
        <v>0</v>
      </c>
      <c r="W2201" s="5" t="s">
        <v>72</v>
      </c>
      <c r="X2201" s="5" t="s">
        <v>72</v>
      </c>
      <c r="Y2201" s="4">
        <v>99</v>
      </c>
      <c r="Z2201" s="4">
        <v>8</v>
      </c>
      <c r="AA2201" s="4">
        <v>11</v>
      </c>
      <c r="AB2201" s="4">
        <v>1</v>
      </c>
      <c r="AC2201" s="4">
        <v>1</v>
      </c>
      <c r="AD2201" s="4">
        <v>54</v>
      </c>
      <c r="AE2201" s="4">
        <v>60</v>
      </c>
      <c r="AF2201" s="4">
        <v>0</v>
      </c>
      <c r="AG2201" s="4">
        <v>0</v>
      </c>
      <c r="AH2201" s="4">
        <v>51</v>
      </c>
      <c r="AI2201" s="4">
        <v>56</v>
      </c>
      <c r="AJ2201" s="4">
        <v>5</v>
      </c>
      <c r="AK2201" s="4">
        <v>8</v>
      </c>
      <c r="AL2201" s="4">
        <v>27</v>
      </c>
      <c r="AM2201" s="4">
        <v>28</v>
      </c>
      <c r="AN2201" s="4">
        <v>5</v>
      </c>
      <c r="AO2201" s="4">
        <v>5</v>
      </c>
      <c r="AP2201" s="4">
        <v>6</v>
      </c>
      <c r="AQ2201" s="4">
        <v>9</v>
      </c>
      <c r="AR2201" s="3" t="s">
        <v>64</v>
      </c>
      <c r="AS2201" s="3" t="s">
        <v>64</v>
      </c>
      <c r="AT2201" s="3" t="s">
        <v>73</v>
      </c>
      <c r="AU2201" s="6" t="str">
        <f>HYPERLINK("http://catalog.hathitrust.org/Record/007918381","HathiTrust Record")</f>
        <v>HathiTrust Record</v>
      </c>
      <c r="AV2201" s="6" t="str">
        <f>HYPERLINK("http://mcgill.on.worldcat.org/oclc/468857463","Catalog Record")</f>
        <v>Catalog Record</v>
      </c>
      <c r="AW2201" s="6" t="str">
        <f>HYPERLINK("http://www.worldcat.org/oclc/468857463","WorldCat Record")</f>
        <v>WorldCat Record</v>
      </c>
      <c r="AX2201" s="3" t="s">
        <v>22806</v>
      </c>
      <c r="AY2201" s="3" t="s">
        <v>22807</v>
      </c>
      <c r="AZ2201" s="3" t="s">
        <v>22808</v>
      </c>
      <c r="BA2201" s="3" t="s">
        <v>22808</v>
      </c>
      <c r="BB2201" s="3" t="s">
        <v>22809</v>
      </c>
      <c r="BC2201" s="3" t="s">
        <v>78</v>
      </c>
      <c r="BD2201" s="3" t="s">
        <v>79</v>
      </c>
      <c r="BE2201" s="3" t="s">
        <v>22810</v>
      </c>
      <c r="BF2201" s="3" t="s">
        <v>22809</v>
      </c>
      <c r="BG2201" s="3" t="s">
        <v>22811</v>
      </c>
    </row>
    <row r="2202" spans="1:59" ht="58" x14ac:dyDescent="0.35">
      <c r="A2202" s="2" t="s">
        <v>59</v>
      </c>
      <c r="B2202" s="2" t="s">
        <v>94</v>
      </c>
      <c r="C2202" s="2" t="s">
        <v>22812</v>
      </c>
      <c r="D2202" s="2" t="s">
        <v>22813</v>
      </c>
      <c r="E2202" s="2" t="s">
        <v>22814</v>
      </c>
      <c r="G2202" s="3" t="s">
        <v>64</v>
      </c>
      <c r="I2202" s="3" t="s">
        <v>64</v>
      </c>
      <c r="J2202" s="3" t="s">
        <v>64</v>
      </c>
      <c r="K2202" s="3" t="s">
        <v>65</v>
      </c>
      <c r="L2202" s="2" t="s">
        <v>22815</v>
      </c>
      <c r="M2202" s="2" t="s">
        <v>22816</v>
      </c>
      <c r="N2202" s="3" t="s">
        <v>1320</v>
      </c>
      <c r="P2202" s="3" t="s">
        <v>69</v>
      </c>
      <c r="R2202" s="3" t="s">
        <v>20939</v>
      </c>
      <c r="S2202" s="4">
        <v>1</v>
      </c>
      <c r="T2202" s="4">
        <v>1</v>
      </c>
      <c r="U2202" s="5" t="s">
        <v>8105</v>
      </c>
      <c r="V2202" s="5" t="s">
        <v>8105</v>
      </c>
      <c r="W2202" s="5" t="s">
        <v>72</v>
      </c>
      <c r="X2202" s="5" t="s">
        <v>72</v>
      </c>
      <c r="Y2202" s="4">
        <v>71</v>
      </c>
      <c r="Z2202" s="4">
        <v>4</v>
      </c>
      <c r="AA2202" s="4">
        <v>17</v>
      </c>
      <c r="AB2202" s="4">
        <v>1</v>
      </c>
      <c r="AC2202" s="4">
        <v>1</v>
      </c>
      <c r="AD2202" s="4">
        <v>8</v>
      </c>
      <c r="AE2202" s="4">
        <v>87</v>
      </c>
      <c r="AF2202" s="4">
        <v>0</v>
      </c>
      <c r="AG2202" s="4">
        <v>0</v>
      </c>
      <c r="AH2202" s="4">
        <v>7</v>
      </c>
      <c r="AI2202" s="4">
        <v>80</v>
      </c>
      <c r="AJ2202" s="4">
        <v>1</v>
      </c>
      <c r="AK2202" s="4">
        <v>8</v>
      </c>
      <c r="AL2202" s="4">
        <v>3</v>
      </c>
      <c r="AM2202" s="4">
        <v>47</v>
      </c>
      <c r="AN2202" s="4">
        <v>0</v>
      </c>
      <c r="AO2202" s="4">
        <v>0</v>
      </c>
      <c r="AP2202" s="4">
        <v>2</v>
      </c>
      <c r="AQ2202" s="4">
        <v>10</v>
      </c>
      <c r="AR2202" s="3" t="s">
        <v>64</v>
      </c>
      <c r="AS2202" s="3" t="s">
        <v>64</v>
      </c>
      <c r="AT2202" s="3" t="s">
        <v>64</v>
      </c>
      <c r="AV2202" s="6" t="str">
        <f>HYPERLINK("http://mcgill.on.worldcat.org/oclc/32894910","Catalog Record")</f>
        <v>Catalog Record</v>
      </c>
      <c r="AW2202" s="6" t="str">
        <f>HYPERLINK("http://www.worldcat.org/oclc/32894910","WorldCat Record")</f>
        <v>WorldCat Record</v>
      </c>
      <c r="AX2202" s="3" t="s">
        <v>22817</v>
      </c>
      <c r="AY2202" s="3" t="s">
        <v>22818</v>
      </c>
      <c r="AZ2202" s="3" t="s">
        <v>22819</v>
      </c>
      <c r="BA2202" s="3" t="s">
        <v>22819</v>
      </c>
      <c r="BB2202" s="3" t="s">
        <v>22820</v>
      </c>
      <c r="BC2202" s="3" t="s">
        <v>78</v>
      </c>
      <c r="BD2202" s="3" t="s">
        <v>79</v>
      </c>
      <c r="BE2202" s="3" t="s">
        <v>22821</v>
      </c>
      <c r="BF2202" s="3" t="s">
        <v>22820</v>
      </c>
      <c r="BG2202" s="3" t="s">
        <v>22822</v>
      </c>
    </row>
    <row r="2203" spans="1:59" ht="58" x14ac:dyDescent="0.35">
      <c r="A2203" s="2" t="s">
        <v>59</v>
      </c>
      <c r="B2203" s="2" t="s">
        <v>94</v>
      </c>
      <c r="C2203" s="2" t="s">
        <v>22823</v>
      </c>
      <c r="D2203" s="2" t="s">
        <v>22824</v>
      </c>
      <c r="E2203" s="2" t="s">
        <v>22825</v>
      </c>
      <c r="G2203" s="3" t="s">
        <v>64</v>
      </c>
      <c r="I2203" s="3" t="s">
        <v>64</v>
      </c>
      <c r="J2203" s="3" t="s">
        <v>64</v>
      </c>
      <c r="K2203" s="3" t="s">
        <v>65</v>
      </c>
      <c r="L2203" s="2" t="s">
        <v>11373</v>
      </c>
      <c r="M2203" s="2" t="s">
        <v>22507</v>
      </c>
      <c r="N2203" s="3" t="s">
        <v>524</v>
      </c>
      <c r="P2203" s="3" t="s">
        <v>69</v>
      </c>
      <c r="Q2203" s="2" t="s">
        <v>22826</v>
      </c>
      <c r="R2203" s="3" t="s">
        <v>20939</v>
      </c>
      <c r="S2203" s="4">
        <v>1</v>
      </c>
      <c r="T2203" s="4">
        <v>1</v>
      </c>
      <c r="U2203" s="5" t="s">
        <v>22827</v>
      </c>
      <c r="V2203" s="5" t="s">
        <v>22827</v>
      </c>
      <c r="W2203" s="5" t="s">
        <v>72</v>
      </c>
      <c r="X2203" s="5" t="s">
        <v>72</v>
      </c>
      <c r="Y2203" s="4">
        <v>67</v>
      </c>
      <c r="Z2203" s="4">
        <v>4</v>
      </c>
      <c r="AA2203" s="4">
        <v>104</v>
      </c>
      <c r="AB2203" s="4">
        <v>1</v>
      </c>
      <c r="AC2203" s="4">
        <v>17</v>
      </c>
      <c r="AD2203" s="4">
        <v>43</v>
      </c>
      <c r="AE2203" s="4">
        <v>126</v>
      </c>
      <c r="AF2203" s="4">
        <v>0</v>
      </c>
      <c r="AG2203" s="4">
        <v>8</v>
      </c>
      <c r="AH2203" s="4">
        <v>42</v>
      </c>
      <c r="AI2203" s="4">
        <v>86</v>
      </c>
      <c r="AJ2203" s="4">
        <v>3</v>
      </c>
      <c r="AK2203" s="4">
        <v>21</v>
      </c>
      <c r="AL2203" s="4">
        <v>22</v>
      </c>
      <c r="AM2203" s="4">
        <v>46</v>
      </c>
      <c r="AN2203" s="4">
        <v>0</v>
      </c>
      <c r="AO2203" s="4">
        <v>0</v>
      </c>
      <c r="AP2203" s="4">
        <v>3</v>
      </c>
      <c r="AQ2203" s="4">
        <v>44</v>
      </c>
      <c r="AR2203" s="3" t="s">
        <v>64</v>
      </c>
      <c r="AS2203" s="3" t="s">
        <v>64</v>
      </c>
      <c r="AT2203" s="3" t="s">
        <v>64</v>
      </c>
      <c r="AV2203" s="6" t="str">
        <f>HYPERLINK("http://mcgill.on.worldcat.org/oclc/859446788","Catalog Record")</f>
        <v>Catalog Record</v>
      </c>
      <c r="AW2203" s="6" t="str">
        <f>HYPERLINK("http://www.worldcat.org/oclc/859446788","WorldCat Record")</f>
        <v>WorldCat Record</v>
      </c>
      <c r="AX2203" s="3" t="s">
        <v>22828</v>
      </c>
      <c r="AY2203" s="3" t="s">
        <v>22829</v>
      </c>
      <c r="AZ2203" s="3" t="s">
        <v>22830</v>
      </c>
      <c r="BA2203" s="3" t="s">
        <v>22830</v>
      </c>
      <c r="BB2203" s="3" t="s">
        <v>22831</v>
      </c>
      <c r="BC2203" s="3" t="s">
        <v>78</v>
      </c>
      <c r="BD2203" s="3" t="s">
        <v>79</v>
      </c>
      <c r="BE2203" s="3" t="s">
        <v>22832</v>
      </c>
      <c r="BF2203" s="3" t="s">
        <v>22831</v>
      </c>
      <c r="BG2203" s="3" t="s">
        <v>22833</v>
      </c>
    </row>
    <row r="2204" spans="1:59" ht="72.5" x14ac:dyDescent="0.35">
      <c r="A2204" s="2" t="s">
        <v>59</v>
      </c>
      <c r="B2204" s="2" t="s">
        <v>94</v>
      </c>
      <c r="C2204" s="2" t="s">
        <v>22834</v>
      </c>
      <c r="D2204" s="2" t="s">
        <v>22835</v>
      </c>
      <c r="E2204" s="2" t="s">
        <v>22836</v>
      </c>
      <c r="G2204" s="3" t="s">
        <v>64</v>
      </c>
      <c r="I2204" s="3" t="s">
        <v>64</v>
      </c>
      <c r="J2204" s="3" t="s">
        <v>64</v>
      </c>
      <c r="K2204" s="3" t="s">
        <v>65</v>
      </c>
      <c r="L2204" s="2" t="s">
        <v>22837</v>
      </c>
      <c r="M2204" s="2" t="s">
        <v>22838</v>
      </c>
      <c r="N2204" s="3" t="s">
        <v>473</v>
      </c>
      <c r="P2204" s="3" t="s">
        <v>69</v>
      </c>
      <c r="Q2204" s="2" t="s">
        <v>22839</v>
      </c>
      <c r="R2204" s="3" t="s">
        <v>20939</v>
      </c>
      <c r="S2204" s="4">
        <v>22</v>
      </c>
      <c r="T2204" s="4">
        <v>22</v>
      </c>
      <c r="U2204" s="5" t="s">
        <v>4879</v>
      </c>
      <c r="V2204" s="5" t="s">
        <v>4879</v>
      </c>
      <c r="W2204" s="5" t="s">
        <v>72</v>
      </c>
      <c r="X2204" s="5" t="s">
        <v>72</v>
      </c>
      <c r="Y2204" s="4">
        <v>461</v>
      </c>
      <c r="Z2204" s="4">
        <v>29</v>
      </c>
      <c r="AA2204" s="4">
        <v>33</v>
      </c>
      <c r="AB2204" s="4">
        <v>1</v>
      </c>
      <c r="AC2204" s="4">
        <v>3</v>
      </c>
      <c r="AD2204" s="4">
        <v>110</v>
      </c>
      <c r="AE2204" s="4">
        <v>119</v>
      </c>
      <c r="AF2204" s="4">
        <v>0</v>
      </c>
      <c r="AG2204" s="4">
        <v>2</v>
      </c>
      <c r="AH2204" s="4">
        <v>95</v>
      </c>
      <c r="AI2204" s="4">
        <v>102</v>
      </c>
      <c r="AJ2204" s="4">
        <v>17</v>
      </c>
      <c r="AK2204" s="4">
        <v>19</v>
      </c>
      <c r="AL2204" s="4">
        <v>54</v>
      </c>
      <c r="AM2204" s="4">
        <v>56</v>
      </c>
      <c r="AN2204" s="4">
        <v>0</v>
      </c>
      <c r="AO2204" s="4">
        <v>0</v>
      </c>
      <c r="AP2204" s="4">
        <v>22</v>
      </c>
      <c r="AQ2204" s="4">
        <v>25</v>
      </c>
      <c r="AR2204" s="3" t="s">
        <v>64</v>
      </c>
      <c r="AS2204" s="3" t="s">
        <v>64</v>
      </c>
      <c r="AT2204" s="3" t="s">
        <v>64</v>
      </c>
      <c r="AV2204" s="6" t="str">
        <f>HYPERLINK("http://mcgill.on.worldcat.org/oclc/21376843","Catalog Record")</f>
        <v>Catalog Record</v>
      </c>
      <c r="AW2204" s="6" t="str">
        <f>HYPERLINK("http://www.worldcat.org/oclc/21376843","WorldCat Record")</f>
        <v>WorldCat Record</v>
      </c>
      <c r="AX2204" s="3" t="s">
        <v>22840</v>
      </c>
      <c r="AY2204" s="3" t="s">
        <v>22841</v>
      </c>
      <c r="AZ2204" s="3" t="s">
        <v>22842</v>
      </c>
      <c r="BA2204" s="3" t="s">
        <v>22842</v>
      </c>
      <c r="BB2204" s="3" t="s">
        <v>22843</v>
      </c>
      <c r="BC2204" s="3" t="s">
        <v>78</v>
      </c>
      <c r="BD2204" s="3" t="s">
        <v>79</v>
      </c>
      <c r="BE2204" s="3" t="s">
        <v>22844</v>
      </c>
      <c r="BF2204" s="3" t="s">
        <v>22843</v>
      </c>
      <c r="BG2204" s="3" t="s">
        <v>22845</v>
      </c>
    </row>
    <row r="2205" spans="1:59" ht="58" x14ac:dyDescent="0.35">
      <c r="A2205" s="2" t="s">
        <v>59</v>
      </c>
      <c r="B2205" s="2" t="s">
        <v>94</v>
      </c>
      <c r="C2205" s="2" t="s">
        <v>22846</v>
      </c>
      <c r="D2205" s="2" t="s">
        <v>22847</v>
      </c>
      <c r="E2205" s="2" t="s">
        <v>22848</v>
      </c>
      <c r="G2205" s="3" t="s">
        <v>64</v>
      </c>
      <c r="I2205" s="3" t="s">
        <v>64</v>
      </c>
      <c r="J2205" s="3" t="s">
        <v>64</v>
      </c>
      <c r="K2205" s="3" t="s">
        <v>65</v>
      </c>
      <c r="M2205" s="2" t="s">
        <v>14434</v>
      </c>
      <c r="N2205" s="3" t="s">
        <v>287</v>
      </c>
      <c r="P2205" s="3" t="s">
        <v>69</v>
      </c>
      <c r="R2205" s="3" t="s">
        <v>20939</v>
      </c>
      <c r="S2205" s="4">
        <v>6</v>
      </c>
      <c r="T2205" s="4">
        <v>6</v>
      </c>
      <c r="U2205" s="5" t="s">
        <v>10835</v>
      </c>
      <c r="V2205" s="5" t="s">
        <v>10835</v>
      </c>
      <c r="W2205" s="5" t="s">
        <v>72</v>
      </c>
      <c r="X2205" s="5" t="s">
        <v>72</v>
      </c>
      <c r="Y2205" s="4">
        <v>636</v>
      </c>
      <c r="Z2205" s="4">
        <v>29</v>
      </c>
      <c r="AA2205" s="4">
        <v>31</v>
      </c>
      <c r="AB2205" s="4">
        <v>3</v>
      </c>
      <c r="AC2205" s="4">
        <v>5</v>
      </c>
      <c r="AD2205" s="4">
        <v>122</v>
      </c>
      <c r="AE2205" s="4">
        <v>124</v>
      </c>
      <c r="AF2205" s="4">
        <v>2</v>
      </c>
      <c r="AG2205" s="4">
        <v>4</v>
      </c>
      <c r="AH2205" s="4">
        <v>104</v>
      </c>
      <c r="AI2205" s="4">
        <v>104</v>
      </c>
      <c r="AJ2205" s="4">
        <v>19</v>
      </c>
      <c r="AK2205" s="4">
        <v>21</v>
      </c>
      <c r="AL2205" s="4">
        <v>59</v>
      </c>
      <c r="AM2205" s="4">
        <v>59</v>
      </c>
      <c r="AN2205" s="4">
        <v>3</v>
      </c>
      <c r="AO2205" s="4">
        <v>3</v>
      </c>
      <c r="AP2205" s="4">
        <v>23</v>
      </c>
      <c r="AQ2205" s="4">
        <v>24</v>
      </c>
      <c r="AR2205" s="3" t="s">
        <v>64</v>
      </c>
      <c r="AS2205" s="3" t="s">
        <v>64</v>
      </c>
      <c r="AT2205" s="3" t="s">
        <v>73</v>
      </c>
      <c r="AU2205" s="6" t="str">
        <f>HYPERLINK("http://catalog.hathitrust.org/Record/000267479","HathiTrust Record")</f>
        <v>HathiTrust Record</v>
      </c>
      <c r="AV2205" s="6" t="str">
        <f>HYPERLINK("http://mcgill.on.worldcat.org/oclc/8006385","Catalog Record")</f>
        <v>Catalog Record</v>
      </c>
      <c r="AW2205" s="6" t="str">
        <f>HYPERLINK("http://www.worldcat.org/oclc/8006385","WorldCat Record")</f>
        <v>WorldCat Record</v>
      </c>
      <c r="AX2205" s="3" t="s">
        <v>22849</v>
      </c>
      <c r="AY2205" s="3" t="s">
        <v>22850</v>
      </c>
      <c r="AZ2205" s="3" t="s">
        <v>22851</v>
      </c>
      <c r="BA2205" s="3" t="s">
        <v>22851</v>
      </c>
      <c r="BB2205" s="3" t="s">
        <v>22852</v>
      </c>
      <c r="BC2205" s="3" t="s">
        <v>78</v>
      </c>
      <c r="BD2205" s="3" t="s">
        <v>79</v>
      </c>
      <c r="BE2205" s="3" t="s">
        <v>22853</v>
      </c>
      <c r="BF2205" s="3" t="s">
        <v>22852</v>
      </c>
      <c r="BG2205" s="3" t="s">
        <v>22854</v>
      </c>
    </row>
    <row r="2206" spans="1:59" ht="58" x14ac:dyDescent="0.35">
      <c r="A2206" s="2" t="s">
        <v>59</v>
      </c>
      <c r="B2206" s="2" t="s">
        <v>94</v>
      </c>
      <c r="C2206" s="2" t="s">
        <v>22855</v>
      </c>
      <c r="D2206" s="2" t="s">
        <v>22856</v>
      </c>
      <c r="E2206" s="2" t="s">
        <v>22857</v>
      </c>
      <c r="G2206" s="3" t="s">
        <v>64</v>
      </c>
      <c r="I2206" s="3" t="s">
        <v>64</v>
      </c>
      <c r="J2206" s="3" t="s">
        <v>64</v>
      </c>
      <c r="K2206" s="3" t="s">
        <v>65</v>
      </c>
      <c r="L2206" s="2" t="s">
        <v>22858</v>
      </c>
      <c r="M2206" s="2" t="s">
        <v>22859</v>
      </c>
      <c r="N2206" s="3" t="s">
        <v>2116</v>
      </c>
      <c r="P2206" s="3" t="s">
        <v>69</v>
      </c>
      <c r="Q2206" s="2" t="s">
        <v>22860</v>
      </c>
      <c r="R2206" s="3" t="s">
        <v>20939</v>
      </c>
      <c r="S2206" s="4">
        <v>6</v>
      </c>
      <c r="T2206" s="4">
        <v>6</v>
      </c>
      <c r="U2206" s="5" t="s">
        <v>149</v>
      </c>
      <c r="V2206" s="5" t="s">
        <v>149</v>
      </c>
      <c r="W2206" s="5" t="s">
        <v>72</v>
      </c>
      <c r="X2206" s="5" t="s">
        <v>72</v>
      </c>
      <c r="Y2206" s="4">
        <v>577</v>
      </c>
      <c r="Z2206" s="4">
        <v>30</v>
      </c>
      <c r="AA2206" s="4">
        <v>32</v>
      </c>
      <c r="AB2206" s="4">
        <v>2</v>
      </c>
      <c r="AC2206" s="4">
        <v>4</v>
      </c>
      <c r="AD2206" s="4">
        <v>125</v>
      </c>
      <c r="AE2206" s="4">
        <v>127</v>
      </c>
      <c r="AF2206" s="4">
        <v>1</v>
      </c>
      <c r="AG2206" s="4">
        <v>3</v>
      </c>
      <c r="AH2206" s="4">
        <v>106</v>
      </c>
      <c r="AI2206" s="4">
        <v>107</v>
      </c>
      <c r="AJ2206" s="4">
        <v>17</v>
      </c>
      <c r="AK2206" s="4">
        <v>19</v>
      </c>
      <c r="AL2206" s="4">
        <v>59</v>
      </c>
      <c r="AM2206" s="4">
        <v>59</v>
      </c>
      <c r="AN2206" s="4">
        <v>0</v>
      </c>
      <c r="AO2206" s="4">
        <v>0</v>
      </c>
      <c r="AP2206" s="4">
        <v>25</v>
      </c>
      <c r="AQ2206" s="4">
        <v>26</v>
      </c>
      <c r="AR2206" s="3" t="s">
        <v>64</v>
      </c>
      <c r="AS2206" s="3" t="s">
        <v>64</v>
      </c>
      <c r="AT2206" s="3" t="s">
        <v>64</v>
      </c>
      <c r="AV2206" s="6" t="str">
        <f>HYPERLINK("http://mcgill.on.worldcat.org/oclc/2225012","Catalog Record")</f>
        <v>Catalog Record</v>
      </c>
      <c r="AW2206" s="6" t="str">
        <f>HYPERLINK("http://www.worldcat.org/oclc/2225012","WorldCat Record")</f>
        <v>WorldCat Record</v>
      </c>
      <c r="AX2206" s="3" t="s">
        <v>22861</v>
      </c>
      <c r="AY2206" s="3" t="s">
        <v>22862</v>
      </c>
      <c r="AZ2206" s="3" t="s">
        <v>22863</v>
      </c>
      <c r="BA2206" s="3" t="s">
        <v>22863</v>
      </c>
      <c r="BB2206" s="3" t="s">
        <v>22864</v>
      </c>
      <c r="BC2206" s="3" t="s">
        <v>78</v>
      </c>
      <c r="BD2206" s="3" t="s">
        <v>79</v>
      </c>
      <c r="BE2206" s="3" t="s">
        <v>22865</v>
      </c>
      <c r="BF2206" s="3" t="s">
        <v>22864</v>
      </c>
      <c r="BG2206" s="3" t="s">
        <v>22866</v>
      </c>
    </row>
    <row r="2207" spans="1:59" ht="72.5" x14ac:dyDescent="0.35">
      <c r="A2207" s="2" t="s">
        <v>59</v>
      </c>
      <c r="B2207" s="2" t="s">
        <v>94</v>
      </c>
      <c r="C2207" s="2" t="s">
        <v>22867</v>
      </c>
      <c r="D2207" s="2" t="s">
        <v>22868</v>
      </c>
      <c r="E2207" s="2" t="s">
        <v>22869</v>
      </c>
      <c r="G2207" s="3" t="s">
        <v>64</v>
      </c>
      <c r="I2207" s="3" t="s">
        <v>64</v>
      </c>
      <c r="J2207" s="3" t="s">
        <v>64</v>
      </c>
      <c r="K2207" s="3" t="s">
        <v>65</v>
      </c>
      <c r="L2207" s="2" t="s">
        <v>22870</v>
      </c>
      <c r="M2207" s="2" t="s">
        <v>17102</v>
      </c>
      <c r="N2207" s="3" t="s">
        <v>175</v>
      </c>
      <c r="P2207" s="3" t="s">
        <v>69</v>
      </c>
      <c r="R2207" s="3" t="s">
        <v>20939</v>
      </c>
      <c r="S2207" s="4">
        <v>0</v>
      </c>
      <c r="T2207" s="4">
        <v>0</v>
      </c>
      <c r="W2207" s="5" t="s">
        <v>72</v>
      </c>
      <c r="X2207" s="5" t="s">
        <v>72</v>
      </c>
      <c r="Y2207" s="4">
        <v>72</v>
      </c>
      <c r="Z2207" s="4">
        <v>5</v>
      </c>
      <c r="AA2207" s="4">
        <v>106</v>
      </c>
      <c r="AB2207" s="4">
        <v>1</v>
      </c>
      <c r="AC2207" s="4">
        <v>17</v>
      </c>
      <c r="AD2207" s="4">
        <v>45</v>
      </c>
      <c r="AE2207" s="4">
        <v>134</v>
      </c>
      <c r="AF2207" s="4">
        <v>0</v>
      </c>
      <c r="AG2207" s="4">
        <v>8</v>
      </c>
      <c r="AH2207" s="4">
        <v>44</v>
      </c>
      <c r="AI2207" s="4">
        <v>94</v>
      </c>
      <c r="AJ2207" s="4">
        <v>3</v>
      </c>
      <c r="AK2207" s="4">
        <v>22</v>
      </c>
      <c r="AL2207" s="4">
        <v>25</v>
      </c>
      <c r="AM2207" s="4">
        <v>51</v>
      </c>
      <c r="AN2207" s="4">
        <v>0</v>
      </c>
      <c r="AO2207" s="4">
        <v>0</v>
      </c>
      <c r="AP2207" s="4">
        <v>3</v>
      </c>
      <c r="AQ2207" s="4">
        <v>45</v>
      </c>
      <c r="AR2207" s="3" t="s">
        <v>64</v>
      </c>
      <c r="AS2207" s="3" t="s">
        <v>64</v>
      </c>
      <c r="AT2207" s="3" t="s">
        <v>64</v>
      </c>
      <c r="AV2207" s="6" t="str">
        <f>HYPERLINK("http://mcgill.on.worldcat.org/oclc/868648624","Catalog Record")</f>
        <v>Catalog Record</v>
      </c>
      <c r="AW2207" s="6" t="str">
        <f>HYPERLINK("http://www.worldcat.org/oclc/868648624","WorldCat Record")</f>
        <v>WorldCat Record</v>
      </c>
      <c r="AX2207" s="3" t="s">
        <v>22871</v>
      </c>
      <c r="AY2207" s="3" t="s">
        <v>22872</v>
      </c>
      <c r="AZ2207" s="3" t="s">
        <v>22873</v>
      </c>
      <c r="BA2207" s="3" t="s">
        <v>22873</v>
      </c>
      <c r="BB2207" s="3" t="s">
        <v>22874</v>
      </c>
      <c r="BC2207" s="3" t="s">
        <v>78</v>
      </c>
      <c r="BD2207" s="3" t="s">
        <v>79</v>
      </c>
      <c r="BE2207" s="3" t="s">
        <v>22875</v>
      </c>
      <c r="BF2207" s="3" t="s">
        <v>22874</v>
      </c>
      <c r="BG2207" s="3" t="s">
        <v>22876</v>
      </c>
    </row>
    <row r="2208" spans="1:59" ht="58" x14ac:dyDescent="0.35">
      <c r="A2208" s="2" t="s">
        <v>59</v>
      </c>
      <c r="B2208" s="2" t="s">
        <v>94</v>
      </c>
      <c r="C2208" s="2" t="s">
        <v>22877</v>
      </c>
      <c r="D2208" s="2" t="s">
        <v>22878</v>
      </c>
      <c r="E2208" s="2" t="s">
        <v>22879</v>
      </c>
      <c r="G2208" s="3" t="s">
        <v>64</v>
      </c>
      <c r="I2208" s="3" t="s">
        <v>64</v>
      </c>
      <c r="J2208" s="3" t="s">
        <v>64</v>
      </c>
      <c r="K2208" s="3" t="s">
        <v>65</v>
      </c>
      <c r="M2208" s="2" t="s">
        <v>6841</v>
      </c>
      <c r="N2208" s="3" t="s">
        <v>377</v>
      </c>
      <c r="P2208" s="3" t="s">
        <v>69</v>
      </c>
      <c r="Q2208" s="2" t="s">
        <v>5134</v>
      </c>
      <c r="R2208" s="3" t="s">
        <v>20939</v>
      </c>
      <c r="S2208" s="4">
        <v>0</v>
      </c>
      <c r="T2208" s="4">
        <v>0</v>
      </c>
      <c r="W2208" s="5" t="s">
        <v>72</v>
      </c>
      <c r="X2208" s="5" t="s">
        <v>72</v>
      </c>
      <c r="Y2208" s="4">
        <v>92</v>
      </c>
      <c r="Z2208" s="4">
        <v>6</v>
      </c>
      <c r="AA2208" s="4">
        <v>34</v>
      </c>
      <c r="AB2208" s="4">
        <v>1</v>
      </c>
      <c r="AC2208" s="4">
        <v>6</v>
      </c>
      <c r="AD2208" s="4">
        <v>49</v>
      </c>
      <c r="AE2208" s="4">
        <v>97</v>
      </c>
      <c r="AF2208" s="4">
        <v>0</v>
      </c>
      <c r="AG2208" s="4">
        <v>2</v>
      </c>
      <c r="AH2208" s="4">
        <v>48</v>
      </c>
      <c r="AI2208" s="4">
        <v>80</v>
      </c>
      <c r="AJ2208" s="4">
        <v>4</v>
      </c>
      <c r="AK2208" s="4">
        <v>14</v>
      </c>
      <c r="AL2208" s="4">
        <v>27</v>
      </c>
      <c r="AM2208" s="4">
        <v>43</v>
      </c>
      <c r="AN2208" s="4">
        <v>0</v>
      </c>
      <c r="AO2208" s="4">
        <v>0</v>
      </c>
      <c r="AP2208" s="4">
        <v>4</v>
      </c>
      <c r="AQ2208" s="4">
        <v>24</v>
      </c>
      <c r="AR2208" s="3" t="s">
        <v>64</v>
      </c>
      <c r="AS2208" s="3" t="s">
        <v>64</v>
      </c>
      <c r="AT2208" s="3" t="s">
        <v>64</v>
      </c>
      <c r="AV2208" s="6" t="str">
        <f>HYPERLINK("http://mcgill.on.worldcat.org/oclc/801681552","Catalog Record")</f>
        <v>Catalog Record</v>
      </c>
      <c r="AW2208" s="6" t="str">
        <f>HYPERLINK("http://www.worldcat.org/oclc/801681552","WorldCat Record")</f>
        <v>WorldCat Record</v>
      </c>
      <c r="AX2208" s="3" t="s">
        <v>22880</v>
      </c>
      <c r="AY2208" s="3" t="s">
        <v>22881</v>
      </c>
      <c r="AZ2208" s="3" t="s">
        <v>22882</v>
      </c>
      <c r="BA2208" s="3" t="s">
        <v>22882</v>
      </c>
      <c r="BB2208" s="3" t="s">
        <v>22883</v>
      </c>
      <c r="BC2208" s="3" t="s">
        <v>78</v>
      </c>
      <c r="BD2208" s="3" t="s">
        <v>79</v>
      </c>
      <c r="BE2208" s="3" t="s">
        <v>22884</v>
      </c>
      <c r="BF2208" s="3" t="s">
        <v>22883</v>
      </c>
      <c r="BG2208" s="3" t="s">
        <v>22885</v>
      </c>
    </row>
    <row r="2209" spans="1:59" ht="58" x14ac:dyDescent="0.35">
      <c r="A2209" s="2" t="s">
        <v>59</v>
      </c>
      <c r="B2209" s="2" t="s">
        <v>94</v>
      </c>
      <c r="C2209" s="2" t="s">
        <v>22886</v>
      </c>
      <c r="D2209" s="2" t="s">
        <v>22887</v>
      </c>
      <c r="E2209" s="2" t="s">
        <v>22888</v>
      </c>
      <c r="G2209" s="3" t="s">
        <v>64</v>
      </c>
      <c r="I2209" s="3" t="s">
        <v>64</v>
      </c>
      <c r="J2209" s="3" t="s">
        <v>64</v>
      </c>
      <c r="K2209" s="3" t="s">
        <v>65</v>
      </c>
      <c r="L2209" s="2" t="s">
        <v>22889</v>
      </c>
      <c r="M2209" s="2" t="s">
        <v>10394</v>
      </c>
      <c r="N2209" s="3" t="s">
        <v>861</v>
      </c>
      <c r="P2209" s="3" t="s">
        <v>69</v>
      </c>
      <c r="R2209" s="3" t="s">
        <v>20939</v>
      </c>
      <c r="S2209" s="4">
        <v>9</v>
      </c>
      <c r="T2209" s="4">
        <v>9</v>
      </c>
      <c r="U2209" s="5" t="s">
        <v>3744</v>
      </c>
      <c r="V2209" s="5" t="s">
        <v>3744</v>
      </c>
      <c r="W2209" s="5" t="s">
        <v>72</v>
      </c>
      <c r="X2209" s="5" t="s">
        <v>72</v>
      </c>
      <c r="Y2209" s="4">
        <v>97</v>
      </c>
      <c r="Z2209" s="4">
        <v>10</v>
      </c>
      <c r="AA2209" s="4">
        <v>17</v>
      </c>
      <c r="AB2209" s="4">
        <v>2</v>
      </c>
      <c r="AC2209" s="4">
        <v>6</v>
      </c>
      <c r="AD2209" s="4">
        <v>46</v>
      </c>
      <c r="AE2209" s="4">
        <v>49</v>
      </c>
      <c r="AF2209" s="4">
        <v>0</v>
      </c>
      <c r="AG2209" s="4">
        <v>1</v>
      </c>
      <c r="AH2209" s="4">
        <v>41</v>
      </c>
      <c r="AI2209" s="4">
        <v>44</v>
      </c>
      <c r="AJ2209" s="4">
        <v>6</v>
      </c>
      <c r="AK2209" s="4">
        <v>9</v>
      </c>
      <c r="AL2209" s="4">
        <v>23</v>
      </c>
      <c r="AM2209" s="4">
        <v>24</v>
      </c>
      <c r="AN2209" s="4">
        <v>0</v>
      </c>
      <c r="AO2209" s="4">
        <v>0</v>
      </c>
      <c r="AP2209" s="4">
        <v>7</v>
      </c>
      <c r="AQ2209" s="4">
        <v>10</v>
      </c>
      <c r="AR2209" s="3" t="s">
        <v>64</v>
      </c>
      <c r="AS2209" s="3" t="s">
        <v>64</v>
      </c>
      <c r="AT2209" s="3" t="s">
        <v>64</v>
      </c>
      <c r="AV2209" s="6" t="str">
        <f>HYPERLINK("http://mcgill.on.worldcat.org/oclc/53361568","Catalog Record")</f>
        <v>Catalog Record</v>
      </c>
      <c r="AW2209" s="6" t="str">
        <f>HYPERLINK("http://www.worldcat.org/oclc/53361568","WorldCat Record")</f>
        <v>WorldCat Record</v>
      </c>
      <c r="AX2209" s="3" t="s">
        <v>22890</v>
      </c>
      <c r="AY2209" s="3" t="s">
        <v>22891</v>
      </c>
      <c r="AZ2209" s="3" t="s">
        <v>22892</v>
      </c>
      <c r="BA2209" s="3" t="s">
        <v>22892</v>
      </c>
      <c r="BB2209" s="3" t="s">
        <v>22893</v>
      </c>
      <c r="BC2209" s="3" t="s">
        <v>78</v>
      </c>
      <c r="BD2209" s="3" t="s">
        <v>79</v>
      </c>
      <c r="BE2209" s="3" t="s">
        <v>22894</v>
      </c>
      <c r="BF2209" s="3" t="s">
        <v>22893</v>
      </c>
      <c r="BG2209" s="3" t="s">
        <v>22895</v>
      </c>
    </row>
    <row r="2210" spans="1:59" ht="58" x14ac:dyDescent="0.35">
      <c r="A2210" s="2" t="s">
        <v>59</v>
      </c>
      <c r="B2210" s="2" t="s">
        <v>94</v>
      </c>
      <c r="C2210" s="2" t="s">
        <v>22896</v>
      </c>
      <c r="D2210" s="2" t="s">
        <v>22897</v>
      </c>
      <c r="E2210" s="2" t="s">
        <v>22898</v>
      </c>
      <c r="G2210" s="3" t="s">
        <v>64</v>
      </c>
      <c r="I2210" s="3" t="s">
        <v>64</v>
      </c>
      <c r="J2210" s="3" t="s">
        <v>64</v>
      </c>
      <c r="K2210" s="3" t="s">
        <v>65</v>
      </c>
      <c r="L2210" s="2" t="s">
        <v>22899</v>
      </c>
      <c r="M2210" s="2" t="s">
        <v>5089</v>
      </c>
      <c r="N2210" s="3" t="s">
        <v>214</v>
      </c>
      <c r="P2210" s="3" t="s">
        <v>69</v>
      </c>
      <c r="Q2210" s="2" t="s">
        <v>7005</v>
      </c>
      <c r="R2210" s="3" t="s">
        <v>20939</v>
      </c>
      <c r="S2210" s="4">
        <v>0</v>
      </c>
      <c r="T2210" s="4">
        <v>0</v>
      </c>
      <c r="W2210" s="5" t="s">
        <v>72</v>
      </c>
      <c r="X2210" s="5" t="s">
        <v>72</v>
      </c>
      <c r="Y2210" s="4">
        <v>108</v>
      </c>
      <c r="Z2210" s="4">
        <v>6</v>
      </c>
      <c r="AA2210" s="4">
        <v>12</v>
      </c>
      <c r="AB2210" s="4">
        <v>1</v>
      </c>
      <c r="AC2210" s="4">
        <v>1</v>
      </c>
      <c r="AD2210" s="4">
        <v>56</v>
      </c>
      <c r="AE2210" s="4">
        <v>67</v>
      </c>
      <c r="AF2210" s="4">
        <v>0</v>
      </c>
      <c r="AG2210" s="4">
        <v>0</v>
      </c>
      <c r="AH2210" s="4">
        <v>54</v>
      </c>
      <c r="AI2210" s="4">
        <v>63</v>
      </c>
      <c r="AJ2210" s="4">
        <v>4</v>
      </c>
      <c r="AK2210" s="4">
        <v>9</v>
      </c>
      <c r="AL2210" s="4">
        <v>30</v>
      </c>
      <c r="AM2210" s="4">
        <v>33</v>
      </c>
      <c r="AN2210" s="4">
        <v>0</v>
      </c>
      <c r="AO2210" s="4">
        <v>0</v>
      </c>
      <c r="AP2210" s="4">
        <v>4</v>
      </c>
      <c r="AQ2210" s="4">
        <v>10</v>
      </c>
      <c r="AR2210" s="3" t="s">
        <v>64</v>
      </c>
      <c r="AS2210" s="3" t="s">
        <v>64</v>
      </c>
      <c r="AT2210" s="3" t="s">
        <v>64</v>
      </c>
      <c r="AV2210" s="6" t="str">
        <f>HYPERLINK("http://mcgill.on.worldcat.org/oclc/537652613","Catalog Record")</f>
        <v>Catalog Record</v>
      </c>
      <c r="AW2210" s="6" t="str">
        <f>HYPERLINK("http://www.worldcat.org/oclc/537652613","WorldCat Record")</f>
        <v>WorldCat Record</v>
      </c>
      <c r="AX2210" s="3" t="s">
        <v>22900</v>
      </c>
      <c r="AY2210" s="3" t="s">
        <v>22901</v>
      </c>
      <c r="AZ2210" s="3" t="s">
        <v>22902</v>
      </c>
      <c r="BA2210" s="3" t="s">
        <v>22902</v>
      </c>
      <c r="BB2210" s="3" t="s">
        <v>22903</v>
      </c>
      <c r="BC2210" s="3" t="s">
        <v>78</v>
      </c>
      <c r="BD2210" s="3" t="s">
        <v>79</v>
      </c>
      <c r="BE2210" s="3" t="s">
        <v>22904</v>
      </c>
      <c r="BF2210" s="3" t="s">
        <v>22903</v>
      </c>
      <c r="BG2210" s="3" t="s">
        <v>22905</v>
      </c>
    </row>
    <row r="2211" spans="1:59" ht="58" x14ac:dyDescent="0.35">
      <c r="A2211" s="2" t="s">
        <v>59</v>
      </c>
      <c r="B2211" s="2" t="s">
        <v>94</v>
      </c>
      <c r="C2211" s="2" t="s">
        <v>22906</v>
      </c>
      <c r="D2211" s="2" t="s">
        <v>22907</v>
      </c>
      <c r="E2211" s="2" t="s">
        <v>22908</v>
      </c>
      <c r="G2211" s="3" t="s">
        <v>64</v>
      </c>
      <c r="I2211" s="3" t="s">
        <v>64</v>
      </c>
      <c r="J2211" s="3" t="s">
        <v>64</v>
      </c>
      <c r="K2211" s="3" t="s">
        <v>65</v>
      </c>
      <c r="L2211" s="2" t="s">
        <v>22909</v>
      </c>
      <c r="M2211" s="2" t="s">
        <v>22910</v>
      </c>
      <c r="N2211" s="3" t="s">
        <v>365</v>
      </c>
      <c r="P2211" s="3" t="s">
        <v>69</v>
      </c>
      <c r="Q2211" s="2" t="s">
        <v>450</v>
      </c>
      <c r="R2211" s="3" t="s">
        <v>20939</v>
      </c>
      <c r="S2211" s="4">
        <v>16</v>
      </c>
      <c r="T2211" s="4">
        <v>16</v>
      </c>
      <c r="U2211" s="5" t="s">
        <v>22911</v>
      </c>
      <c r="V2211" s="5" t="s">
        <v>22911</v>
      </c>
      <c r="W2211" s="5" t="s">
        <v>72</v>
      </c>
      <c r="X2211" s="5" t="s">
        <v>72</v>
      </c>
      <c r="Y2211" s="4">
        <v>927</v>
      </c>
      <c r="Z2211" s="4">
        <v>37</v>
      </c>
      <c r="AA2211" s="4">
        <v>38</v>
      </c>
      <c r="AB2211" s="4">
        <v>2</v>
      </c>
      <c r="AC2211" s="4">
        <v>3</v>
      </c>
      <c r="AD2211" s="4">
        <v>119</v>
      </c>
      <c r="AE2211" s="4">
        <v>120</v>
      </c>
      <c r="AF2211" s="4">
        <v>1</v>
      </c>
      <c r="AG2211" s="4">
        <v>2</v>
      </c>
      <c r="AH2211" s="4">
        <v>99</v>
      </c>
      <c r="AI2211" s="4">
        <v>99</v>
      </c>
      <c r="AJ2211" s="4">
        <v>16</v>
      </c>
      <c r="AK2211" s="4">
        <v>17</v>
      </c>
      <c r="AL2211" s="4">
        <v>57</v>
      </c>
      <c r="AM2211" s="4">
        <v>57</v>
      </c>
      <c r="AN2211" s="4">
        <v>0</v>
      </c>
      <c r="AO2211" s="4">
        <v>0</v>
      </c>
      <c r="AP2211" s="4">
        <v>25</v>
      </c>
      <c r="AQ2211" s="4">
        <v>25</v>
      </c>
      <c r="AR2211" s="3" t="s">
        <v>64</v>
      </c>
      <c r="AS2211" s="3" t="s">
        <v>64</v>
      </c>
      <c r="AT2211" s="3" t="s">
        <v>73</v>
      </c>
      <c r="AU2211" s="6" t="str">
        <f>HYPERLINK("http://catalog.hathitrust.org/Record/000572977","HathiTrust Record")</f>
        <v>HathiTrust Record</v>
      </c>
      <c r="AV2211" s="6" t="str">
        <f>HYPERLINK("http://mcgill.on.worldcat.org/oclc/11756366","Catalog Record")</f>
        <v>Catalog Record</v>
      </c>
      <c r="AW2211" s="6" t="str">
        <f>HYPERLINK("http://www.worldcat.org/oclc/11756366","WorldCat Record")</f>
        <v>WorldCat Record</v>
      </c>
      <c r="AX2211" s="3" t="s">
        <v>22912</v>
      </c>
      <c r="AY2211" s="3" t="s">
        <v>22913</v>
      </c>
      <c r="AZ2211" s="3" t="s">
        <v>22914</v>
      </c>
      <c r="BA2211" s="3" t="s">
        <v>22914</v>
      </c>
      <c r="BB2211" s="3" t="s">
        <v>22915</v>
      </c>
      <c r="BC2211" s="3" t="s">
        <v>78</v>
      </c>
      <c r="BD2211" s="3" t="s">
        <v>79</v>
      </c>
      <c r="BE2211" s="3" t="s">
        <v>22916</v>
      </c>
      <c r="BF2211" s="3" t="s">
        <v>22915</v>
      </c>
      <c r="BG2211" s="3" t="s">
        <v>22917</v>
      </c>
    </row>
    <row r="2212" spans="1:59" ht="58" x14ac:dyDescent="0.35">
      <c r="A2212" s="2" t="s">
        <v>59</v>
      </c>
      <c r="B2212" s="2" t="s">
        <v>94</v>
      </c>
      <c r="C2212" s="2" t="s">
        <v>22918</v>
      </c>
      <c r="D2212" s="2" t="s">
        <v>22919</v>
      </c>
      <c r="E2212" s="2" t="s">
        <v>22920</v>
      </c>
      <c r="G2212" s="3" t="s">
        <v>64</v>
      </c>
      <c r="I2212" s="3" t="s">
        <v>64</v>
      </c>
      <c r="J2212" s="3" t="s">
        <v>64</v>
      </c>
      <c r="K2212" s="3" t="s">
        <v>65</v>
      </c>
      <c r="L2212" s="2" t="s">
        <v>22921</v>
      </c>
      <c r="M2212" s="2" t="s">
        <v>22922</v>
      </c>
      <c r="N2212" s="3" t="s">
        <v>1764</v>
      </c>
      <c r="O2212" s="2" t="s">
        <v>1294</v>
      </c>
      <c r="P2212" s="3" t="s">
        <v>69</v>
      </c>
      <c r="R2212" s="3" t="s">
        <v>20939</v>
      </c>
      <c r="S2212" s="4">
        <v>1</v>
      </c>
      <c r="T2212" s="4">
        <v>1</v>
      </c>
      <c r="U2212" s="5" t="s">
        <v>10835</v>
      </c>
      <c r="V2212" s="5" t="s">
        <v>10835</v>
      </c>
      <c r="W2212" s="5" t="s">
        <v>72</v>
      </c>
      <c r="X2212" s="5" t="s">
        <v>72</v>
      </c>
      <c r="Y2212" s="4">
        <v>646</v>
      </c>
      <c r="Z2212" s="4">
        <v>19</v>
      </c>
      <c r="AA2212" s="4">
        <v>21</v>
      </c>
      <c r="AB2212" s="4">
        <v>1</v>
      </c>
      <c r="AC2212" s="4">
        <v>1</v>
      </c>
      <c r="AD2212" s="4">
        <v>84</v>
      </c>
      <c r="AE2212" s="4">
        <v>86</v>
      </c>
      <c r="AF2212" s="4">
        <v>0</v>
      </c>
      <c r="AG2212" s="4">
        <v>0</v>
      </c>
      <c r="AH2212" s="4">
        <v>75</v>
      </c>
      <c r="AI2212" s="4">
        <v>75</v>
      </c>
      <c r="AJ2212" s="4">
        <v>10</v>
      </c>
      <c r="AK2212" s="4">
        <v>10</v>
      </c>
      <c r="AL2212" s="4">
        <v>42</v>
      </c>
      <c r="AM2212" s="4">
        <v>42</v>
      </c>
      <c r="AN2212" s="4">
        <v>0</v>
      </c>
      <c r="AO2212" s="4">
        <v>0</v>
      </c>
      <c r="AP2212" s="4">
        <v>12</v>
      </c>
      <c r="AQ2212" s="4">
        <v>14</v>
      </c>
      <c r="AR2212" s="3" t="s">
        <v>64</v>
      </c>
      <c r="AS2212" s="3" t="s">
        <v>64</v>
      </c>
      <c r="AT2212" s="3" t="s">
        <v>73</v>
      </c>
      <c r="AU2212" s="6" t="str">
        <f>HYPERLINK("http://catalog.hathitrust.org/Record/000149230","HathiTrust Record")</f>
        <v>HathiTrust Record</v>
      </c>
      <c r="AV2212" s="6" t="str">
        <f>HYPERLINK("http://mcgill.on.worldcat.org/oclc/8344740","Catalog Record")</f>
        <v>Catalog Record</v>
      </c>
      <c r="AW2212" s="6" t="str">
        <f>HYPERLINK("http://www.worldcat.org/oclc/8344740","WorldCat Record")</f>
        <v>WorldCat Record</v>
      </c>
      <c r="AX2212" s="3" t="s">
        <v>22923</v>
      </c>
      <c r="AY2212" s="3" t="s">
        <v>22924</v>
      </c>
      <c r="AZ2212" s="3" t="s">
        <v>22925</v>
      </c>
      <c r="BA2212" s="3" t="s">
        <v>22925</v>
      </c>
      <c r="BB2212" s="3" t="s">
        <v>22926</v>
      </c>
      <c r="BC2212" s="3" t="s">
        <v>78</v>
      </c>
      <c r="BD2212" s="3" t="s">
        <v>79</v>
      </c>
      <c r="BE2212" s="3" t="s">
        <v>22927</v>
      </c>
      <c r="BF2212" s="3" t="s">
        <v>22926</v>
      </c>
      <c r="BG2212" s="3" t="s">
        <v>22928</v>
      </c>
    </row>
    <row r="2213" spans="1:59" ht="58" x14ac:dyDescent="0.35">
      <c r="A2213" s="2" t="s">
        <v>59</v>
      </c>
      <c r="B2213" s="2" t="s">
        <v>94</v>
      </c>
      <c r="C2213" s="2" t="s">
        <v>22929</v>
      </c>
      <c r="D2213" s="2" t="s">
        <v>22930</v>
      </c>
      <c r="E2213" s="2" t="s">
        <v>22931</v>
      </c>
      <c r="G2213" s="3" t="s">
        <v>64</v>
      </c>
      <c r="I2213" s="3" t="s">
        <v>73</v>
      </c>
      <c r="J2213" s="3" t="s">
        <v>64</v>
      </c>
      <c r="K2213" s="3" t="s">
        <v>65</v>
      </c>
      <c r="L2213" s="2" t="s">
        <v>22932</v>
      </c>
      <c r="M2213" s="2" t="s">
        <v>17144</v>
      </c>
      <c r="N2213" s="3" t="s">
        <v>68</v>
      </c>
      <c r="P2213" s="3" t="s">
        <v>69</v>
      </c>
      <c r="Q2213" s="2" t="s">
        <v>22933</v>
      </c>
      <c r="R2213" s="3" t="s">
        <v>20939</v>
      </c>
      <c r="S2213" s="4">
        <v>3</v>
      </c>
      <c r="T2213" s="4">
        <v>4</v>
      </c>
      <c r="U2213" s="5" t="s">
        <v>22934</v>
      </c>
      <c r="V2213" s="5" t="s">
        <v>22935</v>
      </c>
      <c r="W2213" s="5" t="s">
        <v>72</v>
      </c>
      <c r="X2213" s="5" t="s">
        <v>72</v>
      </c>
      <c r="Y2213" s="4">
        <v>115</v>
      </c>
      <c r="Z2213" s="4">
        <v>10</v>
      </c>
      <c r="AA2213" s="4">
        <v>14</v>
      </c>
      <c r="AB2213" s="4">
        <v>2</v>
      </c>
      <c r="AC2213" s="4">
        <v>6</v>
      </c>
      <c r="AD2213" s="4">
        <v>45</v>
      </c>
      <c r="AE2213" s="4">
        <v>48</v>
      </c>
      <c r="AF2213" s="4">
        <v>0</v>
      </c>
      <c r="AG2213" s="4">
        <v>1</v>
      </c>
      <c r="AH2213" s="4">
        <v>41</v>
      </c>
      <c r="AI2213" s="4">
        <v>44</v>
      </c>
      <c r="AJ2213" s="4">
        <v>7</v>
      </c>
      <c r="AK2213" s="4">
        <v>8</v>
      </c>
      <c r="AL2213" s="4">
        <v>26</v>
      </c>
      <c r="AM2213" s="4">
        <v>27</v>
      </c>
      <c r="AN2213" s="4">
        <v>0</v>
      </c>
      <c r="AO2213" s="4">
        <v>0</v>
      </c>
      <c r="AP2213" s="4">
        <v>7</v>
      </c>
      <c r="AQ2213" s="4">
        <v>8</v>
      </c>
      <c r="AR2213" s="3" t="s">
        <v>64</v>
      </c>
      <c r="AS2213" s="3" t="s">
        <v>64</v>
      </c>
      <c r="AT2213" s="3" t="s">
        <v>64</v>
      </c>
      <c r="AV2213" s="6" t="str">
        <f>HYPERLINK("http://mcgill.on.worldcat.org/oclc/60454479","Catalog Record")</f>
        <v>Catalog Record</v>
      </c>
      <c r="AW2213" s="6" t="str">
        <f>HYPERLINK("http://www.worldcat.org/oclc/60454479","WorldCat Record")</f>
        <v>WorldCat Record</v>
      </c>
      <c r="AX2213" s="3" t="s">
        <v>22936</v>
      </c>
      <c r="AY2213" s="3" t="s">
        <v>22937</v>
      </c>
      <c r="AZ2213" s="3" t="s">
        <v>22938</v>
      </c>
      <c r="BA2213" s="3" t="s">
        <v>22938</v>
      </c>
      <c r="BB2213" s="3" t="s">
        <v>22939</v>
      </c>
      <c r="BC2213" s="3" t="s">
        <v>78</v>
      </c>
      <c r="BD2213" s="3" t="s">
        <v>79</v>
      </c>
      <c r="BE2213" s="3" t="s">
        <v>22940</v>
      </c>
      <c r="BF2213" s="3" t="s">
        <v>22939</v>
      </c>
      <c r="BG2213" s="3" t="s">
        <v>22941</v>
      </c>
    </row>
    <row r="2214" spans="1:59" ht="58" x14ac:dyDescent="0.35">
      <c r="A2214" s="2" t="s">
        <v>59</v>
      </c>
      <c r="B2214" s="2" t="s">
        <v>94</v>
      </c>
      <c r="C2214" s="2" t="s">
        <v>22942</v>
      </c>
      <c r="D2214" s="2" t="s">
        <v>22943</v>
      </c>
      <c r="E2214" s="2" t="s">
        <v>22944</v>
      </c>
      <c r="G2214" s="3" t="s">
        <v>64</v>
      </c>
      <c r="I2214" s="3" t="s">
        <v>64</v>
      </c>
      <c r="J2214" s="3" t="s">
        <v>64</v>
      </c>
      <c r="K2214" s="3" t="s">
        <v>65</v>
      </c>
      <c r="L2214" s="2" t="s">
        <v>22945</v>
      </c>
      <c r="M2214" s="2" t="s">
        <v>22946</v>
      </c>
      <c r="N2214" s="3" t="s">
        <v>328</v>
      </c>
      <c r="P2214" s="3" t="s">
        <v>69</v>
      </c>
      <c r="R2214" s="3" t="s">
        <v>22947</v>
      </c>
      <c r="S2214" s="4">
        <v>4</v>
      </c>
      <c r="T2214" s="4">
        <v>4</v>
      </c>
      <c r="U2214" s="5" t="s">
        <v>22948</v>
      </c>
      <c r="V2214" s="5" t="s">
        <v>22948</v>
      </c>
      <c r="W2214" s="5" t="s">
        <v>72</v>
      </c>
      <c r="X2214" s="5" t="s">
        <v>72</v>
      </c>
      <c r="Y2214" s="4">
        <v>89</v>
      </c>
      <c r="Z2214" s="4">
        <v>44</v>
      </c>
      <c r="AA2214" s="4">
        <v>118</v>
      </c>
      <c r="AB2214" s="4">
        <v>1</v>
      </c>
      <c r="AC2214" s="4">
        <v>19</v>
      </c>
      <c r="AD2214" s="4">
        <v>52</v>
      </c>
      <c r="AE2214" s="4">
        <v>121</v>
      </c>
      <c r="AF2214" s="4">
        <v>0</v>
      </c>
      <c r="AG2214" s="4">
        <v>8</v>
      </c>
      <c r="AH2214" s="4">
        <v>32</v>
      </c>
      <c r="AI2214" s="4">
        <v>77</v>
      </c>
      <c r="AJ2214" s="4">
        <v>24</v>
      </c>
      <c r="AK2214" s="4">
        <v>29</v>
      </c>
      <c r="AL2214" s="4">
        <v>17</v>
      </c>
      <c r="AM2214" s="4">
        <v>37</v>
      </c>
      <c r="AN2214" s="4">
        <v>0</v>
      </c>
      <c r="AO2214" s="4">
        <v>0</v>
      </c>
      <c r="AP2214" s="4">
        <v>29</v>
      </c>
      <c r="AQ2214" s="4">
        <v>53</v>
      </c>
      <c r="AR2214" s="3" t="s">
        <v>73</v>
      </c>
      <c r="AS2214" s="3" t="s">
        <v>64</v>
      </c>
      <c r="AT2214" s="3" t="s">
        <v>64</v>
      </c>
      <c r="AV2214" s="6" t="str">
        <f>HYPERLINK("http://mcgill.on.worldcat.org/oclc/701243936","Catalog Record")</f>
        <v>Catalog Record</v>
      </c>
      <c r="AW2214" s="6" t="str">
        <f>HYPERLINK("http://www.worldcat.org/oclc/701243936","WorldCat Record")</f>
        <v>WorldCat Record</v>
      </c>
      <c r="AX2214" s="3" t="s">
        <v>22949</v>
      </c>
      <c r="AY2214" s="3" t="s">
        <v>22950</v>
      </c>
      <c r="AZ2214" s="3" t="s">
        <v>22951</v>
      </c>
      <c r="BA2214" s="3" t="s">
        <v>22951</v>
      </c>
      <c r="BB2214" s="3" t="s">
        <v>22952</v>
      </c>
      <c r="BC2214" s="3" t="s">
        <v>78</v>
      </c>
      <c r="BD2214" s="3" t="s">
        <v>79</v>
      </c>
      <c r="BE2214" s="3" t="s">
        <v>22953</v>
      </c>
      <c r="BF2214" s="3" t="s">
        <v>22952</v>
      </c>
      <c r="BG2214" s="3" t="s">
        <v>22954</v>
      </c>
    </row>
    <row r="2215" spans="1:59" ht="87" x14ac:dyDescent="0.35">
      <c r="A2215" s="2" t="s">
        <v>59</v>
      </c>
      <c r="B2215" s="2" t="s">
        <v>94</v>
      </c>
      <c r="C2215" s="2" t="s">
        <v>22955</v>
      </c>
      <c r="D2215" s="2" t="s">
        <v>22956</v>
      </c>
      <c r="E2215" s="2" t="s">
        <v>22957</v>
      </c>
      <c r="G2215" s="3" t="s">
        <v>64</v>
      </c>
      <c r="I2215" s="3" t="s">
        <v>64</v>
      </c>
      <c r="J2215" s="3" t="s">
        <v>64</v>
      </c>
      <c r="K2215" s="3" t="s">
        <v>65</v>
      </c>
      <c r="M2215" s="2" t="s">
        <v>22958</v>
      </c>
      <c r="N2215" s="3" t="s">
        <v>68</v>
      </c>
      <c r="P2215" s="3" t="s">
        <v>69</v>
      </c>
      <c r="Q2215" s="2" t="s">
        <v>22959</v>
      </c>
      <c r="R2215" s="3" t="s">
        <v>22947</v>
      </c>
      <c r="S2215" s="4">
        <v>3</v>
      </c>
      <c r="T2215" s="4">
        <v>3</v>
      </c>
      <c r="U2215" s="5" t="s">
        <v>1472</v>
      </c>
      <c r="V2215" s="5" t="s">
        <v>1472</v>
      </c>
      <c r="W2215" s="5" t="s">
        <v>72</v>
      </c>
      <c r="X2215" s="5" t="s">
        <v>72</v>
      </c>
      <c r="Y2215" s="4">
        <v>19</v>
      </c>
      <c r="Z2215" s="4">
        <v>15</v>
      </c>
      <c r="AA2215" s="4">
        <v>15</v>
      </c>
      <c r="AB2215" s="4">
        <v>1</v>
      </c>
      <c r="AC2215" s="4">
        <v>1</v>
      </c>
      <c r="AD2215" s="4">
        <v>8</v>
      </c>
      <c r="AE2215" s="4">
        <v>8</v>
      </c>
      <c r="AF2215" s="4">
        <v>0</v>
      </c>
      <c r="AG2215" s="4">
        <v>0</v>
      </c>
      <c r="AH2215" s="4">
        <v>3</v>
      </c>
      <c r="AI2215" s="4">
        <v>3</v>
      </c>
      <c r="AJ2215" s="4">
        <v>5</v>
      </c>
      <c r="AK2215" s="4">
        <v>5</v>
      </c>
      <c r="AL2215" s="4">
        <v>1</v>
      </c>
      <c r="AM2215" s="4">
        <v>1</v>
      </c>
      <c r="AN2215" s="4">
        <v>0</v>
      </c>
      <c r="AO2215" s="4">
        <v>0</v>
      </c>
      <c r="AP2215" s="4">
        <v>6</v>
      </c>
      <c r="AQ2215" s="4">
        <v>6</v>
      </c>
      <c r="AR2215" s="3" t="s">
        <v>73</v>
      </c>
      <c r="AS2215" s="3" t="s">
        <v>64</v>
      </c>
      <c r="AT2215" s="3" t="s">
        <v>64</v>
      </c>
      <c r="AV2215" s="6" t="str">
        <f>HYPERLINK("http://mcgill.on.worldcat.org/oclc/64670567","Catalog Record")</f>
        <v>Catalog Record</v>
      </c>
      <c r="AW2215" s="6" t="str">
        <f>HYPERLINK("http://www.worldcat.org/oclc/64670567","WorldCat Record")</f>
        <v>WorldCat Record</v>
      </c>
      <c r="AX2215" s="3" t="s">
        <v>22960</v>
      </c>
      <c r="AY2215" s="3" t="s">
        <v>22961</v>
      </c>
      <c r="AZ2215" s="3" t="s">
        <v>22962</v>
      </c>
      <c r="BA2215" s="3" t="s">
        <v>22962</v>
      </c>
      <c r="BB2215" s="3" t="s">
        <v>22963</v>
      </c>
      <c r="BC2215" s="3" t="s">
        <v>78</v>
      </c>
      <c r="BD2215" s="3" t="s">
        <v>79</v>
      </c>
      <c r="BE2215" s="3" t="s">
        <v>22964</v>
      </c>
      <c r="BF2215" s="3" t="s">
        <v>22963</v>
      </c>
      <c r="BG2215" s="3" t="s">
        <v>22965</v>
      </c>
    </row>
    <row r="2216" spans="1:59" ht="58" x14ac:dyDescent="0.35">
      <c r="A2216" s="2" t="s">
        <v>59</v>
      </c>
      <c r="B2216" s="2" t="s">
        <v>94</v>
      </c>
      <c r="C2216" s="2" t="s">
        <v>22966</v>
      </c>
      <c r="D2216" s="2" t="s">
        <v>22967</v>
      </c>
      <c r="E2216" s="2" t="s">
        <v>22968</v>
      </c>
      <c r="G2216" s="3" t="s">
        <v>64</v>
      </c>
      <c r="I2216" s="3" t="s">
        <v>64</v>
      </c>
      <c r="J2216" s="3" t="s">
        <v>64</v>
      </c>
      <c r="K2216" s="3" t="s">
        <v>65</v>
      </c>
      <c r="L2216" s="2" t="s">
        <v>22969</v>
      </c>
      <c r="M2216" s="2" t="s">
        <v>22970</v>
      </c>
      <c r="N2216" s="3" t="s">
        <v>4535</v>
      </c>
      <c r="P2216" s="3" t="s">
        <v>69</v>
      </c>
      <c r="R2216" s="3" t="s">
        <v>22947</v>
      </c>
      <c r="S2216" s="4">
        <v>0</v>
      </c>
      <c r="T2216" s="4">
        <v>0</v>
      </c>
      <c r="W2216" s="5" t="s">
        <v>22971</v>
      </c>
      <c r="X2216" s="5" t="s">
        <v>22971</v>
      </c>
      <c r="Y2216" s="4">
        <v>25</v>
      </c>
      <c r="Z2216" s="4">
        <v>14</v>
      </c>
      <c r="AA2216" s="4">
        <v>38</v>
      </c>
      <c r="AB2216" s="4">
        <v>1</v>
      </c>
      <c r="AC2216" s="4">
        <v>8</v>
      </c>
      <c r="AD2216" s="4">
        <v>12</v>
      </c>
      <c r="AE2216" s="4">
        <v>26</v>
      </c>
      <c r="AF2216" s="4">
        <v>0</v>
      </c>
      <c r="AG2216" s="4">
        <v>4</v>
      </c>
      <c r="AH2216" s="4">
        <v>8</v>
      </c>
      <c r="AI2216" s="4">
        <v>13</v>
      </c>
      <c r="AJ2216" s="4">
        <v>4</v>
      </c>
      <c r="AK2216" s="4">
        <v>9</v>
      </c>
      <c r="AL2216" s="4">
        <v>5</v>
      </c>
      <c r="AM2216" s="4">
        <v>7</v>
      </c>
      <c r="AN2216" s="4">
        <v>0</v>
      </c>
      <c r="AO2216" s="4">
        <v>0</v>
      </c>
      <c r="AP2216" s="4">
        <v>4</v>
      </c>
      <c r="AQ2216" s="4">
        <v>14</v>
      </c>
      <c r="AR2216" s="3" t="s">
        <v>73</v>
      </c>
      <c r="AS2216" s="3" t="s">
        <v>64</v>
      </c>
      <c r="AT2216" s="3" t="s">
        <v>64</v>
      </c>
      <c r="AV2216" s="6" t="str">
        <f>HYPERLINK("http://mcgill.on.worldcat.org/oclc/1016021645","Catalog Record")</f>
        <v>Catalog Record</v>
      </c>
      <c r="AW2216" s="6" t="str">
        <f>HYPERLINK("http://www.worldcat.org/oclc/1016021645","WorldCat Record")</f>
        <v>WorldCat Record</v>
      </c>
      <c r="AX2216" s="3" t="s">
        <v>22972</v>
      </c>
      <c r="AY2216" s="3" t="s">
        <v>22973</v>
      </c>
      <c r="AZ2216" s="3" t="s">
        <v>22974</v>
      </c>
      <c r="BA2216" s="3" t="s">
        <v>22974</v>
      </c>
      <c r="BB2216" s="3" t="s">
        <v>22975</v>
      </c>
      <c r="BC2216" s="3" t="s">
        <v>78</v>
      </c>
      <c r="BD2216" s="3" t="s">
        <v>79</v>
      </c>
      <c r="BE2216" s="3" t="s">
        <v>22976</v>
      </c>
      <c r="BF2216" s="3" t="s">
        <v>22975</v>
      </c>
      <c r="BG2216" s="3" t="s">
        <v>22977</v>
      </c>
    </row>
    <row r="2217" spans="1:59" ht="58" x14ac:dyDescent="0.35">
      <c r="A2217" s="2" t="s">
        <v>59</v>
      </c>
      <c r="B2217" s="2" t="s">
        <v>94</v>
      </c>
      <c r="C2217" s="2" t="s">
        <v>22978</v>
      </c>
      <c r="D2217" s="2" t="s">
        <v>22979</v>
      </c>
      <c r="E2217" s="2" t="s">
        <v>22980</v>
      </c>
      <c r="G2217" s="3" t="s">
        <v>64</v>
      </c>
      <c r="I2217" s="3" t="s">
        <v>64</v>
      </c>
      <c r="J2217" s="3" t="s">
        <v>64</v>
      </c>
      <c r="K2217" s="3" t="s">
        <v>65</v>
      </c>
      <c r="L2217" s="2" t="s">
        <v>18561</v>
      </c>
      <c r="M2217" s="2" t="s">
        <v>2030</v>
      </c>
      <c r="N2217" s="3" t="s">
        <v>524</v>
      </c>
      <c r="P2217" s="3" t="s">
        <v>69</v>
      </c>
      <c r="R2217" s="3" t="s">
        <v>22947</v>
      </c>
      <c r="S2217" s="4">
        <v>0</v>
      </c>
      <c r="T2217" s="4">
        <v>0</v>
      </c>
      <c r="W2217" s="5" t="s">
        <v>72</v>
      </c>
      <c r="X2217" s="5" t="s">
        <v>72</v>
      </c>
      <c r="Y2217" s="4">
        <v>129</v>
      </c>
      <c r="Z2217" s="4">
        <v>8</v>
      </c>
      <c r="AA2217" s="4">
        <v>79</v>
      </c>
      <c r="AB2217" s="4">
        <v>1</v>
      </c>
      <c r="AC2217" s="4">
        <v>8</v>
      </c>
      <c r="AD2217" s="4">
        <v>51</v>
      </c>
      <c r="AE2217" s="4">
        <v>119</v>
      </c>
      <c r="AF2217" s="4">
        <v>0</v>
      </c>
      <c r="AG2217" s="4">
        <v>2</v>
      </c>
      <c r="AH2217" s="4">
        <v>50</v>
      </c>
      <c r="AI2217" s="4">
        <v>93</v>
      </c>
      <c r="AJ2217" s="4">
        <v>5</v>
      </c>
      <c r="AK2217" s="4">
        <v>16</v>
      </c>
      <c r="AL2217" s="4">
        <v>25</v>
      </c>
      <c r="AM2217" s="4">
        <v>51</v>
      </c>
      <c r="AN2217" s="4">
        <v>0</v>
      </c>
      <c r="AO2217" s="4">
        <v>0</v>
      </c>
      <c r="AP2217" s="4">
        <v>6</v>
      </c>
      <c r="AQ2217" s="4">
        <v>32</v>
      </c>
      <c r="AR2217" s="3" t="s">
        <v>64</v>
      </c>
      <c r="AS2217" s="3" t="s">
        <v>64</v>
      </c>
      <c r="AT2217" s="3" t="s">
        <v>64</v>
      </c>
      <c r="AV2217" s="6" t="str">
        <f>HYPERLINK("http://mcgill.on.worldcat.org/oclc/829999724","Catalog Record")</f>
        <v>Catalog Record</v>
      </c>
      <c r="AW2217" s="6" t="str">
        <f>HYPERLINK("http://www.worldcat.org/oclc/829999724","WorldCat Record")</f>
        <v>WorldCat Record</v>
      </c>
      <c r="AX2217" s="3" t="s">
        <v>22981</v>
      </c>
      <c r="AY2217" s="3" t="s">
        <v>22982</v>
      </c>
      <c r="AZ2217" s="3" t="s">
        <v>22983</v>
      </c>
      <c r="BA2217" s="3" t="s">
        <v>22983</v>
      </c>
      <c r="BB2217" s="3" t="s">
        <v>22984</v>
      </c>
      <c r="BC2217" s="3" t="s">
        <v>78</v>
      </c>
      <c r="BD2217" s="3" t="s">
        <v>79</v>
      </c>
      <c r="BE2217" s="3" t="s">
        <v>22985</v>
      </c>
      <c r="BF2217" s="3" t="s">
        <v>22984</v>
      </c>
      <c r="BG2217" s="3" t="s">
        <v>22986</v>
      </c>
    </row>
    <row r="2218" spans="1:59" ht="58" x14ac:dyDescent="0.35">
      <c r="A2218" s="2" t="s">
        <v>59</v>
      </c>
      <c r="B2218" s="2" t="s">
        <v>94</v>
      </c>
      <c r="C2218" s="2" t="s">
        <v>22987</v>
      </c>
      <c r="D2218" s="2" t="s">
        <v>22988</v>
      </c>
      <c r="E2218" s="2" t="s">
        <v>22989</v>
      </c>
      <c r="G2218" s="3" t="s">
        <v>64</v>
      </c>
      <c r="I2218" s="3" t="s">
        <v>64</v>
      </c>
      <c r="J2218" s="3" t="s">
        <v>64</v>
      </c>
      <c r="K2218" s="3" t="s">
        <v>65</v>
      </c>
      <c r="M2218" s="2" t="s">
        <v>22990</v>
      </c>
      <c r="N2218" s="3" t="s">
        <v>328</v>
      </c>
      <c r="P2218" s="3" t="s">
        <v>69</v>
      </c>
      <c r="Q2218" s="2" t="s">
        <v>5134</v>
      </c>
      <c r="R2218" s="3" t="s">
        <v>22947</v>
      </c>
      <c r="S2218" s="4">
        <v>0</v>
      </c>
      <c r="T2218" s="4">
        <v>0</v>
      </c>
      <c r="W2218" s="5" t="s">
        <v>4195</v>
      </c>
      <c r="X2218" s="5" t="s">
        <v>4195</v>
      </c>
      <c r="Y2218" s="4">
        <v>97</v>
      </c>
      <c r="Z2218" s="4">
        <v>3</v>
      </c>
      <c r="AA2218" s="4">
        <v>7</v>
      </c>
      <c r="AB2218" s="4">
        <v>1</v>
      </c>
      <c r="AC2218" s="4">
        <v>1</v>
      </c>
      <c r="AD2218" s="4">
        <v>49</v>
      </c>
      <c r="AE2218" s="4">
        <v>55</v>
      </c>
      <c r="AF2218" s="4">
        <v>0</v>
      </c>
      <c r="AG2218" s="4">
        <v>0</v>
      </c>
      <c r="AH2218" s="4">
        <v>47</v>
      </c>
      <c r="AI2218" s="4">
        <v>53</v>
      </c>
      <c r="AJ2218" s="4">
        <v>2</v>
      </c>
      <c r="AK2218" s="4">
        <v>5</v>
      </c>
      <c r="AL2218" s="4">
        <v>26</v>
      </c>
      <c r="AM2218" s="4">
        <v>28</v>
      </c>
      <c r="AN2218" s="4">
        <v>0</v>
      </c>
      <c r="AO2218" s="4">
        <v>0</v>
      </c>
      <c r="AP2218" s="4">
        <v>2</v>
      </c>
      <c r="AQ2218" s="4">
        <v>5</v>
      </c>
      <c r="AR2218" s="3" t="s">
        <v>64</v>
      </c>
      <c r="AS2218" s="3" t="s">
        <v>64</v>
      </c>
      <c r="AT2218" s="3" t="s">
        <v>64</v>
      </c>
      <c r="AV2218" s="6" t="str">
        <f>HYPERLINK("http://mcgill.on.worldcat.org/oclc/727357001","Catalog Record")</f>
        <v>Catalog Record</v>
      </c>
      <c r="AW2218" s="6" t="str">
        <f>HYPERLINK("http://www.worldcat.org/oclc/727357001","WorldCat Record")</f>
        <v>WorldCat Record</v>
      </c>
      <c r="AX2218" s="3" t="s">
        <v>22991</v>
      </c>
      <c r="AY2218" s="3" t="s">
        <v>22992</v>
      </c>
      <c r="AZ2218" s="3" t="s">
        <v>22993</v>
      </c>
      <c r="BA2218" s="3" t="s">
        <v>22993</v>
      </c>
      <c r="BB2218" s="3" t="s">
        <v>22994</v>
      </c>
      <c r="BC2218" s="3" t="s">
        <v>78</v>
      </c>
      <c r="BD2218" s="3" t="s">
        <v>79</v>
      </c>
      <c r="BE2218" s="3" t="s">
        <v>22995</v>
      </c>
      <c r="BF2218" s="3" t="s">
        <v>22994</v>
      </c>
      <c r="BG2218" s="3" t="s">
        <v>22996</v>
      </c>
    </row>
    <row r="2219" spans="1:59" ht="58" x14ac:dyDescent="0.35">
      <c r="A2219" s="2" t="s">
        <v>59</v>
      </c>
      <c r="B2219" s="2" t="s">
        <v>94</v>
      </c>
      <c r="C2219" s="2" t="s">
        <v>22997</v>
      </c>
      <c r="D2219" s="2" t="s">
        <v>22998</v>
      </c>
      <c r="E2219" s="2" t="s">
        <v>22999</v>
      </c>
      <c r="G2219" s="3" t="s">
        <v>64</v>
      </c>
      <c r="I2219" s="3" t="s">
        <v>64</v>
      </c>
      <c r="J2219" s="3" t="s">
        <v>64</v>
      </c>
      <c r="K2219" s="3" t="s">
        <v>65</v>
      </c>
      <c r="M2219" s="2" t="s">
        <v>5089</v>
      </c>
      <c r="N2219" s="3" t="s">
        <v>214</v>
      </c>
      <c r="P2219" s="3" t="s">
        <v>69</v>
      </c>
      <c r="Q2219" s="2" t="s">
        <v>23000</v>
      </c>
      <c r="R2219" s="3" t="s">
        <v>22947</v>
      </c>
      <c r="S2219" s="4">
        <v>0</v>
      </c>
      <c r="T2219" s="4">
        <v>0</v>
      </c>
      <c r="W2219" s="5" t="s">
        <v>72</v>
      </c>
      <c r="X2219" s="5" t="s">
        <v>72</v>
      </c>
      <c r="Y2219" s="4">
        <v>109</v>
      </c>
      <c r="Z2219" s="4">
        <v>8</v>
      </c>
      <c r="AA2219" s="4">
        <v>11</v>
      </c>
      <c r="AB2219" s="4">
        <v>1</v>
      </c>
      <c r="AC2219" s="4">
        <v>1</v>
      </c>
      <c r="AD2219" s="4">
        <v>60</v>
      </c>
      <c r="AE2219" s="4">
        <v>65</v>
      </c>
      <c r="AF2219" s="4">
        <v>0</v>
      </c>
      <c r="AG2219" s="4">
        <v>0</v>
      </c>
      <c r="AH2219" s="4">
        <v>57</v>
      </c>
      <c r="AI2219" s="4">
        <v>61</v>
      </c>
      <c r="AJ2219" s="4">
        <v>5</v>
      </c>
      <c r="AK2219" s="4">
        <v>8</v>
      </c>
      <c r="AL2219" s="4">
        <v>30</v>
      </c>
      <c r="AM2219" s="4">
        <v>30</v>
      </c>
      <c r="AN2219" s="4">
        <v>5</v>
      </c>
      <c r="AO2219" s="4">
        <v>5</v>
      </c>
      <c r="AP2219" s="4">
        <v>6</v>
      </c>
      <c r="AQ2219" s="4">
        <v>9</v>
      </c>
      <c r="AR2219" s="3" t="s">
        <v>64</v>
      </c>
      <c r="AS2219" s="3" t="s">
        <v>64</v>
      </c>
      <c r="AT2219" s="3" t="s">
        <v>73</v>
      </c>
      <c r="AU2219" s="6" t="str">
        <f>HYPERLINK("http://catalog.hathitrust.org/Record/008520027","HathiTrust Record")</f>
        <v>HathiTrust Record</v>
      </c>
      <c r="AV2219" s="6" t="str">
        <f>HYPERLINK("http://mcgill.on.worldcat.org/oclc/642351715","Catalog Record")</f>
        <v>Catalog Record</v>
      </c>
      <c r="AW2219" s="6" t="str">
        <f>HYPERLINK("http://www.worldcat.org/oclc/642351715","WorldCat Record")</f>
        <v>WorldCat Record</v>
      </c>
      <c r="AX2219" s="3" t="s">
        <v>23001</v>
      </c>
      <c r="AY2219" s="3" t="s">
        <v>23002</v>
      </c>
      <c r="AZ2219" s="3" t="s">
        <v>23003</v>
      </c>
      <c r="BA2219" s="3" t="s">
        <v>23003</v>
      </c>
      <c r="BB2219" s="3" t="s">
        <v>23004</v>
      </c>
      <c r="BC2219" s="3" t="s">
        <v>78</v>
      </c>
      <c r="BD2219" s="3" t="s">
        <v>79</v>
      </c>
      <c r="BE2219" s="3" t="s">
        <v>23005</v>
      </c>
      <c r="BF2219" s="3" t="s">
        <v>23004</v>
      </c>
      <c r="BG2219" s="3" t="s">
        <v>23006</v>
      </c>
    </row>
    <row r="2220" spans="1:59" ht="72.5" x14ac:dyDescent="0.35">
      <c r="A2220" s="2" t="s">
        <v>59</v>
      </c>
      <c r="B2220" s="2" t="s">
        <v>94</v>
      </c>
      <c r="C2220" s="2" t="s">
        <v>23007</v>
      </c>
      <c r="D2220" s="2" t="s">
        <v>23008</v>
      </c>
      <c r="E2220" s="2" t="s">
        <v>23009</v>
      </c>
      <c r="G2220" s="3" t="s">
        <v>64</v>
      </c>
      <c r="I2220" s="3" t="s">
        <v>64</v>
      </c>
      <c r="J2220" s="3" t="s">
        <v>64</v>
      </c>
      <c r="K2220" s="3" t="s">
        <v>65</v>
      </c>
      <c r="L2220" s="2" t="s">
        <v>23010</v>
      </c>
      <c r="M2220" s="2" t="s">
        <v>23011</v>
      </c>
      <c r="N2220" s="3" t="s">
        <v>377</v>
      </c>
      <c r="P2220" s="3" t="s">
        <v>69</v>
      </c>
      <c r="Q2220" s="2" t="s">
        <v>5134</v>
      </c>
      <c r="R2220" s="3" t="s">
        <v>22947</v>
      </c>
      <c r="S2220" s="4">
        <v>0</v>
      </c>
      <c r="T2220" s="4">
        <v>0</v>
      </c>
      <c r="W2220" s="5" t="s">
        <v>72</v>
      </c>
      <c r="X2220" s="5" t="s">
        <v>72</v>
      </c>
      <c r="Y2220" s="4">
        <v>112</v>
      </c>
      <c r="Z2220" s="4">
        <v>8</v>
      </c>
      <c r="AA2220" s="4">
        <v>35</v>
      </c>
      <c r="AB2220" s="4">
        <v>1</v>
      </c>
      <c r="AC2220" s="4">
        <v>6</v>
      </c>
      <c r="AD2220" s="4">
        <v>54</v>
      </c>
      <c r="AE2220" s="4">
        <v>100</v>
      </c>
      <c r="AF2220" s="4">
        <v>0</v>
      </c>
      <c r="AG2220" s="4">
        <v>2</v>
      </c>
      <c r="AH2220" s="4">
        <v>53</v>
      </c>
      <c r="AI2220" s="4">
        <v>83</v>
      </c>
      <c r="AJ2220" s="4">
        <v>6</v>
      </c>
      <c r="AK2220" s="4">
        <v>15</v>
      </c>
      <c r="AL2220" s="4">
        <v>29</v>
      </c>
      <c r="AM2220" s="4">
        <v>45</v>
      </c>
      <c r="AN2220" s="4">
        <v>0</v>
      </c>
      <c r="AO2220" s="4">
        <v>0</v>
      </c>
      <c r="AP2220" s="4">
        <v>6</v>
      </c>
      <c r="AQ2220" s="4">
        <v>25</v>
      </c>
      <c r="AR2220" s="3" t="s">
        <v>64</v>
      </c>
      <c r="AS2220" s="3" t="s">
        <v>64</v>
      </c>
      <c r="AT2220" s="3" t="s">
        <v>64</v>
      </c>
      <c r="AV2220" s="6" t="str">
        <f>HYPERLINK("http://mcgill.on.worldcat.org/oclc/805560458","Catalog Record")</f>
        <v>Catalog Record</v>
      </c>
      <c r="AW2220" s="6" t="str">
        <f>HYPERLINK("http://www.worldcat.org/oclc/805560458","WorldCat Record")</f>
        <v>WorldCat Record</v>
      </c>
      <c r="AX2220" s="3" t="s">
        <v>23012</v>
      </c>
      <c r="AY2220" s="3" t="s">
        <v>23013</v>
      </c>
      <c r="AZ2220" s="3" t="s">
        <v>23014</v>
      </c>
      <c r="BA2220" s="3" t="s">
        <v>23014</v>
      </c>
      <c r="BB2220" s="3" t="s">
        <v>23015</v>
      </c>
      <c r="BC2220" s="3" t="s">
        <v>78</v>
      </c>
      <c r="BD2220" s="3" t="s">
        <v>79</v>
      </c>
      <c r="BE2220" s="3" t="s">
        <v>23016</v>
      </c>
      <c r="BF2220" s="3" t="s">
        <v>23015</v>
      </c>
      <c r="BG2220" s="3" t="s">
        <v>23017</v>
      </c>
    </row>
    <row r="2221" spans="1:59" ht="101.5" x14ac:dyDescent="0.35">
      <c r="A2221" s="2" t="s">
        <v>59</v>
      </c>
      <c r="B2221" s="2" t="s">
        <v>94</v>
      </c>
      <c r="C2221" s="2" t="s">
        <v>23018</v>
      </c>
      <c r="D2221" s="2" t="s">
        <v>23019</v>
      </c>
      <c r="E2221" s="2" t="s">
        <v>23020</v>
      </c>
      <c r="G2221" s="3" t="s">
        <v>64</v>
      </c>
      <c r="I2221" s="3" t="s">
        <v>64</v>
      </c>
      <c r="J2221" s="3" t="s">
        <v>64</v>
      </c>
      <c r="K2221" s="3" t="s">
        <v>65</v>
      </c>
      <c r="L2221" s="2" t="s">
        <v>23021</v>
      </c>
      <c r="M2221" s="2" t="s">
        <v>10496</v>
      </c>
      <c r="N2221" s="3" t="s">
        <v>524</v>
      </c>
      <c r="P2221" s="3" t="s">
        <v>69</v>
      </c>
      <c r="Q2221" s="2" t="s">
        <v>23022</v>
      </c>
      <c r="R2221" s="3" t="s">
        <v>22947</v>
      </c>
      <c r="S2221" s="4">
        <v>0</v>
      </c>
      <c r="T2221" s="4">
        <v>0</v>
      </c>
      <c r="W2221" s="5" t="s">
        <v>72</v>
      </c>
      <c r="X2221" s="5" t="s">
        <v>72</v>
      </c>
      <c r="Y2221" s="4">
        <v>68</v>
      </c>
      <c r="Z2221" s="4">
        <v>4</v>
      </c>
      <c r="AA2221" s="4">
        <v>32</v>
      </c>
      <c r="AB2221" s="4">
        <v>1</v>
      </c>
      <c r="AC2221" s="4">
        <v>6</v>
      </c>
      <c r="AD2221" s="4">
        <v>43</v>
      </c>
      <c r="AE2221" s="4">
        <v>93</v>
      </c>
      <c r="AF2221" s="4">
        <v>0</v>
      </c>
      <c r="AG2221" s="4">
        <v>2</v>
      </c>
      <c r="AH2221" s="4">
        <v>42</v>
      </c>
      <c r="AI2221" s="4">
        <v>76</v>
      </c>
      <c r="AJ2221" s="4">
        <v>3</v>
      </c>
      <c r="AK2221" s="4">
        <v>13</v>
      </c>
      <c r="AL2221" s="4">
        <v>22</v>
      </c>
      <c r="AM2221" s="4">
        <v>40</v>
      </c>
      <c r="AN2221" s="4">
        <v>0</v>
      </c>
      <c r="AO2221" s="4">
        <v>0</v>
      </c>
      <c r="AP2221" s="4">
        <v>3</v>
      </c>
      <c r="AQ2221" s="4">
        <v>23</v>
      </c>
      <c r="AR2221" s="3" t="s">
        <v>64</v>
      </c>
      <c r="AS2221" s="3" t="s">
        <v>64</v>
      </c>
      <c r="AT2221" s="3" t="s">
        <v>64</v>
      </c>
      <c r="AV2221" s="6" t="str">
        <f>HYPERLINK("http://mcgill.on.worldcat.org/oclc/830646599","Catalog Record")</f>
        <v>Catalog Record</v>
      </c>
      <c r="AW2221" s="6" t="str">
        <f>HYPERLINK("http://www.worldcat.org/oclc/830646599","WorldCat Record")</f>
        <v>WorldCat Record</v>
      </c>
      <c r="AX2221" s="3" t="s">
        <v>23023</v>
      </c>
      <c r="AY2221" s="3" t="s">
        <v>23024</v>
      </c>
      <c r="AZ2221" s="3" t="s">
        <v>23025</v>
      </c>
      <c r="BA2221" s="3" t="s">
        <v>23025</v>
      </c>
      <c r="BB2221" s="3" t="s">
        <v>23026</v>
      </c>
      <c r="BC2221" s="3" t="s">
        <v>78</v>
      </c>
      <c r="BD2221" s="3" t="s">
        <v>79</v>
      </c>
      <c r="BE2221" s="3" t="s">
        <v>23027</v>
      </c>
      <c r="BF2221" s="3" t="s">
        <v>23026</v>
      </c>
      <c r="BG2221" s="3" t="s">
        <v>23028</v>
      </c>
    </row>
    <row r="2222" spans="1:59" ht="58" x14ac:dyDescent="0.35">
      <c r="A2222" s="2" t="s">
        <v>59</v>
      </c>
      <c r="B2222" s="2" t="s">
        <v>94</v>
      </c>
      <c r="C2222" s="2" t="s">
        <v>23029</v>
      </c>
      <c r="D2222" s="2" t="s">
        <v>23030</v>
      </c>
      <c r="E2222" s="2" t="s">
        <v>23031</v>
      </c>
      <c r="G2222" s="3" t="s">
        <v>64</v>
      </c>
      <c r="I2222" s="3" t="s">
        <v>64</v>
      </c>
      <c r="J2222" s="3" t="s">
        <v>64</v>
      </c>
      <c r="K2222" s="3" t="s">
        <v>65</v>
      </c>
      <c r="L2222" s="2" t="s">
        <v>23032</v>
      </c>
      <c r="M2222" s="2" t="s">
        <v>23033</v>
      </c>
      <c r="N2222" s="3" t="s">
        <v>8944</v>
      </c>
      <c r="P2222" s="3" t="s">
        <v>23034</v>
      </c>
      <c r="R2222" s="3" t="s">
        <v>22947</v>
      </c>
      <c r="S2222" s="4">
        <v>3</v>
      </c>
      <c r="T2222" s="4">
        <v>3</v>
      </c>
      <c r="U2222" s="5" t="s">
        <v>23035</v>
      </c>
      <c r="V2222" s="5" t="s">
        <v>23035</v>
      </c>
      <c r="W2222" s="5" t="s">
        <v>72</v>
      </c>
      <c r="X2222" s="5" t="s">
        <v>72</v>
      </c>
      <c r="Y2222" s="4">
        <v>5</v>
      </c>
      <c r="Z2222" s="4">
        <v>1</v>
      </c>
      <c r="AA2222" s="4">
        <v>1</v>
      </c>
      <c r="AB2222" s="4">
        <v>1</v>
      </c>
      <c r="AC2222" s="4">
        <v>1</v>
      </c>
      <c r="AD2222" s="4">
        <v>3</v>
      </c>
      <c r="AE2222" s="4">
        <v>3</v>
      </c>
      <c r="AF2222" s="4">
        <v>0</v>
      </c>
      <c r="AG2222" s="4">
        <v>0</v>
      </c>
      <c r="AH2222" s="4">
        <v>3</v>
      </c>
      <c r="AI2222" s="4">
        <v>3</v>
      </c>
      <c r="AJ2222" s="4">
        <v>0</v>
      </c>
      <c r="AK2222" s="4">
        <v>0</v>
      </c>
      <c r="AL2222" s="4">
        <v>3</v>
      </c>
      <c r="AM2222" s="4">
        <v>3</v>
      </c>
      <c r="AN2222" s="4">
        <v>0</v>
      </c>
      <c r="AO2222" s="4">
        <v>0</v>
      </c>
      <c r="AP2222" s="4">
        <v>0</v>
      </c>
      <c r="AQ2222" s="4">
        <v>0</v>
      </c>
      <c r="AR2222" s="3" t="s">
        <v>64</v>
      </c>
      <c r="AS2222" s="3" t="s">
        <v>64</v>
      </c>
      <c r="AT2222" s="3" t="s">
        <v>64</v>
      </c>
      <c r="AV2222" s="6" t="str">
        <f>HYPERLINK("http://mcgill.on.worldcat.org/oclc/42784774","Catalog Record")</f>
        <v>Catalog Record</v>
      </c>
      <c r="AW2222" s="6" t="str">
        <f>HYPERLINK("http://www.worldcat.org/oclc/42784774","WorldCat Record")</f>
        <v>WorldCat Record</v>
      </c>
      <c r="AX2222" s="3" t="s">
        <v>23036</v>
      </c>
      <c r="AY2222" s="3" t="s">
        <v>23037</v>
      </c>
      <c r="AZ2222" s="3" t="s">
        <v>23038</v>
      </c>
      <c r="BA2222" s="3" t="s">
        <v>23038</v>
      </c>
      <c r="BB2222" s="3" t="s">
        <v>23039</v>
      </c>
      <c r="BC2222" s="3" t="s">
        <v>78</v>
      </c>
      <c r="BD2222" s="3" t="s">
        <v>79</v>
      </c>
      <c r="BF2222" s="3" t="s">
        <v>23039</v>
      </c>
      <c r="BG2222" s="3" t="s">
        <v>23040</v>
      </c>
    </row>
    <row r="2223" spans="1:59" ht="58" x14ac:dyDescent="0.35">
      <c r="A2223" s="2" t="s">
        <v>59</v>
      </c>
      <c r="B2223" s="2" t="s">
        <v>94</v>
      </c>
      <c r="C2223" s="2" t="s">
        <v>23041</v>
      </c>
      <c r="D2223" s="2" t="s">
        <v>23042</v>
      </c>
      <c r="E2223" s="2" t="s">
        <v>23043</v>
      </c>
      <c r="G2223" s="3" t="s">
        <v>64</v>
      </c>
      <c r="I2223" s="3" t="s">
        <v>73</v>
      </c>
      <c r="J2223" s="3" t="s">
        <v>64</v>
      </c>
      <c r="K2223" s="3" t="s">
        <v>65</v>
      </c>
      <c r="L2223" s="2" t="s">
        <v>23044</v>
      </c>
      <c r="M2223" s="2" t="s">
        <v>23045</v>
      </c>
      <c r="N2223" s="3" t="s">
        <v>1247</v>
      </c>
      <c r="P2223" s="3" t="s">
        <v>69</v>
      </c>
      <c r="R2223" s="3" t="s">
        <v>22947</v>
      </c>
      <c r="S2223" s="4">
        <v>3</v>
      </c>
      <c r="T2223" s="4">
        <v>5</v>
      </c>
      <c r="U2223" s="5" t="s">
        <v>8207</v>
      </c>
      <c r="V2223" s="5" t="s">
        <v>8207</v>
      </c>
      <c r="W2223" s="5" t="s">
        <v>72</v>
      </c>
      <c r="X2223" s="5" t="s">
        <v>72</v>
      </c>
      <c r="Y2223" s="4">
        <v>218</v>
      </c>
      <c r="Z2223" s="4">
        <v>19</v>
      </c>
      <c r="AA2223" s="4">
        <v>19</v>
      </c>
      <c r="AB2223" s="4">
        <v>1</v>
      </c>
      <c r="AC2223" s="4">
        <v>1</v>
      </c>
      <c r="AD2223" s="4">
        <v>71</v>
      </c>
      <c r="AE2223" s="4">
        <v>72</v>
      </c>
      <c r="AF2223" s="4">
        <v>0</v>
      </c>
      <c r="AG2223" s="4">
        <v>0</v>
      </c>
      <c r="AH2223" s="4">
        <v>62</v>
      </c>
      <c r="AI2223" s="4">
        <v>63</v>
      </c>
      <c r="AJ2223" s="4">
        <v>14</v>
      </c>
      <c r="AK2223" s="4">
        <v>14</v>
      </c>
      <c r="AL2223" s="4">
        <v>38</v>
      </c>
      <c r="AM2223" s="4">
        <v>39</v>
      </c>
      <c r="AN2223" s="4">
        <v>0</v>
      </c>
      <c r="AO2223" s="4">
        <v>0</v>
      </c>
      <c r="AP2223" s="4">
        <v>14</v>
      </c>
      <c r="AQ2223" s="4">
        <v>14</v>
      </c>
      <c r="AR2223" s="3" t="s">
        <v>64</v>
      </c>
      <c r="AS2223" s="3" t="s">
        <v>64</v>
      </c>
      <c r="AT2223" s="3" t="s">
        <v>64</v>
      </c>
      <c r="AV2223" s="6" t="str">
        <f>HYPERLINK("http://mcgill.on.worldcat.org/oclc/1032436","Catalog Record")</f>
        <v>Catalog Record</v>
      </c>
      <c r="AW2223" s="6" t="str">
        <f>HYPERLINK("http://www.worldcat.org/oclc/1032436","WorldCat Record")</f>
        <v>WorldCat Record</v>
      </c>
      <c r="AX2223" s="3" t="s">
        <v>23046</v>
      </c>
      <c r="AY2223" s="3" t="s">
        <v>23047</v>
      </c>
      <c r="AZ2223" s="3" t="s">
        <v>23048</v>
      </c>
      <c r="BA2223" s="3" t="s">
        <v>23048</v>
      </c>
      <c r="BB2223" s="3" t="s">
        <v>23049</v>
      </c>
      <c r="BC2223" s="3" t="s">
        <v>78</v>
      </c>
      <c r="BD2223" s="3" t="s">
        <v>79</v>
      </c>
      <c r="BE2223" s="3" t="s">
        <v>23050</v>
      </c>
      <c r="BF2223" s="3" t="s">
        <v>23049</v>
      </c>
      <c r="BG2223" s="3" t="s">
        <v>23051</v>
      </c>
    </row>
    <row r="2224" spans="1:59" ht="72.5" x14ac:dyDescent="0.35">
      <c r="A2224" s="2" t="s">
        <v>59</v>
      </c>
      <c r="B2224" s="2" t="s">
        <v>94</v>
      </c>
      <c r="C2224" s="2" t="s">
        <v>23052</v>
      </c>
      <c r="D2224" s="2" t="s">
        <v>23053</v>
      </c>
      <c r="E2224" s="2" t="s">
        <v>23054</v>
      </c>
      <c r="G2224" s="3" t="s">
        <v>64</v>
      </c>
      <c r="I2224" s="3" t="s">
        <v>64</v>
      </c>
      <c r="J2224" s="3" t="s">
        <v>73</v>
      </c>
      <c r="K2224" s="3" t="s">
        <v>65</v>
      </c>
      <c r="L2224" s="2" t="s">
        <v>23055</v>
      </c>
      <c r="M2224" s="2" t="s">
        <v>23056</v>
      </c>
      <c r="N2224" s="3" t="s">
        <v>214</v>
      </c>
      <c r="P2224" s="3" t="s">
        <v>69</v>
      </c>
      <c r="Q2224" s="2" t="s">
        <v>23057</v>
      </c>
      <c r="R2224" s="3" t="s">
        <v>22947</v>
      </c>
      <c r="S2224" s="4">
        <v>0</v>
      </c>
      <c r="T2224" s="4">
        <v>0</v>
      </c>
      <c r="W2224" s="5" t="s">
        <v>72</v>
      </c>
      <c r="X2224" s="5" t="s">
        <v>72</v>
      </c>
      <c r="Y2224" s="4">
        <v>6</v>
      </c>
      <c r="Z2224" s="4">
        <v>2</v>
      </c>
      <c r="AA2224" s="4">
        <v>135</v>
      </c>
      <c r="AB2224" s="4">
        <v>1</v>
      </c>
      <c r="AC2224" s="4">
        <v>25</v>
      </c>
      <c r="AD2224" s="4">
        <v>1</v>
      </c>
      <c r="AE2224" s="4">
        <v>118</v>
      </c>
      <c r="AF2224" s="4">
        <v>0</v>
      </c>
      <c r="AG2224" s="4">
        <v>9</v>
      </c>
      <c r="AH2224" s="4">
        <v>1</v>
      </c>
      <c r="AI2224" s="4">
        <v>68</v>
      </c>
      <c r="AJ2224" s="4">
        <v>0</v>
      </c>
      <c r="AK2224" s="4">
        <v>30</v>
      </c>
      <c r="AL2224" s="4">
        <v>0</v>
      </c>
      <c r="AM2224" s="4">
        <v>33</v>
      </c>
      <c r="AN2224" s="4">
        <v>0</v>
      </c>
      <c r="AO2224" s="4">
        <v>0</v>
      </c>
      <c r="AP2224" s="4">
        <v>1</v>
      </c>
      <c r="AQ2224" s="4">
        <v>58</v>
      </c>
      <c r="AR2224" s="3" t="s">
        <v>73</v>
      </c>
      <c r="AS2224" s="3" t="s">
        <v>64</v>
      </c>
      <c r="AT2224" s="3" t="s">
        <v>64</v>
      </c>
      <c r="AV2224" s="6" t="str">
        <f>HYPERLINK("http://mcgill.on.worldcat.org/oclc/642824462","Catalog Record")</f>
        <v>Catalog Record</v>
      </c>
      <c r="AW2224" s="6" t="str">
        <f>HYPERLINK("http://www.worldcat.org/oclc/642824462","WorldCat Record")</f>
        <v>WorldCat Record</v>
      </c>
      <c r="AX2224" s="3" t="s">
        <v>23058</v>
      </c>
      <c r="AY2224" s="3" t="s">
        <v>23059</v>
      </c>
      <c r="AZ2224" s="3" t="s">
        <v>23060</v>
      </c>
      <c r="BA2224" s="3" t="s">
        <v>23060</v>
      </c>
      <c r="BB2224" s="3" t="s">
        <v>23061</v>
      </c>
      <c r="BC2224" s="3" t="s">
        <v>78</v>
      </c>
      <c r="BD2224" s="3" t="s">
        <v>79</v>
      </c>
      <c r="BE2224" s="3" t="s">
        <v>23062</v>
      </c>
      <c r="BF2224" s="3" t="s">
        <v>23061</v>
      </c>
      <c r="BG2224" s="3" t="s">
        <v>23063</v>
      </c>
    </row>
    <row r="2225" spans="1:59" ht="58" x14ac:dyDescent="0.35">
      <c r="A2225" s="2" t="s">
        <v>59</v>
      </c>
      <c r="B2225" s="2" t="s">
        <v>94</v>
      </c>
      <c r="C2225" s="2" t="s">
        <v>23064</v>
      </c>
      <c r="D2225" s="2" t="s">
        <v>23065</v>
      </c>
      <c r="E2225" s="2" t="s">
        <v>23066</v>
      </c>
      <c r="G2225" s="3" t="s">
        <v>64</v>
      </c>
      <c r="I2225" s="3" t="s">
        <v>73</v>
      </c>
      <c r="J2225" s="3" t="s">
        <v>73</v>
      </c>
      <c r="K2225" s="3" t="s">
        <v>2292</v>
      </c>
      <c r="L2225" s="2" t="s">
        <v>23067</v>
      </c>
      <c r="M2225" s="2" t="s">
        <v>23068</v>
      </c>
      <c r="N2225" s="3" t="s">
        <v>12117</v>
      </c>
      <c r="P2225" s="3" t="s">
        <v>69</v>
      </c>
      <c r="R2225" s="3" t="s">
        <v>22947</v>
      </c>
      <c r="S2225" s="4">
        <v>18</v>
      </c>
      <c r="T2225" s="4">
        <v>18</v>
      </c>
      <c r="U2225" s="5" t="s">
        <v>4879</v>
      </c>
      <c r="V2225" s="5" t="s">
        <v>4879</v>
      </c>
      <c r="W2225" s="5" t="s">
        <v>72</v>
      </c>
      <c r="X2225" s="5" t="s">
        <v>72</v>
      </c>
      <c r="Y2225" s="4">
        <v>44</v>
      </c>
      <c r="Z2225" s="4">
        <v>8</v>
      </c>
      <c r="AA2225" s="4">
        <v>53</v>
      </c>
      <c r="AB2225" s="4">
        <v>1</v>
      </c>
      <c r="AC2225" s="4">
        <v>12</v>
      </c>
      <c r="AD2225" s="4">
        <v>30</v>
      </c>
      <c r="AE2225" s="4">
        <v>68</v>
      </c>
      <c r="AF2225" s="4">
        <v>0</v>
      </c>
      <c r="AG2225" s="4">
        <v>6</v>
      </c>
      <c r="AH2225" s="4">
        <v>24</v>
      </c>
      <c r="AI2225" s="4">
        <v>45</v>
      </c>
      <c r="AJ2225" s="4">
        <v>5</v>
      </c>
      <c r="AK2225" s="4">
        <v>22</v>
      </c>
      <c r="AL2225" s="4">
        <v>19</v>
      </c>
      <c r="AM2225" s="4">
        <v>26</v>
      </c>
      <c r="AN2225" s="4">
        <v>0</v>
      </c>
      <c r="AO2225" s="4">
        <v>0</v>
      </c>
      <c r="AP2225" s="4">
        <v>6</v>
      </c>
      <c r="AQ2225" s="4">
        <v>30</v>
      </c>
      <c r="AR2225" s="3" t="s">
        <v>64</v>
      </c>
      <c r="AS2225" s="3" t="s">
        <v>73</v>
      </c>
      <c r="AT2225" s="3" t="s">
        <v>64</v>
      </c>
      <c r="AU2225" s="6" t="str">
        <f>HYPERLINK("http://catalog.hathitrust.org/Record/007708748","HathiTrust Record")</f>
        <v>HathiTrust Record</v>
      </c>
      <c r="AV2225" s="6" t="str">
        <f>HYPERLINK("http://mcgill.on.worldcat.org/oclc/5877417","Catalog Record")</f>
        <v>Catalog Record</v>
      </c>
      <c r="AW2225" s="6" t="str">
        <f>HYPERLINK("http://www.worldcat.org/oclc/5877417","WorldCat Record")</f>
        <v>WorldCat Record</v>
      </c>
      <c r="AX2225" s="3" t="s">
        <v>23069</v>
      </c>
      <c r="AY2225" s="3" t="s">
        <v>23070</v>
      </c>
      <c r="AZ2225" s="3" t="s">
        <v>23071</v>
      </c>
      <c r="BA2225" s="3" t="s">
        <v>23071</v>
      </c>
      <c r="BB2225" s="3" t="s">
        <v>23072</v>
      </c>
      <c r="BC2225" s="3" t="s">
        <v>78</v>
      </c>
      <c r="BD2225" s="3" t="s">
        <v>79</v>
      </c>
      <c r="BF2225" s="3" t="s">
        <v>23072</v>
      </c>
      <c r="BG2225" s="3" t="s">
        <v>23073</v>
      </c>
    </row>
    <row r="2226" spans="1:59" ht="58" x14ac:dyDescent="0.35">
      <c r="A2226" s="2" t="s">
        <v>59</v>
      </c>
      <c r="B2226" s="2" t="s">
        <v>94</v>
      </c>
      <c r="C2226" s="2" t="s">
        <v>23074</v>
      </c>
      <c r="D2226" s="2" t="s">
        <v>23075</v>
      </c>
      <c r="E2226" s="2" t="s">
        <v>23076</v>
      </c>
      <c r="G2226" s="3" t="s">
        <v>64</v>
      </c>
      <c r="I2226" s="3" t="s">
        <v>64</v>
      </c>
      <c r="J2226" s="3" t="s">
        <v>64</v>
      </c>
      <c r="K2226" s="3" t="s">
        <v>65</v>
      </c>
      <c r="L2226" s="2" t="s">
        <v>23077</v>
      </c>
      <c r="M2226" s="2" t="s">
        <v>23078</v>
      </c>
      <c r="N2226" s="3" t="s">
        <v>340</v>
      </c>
      <c r="P2226" s="3" t="s">
        <v>69</v>
      </c>
      <c r="R2226" s="3" t="s">
        <v>22947</v>
      </c>
      <c r="S2226" s="4">
        <v>3</v>
      </c>
      <c r="T2226" s="4">
        <v>3</v>
      </c>
      <c r="U2226" s="5" t="s">
        <v>6578</v>
      </c>
      <c r="V2226" s="5" t="s">
        <v>6578</v>
      </c>
      <c r="W2226" s="5" t="s">
        <v>72</v>
      </c>
      <c r="X2226" s="5" t="s">
        <v>72</v>
      </c>
      <c r="Y2226" s="4">
        <v>205</v>
      </c>
      <c r="Z2226" s="4">
        <v>7</v>
      </c>
      <c r="AA2226" s="4">
        <v>35</v>
      </c>
      <c r="AB2226" s="4">
        <v>1</v>
      </c>
      <c r="AC2226" s="4">
        <v>7</v>
      </c>
      <c r="AD2226" s="4">
        <v>71</v>
      </c>
      <c r="AE2226" s="4">
        <v>86</v>
      </c>
      <c r="AF2226" s="4">
        <v>0</v>
      </c>
      <c r="AG2226" s="4">
        <v>0</v>
      </c>
      <c r="AH2226" s="4">
        <v>67</v>
      </c>
      <c r="AI2226" s="4">
        <v>80</v>
      </c>
      <c r="AJ2226" s="4">
        <v>4</v>
      </c>
      <c r="AK2226" s="4">
        <v>5</v>
      </c>
      <c r="AL2226" s="4">
        <v>43</v>
      </c>
      <c r="AM2226" s="4">
        <v>46</v>
      </c>
      <c r="AN2226" s="4">
        <v>0</v>
      </c>
      <c r="AO2226" s="4">
        <v>0</v>
      </c>
      <c r="AP2226" s="4">
        <v>4</v>
      </c>
      <c r="AQ2226" s="4">
        <v>7</v>
      </c>
      <c r="AR2226" s="3" t="s">
        <v>64</v>
      </c>
      <c r="AS2226" s="3" t="s">
        <v>64</v>
      </c>
      <c r="AT2226" s="3" t="s">
        <v>64</v>
      </c>
      <c r="AV2226" s="6" t="str">
        <f>HYPERLINK("http://mcgill.on.worldcat.org/oclc/37518781","Catalog Record")</f>
        <v>Catalog Record</v>
      </c>
      <c r="AW2226" s="6" t="str">
        <f>HYPERLINK("http://www.worldcat.org/oclc/37518781","WorldCat Record")</f>
        <v>WorldCat Record</v>
      </c>
      <c r="AX2226" s="3" t="s">
        <v>23079</v>
      </c>
      <c r="AY2226" s="3" t="s">
        <v>23080</v>
      </c>
      <c r="AZ2226" s="3" t="s">
        <v>23081</v>
      </c>
      <c r="BA2226" s="3" t="s">
        <v>23081</v>
      </c>
      <c r="BB2226" s="3" t="s">
        <v>23082</v>
      </c>
      <c r="BC2226" s="3" t="s">
        <v>78</v>
      </c>
      <c r="BD2226" s="3" t="s">
        <v>79</v>
      </c>
      <c r="BE2226" s="3" t="s">
        <v>23083</v>
      </c>
      <c r="BF2226" s="3" t="s">
        <v>23082</v>
      </c>
      <c r="BG2226" s="3" t="s">
        <v>23084</v>
      </c>
    </row>
    <row r="2227" spans="1:59" ht="58" x14ac:dyDescent="0.35">
      <c r="A2227" s="2" t="s">
        <v>59</v>
      </c>
      <c r="B2227" s="2" t="s">
        <v>94</v>
      </c>
      <c r="C2227" s="2" t="s">
        <v>23085</v>
      </c>
      <c r="D2227" s="2" t="s">
        <v>23086</v>
      </c>
      <c r="E2227" s="2" t="s">
        <v>23087</v>
      </c>
      <c r="G2227" s="3" t="s">
        <v>64</v>
      </c>
      <c r="I2227" s="3" t="s">
        <v>64</v>
      </c>
      <c r="J2227" s="3" t="s">
        <v>64</v>
      </c>
      <c r="K2227" s="3" t="s">
        <v>65</v>
      </c>
      <c r="M2227" s="2" t="s">
        <v>6841</v>
      </c>
      <c r="N2227" s="3" t="s">
        <v>377</v>
      </c>
      <c r="P2227" s="3" t="s">
        <v>69</v>
      </c>
      <c r="Q2227" s="2" t="s">
        <v>23088</v>
      </c>
      <c r="R2227" s="3" t="s">
        <v>22947</v>
      </c>
      <c r="S2227" s="4">
        <v>0</v>
      </c>
      <c r="T2227" s="4">
        <v>0</v>
      </c>
      <c r="W2227" s="5" t="s">
        <v>72</v>
      </c>
      <c r="X2227" s="5" t="s">
        <v>72</v>
      </c>
      <c r="Y2227" s="4">
        <v>76</v>
      </c>
      <c r="Z2227" s="4">
        <v>4</v>
      </c>
      <c r="AA2227" s="4">
        <v>5</v>
      </c>
      <c r="AB2227" s="4">
        <v>1</v>
      </c>
      <c r="AC2227" s="4">
        <v>1</v>
      </c>
      <c r="AD2227" s="4">
        <v>46</v>
      </c>
      <c r="AE2227" s="4">
        <v>49</v>
      </c>
      <c r="AF2227" s="4">
        <v>0</v>
      </c>
      <c r="AG2227" s="4">
        <v>0</v>
      </c>
      <c r="AH2227" s="4">
        <v>45</v>
      </c>
      <c r="AI2227" s="4">
        <v>47</v>
      </c>
      <c r="AJ2227" s="4">
        <v>2</v>
      </c>
      <c r="AK2227" s="4">
        <v>3</v>
      </c>
      <c r="AL2227" s="4">
        <v>27</v>
      </c>
      <c r="AM2227" s="4">
        <v>27</v>
      </c>
      <c r="AN2227" s="4">
        <v>0</v>
      </c>
      <c r="AO2227" s="4">
        <v>0</v>
      </c>
      <c r="AP2227" s="4">
        <v>2</v>
      </c>
      <c r="AQ2227" s="4">
        <v>3</v>
      </c>
      <c r="AR2227" s="3" t="s">
        <v>64</v>
      </c>
      <c r="AS2227" s="3" t="s">
        <v>64</v>
      </c>
      <c r="AT2227" s="3" t="s">
        <v>64</v>
      </c>
      <c r="AV2227" s="6" t="str">
        <f>HYPERLINK("http://mcgill.on.worldcat.org/oclc/772452983","Catalog Record")</f>
        <v>Catalog Record</v>
      </c>
      <c r="AW2227" s="6" t="str">
        <f>HYPERLINK("http://www.worldcat.org/oclc/772452983","WorldCat Record")</f>
        <v>WorldCat Record</v>
      </c>
      <c r="AX2227" s="3" t="s">
        <v>23089</v>
      </c>
      <c r="AY2227" s="3" t="s">
        <v>23090</v>
      </c>
      <c r="AZ2227" s="3" t="s">
        <v>23091</v>
      </c>
      <c r="BA2227" s="3" t="s">
        <v>23091</v>
      </c>
      <c r="BB2227" s="3" t="s">
        <v>23092</v>
      </c>
      <c r="BC2227" s="3" t="s">
        <v>78</v>
      </c>
      <c r="BD2227" s="3" t="s">
        <v>79</v>
      </c>
      <c r="BE2227" s="3" t="s">
        <v>23093</v>
      </c>
      <c r="BF2227" s="3" t="s">
        <v>23092</v>
      </c>
      <c r="BG2227" s="3" t="s">
        <v>23094</v>
      </c>
    </row>
    <row r="2228" spans="1:59" ht="116" x14ac:dyDescent="0.35">
      <c r="A2228" s="2" t="s">
        <v>59</v>
      </c>
      <c r="B2228" s="2" t="s">
        <v>94</v>
      </c>
      <c r="C2228" s="2" t="s">
        <v>23095</v>
      </c>
      <c r="D2228" s="2" t="s">
        <v>23096</v>
      </c>
      <c r="E2228" s="2" t="s">
        <v>23097</v>
      </c>
      <c r="G2228" s="3" t="s">
        <v>64</v>
      </c>
      <c r="I2228" s="3" t="s">
        <v>64</v>
      </c>
      <c r="J2228" s="3" t="s">
        <v>73</v>
      </c>
      <c r="K2228" s="3" t="s">
        <v>65</v>
      </c>
      <c r="L2228" s="2" t="s">
        <v>23098</v>
      </c>
      <c r="M2228" s="2" t="s">
        <v>23099</v>
      </c>
      <c r="N2228" s="3" t="s">
        <v>175</v>
      </c>
      <c r="P2228" s="3" t="s">
        <v>69</v>
      </c>
      <c r="R2228" s="3" t="s">
        <v>22947</v>
      </c>
      <c r="S2228" s="4">
        <v>0</v>
      </c>
      <c r="T2228" s="4">
        <v>0</v>
      </c>
      <c r="W2228" s="5" t="s">
        <v>72</v>
      </c>
      <c r="X2228" s="5" t="s">
        <v>72</v>
      </c>
      <c r="Y2228" s="4">
        <v>70</v>
      </c>
      <c r="Z2228" s="4">
        <v>4</v>
      </c>
      <c r="AA2228" s="4">
        <v>108</v>
      </c>
      <c r="AB2228" s="4">
        <v>1</v>
      </c>
      <c r="AC2228" s="4">
        <v>18</v>
      </c>
      <c r="AD2228" s="4">
        <v>39</v>
      </c>
      <c r="AE2228" s="4">
        <v>140</v>
      </c>
      <c r="AF2228" s="4">
        <v>0</v>
      </c>
      <c r="AG2228" s="4">
        <v>8</v>
      </c>
      <c r="AH2228" s="4">
        <v>38</v>
      </c>
      <c r="AI2228" s="4">
        <v>99</v>
      </c>
      <c r="AJ2228" s="4">
        <v>2</v>
      </c>
      <c r="AK2228" s="4">
        <v>22</v>
      </c>
      <c r="AL2228" s="4">
        <v>24</v>
      </c>
      <c r="AM2228" s="4">
        <v>53</v>
      </c>
      <c r="AN2228" s="4">
        <v>0</v>
      </c>
      <c r="AO2228" s="4">
        <v>0</v>
      </c>
      <c r="AP2228" s="4">
        <v>2</v>
      </c>
      <c r="AQ2228" s="4">
        <v>45</v>
      </c>
      <c r="AR2228" s="3" t="s">
        <v>64</v>
      </c>
      <c r="AS2228" s="3" t="s">
        <v>64</v>
      </c>
      <c r="AT2228" s="3" t="s">
        <v>64</v>
      </c>
      <c r="AV2228" s="6" t="str">
        <f>HYPERLINK("http://mcgill.on.worldcat.org/oclc/874735688","Catalog Record")</f>
        <v>Catalog Record</v>
      </c>
      <c r="AW2228" s="6" t="str">
        <f>HYPERLINK("http://www.worldcat.org/oclc/874735688","WorldCat Record")</f>
        <v>WorldCat Record</v>
      </c>
      <c r="AX2228" s="3" t="s">
        <v>23100</v>
      </c>
      <c r="AY2228" s="3" t="s">
        <v>23101</v>
      </c>
      <c r="AZ2228" s="3" t="s">
        <v>23102</v>
      </c>
      <c r="BA2228" s="3" t="s">
        <v>23102</v>
      </c>
      <c r="BB2228" s="3" t="s">
        <v>23103</v>
      </c>
      <c r="BC2228" s="3" t="s">
        <v>78</v>
      </c>
      <c r="BD2228" s="3" t="s">
        <v>79</v>
      </c>
      <c r="BE2228" s="3" t="s">
        <v>23104</v>
      </c>
      <c r="BF2228" s="3" t="s">
        <v>23103</v>
      </c>
      <c r="BG2228" s="3" t="s">
        <v>23105</v>
      </c>
    </row>
    <row r="2229" spans="1:59" ht="58" x14ac:dyDescent="0.35">
      <c r="A2229" s="2" t="s">
        <v>59</v>
      </c>
      <c r="B2229" s="2" t="s">
        <v>94</v>
      </c>
      <c r="C2229" s="2" t="s">
        <v>23106</v>
      </c>
      <c r="D2229" s="2" t="s">
        <v>23107</v>
      </c>
      <c r="E2229" s="2" t="s">
        <v>23108</v>
      </c>
      <c r="G2229" s="3" t="s">
        <v>64</v>
      </c>
      <c r="I2229" s="3" t="s">
        <v>64</v>
      </c>
      <c r="J2229" s="3" t="s">
        <v>73</v>
      </c>
      <c r="K2229" s="3" t="s">
        <v>65</v>
      </c>
      <c r="L2229" s="2" t="s">
        <v>23098</v>
      </c>
      <c r="M2229" s="2" t="s">
        <v>7296</v>
      </c>
      <c r="N2229" s="3" t="s">
        <v>175</v>
      </c>
      <c r="P2229" s="3" t="s">
        <v>69</v>
      </c>
      <c r="R2229" s="3" t="s">
        <v>22947</v>
      </c>
      <c r="S2229" s="4">
        <v>0</v>
      </c>
      <c r="T2229" s="4">
        <v>0</v>
      </c>
      <c r="W2229" s="5" t="s">
        <v>72</v>
      </c>
      <c r="X2229" s="5" t="s">
        <v>72</v>
      </c>
      <c r="Y2229" s="4">
        <v>39</v>
      </c>
      <c r="Z2229" s="4">
        <v>1</v>
      </c>
      <c r="AA2229" s="4">
        <v>108</v>
      </c>
      <c r="AB2229" s="4">
        <v>1</v>
      </c>
      <c r="AC2229" s="4">
        <v>18</v>
      </c>
      <c r="AD2229" s="4">
        <v>26</v>
      </c>
      <c r="AE2229" s="4">
        <v>140</v>
      </c>
      <c r="AF2229" s="4">
        <v>0</v>
      </c>
      <c r="AG2229" s="4">
        <v>8</v>
      </c>
      <c r="AH2229" s="4">
        <v>26</v>
      </c>
      <c r="AI2229" s="4">
        <v>99</v>
      </c>
      <c r="AJ2229" s="4">
        <v>0</v>
      </c>
      <c r="AK2229" s="4">
        <v>22</v>
      </c>
      <c r="AL2229" s="4">
        <v>14</v>
      </c>
      <c r="AM2229" s="4">
        <v>53</v>
      </c>
      <c r="AN2229" s="4">
        <v>0</v>
      </c>
      <c r="AO2229" s="4">
        <v>0</v>
      </c>
      <c r="AP2229" s="4">
        <v>0</v>
      </c>
      <c r="AQ2229" s="4">
        <v>45</v>
      </c>
      <c r="AR2229" s="3" t="s">
        <v>64</v>
      </c>
      <c r="AS2229" s="3" t="s">
        <v>64</v>
      </c>
      <c r="AT2229" s="3" t="s">
        <v>64</v>
      </c>
      <c r="AV2229" s="6" t="str">
        <f>HYPERLINK("http://mcgill.on.worldcat.org/oclc/875247551","Catalog Record")</f>
        <v>Catalog Record</v>
      </c>
      <c r="AW2229" s="6" t="str">
        <f>HYPERLINK("http://www.worldcat.org/oclc/875247551","WorldCat Record")</f>
        <v>WorldCat Record</v>
      </c>
      <c r="AX2229" s="3" t="s">
        <v>23100</v>
      </c>
      <c r="AY2229" s="3" t="s">
        <v>23109</v>
      </c>
      <c r="AZ2229" s="3" t="s">
        <v>23110</v>
      </c>
      <c r="BA2229" s="3" t="s">
        <v>23110</v>
      </c>
      <c r="BB2229" s="3" t="s">
        <v>23111</v>
      </c>
      <c r="BC2229" s="3" t="s">
        <v>78</v>
      </c>
      <c r="BD2229" s="3" t="s">
        <v>79</v>
      </c>
      <c r="BE2229" s="3" t="s">
        <v>23112</v>
      </c>
      <c r="BF2229" s="3" t="s">
        <v>23111</v>
      </c>
      <c r="BG2229" s="3" t="s">
        <v>23113</v>
      </c>
    </row>
    <row r="2230" spans="1:59" ht="58" x14ac:dyDescent="0.35">
      <c r="A2230" s="2" t="s">
        <v>59</v>
      </c>
      <c r="B2230" s="2" t="s">
        <v>94</v>
      </c>
      <c r="C2230" s="2" t="s">
        <v>23114</v>
      </c>
      <c r="D2230" s="2" t="s">
        <v>23115</v>
      </c>
      <c r="E2230" s="2" t="s">
        <v>23116</v>
      </c>
      <c r="G2230" s="3" t="s">
        <v>64</v>
      </c>
      <c r="I2230" s="3" t="s">
        <v>64</v>
      </c>
      <c r="J2230" s="3" t="s">
        <v>64</v>
      </c>
      <c r="K2230" s="3" t="s">
        <v>65</v>
      </c>
      <c r="M2230" s="2" t="s">
        <v>5089</v>
      </c>
      <c r="N2230" s="3" t="s">
        <v>214</v>
      </c>
      <c r="P2230" s="3" t="s">
        <v>69</v>
      </c>
      <c r="Q2230" s="2" t="s">
        <v>7005</v>
      </c>
      <c r="R2230" s="3" t="s">
        <v>22947</v>
      </c>
      <c r="S2230" s="4">
        <v>0</v>
      </c>
      <c r="T2230" s="4">
        <v>0</v>
      </c>
      <c r="W2230" s="5" t="s">
        <v>72</v>
      </c>
      <c r="X2230" s="5" t="s">
        <v>72</v>
      </c>
      <c r="Y2230" s="4">
        <v>103</v>
      </c>
      <c r="Z2230" s="4">
        <v>8</v>
      </c>
      <c r="AA2230" s="4">
        <v>11</v>
      </c>
      <c r="AB2230" s="4">
        <v>1</v>
      </c>
      <c r="AC2230" s="4">
        <v>1</v>
      </c>
      <c r="AD2230" s="4">
        <v>57</v>
      </c>
      <c r="AE2230" s="4">
        <v>63</v>
      </c>
      <c r="AF2230" s="4">
        <v>0</v>
      </c>
      <c r="AG2230" s="4">
        <v>0</v>
      </c>
      <c r="AH2230" s="4">
        <v>54</v>
      </c>
      <c r="AI2230" s="4">
        <v>59</v>
      </c>
      <c r="AJ2230" s="4">
        <v>5</v>
      </c>
      <c r="AK2230" s="4">
        <v>8</v>
      </c>
      <c r="AL2230" s="4">
        <v>28</v>
      </c>
      <c r="AM2230" s="4">
        <v>29</v>
      </c>
      <c r="AN2230" s="4">
        <v>5</v>
      </c>
      <c r="AO2230" s="4">
        <v>5</v>
      </c>
      <c r="AP2230" s="4">
        <v>6</v>
      </c>
      <c r="AQ2230" s="4">
        <v>9</v>
      </c>
      <c r="AR2230" s="3" t="s">
        <v>64</v>
      </c>
      <c r="AS2230" s="3" t="s">
        <v>64</v>
      </c>
      <c r="AT2230" s="3" t="s">
        <v>73</v>
      </c>
      <c r="AU2230" s="6" t="str">
        <f>HYPERLINK("http://catalog.hathitrust.org/Record/007918386","HathiTrust Record")</f>
        <v>HathiTrust Record</v>
      </c>
      <c r="AV2230" s="6" t="str">
        <f>HYPERLINK("http://mcgill.on.worldcat.org/oclc/544474618","Catalog Record")</f>
        <v>Catalog Record</v>
      </c>
      <c r="AW2230" s="6" t="str">
        <f>HYPERLINK("http://www.worldcat.org/oclc/544474618","WorldCat Record")</f>
        <v>WorldCat Record</v>
      </c>
      <c r="AX2230" s="3" t="s">
        <v>23117</v>
      </c>
      <c r="AY2230" s="3" t="s">
        <v>23118</v>
      </c>
      <c r="AZ2230" s="3" t="s">
        <v>23119</v>
      </c>
      <c r="BA2230" s="3" t="s">
        <v>23119</v>
      </c>
      <c r="BB2230" s="3" t="s">
        <v>23120</v>
      </c>
      <c r="BC2230" s="3" t="s">
        <v>78</v>
      </c>
      <c r="BD2230" s="3" t="s">
        <v>79</v>
      </c>
      <c r="BE2230" s="3" t="s">
        <v>23121</v>
      </c>
      <c r="BF2230" s="3" t="s">
        <v>23120</v>
      </c>
      <c r="BG2230" s="3" t="s">
        <v>23122</v>
      </c>
    </row>
    <row r="2231" spans="1:59" ht="58" x14ac:dyDescent="0.35">
      <c r="A2231" s="2" t="s">
        <v>59</v>
      </c>
      <c r="B2231" s="2" t="s">
        <v>94</v>
      </c>
      <c r="C2231" s="2" t="s">
        <v>23123</v>
      </c>
      <c r="D2231" s="2" t="s">
        <v>23124</v>
      </c>
      <c r="E2231" s="2" t="s">
        <v>23125</v>
      </c>
      <c r="G2231" s="3" t="s">
        <v>64</v>
      </c>
      <c r="I2231" s="3" t="s">
        <v>64</v>
      </c>
      <c r="J2231" s="3" t="s">
        <v>64</v>
      </c>
      <c r="K2231" s="3" t="s">
        <v>65</v>
      </c>
      <c r="M2231" s="2" t="s">
        <v>5089</v>
      </c>
      <c r="N2231" s="3" t="s">
        <v>214</v>
      </c>
      <c r="P2231" s="3" t="s">
        <v>69</v>
      </c>
      <c r="Q2231" s="2" t="s">
        <v>15306</v>
      </c>
      <c r="R2231" s="3" t="s">
        <v>22947</v>
      </c>
      <c r="S2231" s="4">
        <v>0</v>
      </c>
      <c r="T2231" s="4">
        <v>0</v>
      </c>
      <c r="W2231" s="5" t="s">
        <v>4195</v>
      </c>
      <c r="X2231" s="5" t="s">
        <v>4195</v>
      </c>
      <c r="Y2231" s="4">
        <v>109</v>
      </c>
      <c r="Z2231" s="4">
        <v>8</v>
      </c>
      <c r="AA2231" s="4">
        <v>10</v>
      </c>
      <c r="AB2231" s="4">
        <v>1</v>
      </c>
      <c r="AC2231" s="4">
        <v>1</v>
      </c>
      <c r="AD2231" s="4">
        <v>59</v>
      </c>
      <c r="AE2231" s="4">
        <v>64</v>
      </c>
      <c r="AF2231" s="4">
        <v>0</v>
      </c>
      <c r="AG2231" s="4">
        <v>0</v>
      </c>
      <c r="AH2231" s="4">
        <v>56</v>
      </c>
      <c r="AI2231" s="4">
        <v>61</v>
      </c>
      <c r="AJ2231" s="4">
        <v>5</v>
      </c>
      <c r="AK2231" s="4">
        <v>7</v>
      </c>
      <c r="AL2231" s="4">
        <v>29</v>
      </c>
      <c r="AM2231" s="4">
        <v>30</v>
      </c>
      <c r="AN2231" s="4">
        <v>5</v>
      </c>
      <c r="AO2231" s="4">
        <v>5</v>
      </c>
      <c r="AP2231" s="4">
        <v>6</v>
      </c>
      <c r="AQ2231" s="4">
        <v>8</v>
      </c>
      <c r="AR2231" s="3" t="s">
        <v>64</v>
      </c>
      <c r="AS2231" s="3" t="s">
        <v>64</v>
      </c>
      <c r="AT2231" s="3" t="s">
        <v>73</v>
      </c>
      <c r="AU2231" s="6" t="str">
        <f>HYPERLINK("http://catalog.hathitrust.org/Record/008520056","HathiTrust Record")</f>
        <v>HathiTrust Record</v>
      </c>
      <c r="AV2231" s="6" t="str">
        <f>HYPERLINK("http://mcgill.on.worldcat.org/oclc/629700494","Catalog Record")</f>
        <v>Catalog Record</v>
      </c>
      <c r="AW2231" s="6" t="str">
        <f>HYPERLINK("http://www.worldcat.org/oclc/629700494","WorldCat Record")</f>
        <v>WorldCat Record</v>
      </c>
      <c r="AX2231" s="3" t="s">
        <v>23126</v>
      </c>
      <c r="AY2231" s="3" t="s">
        <v>23127</v>
      </c>
      <c r="AZ2231" s="3" t="s">
        <v>23128</v>
      </c>
      <c r="BA2231" s="3" t="s">
        <v>23128</v>
      </c>
      <c r="BB2231" s="3" t="s">
        <v>23129</v>
      </c>
      <c r="BC2231" s="3" t="s">
        <v>78</v>
      </c>
      <c r="BD2231" s="3" t="s">
        <v>79</v>
      </c>
      <c r="BE2231" s="3" t="s">
        <v>23130</v>
      </c>
      <c r="BF2231" s="3" t="s">
        <v>23129</v>
      </c>
      <c r="BG2231" s="3" t="s">
        <v>23131</v>
      </c>
    </row>
    <row r="2232" spans="1:59" ht="58" x14ac:dyDescent="0.35">
      <c r="A2232" s="2" t="s">
        <v>59</v>
      </c>
      <c r="B2232" s="2" t="s">
        <v>94</v>
      </c>
      <c r="C2232" s="2" t="s">
        <v>23132</v>
      </c>
      <c r="D2232" s="2" t="s">
        <v>23133</v>
      </c>
      <c r="E2232" s="2" t="s">
        <v>23134</v>
      </c>
      <c r="G2232" s="3" t="s">
        <v>64</v>
      </c>
      <c r="I2232" s="3" t="s">
        <v>73</v>
      </c>
      <c r="J2232" s="3" t="s">
        <v>64</v>
      </c>
      <c r="K2232" s="3" t="s">
        <v>65</v>
      </c>
      <c r="L2232" s="2" t="s">
        <v>23135</v>
      </c>
      <c r="N2232" s="3" t="s">
        <v>1530</v>
      </c>
      <c r="P2232" s="3" t="s">
        <v>69</v>
      </c>
      <c r="R2232" s="3" t="s">
        <v>22947</v>
      </c>
      <c r="S2232" s="4">
        <v>8</v>
      </c>
      <c r="T2232" s="4">
        <v>12</v>
      </c>
      <c r="U2232" s="5" t="s">
        <v>5485</v>
      </c>
      <c r="V2232" s="5" t="s">
        <v>5485</v>
      </c>
      <c r="W2232" s="5" t="s">
        <v>72</v>
      </c>
      <c r="X2232" s="5" t="s">
        <v>72</v>
      </c>
      <c r="Y2232" s="4">
        <v>5</v>
      </c>
      <c r="Z2232" s="4">
        <v>1</v>
      </c>
      <c r="AA2232" s="4">
        <v>4</v>
      </c>
      <c r="AB2232" s="4">
        <v>1</v>
      </c>
      <c r="AC2232" s="4">
        <v>1</v>
      </c>
      <c r="AD2232" s="4">
        <v>1</v>
      </c>
      <c r="AE2232" s="4">
        <v>4</v>
      </c>
      <c r="AF2232" s="4">
        <v>0</v>
      </c>
      <c r="AG2232" s="4">
        <v>0</v>
      </c>
      <c r="AH2232" s="4">
        <v>1</v>
      </c>
      <c r="AI2232" s="4">
        <v>2</v>
      </c>
      <c r="AJ2232" s="4">
        <v>0</v>
      </c>
      <c r="AK2232" s="4">
        <v>3</v>
      </c>
      <c r="AL2232" s="4">
        <v>0</v>
      </c>
      <c r="AM2232" s="4">
        <v>0</v>
      </c>
      <c r="AN2232" s="4">
        <v>0</v>
      </c>
      <c r="AO2232" s="4">
        <v>0</v>
      </c>
      <c r="AP2232" s="4">
        <v>0</v>
      </c>
      <c r="AQ2232" s="4">
        <v>2</v>
      </c>
      <c r="AR2232" s="3" t="s">
        <v>64</v>
      </c>
      <c r="AS2232" s="3" t="s">
        <v>64</v>
      </c>
      <c r="AT2232" s="3" t="s">
        <v>64</v>
      </c>
      <c r="AV2232" s="6" t="str">
        <f>HYPERLINK("http://mcgill.on.worldcat.org/oclc/53058695","Catalog Record")</f>
        <v>Catalog Record</v>
      </c>
      <c r="AW2232" s="6" t="str">
        <f>HYPERLINK("http://www.worldcat.org/oclc/53058695","WorldCat Record")</f>
        <v>WorldCat Record</v>
      </c>
      <c r="AX2232" s="3" t="s">
        <v>23136</v>
      </c>
      <c r="AY2232" s="3" t="s">
        <v>23137</v>
      </c>
      <c r="AZ2232" s="3" t="s">
        <v>23138</v>
      </c>
      <c r="BA2232" s="3" t="s">
        <v>23138</v>
      </c>
      <c r="BB2232" s="3" t="s">
        <v>23139</v>
      </c>
      <c r="BC2232" s="3" t="s">
        <v>11648</v>
      </c>
      <c r="BD2232" s="3" t="s">
        <v>79</v>
      </c>
      <c r="BE2232" s="3" t="s">
        <v>23140</v>
      </c>
      <c r="BF2232" s="3" t="s">
        <v>23139</v>
      </c>
      <c r="BG2232" s="3" t="s">
        <v>23141</v>
      </c>
    </row>
    <row r="2233" spans="1:59" ht="58" x14ac:dyDescent="0.35">
      <c r="A2233" s="2" t="s">
        <v>59</v>
      </c>
      <c r="B2233" s="2" t="s">
        <v>94</v>
      </c>
      <c r="C2233" s="2" t="s">
        <v>23142</v>
      </c>
      <c r="D2233" s="2" t="s">
        <v>23143</v>
      </c>
      <c r="E2233" s="2" t="s">
        <v>23144</v>
      </c>
      <c r="G2233" s="3" t="s">
        <v>64</v>
      </c>
      <c r="I2233" s="3" t="s">
        <v>73</v>
      </c>
      <c r="J2233" s="3" t="s">
        <v>64</v>
      </c>
      <c r="K2233" s="3" t="s">
        <v>65</v>
      </c>
      <c r="L2233" s="2" t="s">
        <v>8071</v>
      </c>
      <c r="M2233" s="2" t="s">
        <v>23145</v>
      </c>
      <c r="N2233" s="3" t="s">
        <v>2214</v>
      </c>
      <c r="P2233" s="3" t="s">
        <v>69</v>
      </c>
      <c r="Q2233" s="2" t="s">
        <v>23146</v>
      </c>
      <c r="R2233" s="3" t="s">
        <v>22947</v>
      </c>
      <c r="S2233" s="4">
        <v>27</v>
      </c>
      <c r="T2233" s="4">
        <v>38</v>
      </c>
      <c r="U2233" s="5" t="s">
        <v>288</v>
      </c>
      <c r="V2233" s="5" t="s">
        <v>288</v>
      </c>
      <c r="W2233" s="5" t="s">
        <v>72</v>
      </c>
      <c r="X2233" s="5" t="s">
        <v>72</v>
      </c>
      <c r="Y2233" s="4">
        <v>141</v>
      </c>
      <c r="Z2233" s="4">
        <v>71</v>
      </c>
      <c r="AA2233" s="4">
        <v>71</v>
      </c>
      <c r="AB2233" s="4">
        <v>2</v>
      </c>
      <c r="AC2233" s="4">
        <v>2</v>
      </c>
      <c r="AD2233" s="4">
        <v>48</v>
      </c>
      <c r="AE2233" s="4">
        <v>48</v>
      </c>
      <c r="AF2233" s="4">
        <v>0</v>
      </c>
      <c r="AG2233" s="4">
        <v>0</v>
      </c>
      <c r="AH2233" s="4">
        <v>27</v>
      </c>
      <c r="AI2233" s="4">
        <v>27</v>
      </c>
      <c r="AJ2233" s="4">
        <v>16</v>
      </c>
      <c r="AK2233" s="4">
        <v>16</v>
      </c>
      <c r="AL2233" s="4">
        <v>9</v>
      </c>
      <c r="AM2233" s="4">
        <v>9</v>
      </c>
      <c r="AN2233" s="4">
        <v>0</v>
      </c>
      <c r="AO2233" s="4">
        <v>0</v>
      </c>
      <c r="AP2233" s="4">
        <v>32</v>
      </c>
      <c r="AQ2233" s="4">
        <v>32</v>
      </c>
      <c r="AR2233" s="3" t="s">
        <v>73</v>
      </c>
      <c r="AS2233" s="3" t="s">
        <v>64</v>
      </c>
      <c r="AT2233" s="3" t="s">
        <v>73</v>
      </c>
      <c r="AU2233" s="6" t="str">
        <f>HYPERLINK("http://catalog.hathitrust.org/Record/000746528","HathiTrust Record")</f>
        <v>HathiTrust Record</v>
      </c>
      <c r="AV2233" s="6" t="str">
        <f>HYPERLINK("http://mcgill.on.worldcat.org/oclc/2472470","Catalog Record")</f>
        <v>Catalog Record</v>
      </c>
      <c r="AW2233" s="6" t="str">
        <f>HYPERLINK("http://www.worldcat.org/oclc/2472470","WorldCat Record")</f>
        <v>WorldCat Record</v>
      </c>
      <c r="AX2233" s="3" t="s">
        <v>23147</v>
      </c>
      <c r="AY2233" s="3" t="s">
        <v>23148</v>
      </c>
      <c r="AZ2233" s="3" t="s">
        <v>23149</v>
      </c>
      <c r="BA2233" s="3" t="s">
        <v>23149</v>
      </c>
      <c r="BB2233" s="3" t="s">
        <v>23150</v>
      </c>
      <c r="BC2233" s="3" t="s">
        <v>78</v>
      </c>
      <c r="BD2233" s="3" t="s">
        <v>79</v>
      </c>
      <c r="BE2233" s="3" t="s">
        <v>23151</v>
      </c>
      <c r="BF2233" s="3" t="s">
        <v>23150</v>
      </c>
      <c r="BG2233" s="3" t="s">
        <v>23152</v>
      </c>
    </row>
    <row r="2234" spans="1:59" ht="58" x14ac:dyDescent="0.35">
      <c r="A2234" s="2" t="s">
        <v>59</v>
      </c>
      <c r="B2234" s="2" t="s">
        <v>94</v>
      </c>
      <c r="C2234" s="2" t="s">
        <v>23153</v>
      </c>
      <c r="D2234" s="2" t="s">
        <v>23154</v>
      </c>
      <c r="E2234" s="2" t="s">
        <v>23155</v>
      </c>
      <c r="G2234" s="3" t="s">
        <v>64</v>
      </c>
      <c r="I2234" s="3" t="s">
        <v>64</v>
      </c>
      <c r="J2234" s="3" t="s">
        <v>64</v>
      </c>
      <c r="K2234" s="3" t="s">
        <v>65</v>
      </c>
      <c r="L2234" s="2" t="s">
        <v>23156</v>
      </c>
      <c r="M2234" s="2" t="s">
        <v>23157</v>
      </c>
      <c r="N2234" s="3" t="s">
        <v>4850</v>
      </c>
      <c r="P2234" s="3" t="s">
        <v>69</v>
      </c>
      <c r="Q2234" s="2" t="s">
        <v>23158</v>
      </c>
      <c r="R2234" s="3" t="s">
        <v>22947</v>
      </c>
      <c r="S2234" s="4">
        <v>6</v>
      </c>
      <c r="T2234" s="4">
        <v>6</v>
      </c>
      <c r="U2234" s="5" t="s">
        <v>23159</v>
      </c>
      <c r="V2234" s="5" t="s">
        <v>23159</v>
      </c>
      <c r="W2234" s="5" t="s">
        <v>72</v>
      </c>
      <c r="X2234" s="5" t="s">
        <v>72</v>
      </c>
      <c r="Y2234" s="4">
        <v>85</v>
      </c>
      <c r="Z2234" s="4">
        <v>11</v>
      </c>
      <c r="AA2234" s="4">
        <v>26</v>
      </c>
      <c r="AB2234" s="4">
        <v>1</v>
      </c>
      <c r="AC2234" s="4">
        <v>2</v>
      </c>
      <c r="AD2234" s="4">
        <v>32</v>
      </c>
      <c r="AE2234" s="4">
        <v>90</v>
      </c>
      <c r="AF2234" s="4">
        <v>0</v>
      </c>
      <c r="AG2234" s="4">
        <v>0</v>
      </c>
      <c r="AH2234" s="4">
        <v>30</v>
      </c>
      <c r="AI2234" s="4">
        <v>80</v>
      </c>
      <c r="AJ2234" s="4">
        <v>5</v>
      </c>
      <c r="AK2234" s="4">
        <v>15</v>
      </c>
      <c r="AL2234" s="4">
        <v>15</v>
      </c>
      <c r="AM2234" s="4">
        <v>44</v>
      </c>
      <c r="AN2234" s="4">
        <v>0</v>
      </c>
      <c r="AO2234" s="4">
        <v>0</v>
      </c>
      <c r="AP2234" s="4">
        <v>5</v>
      </c>
      <c r="AQ2234" s="4">
        <v>18</v>
      </c>
      <c r="AR2234" s="3" t="s">
        <v>64</v>
      </c>
      <c r="AS2234" s="3" t="s">
        <v>73</v>
      </c>
      <c r="AT2234" s="3" t="s">
        <v>64</v>
      </c>
      <c r="AU2234" s="6" t="str">
        <f>HYPERLINK("http://catalog.hathitrust.org/Record/000445873","HathiTrust Record")</f>
        <v>HathiTrust Record</v>
      </c>
      <c r="AV2234" s="6" t="str">
        <f>HYPERLINK("http://mcgill.on.worldcat.org/oclc/1871679","Catalog Record")</f>
        <v>Catalog Record</v>
      </c>
      <c r="AW2234" s="6" t="str">
        <f>HYPERLINK("http://www.worldcat.org/oclc/1871679","WorldCat Record")</f>
        <v>WorldCat Record</v>
      </c>
      <c r="AX2234" s="3" t="s">
        <v>23160</v>
      </c>
      <c r="AY2234" s="3" t="s">
        <v>23161</v>
      </c>
      <c r="AZ2234" s="3" t="s">
        <v>23162</v>
      </c>
      <c r="BA2234" s="3" t="s">
        <v>23162</v>
      </c>
      <c r="BB2234" s="3" t="s">
        <v>23163</v>
      </c>
      <c r="BC2234" s="3" t="s">
        <v>78</v>
      </c>
      <c r="BD2234" s="3" t="s">
        <v>79</v>
      </c>
      <c r="BF2234" s="3" t="s">
        <v>23163</v>
      </c>
      <c r="BG2234" s="3" t="s">
        <v>23164</v>
      </c>
    </row>
    <row r="2235" spans="1:59" ht="116" x14ac:dyDescent="0.35">
      <c r="A2235" s="2" t="s">
        <v>59</v>
      </c>
      <c r="B2235" s="2" t="s">
        <v>94</v>
      </c>
      <c r="C2235" s="2" t="s">
        <v>23165</v>
      </c>
      <c r="D2235" s="2" t="s">
        <v>23166</v>
      </c>
      <c r="E2235" s="2" t="s">
        <v>23167</v>
      </c>
      <c r="G2235" s="3" t="s">
        <v>64</v>
      </c>
      <c r="I2235" s="3" t="s">
        <v>73</v>
      </c>
      <c r="J2235" s="3" t="s">
        <v>64</v>
      </c>
      <c r="K2235" s="3" t="s">
        <v>65</v>
      </c>
      <c r="L2235" s="2" t="s">
        <v>23168</v>
      </c>
      <c r="M2235" s="2" t="s">
        <v>23169</v>
      </c>
      <c r="N2235" s="3" t="s">
        <v>719</v>
      </c>
      <c r="P2235" s="3" t="s">
        <v>2192</v>
      </c>
      <c r="Q2235" s="2" t="s">
        <v>23170</v>
      </c>
      <c r="R2235" s="3" t="s">
        <v>22947</v>
      </c>
      <c r="S2235" s="4">
        <v>2</v>
      </c>
      <c r="T2235" s="4">
        <v>2</v>
      </c>
      <c r="U2235" s="5" t="s">
        <v>23171</v>
      </c>
      <c r="V2235" s="5" t="s">
        <v>23171</v>
      </c>
      <c r="W2235" s="5" t="s">
        <v>72</v>
      </c>
      <c r="X2235" s="5" t="s">
        <v>72</v>
      </c>
      <c r="Y2235" s="4">
        <v>65</v>
      </c>
      <c r="Z2235" s="4">
        <v>3</v>
      </c>
      <c r="AA2235" s="4">
        <v>3</v>
      </c>
      <c r="AB2235" s="4">
        <v>1</v>
      </c>
      <c r="AC2235" s="4">
        <v>1</v>
      </c>
      <c r="AD2235" s="4">
        <v>16</v>
      </c>
      <c r="AE2235" s="4">
        <v>16</v>
      </c>
      <c r="AF2235" s="4">
        <v>0</v>
      </c>
      <c r="AG2235" s="4">
        <v>0</v>
      </c>
      <c r="AH2235" s="4">
        <v>16</v>
      </c>
      <c r="AI2235" s="4">
        <v>16</v>
      </c>
      <c r="AJ2235" s="4">
        <v>1</v>
      </c>
      <c r="AK2235" s="4">
        <v>1</v>
      </c>
      <c r="AL2235" s="4">
        <v>11</v>
      </c>
      <c r="AM2235" s="4">
        <v>11</v>
      </c>
      <c r="AN2235" s="4">
        <v>0</v>
      </c>
      <c r="AO2235" s="4">
        <v>0</v>
      </c>
      <c r="AP2235" s="4">
        <v>1</v>
      </c>
      <c r="AQ2235" s="4">
        <v>1</v>
      </c>
      <c r="AR2235" s="3" t="s">
        <v>64</v>
      </c>
      <c r="AS2235" s="3" t="s">
        <v>64</v>
      </c>
      <c r="AT2235" s="3" t="s">
        <v>73</v>
      </c>
      <c r="AU2235" s="6" t="str">
        <f>HYPERLINK("http://catalog.hathitrust.org/Record/002201629","HathiTrust Record")</f>
        <v>HathiTrust Record</v>
      </c>
      <c r="AV2235" s="6" t="str">
        <f>HYPERLINK("http://mcgill.on.worldcat.org/oclc/11577009","Catalog Record")</f>
        <v>Catalog Record</v>
      </c>
      <c r="AW2235" s="6" t="str">
        <f>HYPERLINK("http://www.worldcat.org/oclc/11577009","WorldCat Record")</f>
        <v>WorldCat Record</v>
      </c>
      <c r="AX2235" s="3" t="s">
        <v>23172</v>
      </c>
      <c r="AY2235" s="3" t="s">
        <v>23173</v>
      </c>
      <c r="AZ2235" s="3" t="s">
        <v>23174</v>
      </c>
      <c r="BA2235" s="3" t="s">
        <v>23174</v>
      </c>
      <c r="BB2235" s="3" t="s">
        <v>23175</v>
      </c>
      <c r="BC2235" s="3" t="s">
        <v>78</v>
      </c>
      <c r="BD2235" s="3" t="s">
        <v>79</v>
      </c>
      <c r="BE2235" s="3" t="s">
        <v>23176</v>
      </c>
      <c r="BF2235" s="3" t="s">
        <v>23175</v>
      </c>
      <c r="BG2235" s="3" t="s">
        <v>23177</v>
      </c>
    </row>
    <row r="2236" spans="1:59" ht="58" x14ac:dyDescent="0.35">
      <c r="A2236" s="2" t="s">
        <v>59</v>
      </c>
      <c r="B2236" s="2" t="s">
        <v>94</v>
      </c>
      <c r="C2236" s="2" t="s">
        <v>23178</v>
      </c>
      <c r="D2236" s="2" t="s">
        <v>23179</v>
      </c>
      <c r="E2236" s="2" t="s">
        <v>23180</v>
      </c>
      <c r="G2236" s="3" t="s">
        <v>64</v>
      </c>
      <c r="I2236" s="3" t="s">
        <v>64</v>
      </c>
      <c r="J2236" s="3" t="s">
        <v>64</v>
      </c>
      <c r="K2236" s="3" t="s">
        <v>65</v>
      </c>
      <c r="M2236" s="2" t="s">
        <v>6841</v>
      </c>
      <c r="N2236" s="3" t="s">
        <v>377</v>
      </c>
      <c r="P2236" s="3" t="s">
        <v>69</v>
      </c>
      <c r="Q2236" s="2" t="s">
        <v>23181</v>
      </c>
      <c r="R2236" s="3" t="s">
        <v>22947</v>
      </c>
      <c r="S2236" s="4">
        <v>0</v>
      </c>
      <c r="T2236" s="4">
        <v>0</v>
      </c>
      <c r="W2236" s="5" t="s">
        <v>72</v>
      </c>
      <c r="X2236" s="5" t="s">
        <v>72</v>
      </c>
      <c r="Y2236" s="4">
        <v>86</v>
      </c>
      <c r="Z2236" s="4">
        <v>6</v>
      </c>
      <c r="AA2236" s="4">
        <v>9</v>
      </c>
      <c r="AB2236" s="4">
        <v>1</v>
      </c>
      <c r="AC2236" s="4">
        <v>1</v>
      </c>
      <c r="AD2236" s="4">
        <v>49</v>
      </c>
      <c r="AE2236" s="4">
        <v>55</v>
      </c>
      <c r="AF2236" s="4">
        <v>0</v>
      </c>
      <c r="AG2236" s="4">
        <v>0</v>
      </c>
      <c r="AH2236" s="4">
        <v>48</v>
      </c>
      <c r="AI2236" s="4">
        <v>52</v>
      </c>
      <c r="AJ2236" s="4">
        <v>4</v>
      </c>
      <c r="AK2236" s="4">
        <v>7</v>
      </c>
      <c r="AL2236" s="4">
        <v>27</v>
      </c>
      <c r="AM2236" s="4">
        <v>28</v>
      </c>
      <c r="AN2236" s="4">
        <v>0</v>
      </c>
      <c r="AO2236" s="4">
        <v>0</v>
      </c>
      <c r="AP2236" s="4">
        <v>4</v>
      </c>
      <c r="AQ2236" s="4">
        <v>7</v>
      </c>
      <c r="AR2236" s="3" t="s">
        <v>64</v>
      </c>
      <c r="AS2236" s="3" t="s">
        <v>64</v>
      </c>
      <c r="AT2236" s="3" t="s">
        <v>64</v>
      </c>
      <c r="AV2236" s="6" t="str">
        <f>HYPERLINK("http://mcgill.on.worldcat.org/oclc/781279072","Catalog Record")</f>
        <v>Catalog Record</v>
      </c>
      <c r="AW2236" s="6" t="str">
        <f>HYPERLINK("http://www.worldcat.org/oclc/781279072","WorldCat Record")</f>
        <v>WorldCat Record</v>
      </c>
      <c r="AX2236" s="3" t="s">
        <v>23182</v>
      </c>
      <c r="AY2236" s="3" t="s">
        <v>23183</v>
      </c>
      <c r="AZ2236" s="3" t="s">
        <v>23184</v>
      </c>
      <c r="BA2236" s="3" t="s">
        <v>23184</v>
      </c>
      <c r="BB2236" s="3" t="s">
        <v>23185</v>
      </c>
      <c r="BC2236" s="3" t="s">
        <v>78</v>
      </c>
      <c r="BD2236" s="3" t="s">
        <v>79</v>
      </c>
      <c r="BE2236" s="3" t="s">
        <v>23186</v>
      </c>
      <c r="BF2236" s="3" t="s">
        <v>23185</v>
      </c>
      <c r="BG2236" s="3" t="s">
        <v>23187</v>
      </c>
    </row>
    <row r="2237" spans="1:59" ht="58" x14ac:dyDescent="0.35">
      <c r="A2237" s="2" t="s">
        <v>59</v>
      </c>
      <c r="B2237" s="2" t="s">
        <v>94</v>
      </c>
      <c r="C2237" s="2" t="s">
        <v>23188</v>
      </c>
      <c r="D2237" s="2" t="s">
        <v>23189</v>
      </c>
      <c r="E2237" s="2" t="s">
        <v>23190</v>
      </c>
      <c r="G2237" s="3" t="s">
        <v>64</v>
      </c>
      <c r="I2237" s="3" t="s">
        <v>64</v>
      </c>
      <c r="J2237" s="3" t="s">
        <v>64</v>
      </c>
      <c r="K2237" s="3" t="s">
        <v>65</v>
      </c>
      <c r="L2237" s="2" t="s">
        <v>19208</v>
      </c>
      <c r="M2237" s="2" t="s">
        <v>1927</v>
      </c>
      <c r="N2237" s="3" t="s">
        <v>328</v>
      </c>
      <c r="O2237" s="2" t="s">
        <v>1294</v>
      </c>
      <c r="P2237" s="3" t="s">
        <v>69</v>
      </c>
      <c r="Q2237" s="2" t="s">
        <v>23191</v>
      </c>
      <c r="R2237" s="3" t="s">
        <v>22947</v>
      </c>
      <c r="S2237" s="4">
        <v>0</v>
      </c>
      <c r="T2237" s="4">
        <v>0</v>
      </c>
      <c r="W2237" s="5" t="s">
        <v>72</v>
      </c>
      <c r="X2237" s="5" t="s">
        <v>72</v>
      </c>
      <c r="Y2237" s="4">
        <v>386</v>
      </c>
      <c r="Z2237" s="4">
        <v>6</v>
      </c>
      <c r="AA2237" s="4">
        <v>8</v>
      </c>
      <c r="AB2237" s="4">
        <v>1</v>
      </c>
      <c r="AC2237" s="4">
        <v>3</v>
      </c>
      <c r="AD2237" s="4">
        <v>27</v>
      </c>
      <c r="AE2237" s="4">
        <v>27</v>
      </c>
      <c r="AF2237" s="4">
        <v>0</v>
      </c>
      <c r="AG2237" s="4">
        <v>0</v>
      </c>
      <c r="AH2237" s="4">
        <v>23</v>
      </c>
      <c r="AI2237" s="4">
        <v>23</v>
      </c>
      <c r="AJ2237" s="4">
        <v>1</v>
      </c>
      <c r="AK2237" s="4">
        <v>1</v>
      </c>
      <c r="AL2237" s="4">
        <v>14</v>
      </c>
      <c r="AM2237" s="4">
        <v>14</v>
      </c>
      <c r="AN2237" s="4">
        <v>0</v>
      </c>
      <c r="AO2237" s="4">
        <v>0</v>
      </c>
      <c r="AP2237" s="4">
        <v>5</v>
      </c>
      <c r="AQ2237" s="4">
        <v>5</v>
      </c>
      <c r="AR2237" s="3" t="s">
        <v>64</v>
      </c>
      <c r="AS2237" s="3" t="s">
        <v>64</v>
      </c>
      <c r="AT2237" s="3" t="s">
        <v>64</v>
      </c>
      <c r="AV2237" s="6" t="str">
        <f>HYPERLINK("http://mcgill.on.worldcat.org/oclc/607975736","Catalog Record")</f>
        <v>Catalog Record</v>
      </c>
      <c r="AW2237" s="6" t="str">
        <f>HYPERLINK("http://www.worldcat.org/oclc/607975736","WorldCat Record")</f>
        <v>WorldCat Record</v>
      </c>
      <c r="AX2237" s="3" t="s">
        <v>23192</v>
      </c>
      <c r="AY2237" s="3" t="s">
        <v>23193</v>
      </c>
      <c r="AZ2237" s="3" t="s">
        <v>23194</v>
      </c>
      <c r="BA2237" s="3" t="s">
        <v>23194</v>
      </c>
      <c r="BB2237" s="3" t="s">
        <v>23195</v>
      </c>
      <c r="BC2237" s="3" t="s">
        <v>78</v>
      </c>
      <c r="BD2237" s="3" t="s">
        <v>79</v>
      </c>
      <c r="BE2237" s="3" t="s">
        <v>23196</v>
      </c>
      <c r="BF2237" s="3" t="s">
        <v>23195</v>
      </c>
      <c r="BG2237" s="3" t="s">
        <v>23197</v>
      </c>
    </row>
    <row r="2238" spans="1:59" ht="58" x14ac:dyDescent="0.35">
      <c r="A2238" s="2" t="s">
        <v>59</v>
      </c>
      <c r="B2238" s="2" t="s">
        <v>94</v>
      </c>
      <c r="C2238" s="2" t="s">
        <v>23198</v>
      </c>
      <c r="D2238" s="2" t="s">
        <v>23199</v>
      </c>
      <c r="E2238" s="2" t="s">
        <v>23200</v>
      </c>
      <c r="F2238" s="3" t="s">
        <v>22011</v>
      </c>
      <c r="G2238" s="3" t="s">
        <v>64</v>
      </c>
      <c r="I2238" s="3" t="s">
        <v>64</v>
      </c>
      <c r="J2238" s="3" t="s">
        <v>64</v>
      </c>
      <c r="K2238" s="3" t="s">
        <v>65</v>
      </c>
      <c r="M2238" s="2" t="s">
        <v>5100</v>
      </c>
      <c r="N2238" s="3" t="s">
        <v>328</v>
      </c>
      <c r="P2238" s="3" t="s">
        <v>69</v>
      </c>
      <c r="Q2238" s="2" t="s">
        <v>23201</v>
      </c>
      <c r="R2238" s="3" t="s">
        <v>22947</v>
      </c>
      <c r="S2238" s="4">
        <v>0</v>
      </c>
      <c r="T2238" s="4">
        <v>0</v>
      </c>
      <c r="W2238" s="5" t="s">
        <v>72</v>
      </c>
      <c r="X2238" s="5" t="s">
        <v>72</v>
      </c>
      <c r="Y2238" s="4">
        <v>92</v>
      </c>
      <c r="Z2238" s="4">
        <v>4</v>
      </c>
      <c r="AA2238" s="4">
        <v>6</v>
      </c>
      <c r="AB2238" s="4">
        <v>1</v>
      </c>
      <c r="AC2238" s="4">
        <v>1</v>
      </c>
      <c r="AD2238" s="4">
        <v>46</v>
      </c>
      <c r="AE2238" s="4">
        <v>51</v>
      </c>
      <c r="AF2238" s="4">
        <v>0</v>
      </c>
      <c r="AG2238" s="4">
        <v>0</v>
      </c>
      <c r="AH2238" s="4">
        <v>45</v>
      </c>
      <c r="AI2238" s="4">
        <v>49</v>
      </c>
      <c r="AJ2238" s="4">
        <v>2</v>
      </c>
      <c r="AK2238" s="4">
        <v>4</v>
      </c>
      <c r="AL2238" s="4">
        <v>26</v>
      </c>
      <c r="AM2238" s="4">
        <v>27</v>
      </c>
      <c r="AN2238" s="4">
        <v>0</v>
      </c>
      <c r="AO2238" s="4">
        <v>0</v>
      </c>
      <c r="AP2238" s="4">
        <v>2</v>
      </c>
      <c r="AQ2238" s="4">
        <v>4</v>
      </c>
      <c r="AR2238" s="3" t="s">
        <v>64</v>
      </c>
      <c r="AS2238" s="3" t="s">
        <v>64</v>
      </c>
      <c r="AT2238" s="3" t="s">
        <v>64</v>
      </c>
      <c r="AV2238" s="6" t="str">
        <f>HYPERLINK("http://mcgill.on.worldcat.org/oclc/758845998","Catalog Record")</f>
        <v>Catalog Record</v>
      </c>
      <c r="AW2238" s="6" t="str">
        <f>HYPERLINK("http://www.worldcat.org/oclc/758845998","WorldCat Record")</f>
        <v>WorldCat Record</v>
      </c>
      <c r="AX2238" s="3" t="s">
        <v>23202</v>
      </c>
      <c r="AY2238" s="3" t="s">
        <v>23203</v>
      </c>
      <c r="AZ2238" s="3" t="s">
        <v>23204</v>
      </c>
      <c r="BA2238" s="3" t="s">
        <v>23204</v>
      </c>
      <c r="BB2238" s="3" t="s">
        <v>23205</v>
      </c>
      <c r="BC2238" s="3" t="s">
        <v>78</v>
      </c>
      <c r="BD2238" s="3" t="s">
        <v>79</v>
      </c>
      <c r="BE2238" s="3" t="s">
        <v>23206</v>
      </c>
      <c r="BF2238" s="3" t="s">
        <v>23205</v>
      </c>
      <c r="BG2238" s="3" t="s">
        <v>23207</v>
      </c>
    </row>
    <row r="2239" spans="1:59" ht="58" x14ac:dyDescent="0.35">
      <c r="A2239" s="2" t="s">
        <v>59</v>
      </c>
      <c r="B2239" s="2" t="s">
        <v>94</v>
      </c>
      <c r="C2239" s="2" t="s">
        <v>23208</v>
      </c>
      <c r="D2239" s="2" t="s">
        <v>23209</v>
      </c>
      <c r="E2239" s="2" t="s">
        <v>23210</v>
      </c>
      <c r="G2239" s="3" t="s">
        <v>64</v>
      </c>
      <c r="I2239" s="3" t="s">
        <v>73</v>
      </c>
      <c r="J2239" s="3" t="s">
        <v>64</v>
      </c>
      <c r="K2239" s="3" t="s">
        <v>65</v>
      </c>
      <c r="L2239" s="2" t="s">
        <v>23211</v>
      </c>
      <c r="M2239" s="2" t="s">
        <v>23212</v>
      </c>
      <c r="N2239" s="3" t="s">
        <v>473</v>
      </c>
      <c r="P2239" s="3" t="s">
        <v>69</v>
      </c>
      <c r="R2239" s="3" t="s">
        <v>22947</v>
      </c>
      <c r="S2239" s="4">
        <v>20</v>
      </c>
      <c r="T2239" s="4">
        <v>42</v>
      </c>
      <c r="U2239" s="5" t="s">
        <v>23213</v>
      </c>
      <c r="V2239" s="5" t="s">
        <v>23213</v>
      </c>
      <c r="W2239" s="5" t="s">
        <v>72</v>
      </c>
      <c r="X2239" s="5" t="s">
        <v>72</v>
      </c>
      <c r="Y2239" s="4">
        <v>237</v>
      </c>
      <c r="Z2239" s="4">
        <v>51</v>
      </c>
      <c r="AA2239" s="4">
        <v>134</v>
      </c>
      <c r="AB2239" s="4">
        <v>3</v>
      </c>
      <c r="AC2239" s="4">
        <v>23</v>
      </c>
      <c r="AD2239" s="4">
        <v>99</v>
      </c>
      <c r="AE2239" s="4">
        <v>139</v>
      </c>
      <c r="AF2239" s="4">
        <v>1</v>
      </c>
      <c r="AG2239" s="4">
        <v>9</v>
      </c>
      <c r="AH2239" s="4">
        <v>73</v>
      </c>
      <c r="AI2239" s="4">
        <v>87</v>
      </c>
      <c r="AJ2239" s="4">
        <v>18</v>
      </c>
      <c r="AK2239" s="4">
        <v>29</v>
      </c>
      <c r="AL2239" s="4">
        <v>41</v>
      </c>
      <c r="AM2239" s="4">
        <v>48</v>
      </c>
      <c r="AN2239" s="4">
        <v>0</v>
      </c>
      <c r="AO2239" s="4">
        <v>0</v>
      </c>
      <c r="AP2239" s="4">
        <v>32</v>
      </c>
      <c r="AQ2239" s="4">
        <v>60</v>
      </c>
      <c r="AR2239" s="3" t="s">
        <v>73</v>
      </c>
      <c r="AS2239" s="3" t="s">
        <v>64</v>
      </c>
      <c r="AT2239" s="3" t="s">
        <v>64</v>
      </c>
      <c r="AV2239" s="6" t="str">
        <f>HYPERLINK("http://mcgill.on.worldcat.org/oclc/26094763","Catalog Record")</f>
        <v>Catalog Record</v>
      </c>
      <c r="AW2239" s="6" t="str">
        <f>HYPERLINK("http://www.worldcat.org/oclc/26094763","WorldCat Record")</f>
        <v>WorldCat Record</v>
      </c>
      <c r="AX2239" s="3" t="s">
        <v>23214</v>
      </c>
      <c r="AY2239" s="3" t="s">
        <v>23215</v>
      </c>
      <c r="AZ2239" s="3" t="s">
        <v>23216</v>
      </c>
      <c r="BA2239" s="3" t="s">
        <v>23216</v>
      </c>
      <c r="BB2239" s="3" t="s">
        <v>23217</v>
      </c>
      <c r="BC2239" s="3" t="s">
        <v>78</v>
      </c>
      <c r="BD2239" s="3" t="s">
        <v>79</v>
      </c>
      <c r="BE2239" s="3" t="s">
        <v>23218</v>
      </c>
      <c r="BF2239" s="3" t="s">
        <v>23217</v>
      </c>
      <c r="BG2239" s="3" t="s">
        <v>23219</v>
      </c>
    </row>
    <row r="2240" spans="1:59" ht="58" x14ac:dyDescent="0.35">
      <c r="A2240" s="2" t="s">
        <v>59</v>
      </c>
      <c r="B2240" s="2" t="s">
        <v>94</v>
      </c>
      <c r="C2240" s="2" t="s">
        <v>23208</v>
      </c>
      <c r="D2240" s="2" t="s">
        <v>23209</v>
      </c>
      <c r="E2240" s="2" t="s">
        <v>23210</v>
      </c>
      <c r="G2240" s="3" t="s">
        <v>64</v>
      </c>
      <c r="I2240" s="3" t="s">
        <v>73</v>
      </c>
      <c r="J2240" s="3" t="s">
        <v>64</v>
      </c>
      <c r="K2240" s="3" t="s">
        <v>65</v>
      </c>
      <c r="L2240" s="2" t="s">
        <v>23211</v>
      </c>
      <c r="M2240" s="2" t="s">
        <v>23212</v>
      </c>
      <c r="N2240" s="3" t="s">
        <v>473</v>
      </c>
      <c r="P2240" s="3" t="s">
        <v>69</v>
      </c>
      <c r="R2240" s="3" t="s">
        <v>22947</v>
      </c>
      <c r="S2240" s="4">
        <v>17</v>
      </c>
      <c r="T2240" s="4">
        <v>42</v>
      </c>
      <c r="U2240" s="5" t="s">
        <v>23220</v>
      </c>
      <c r="V2240" s="5" t="s">
        <v>23213</v>
      </c>
      <c r="W2240" s="5" t="s">
        <v>72</v>
      </c>
      <c r="X2240" s="5" t="s">
        <v>72</v>
      </c>
      <c r="Y2240" s="4">
        <v>237</v>
      </c>
      <c r="Z2240" s="4">
        <v>51</v>
      </c>
      <c r="AA2240" s="4">
        <v>134</v>
      </c>
      <c r="AB2240" s="4">
        <v>3</v>
      </c>
      <c r="AC2240" s="4">
        <v>23</v>
      </c>
      <c r="AD2240" s="4">
        <v>99</v>
      </c>
      <c r="AE2240" s="4">
        <v>139</v>
      </c>
      <c r="AF2240" s="4">
        <v>1</v>
      </c>
      <c r="AG2240" s="4">
        <v>9</v>
      </c>
      <c r="AH2240" s="4">
        <v>73</v>
      </c>
      <c r="AI2240" s="4">
        <v>87</v>
      </c>
      <c r="AJ2240" s="4">
        <v>18</v>
      </c>
      <c r="AK2240" s="4">
        <v>29</v>
      </c>
      <c r="AL2240" s="4">
        <v>41</v>
      </c>
      <c r="AM2240" s="4">
        <v>48</v>
      </c>
      <c r="AN2240" s="4">
        <v>0</v>
      </c>
      <c r="AO2240" s="4">
        <v>0</v>
      </c>
      <c r="AP2240" s="4">
        <v>32</v>
      </c>
      <c r="AQ2240" s="4">
        <v>60</v>
      </c>
      <c r="AR2240" s="3" t="s">
        <v>73</v>
      </c>
      <c r="AS2240" s="3" t="s">
        <v>64</v>
      </c>
      <c r="AT2240" s="3" t="s">
        <v>64</v>
      </c>
      <c r="AV2240" s="6" t="str">
        <f>HYPERLINK("http://mcgill.on.worldcat.org/oclc/26094763","Catalog Record")</f>
        <v>Catalog Record</v>
      </c>
      <c r="AW2240" s="6" t="str">
        <f>HYPERLINK("http://www.worldcat.org/oclc/26094763","WorldCat Record")</f>
        <v>WorldCat Record</v>
      </c>
      <c r="AX2240" s="3" t="s">
        <v>23214</v>
      </c>
      <c r="AY2240" s="3" t="s">
        <v>23215</v>
      </c>
      <c r="AZ2240" s="3" t="s">
        <v>23216</v>
      </c>
      <c r="BA2240" s="3" t="s">
        <v>23216</v>
      </c>
      <c r="BB2240" s="3" t="s">
        <v>23221</v>
      </c>
      <c r="BC2240" s="3" t="s">
        <v>78</v>
      </c>
      <c r="BD2240" s="3" t="s">
        <v>79</v>
      </c>
      <c r="BE2240" s="3" t="s">
        <v>23218</v>
      </c>
      <c r="BF2240" s="3" t="s">
        <v>23221</v>
      </c>
      <c r="BG2240" s="3" t="s">
        <v>23222</v>
      </c>
    </row>
    <row r="2241" spans="1:59" ht="58" x14ac:dyDescent="0.35">
      <c r="A2241" s="2" t="s">
        <v>59</v>
      </c>
      <c r="B2241" s="2" t="s">
        <v>94</v>
      </c>
      <c r="C2241" s="2" t="s">
        <v>23223</v>
      </c>
      <c r="D2241" s="2" t="s">
        <v>23224</v>
      </c>
      <c r="E2241" s="2" t="s">
        <v>23225</v>
      </c>
      <c r="G2241" s="3" t="s">
        <v>64</v>
      </c>
      <c r="I2241" s="3" t="s">
        <v>64</v>
      </c>
      <c r="J2241" s="3" t="s">
        <v>64</v>
      </c>
      <c r="K2241" s="3" t="s">
        <v>65</v>
      </c>
      <c r="L2241" s="2" t="s">
        <v>23226</v>
      </c>
      <c r="M2241" s="2" t="s">
        <v>23227</v>
      </c>
      <c r="N2241" s="3" t="s">
        <v>328</v>
      </c>
      <c r="P2241" s="3" t="s">
        <v>69</v>
      </c>
      <c r="Q2241" s="2" t="s">
        <v>16875</v>
      </c>
      <c r="R2241" s="3" t="s">
        <v>22947</v>
      </c>
      <c r="S2241" s="4">
        <v>2</v>
      </c>
      <c r="T2241" s="4">
        <v>2</v>
      </c>
      <c r="U2241" s="5" t="s">
        <v>23228</v>
      </c>
      <c r="V2241" s="5" t="s">
        <v>23228</v>
      </c>
      <c r="W2241" s="5" t="s">
        <v>72</v>
      </c>
      <c r="X2241" s="5" t="s">
        <v>72</v>
      </c>
      <c r="Y2241" s="4">
        <v>113</v>
      </c>
      <c r="Z2241" s="4">
        <v>58</v>
      </c>
      <c r="AA2241" s="4">
        <v>81</v>
      </c>
      <c r="AB2241" s="4">
        <v>3</v>
      </c>
      <c r="AC2241" s="4">
        <v>10</v>
      </c>
      <c r="AD2241" s="4">
        <v>66</v>
      </c>
      <c r="AE2241" s="4">
        <v>94</v>
      </c>
      <c r="AF2241" s="4">
        <v>2</v>
      </c>
      <c r="AG2241" s="4">
        <v>6</v>
      </c>
      <c r="AH2241" s="4">
        <v>37</v>
      </c>
      <c r="AI2241" s="4">
        <v>55</v>
      </c>
      <c r="AJ2241" s="4">
        <v>24</v>
      </c>
      <c r="AK2241" s="4">
        <v>28</v>
      </c>
      <c r="AL2241" s="4">
        <v>20</v>
      </c>
      <c r="AM2241" s="4">
        <v>30</v>
      </c>
      <c r="AN2241" s="4">
        <v>0</v>
      </c>
      <c r="AO2241" s="4">
        <v>0</v>
      </c>
      <c r="AP2241" s="4">
        <v>38</v>
      </c>
      <c r="AQ2241" s="4">
        <v>47</v>
      </c>
      <c r="AR2241" s="3" t="s">
        <v>73</v>
      </c>
      <c r="AS2241" s="3" t="s">
        <v>64</v>
      </c>
      <c r="AT2241" s="3" t="s">
        <v>64</v>
      </c>
      <c r="AV2241" s="6" t="str">
        <f>HYPERLINK("http://mcgill.on.worldcat.org/oclc/694225424","Catalog Record")</f>
        <v>Catalog Record</v>
      </c>
      <c r="AW2241" s="6" t="str">
        <f>HYPERLINK("http://www.worldcat.org/oclc/694225424","WorldCat Record")</f>
        <v>WorldCat Record</v>
      </c>
      <c r="AX2241" s="3" t="s">
        <v>23229</v>
      </c>
      <c r="AY2241" s="3" t="s">
        <v>23230</v>
      </c>
      <c r="AZ2241" s="3" t="s">
        <v>23231</v>
      </c>
      <c r="BA2241" s="3" t="s">
        <v>23231</v>
      </c>
      <c r="BB2241" s="3" t="s">
        <v>23232</v>
      </c>
      <c r="BC2241" s="3" t="s">
        <v>78</v>
      </c>
      <c r="BD2241" s="3" t="s">
        <v>79</v>
      </c>
      <c r="BE2241" s="3" t="s">
        <v>23233</v>
      </c>
      <c r="BF2241" s="3" t="s">
        <v>23232</v>
      </c>
      <c r="BG2241" s="3" t="s">
        <v>23234</v>
      </c>
    </row>
    <row r="2242" spans="1:59" ht="58" x14ac:dyDescent="0.35">
      <c r="A2242" s="2" t="s">
        <v>59</v>
      </c>
      <c r="B2242" s="2" t="s">
        <v>94</v>
      </c>
      <c r="C2242" s="2" t="s">
        <v>23235</v>
      </c>
      <c r="D2242" s="2" t="s">
        <v>23236</v>
      </c>
      <c r="E2242" s="2" t="s">
        <v>23237</v>
      </c>
      <c r="G2242" s="3" t="s">
        <v>64</v>
      </c>
      <c r="I2242" s="3" t="s">
        <v>64</v>
      </c>
      <c r="J2242" s="3" t="s">
        <v>64</v>
      </c>
      <c r="K2242" s="3" t="s">
        <v>65</v>
      </c>
      <c r="L2242" s="2" t="s">
        <v>23238</v>
      </c>
      <c r="M2242" s="2" t="s">
        <v>18901</v>
      </c>
      <c r="N2242" s="3" t="s">
        <v>524</v>
      </c>
      <c r="P2242" s="3" t="s">
        <v>69</v>
      </c>
      <c r="R2242" s="3" t="s">
        <v>22947</v>
      </c>
      <c r="S2242" s="4">
        <v>2</v>
      </c>
      <c r="T2242" s="4">
        <v>2</v>
      </c>
      <c r="U2242" s="5" t="s">
        <v>7740</v>
      </c>
      <c r="V2242" s="5" t="s">
        <v>7740</v>
      </c>
      <c r="W2242" s="5" t="s">
        <v>72</v>
      </c>
      <c r="X2242" s="5" t="s">
        <v>72</v>
      </c>
      <c r="Y2242" s="4">
        <v>67</v>
      </c>
      <c r="Z2242" s="4">
        <v>4</v>
      </c>
      <c r="AA2242" s="4">
        <v>103</v>
      </c>
      <c r="AB2242" s="4">
        <v>1</v>
      </c>
      <c r="AC2242" s="4">
        <v>17</v>
      </c>
      <c r="AD2242" s="4">
        <v>41</v>
      </c>
      <c r="AE2242" s="4">
        <v>131</v>
      </c>
      <c r="AF2242" s="4">
        <v>0</v>
      </c>
      <c r="AG2242" s="4">
        <v>8</v>
      </c>
      <c r="AH2242" s="4">
        <v>40</v>
      </c>
      <c r="AI2242" s="4">
        <v>91</v>
      </c>
      <c r="AJ2242" s="4">
        <v>3</v>
      </c>
      <c r="AK2242" s="4">
        <v>21</v>
      </c>
      <c r="AL2242" s="4">
        <v>21</v>
      </c>
      <c r="AM2242" s="4">
        <v>46</v>
      </c>
      <c r="AN2242" s="4">
        <v>0</v>
      </c>
      <c r="AO2242" s="4">
        <v>0</v>
      </c>
      <c r="AP2242" s="4">
        <v>3</v>
      </c>
      <c r="AQ2242" s="4">
        <v>44</v>
      </c>
      <c r="AR2242" s="3" t="s">
        <v>64</v>
      </c>
      <c r="AS2242" s="3" t="s">
        <v>64</v>
      </c>
      <c r="AT2242" s="3" t="s">
        <v>64</v>
      </c>
      <c r="AV2242" s="6" t="str">
        <f>HYPERLINK("http://mcgill.on.worldcat.org/oclc/859446786","Catalog Record")</f>
        <v>Catalog Record</v>
      </c>
      <c r="AW2242" s="6" t="str">
        <f>HYPERLINK("http://www.worldcat.org/oclc/859446786","WorldCat Record")</f>
        <v>WorldCat Record</v>
      </c>
      <c r="AX2242" s="3" t="s">
        <v>23239</v>
      </c>
      <c r="AY2242" s="3" t="s">
        <v>23240</v>
      </c>
      <c r="AZ2242" s="3" t="s">
        <v>23241</v>
      </c>
      <c r="BA2242" s="3" t="s">
        <v>23241</v>
      </c>
      <c r="BB2242" s="3" t="s">
        <v>23242</v>
      </c>
      <c r="BC2242" s="3" t="s">
        <v>78</v>
      </c>
      <c r="BD2242" s="3" t="s">
        <v>79</v>
      </c>
      <c r="BE2242" s="3" t="s">
        <v>23243</v>
      </c>
      <c r="BF2242" s="3" t="s">
        <v>23242</v>
      </c>
      <c r="BG2242" s="3" t="s">
        <v>23244</v>
      </c>
    </row>
    <row r="2243" spans="1:59" ht="58" x14ac:dyDescent="0.35">
      <c r="A2243" s="2" t="s">
        <v>59</v>
      </c>
      <c r="B2243" s="2" t="s">
        <v>94</v>
      </c>
      <c r="C2243" s="2" t="s">
        <v>23245</v>
      </c>
      <c r="D2243" s="2" t="s">
        <v>23246</v>
      </c>
      <c r="E2243" s="2" t="s">
        <v>23247</v>
      </c>
      <c r="G2243" s="3" t="s">
        <v>64</v>
      </c>
      <c r="I2243" s="3" t="s">
        <v>64</v>
      </c>
      <c r="J2243" s="3" t="s">
        <v>64</v>
      </c>
      <c r="K2243" s="3" t="s">
        <v>65</v>
      </c>
      <c r="L2243" s="2" t="s">
        <v>23248</v>
      </c>
      <c r="M2243" s="2" t="s">
        <v>23249</v>
      </c>
      <c r="N2243" s="3" t="s">
        <v>2265</v>
      </c>
      <c r="P2243" s="3" t="s">
        <v>69</v>
      </c>
      <c r="R2243" s="3" t="s">
        <v>22947</v>
      </c>
      <c r="S2243" s="4">
        <v>1</v>
      </c>
      <c r="T2243" s="4">
        <v>1</v>
      </c>
      <c r="U2243" s="5" t="s">
        <v>23250</v>
      </c>
      <c r="V2243" s="5" t="s">
        <v>23250</v>
      </c>
      <c r="W2243" s="5" t="s">
        <v>72</v>
      </c>
      <c r="X2243" s="5" t="s">
        <v>72</v>
      </c>
      <c r="Y2243" s="4">
        <v>576</v>
      </c>
      <c r="Z2243" s="4">
        <v>21</v>
      </c>
      <c r="AA2243" s="4">
        <v>23</v>
      </c>
      <c r="AB2243" s="4">
        <v>2</v>
      </c>
      <c r="AC2243" s="4">
        <v>2</v>
      </c>
      <c r="AD2243" s="4">
        <v>109</v>
      </c>
      <c r="AE2243" s="4">
        <v>115</v>
      </c>
      <c r="AF2243" s="4">
        <v>1</v>
      </c>
      <c r="AG2243" s="4">
        <v>1</v>
      </c>
      <c r="AH2243" s="4">
        <v>96</v>
      </c>
      <c r="AI2243" s="4">
        <v>101</v>
      </c>
      <c r="AJ2243" s="4">
        <v>15</v>
      </c>
      <c r="AK2243" s="4">
        <v>17</v>
      </c>
      <c r="AL2243" s="4">
        <v>54</v>
      </c>
      <c r="AM2243" s="4">
        <v>55</v>
      </c>
      <c r="AN2243" s="4">
        <v>0</v>
      </c>
      <c r="AO2243" s="4">
        <v>0</v>
      </c>
      <c r="AP2243" s="4">
        <v>17</v>
      </c>
      <c r="AQ2243" s="4">
        <v>19</v>
      </c>
      <c r="AR2243" s="3" t="s">
        <v>64</v>
      </c>
      <c r="AS2243" s="3" t="s">
        <v>64</v>
      </c>
      <c r="AT2243" s="3" t="s">
        <v>73</v>
      </c>
      <c r="AU2243" s="6" t="str">
        <f>HYPERLINK("http://catalog.hathitrust.org/Record/001622550","HathiTrust Record")</f>
        <v>HathiTrust Record</v>
      </c>
      <c r="AV2243" s="6" t="str">
        <f>HYPERLINK("http://mcgill.on.worldcat.org/oclc/23077","Catalog Record")</f>
        <v>Catalog Record</v>
      </c>
      <c r="AW2243" s="6" t="str">
        <f>HYPERLINK("http://www.worldcat.org/oclc/23077","WorldCat Record")</f>
        <v>WorldCat Record</v>
      </c>
      <c r="AX2243" s="3" t="s">
        <v>23251</v>
      </c>
      <c r="AY2243" s="3" t="s">
        <v>23252</v>
      </c>
      <c r="AZ2243" s="3" t="s">
        <v>23253</v>
      </c>
      <c r="BA2243" s="3" t="s">
        <v>23253</v>
      </c>
      <c r="BB2243" s="3" t="s">
        <v>23254</v>
      </c>
      <c r="BC2243" s="3" t="s">
        <v>78</v>
      </c>
      <c r="BD2243" s="3" t="s">
        <v>79</v>
      </c>
      <c r="BE2243" s="3" t="s">
        <v>23255</v>
      </c>
      <c r="BF2243" s="3" t="s">
        <v>23254</v>
      </c>
      <c r="BG2243" s="3" t="s">
        <v>23256</v>
      </c>
    </row>
    <row r="2244" spans="1:59" ht="72.5" x14ac:dyDescent="0.35">
      <c r="A2244" s="2" t="s">
        <v>59</v>
      </c>
      <c r="B2244" s="2" t="s">
        <v>94</v>
      </c>
      <c r="C2244" s="2" t="s">
        <v>23257</v>
      </c>
      <c r="D2244" s="2" t="s">
        <v>23258</v>
      </c>
      <c r="E2244" s="2" t="s">
        <v>23259</v>
      </c>
      <c r="G2244" s="3" t="s">
        <v>64</v>
      </c>
      <c r="I2244" s="3" t="s">
        <v>64</v>
      </c>
      <c r="J2244" s="3" t="s">
        <v>64</v>
      </c>
      <c r="K2244" s="3" t="s">
        <v>65</v>
      </c>
      <c r="L2244" s="2" t="s">
        <v>21930</v>
      </c>
      <c r="M2244" s="2" t="s">
        <v>7151</v>
      </c>
      <c r="N2244" s="3" t="s">
        <v>524</v>
      </c>
      <c r="P2244" s="3" t="s">
        <v>69</v>
      </c>
      <c r="Q2244" s="2" t="s">
        <v>23260</v>
      </c>
      <c r="R2244" s="3" t="s">
        <v>22947</v>
      </c>
      <c r="S2244" s="4">
        <v>1</v>
      </c>
      <c r="T2244" s="4">
        <v>1</v>
      </c>
      <c r="W2244" s="5" t="s">
        <v>72</v>
      </c>
      <c r="X2244" s="5" t="s">
        <v>72</v>
      </c>
      <c r="Y2244" s="4">
        <v>74</v>
      </c>
      <c r="Z2244" s="4">
        <v>6</v>
      </c>
      <c r="AA2244" s="4">
        <v>34</v>
      </c>
      <c r="AB2244" s="4">
        <v>1</v>
      </c>
      <c r="AC2244" s="4">
        <v>6</v>
      </c>
      <c r="AD2244" s="4">
        <v>44</v>
      </c>
      <c r="AE2244" s="4">
        <v>95</v>
      </c>
      <c r="AF2244" s="4">
        <v>0</v>
      </c>
      <c r="AG2244" s="4">
        <v>2</v>
      </c>
      <c r="AH2244" s="4">
        <v>43</v>
      </c>
      <c r="AI2244" s="4">
        <v>78</v>
      </c>
      <c r="AJ2244" s="4">
        <v>4</v>
      </c>
      <c r="AK2244" s="4">
        <v>14</v>
      </c>
      <c r="AL2244" s="4">
        <v>22</v>
      </c>
      <c r="AM2244" s="4">
        <v>41</v>
      </c>
      <c r="AN2244" s="4">
        <v>0</v>
      </c>
      <c r="AO2244" s="4">
        <v>0</v>
      </c>
      <c r="AP2244" s="4">
        <v>4</v>
      </c>
      <c r="AQ2244" s="4">
        <v>24</v>
      </c>
      <c r="AR2244" s="3" t="s">
        <v>64</v>
      </c>
      <c r="AS2244" s="3" t="s">
        <v>64</v>
      </c>
      <c r="AT2244" s="3" t="s">
        <v>64</v>
      </c>
      <c r="AV2244" s="6" t="str">
        <f>HYPERLINK("http://mcgill.on.worldcat.org/oclc/858777970","Catalog Record")</f>
        <v>Catalog Record</v>
      </c>
      <c r="AW2244" s="6" t="str">
        <f>HYPERLINK("http://www.worldcat.org/oclc/858777970","WorldCat Record")</f>
        <v>WorldCat Record</v>
      </c>
      <c r="AX2244" s="3" t="s">
        <v>23261</v>
      </c>
      <c r="AY2244" s="3" t="s">
        <v>23262</v>
      </c>
      <c r="AZ2244" s="3" t="s">
        <v>23263</v>
      </c>
      <c r="BA2244" s="3" t="s">
        <v>23263</v>
      </c>
      <c r="BB2244" s="3" t="s">
        <v>23264</v>
      </c>
      <c r="BC2244" s="3" t="s">
        <v>78</v>
      </c>
      <c r="BD2244" s="3" t="s">
        <v>414</v>
      </c>
      <c r="BE2244" s="3" t="s">
        <v>23265</v>
      </c>
      <c r="BF2244" s="3" t="s">
        <v>23264</v>
      </c>
      <c r="BG2244" s="3" t="s">
        <v>23266</v>
      </c>
    </row>
    <row r="2245" spans="1:59" ht="72.5" x14ac:dyDescent="0.35">
      <c r="A2245" s="2" t="s">
        <v>59</v>
      </c>
      <c r="B2245" s="2" t="s">
        <v>94</v>
      </c>
      <c r="C2245" s="2" t="s">
        <v>23267</v>
      </c>
      <c r="D2245" s="2" t="s">
        <v>23268</v>
      </c>
      <c r="E2245" s="2" t="s">
        <v>23269</v>
      </c>
      <c r="G2245" s="3" t="s">
        <v>64</v>
      </c>
      <c r="I2245" s="3" t="s">
        <v>64</v>
      </c>
      <c r="J2245" s="3" t="s">
        <v>64</v>
      </c>
      <c r="K2245" s="3" t="s">
        <v>65</v>
      </c>
      <c r="L2245" s="2" t="s">
        <v>23270</v>
      </c>
      <c r="M2245" s="2" t="s">
        <v>23271</v>
      </c>
      <c r="N2245" s="3" t="s">
        <v>486</v>
      </c>
      <c r="P2245" s="3" t="s">
        <v>69</v>
      </c>
      <c r="R2245" s="3" t="s">
        <v>70</v>
      </c>
      <c r="S2245" s="4">
        <v>19</v>
      </c>
      <c r="T2245" s="4">
        <v>19</v>
      </c>
      <c r="U2245" s="5" t="s">
        <v>1598</v>
      </c>
      <c r="V2245" s="5" t="s">
        <v>1598</v>
      </c>
      <c r="W2245" s="5" t="s">
        <v>72</v>
      </c>
      <c r="X2245" s="5" t="s">
        <v>72</v>
      </c>
      <c r="Y2245" s="4">
        <v>234</v>
      </c>
      <c r="Z2245" s="4">
        <v>18</v>
      </c>
      <c r="AA2245" s="4">
        <v>52</v>
      </c>
      <c r="AB2245" s="4">
        <v>1</v>
      </c>
      <c r="AC2245" s="4">
        <v>5</v>
      </c>
      <c r="AD2245" s="4">
        <v>37</v>
      </c>
      <c r="AE2245" s="4">
        <v>112</v>
      </c>
      <c r="AF2245" s="4">
        <v>0</v>
      </c>
      <c r="AG2245" s="4">
        <v>2</v>
      </c>
      <c r="AH2245" s="4">
        <v>34</v>
      </c>
      <c r="AI2245" s="4">
        <v>93</v>
      </c>
      <c r="AJ2245" s="4">
        <v>10</v>
      </c>
      <c r="AK2245" s="4">
        <v>19</v>
      </c>
      <c r="AL2245" s="4">
        <v>18</v>
      </c>
      <c r="AM2245" s="4">
        <v>49</v>
      </c>
      <c r="AN2245" s="4">
        <v>0</v>
      </c>
      <c r="AO2245" s="4">
        <v>0</v>
      </c>
      <c r="AP2245" s="4">
        <v>11</v>
      </c>
      <c r="AQ2245" s="4">
        <v>28</v>
      </c>
      <c r="AR2245" s="3" t="s">
        <v>64</v>
      </c>
      <c r="AS2245" s="3" t="s">
        <v>64</v>
      </c>
      <c r="AT2245" s="3" t="s">
        <v>64</v>
      </c>
      <c r="AV2245" s="6" t="str">
        <f>HYPERLINK("http://mcgill.on.worldcat.org/oclc/7308492","Catalog Record")</f>
        <v>Catalog Record</v>
      </c>
      <c r="AW2245" s="6" t="str">
        <f>HYPERLINK("http://www.worldcat.org/oclc/7308492","WorldCat Record")</f>
        <v>WorldCat Record</v>
      </c>
      <c r="AX2245" s="3" t="s">
        <v>23272</v>
      </c>
      <c r="AY2245" s="3" t="s">
        <v>23273</v>
      </c>
      <c r="AZ2245" s="3" t="s">
        <v>23274</v>
      </c>
      <c r="BA2245" s="3" t="s">
        <v>23274</v>
      </c>
      <c r="BB2245" s="3" t="s">
        <v>23275</v>
      </c>
      <c r="BC2245" s="3" t="s">
        <v>78</v>
      </c>
      <c r="BD2245" s="3" t="s">
        <v>79</v>
      </c>
      <c r="BE2245" s="3" t="s">
        <v>23276</v>
      </c>
      <c r="BF2245" s="3" t="s">
        <v>23275</v>
      </c>
      <c r="BG2245" s="3" t="s">
        <v>23277</v>
      </c>
    </row>
    <row r="2246" spans="1:59" ht="58" x14ac:dyDescent="0.35">
      <c r="A2246" s="2" t="s">
        <v>59</v>
      </c>
      <c r="B2246" s="2" t="s">
        <v>94</v>
      </c>
      <c r="C2246" s="2" t="s">
        <v>23278</v>
      </c>
      <c r="D2246" s="2" t="s">
        <v>23279</v>
      </c>
      <c r="E2246" s="2" t="s">
        <v>23280</v>
      </c>
      <c r="F2246" s="3" t="s">
        <v>2228</v>
      </c>
      <c r="G2246" s="3" t="s">
        <v>73</v>
      </c>
      <c r="I2246" s="3" t="s">
        <v>64</v>
      </c>
      <c r="J2246" s="3" t="s">
        <v>64</v>
      </c>
      <c r="K2246" s="3" t="s">
        <v>65</v>
      </c>
      <c r="M2246" s="2" t="s">
        <v>23281</v>
      </c>
      <c r="N2246" s="3" t="s">
        <v>23282</v>
      </c>
      <c r="P2246" s="3" t="s">
        <v>69</v>
      </c>
      <c r="R2246" s="3" t="s">
        <v>19986</v>
      </c>
      <c r="S2246" s="4">
        <v>2</v>
      </c>
      <c r="T2246" s="4">
        <v>4</v>
      </c>
      <c r="U2246" s="5" t="s">
        <v>10868</v>
      </c>
      <c r="V2246" s="5" t="s">
        <v>10868</v>
      </c>
      <c r="W2246" s="5" t="s">
        <v>72</v>
      </c>
      <c r="X2246" s="5" t="s">
        <v>72</v>
      </c>
      <c r="Y2246" s="4">
        <v>24</v>
      </c>
      <c r="Z2246" s="4">
        <v>3</v>
      </c>
      <c r="AA2246" s="4">
        <v>4</v>
      </c>
      <c r="AB2246" s="4">
        <v>1</v>
      </c>
      <c r="AC2246" s="4">
        <v>1</v>
      </c>
      <c r="AD2246" s="4">
        <v>8</v>
      </c>
      <c r="AE2246" s="4">
        <v>10</v>
      </c>
      <c r="AF2246" s="4">
        <v>0</v>
      </c>
      <c r="AG2246" s="4">
        <v>0</v>
      </c>
      <c r="AH2246" s="4">
        <v>7</v>
      </c>
      <c r="AI2246" s="4">
        <v>8</v>
      </c>
      <c r="AJ2246" s="4">
        <v>0</v>
      </c>
      <c r="AK2246" s="4">
        <v>1</v>
      </c>
      <c r="AL2246" s="4">
        <v>5</v>
      </c>
      <c r="AM2246" s="4">
        <v>5</v>
      </c>
      <c r="AN2246" s="4">
        <v>0</v>
      </c>
      <c r="AO2246" s="4">
        <v>0</v>
      </c>
      <c r="AP2246" s="4">
        <v>1</v>
      </c>
      <c r="AQ2246" s="4">
        <v>1</v>
      </c>
      <c r="AR2246" s="3" t="s">
        <v>64</v>
      </c>
      <c r="AS2246" s="3" t="s">
        <v>64</v>
      </c>
      <c r="AT2246" s="3" t="s">
        <v>64</v>
      </c>
      <c r="AU2246" s="6" t="str">
        <f>HYPERLINK("http://catalog.hathitrust.org/Record/000970552","HathiTrust Record")</f>
        <v>HathiTrust Record</v>
      </c>
      <c r="AV2246" s="6" t="str">
        <f>HYPERLINK("http://mcgill.on.worldcat.org/oclc/12961910","Catalog Record")</f>
        <v>Catalog Record</v>
      </c>
      <c r="AW2246" s="6" t="str">
        <f>HYPERLINK("http://www.worldcat.org/oclc/12961910","WorldCat Record")</f>
        <v>WorldCat Record</v>
      </c>
      <c r="AX2246" s="3" t="s">
        <v>23283</v>
      </c>
      <c r="AY2246" s="3" t="s">
        <v>23284</v>
      </c>
      <c r="AZ2246" s="3" t="s">
        <v>23285</v>
      </c>
      <c r="BA2246" s="3" t="s">
        <v>23285</v>
      </c>
      <c r="BB2246" s="3" t="s">
        <v>23286</v>
      </c>
      <c r="BC2246" s="3" t="s">
        <v>78</v>
      </c>
      <c r="BD2246" s="3" t="s">
        <v>79</v>
      </c>
      <c r="BF2246" s="3" t="s">
        <v>23286</v>
      </c>
      <c r="BG2246" s="3" t="s">
        <v>23287</v>
      </c>
    </row>
    <row r="2247" spans="1:59" ht="58" x14ac:dyDescent="0.35">
      <c r="A2247" s="2" t="s">
        <v>59</v>
      </c>
      <c r="B2247" s="2" t="s">
        <v>94</v>
      </c>
      <c r="C2247" s="2" t="s">
        <v>23278</v>
      </c>
      <c r="D2247" s="2" t="s">
        <v>23279</v>
      </c>
      <c r="E2247" s="2" t="s">
        <v>23280</v>
      </c>
      <c r="F2247" s="3" t="s">
        <v>2212</v>
      </c>
      <c r="G2247" s="3" t="s">
        <v>73</v>
      </c>
      <c r="I2247" s="3" t="s">
        <v>64</v>
      </c>
      <c r="J2247" s="3" t="s">
        <v>64</v>
      </c>
      <c r="K2247" s="3" t="s">
        <v>65</v>
      </c>
      <c r="M2247" s="2" t="s">
        <v>23281</v>
      </c>
      <c r="N2247" s="3" t="s">
        <v>23282</v>
      </c>
      <c r="P2247" s="3" t="s">
        <v>69</v>
      </c>
      <c r="R2247" s="3" t="s">
        <v>19986</v>
      </c>
      <c r="S2247" s="4">
        <v>2</v>
      </c>
      <c r="T2247" s="4">
        <v>4</v>
      </c>
      <c r="U2247" s="5" t="s">
        <v>10868</v>
      </c>
      <c r="V2247" s="5" t="s">
        <v>10868</v>
      </c>
      <c r="W2247" s="5" t="s">
        <v>72</v>
      </c>
      <c r="X2247" s="5" t="s">
        <v>72</v>
      </c>
      <c r="Y2247" s="4">
        <v>24</v>
      </c>
      <c r="Z2247" s="4">
        <v>3</v>
      </c>
      <c r="AA2247" s="4">
        <v>4</v>
      </c>
      <c r="AB2247" s="4">
        <v>1</v>
      </c>
      <c r="AC2247" s="4">
        <v>1</v>
      </c>
      <c r="AD2247" s="4">
        <v>8</v>
      </c>
      <c r="AE2247" s="4">
        <v>10</v>
      </c>
      <c r="AF2247" s="4">
        <v>0</v>
      </c>
      <c r="AG2247" s="4">
        <v>0</v>
      </c>
      <c r="AH2247" s="4">
        <v>7</v>
      </c>
      <c r="AI2247" s="4">
        <v>8</v>
      </c>
      <c r="AJ2247" s="4">
        <v>0</v>
      </c>
      <c r="AK2247" s="4">
        <v>1</v>
      </c>
      <c r="AL2247" s="4">
        <v>5</v>
      </c>
      <c r="AM2247" s="4">
        <v>5</v>
      </c>
      <c r="AN2247" s="4">
        <v>0</v>
      </c>
      <c r="AO2247" s="4">
        <v>0</v>
      </c>
      <c r="AP2247" s="4">
        <v>1</v>
      </c>
      <c r="AQ2247" s="4">
        <v>1</v>
      </c>
      <c r="AR2247" s="3" t="s">
        <v>64</v>
      </c>
      <c r="AS2247" s="3" t="s">
        <v>64</v>
      </c>
      <c r="AT2247" s="3" t="s">
        <v>64</v>
      </c>
      <c r="AU2247" s="6" t="str">
        <f>HYPERLINK("http://catalog.hathitrust.org/Record/000970552","HathiTrust Record")</f>
        <v>HathiTrust Record</v>
      </c>
      <c r="AV2247" s="6" t="str">
        <f>HYPERLINK("http://mcgill.on.worldcat.org/oclc/12961910","Catalog Record")</f>
        <v>Catalog Record</v>
      </c>
      <c r="AW2247" s="6" t="str">
        <f>HYPERLINK("http://www.worldcat.org/oclc/12961910","WorldCat Record")</f>
        <v>WorldCat Record</v>
      </c>
      <c r="AX2247" s="3" t="s">
        <v>23283</v>
      </c>
      <c r="AY2247" s="3" t="s">
        <v>23284</v>
      </c>
      <c r="AZ2247" s="3" t="s">
        <v>23285</v>
      </c>
      <c r="BA2247" s="3" t="s">
        <v>23285</v>
      </c>
      <c r="BB2247" s="3" t="s">
        <v>23288</v>
      </c>
      <c r="BC2247" s="3" t="s">
        <v>78</v>
      </c>
      <c r="BD2247" s="3" t="s">
        <v>79</v>
      </c>
      <c r="BF2247" s="3" t="s">
        <v>23288</v>
      </c>
      <c r="BG2247" s="3" t="s">
        <v>23289</v>
      </c>
    </row>
    <row r="2248" spans="1:59" ht="72.5" x14ac:dyDescent="0.35">
      <c r="A2248" s="2" t="s">
        <v>59</v>
      </c>
      <c r="B2248" s="2" t="s">
        <v>60</v>
      </c>
      <c r="C2248" s="2" t="s">
        <v>23290</v>
      </c>
      <c r="D2248" s="2" t="s">
        <v>23291</v>
      </c>
      <c r="E2248" s="2" t="s">
        <v>23292</v>
      </c>
      <c r="G2248" s="3" t="s">
        <v>64</v>
      </c>
      <c r="I2248" s="3" t="s">
        <v>64</v>
      </c>
      <c r="J2248" s="3" t="s">
        <v>64</v>
      </c>
      <c r="K2248" s="3" t="s">
        <v>65</v>
      </c>
      <c r="L2248" s="2" t="s">
        <v>23293</v>
      </c>
      <c r="M2248" s="2" t="s">
        <v>23294</v>
      </c>
      <c r="N2248" s="3" t="s">
        <v>719</v>
      </c>
      <c r="P2248" s="3" t="s">
        <v>4547</v>
      </c>
      <c r="Q2248" s="2" t="s">
        <v>23295</v>
      </c>
      <c r="R2248" s="3" t="s">
        <v>20939</v>
      </c>
      <c r="S2248" s="4">
        <v>2</v>
      </c>
      <c r="T2248" s="4">
        <v>2</v>
      </c>
      <c r="U2248" s="5" t="s">
        <v>2418</v>
      </c>
      <c r="V2248" s="5" t="s">
        <v>2418</v>
      </c>
      <c r="W2248" s="5" t="s">
        <v>72</v>
      </c>
      <c r="X2248" s="5" t="s">
        <v>72</v>
      </c>
      <c r="Y2248" s="4">
        <v>109</v>
      </c>
      <c r="Z2248" s="4">
        <v>4</v>
      </c>
      <c r="AA2248" s="4">
        <v>6</v>
      </c>
      <c r="AB2248" s="4">
        <v>2</v>
      </c>
      <c r="AC2248" s="4">
        <v>4</v>
      </c>
      <c r="AD2248" s="4">
        <v>48</v>
      </c>
      <c r="AE2248" s="4">
        <v>49</v>
      </c>
      <c r="AF2248" s="4">
        <v>0</v>
      </c>
      <c r="AG2248" s="4">
        <v>1</v>
      </c>
      <c r="AH2248" s="4">
        <v>46</v>
      </c>
      <c r="AI2248" s="4">
        <v>46</v>
      </c>
      <c r="AJ2248" s="4">
        <v>2</v>
      </c>
      <c r="AK2248" s="4">
        <v>3</v>
      </c>
      <c r="AL2248" s="4">
        <v>31</v>
      </c>
      <c r="AM2248" s="4">
        <v>31</v>
      </c>
      <c r="AN2248" s="4">
        <v>3</v>
      </c>
      <c r="AO2248" s="4">
        <v>3</v>
      </c>
      <c r="AP2248" s="4">
        <v>2</v>
      </c>
      <c r="AQ2248" s="4">
        <v>2</v>
      </c>
      <c r="AR2248" s="3" t="s">
        <v>64</v>
      </c>
      <c r="AS2248" s="3" t="s">
        <v>64</v>
      </c>
      <c r="AT2248" s="3" t="s">
        <v>73</v>
      </c>
      <c r="AU2248" s="6" t="str">
        <f>HYPERLINK("http://catalog.hathitrust.org/Record/000125194","HathiTrust Record")</f>
        <v>HathiTrust Record</v>
      </c>
      <c r="AV2248" s="6" t="str">
        <f>HYPERLINK("http://mcgill.on.worldcat.org/oclc/12972409","Catalog Record")</f>
        <v>Catalog Record</v>
      </c>
      <c r="AW2248" s="6" t="str">
        <f>HYPERLINK("http://www.worldcat.org/oclc/12972409","WorldCat Record")</f>
        <v>WorldCat Record</v>
      </c>
      <c r="AX2248" s="3" t="s">
        <v>23296</v>
      </c>
      <c r="AY2248" s="3" t="s">
        <v>23297</v>
      </c>
      <c r="AZ2248" s="3" t="s">
        <v>23298</v>
      </c>
      <c r="BA2248" s="3" t="s">
        <v>23298</v>
      </c>
      <c r="BB2248" s="3" t="s">
        <v>23299</v>
      </c>
      <c r="BC2248" s="3" t="s">
        <v>78</v>
      </c>
      <c r="BD2248" s="3" t="s">
        <v>79</v>
      </c>
      <c r="BE2248" s="3" t="s">
        <v>23300</v>
      </c>
      <c r="BF2248" s="3" t="s">
        <v>23299</v>
      </c>
      <c r="BG2248" s="3" t="s">
        <v>23301</v>
      </c>
    </row>
    <row r="2249" spans="1:59" ht="116" x14ac:dyDescent="0.35">
      <c r="A2249" s="2" t="s">
        <v>59</v>
      </c>
      <c r="B2249" s="2" t="s">
        <v>3778</v>
      </c>
      <c r="C2249" s="2" t="s">
        <v>23302</v>
      </c>
      <c r="D2249" s="2" t="s">
        <v>23303</v>
      </c>
      <c r="E2249" s="2" t="s">
        <v>23304</v>
      </c>
      <c r="G2249" s="3" t="s">
        <v>64</v>
      </c>
      <c r="I2249" s="3" t="s">
        <v>64</v>
      </c>
      <c r="J2249" s="3" t="s">
        <v>64</v>
      </c>
      <c r="K2249" s="3" t="s">
        <v>65</v>
      </c>
      <c r="M2249" s="2" t="s">
        <v>23305</v>
      </c>
      <c r="N2249" s="3" t="s">
        <v>87</v>
      </c>
      <c r="O2249" s="2" t="s">
        <v>21151</v>
      </c>
      <c r="P2249" s="3" t="s">
        <v>21152</v>
      </c>
      <c r="R2249" s="3" t="s">
        <v>20939</v>
      </c>
      <c r="S2249" s="4">
        <v>0</v>
      </c>
      <c r="T2249" s="4">
        <v>0</v>
      </c>
      <c r="W2249" s="5" t="s">
        <v>72</v>
      </c>
      <c r="X2249" s="5" t="s">
        <v>72</v>
      </c>
      <c r="Y2249" s="4">
        <v>47</v>
      </c>
      <c r="Z2249" s="4">
        <v>4</v>
      </c>
      <c r="AA2249" s="4">
        <v>4</v>
      </c>
      <c r="AB2249" s="4">
        <v>1</v>
      </c>
      <c r="AC2249" s="4">
        <v>1</v>
      </c>
      <c r="AD2249" s="4">
        <v>35</v>
      </c>
      <c r="AE2249" s="4">
        <v>35</v>
      </c>
      <c r="AF2249" s="4">
        <v>0</v>
      </c>
      <c r="AG2249" s="4">
        <v>0</v>
      </c>
      <c r="AH2249" s="4">
        <v>33</v>
      </c>
      <c r="AI2249" s="4">
        <v>33</v>
      </c>
      <c r="AJ2249" s="4">
        <v>2</v>
      </c>
      <c r="AK2249" s="4">
        <v>2</v>
      </c>
      <c r="AL2249" s="4">
        <v>31</v>
      </c>
      <c r="AM2249" s="4">
        <v>31</v>
      </c>
      <c r="AN2249" s="4">
        <v>0</v>
      </c>
      <c r="AO2249" s="4">
        <v>0</v>
      </c>
      <c r="AP2249" s="4">
        <v>2</v>
      </c>
      <c r="AQ2249" s="4">
        <v>2</v>
      </c>
      <c r="AR2249" s="3" t="s">
        <v>64</v>
      </c>
      <c r="AS2249" s="3" t="s">
        <v>64</v>
      </c>
      <c r="AT2249" s="3" t="s">
        <v>64</v>
      </c>
      <c r="AV2249" s="6" t="str">
        <f>HYPERLINK("http://mcgill.on.worldcat.org/oclc/933263258","Catalog Record")</f>
        <v>Catalog Record</v>
      </c>
      <c r="AW2249" s="6" t="str">
        <f>HYPERLINK("http://www.worldcat.org/oclc/933263258","WorldCat Record")</f>
        <v>WorldCat Record</v>
      </c>
      <c r="AX2249" s="3" t="s">
        <v>23306</v>
      </c>
      <c r="AY2249" s="3" t="s">
        <v>23307</v>
      </c>
      <c r="AZ2249" s="3" t="s">
        <v>23308</v>
      </c>
      <c r="BA2249" s="3" t="s">
        <v>23308</v>
      </c>
      <c r="BB2249" s="3" t="s">
        <v>23309</v>
      </c>
      <c r="BC2249" s="3" t="s">
        <v>78</v>
      </c>
      <c r="BD2249" s="3" t="s">
        <v>79</v>
      </c>
      <c r="BE2249" s="3" t="s">
        <v>23310</v>
      </c>
      <c r="BF2249" s="3" t="s">
        <v>23309</v>
      </c>
      <c r="BG2249" s="3" t="s">
        <v>23311</v>
      </c>
    </row>
    <row r="2250" spans="1:59" ht="116" x14ac:dyDescent="0.35">
      <c r="A2250" s="2" t="s">
        <v>59</v>
      </c>
      <c r="B2250" s="2" t="s">
        <v>3778</v>
      </c>
      <c r="C2250" s="2" t="s">
        <v>23312</v>
      </c>
      <c r="D2250" s="2" t="s">
        <v>23313</v>
      </c>
      <c r="E2250" s="2" t="s">
        <v>23314</v>
      </c>
      <c r="G2250" s="3" t="s">
        <v>64</v>
      </c>
      <c r="I2250" s="3" t="s">
        <v>64</v>
      </c>
      <c r="J2250" s="3" t="s">
        <v>64</v>
      </c>
      <c r="K2250" s="3" t="s">
        <v>65</v>
      </c>
      <c r="M2250" s="2" t="s">
        <v>21164</v>
      </c>
      <c r="N2250" s="3" t="s">
        <v>1645</v>
      </c>
      <c r="O2250" s="2" t="s">
        <v>21151</v>
      </c>
      <c r="P2250" s="3" t="s">
        <v>21152</v>
      </c>
      <c r="R2250" s="3" t="s">
        <v>20939</v>
      </c>
      <c r="S2250" s="4">
        <v>0</v>
      </c>
      <c r="T2250" s="4">
        <v>0</v>
      </c>
      <c r="W2250" s="5" t="s">
        <v>72</v>
      </c>
      <c r="X2250" s="5" t="s">
        <v>72</v>
      </c>
      <c r="Y2250" s="4">
        <v>40</v>
      </c>
      <c r="Z2250" s="4">
        <v>3</v>
      </c>
      <c r="AA2250" s="4">
        <v>3</v>
      </c>
      <c r="AB2250" s="4">
        <v>1</v>
      </c>
      <c r="AC2250" s="4">
        <v>1</v>
      </c>
      <c r="AD2250" s="4">
        <v>28</v>
      </c>
      <c r="AE2250" s="4">
        <v>28</v>
      </c>
      <c r="AF2250" s="4">
        <v>0</v>
      </c>
      <c r="AG2250" s="4">
        <v>0</v>
      </c>
      <c r="AH2250" s="4">
        <v>26</v>
      </c>
      <c r="AI2250" s="4">
        <v>26</v>
      </c>
      <c r="AJ2250" s="4">
        <v>2</v>
      </c>
      <c r="AK2250" s="4">
        <v>2</v>
      </c>
      <c r="AL2250" s="4">
        <v>22</v>
      </c>
      <c r="AM2250" s="4">
        <v>22</v>
      </c>
      <c r="AN2250" s="4">
        <v>0</v>
      </c>
      <c r="AO2250" s="4">
        <v>0</v>
      </c>
      <c r="AP2250" s="4">
        <v>2</v>
      </c>
      <c r="AQ2250" s="4">
        <v>2</v>
      </c>
      <c r="AR2250" s="3" t="s">
        <v>64</v>
      </c>
      <c r="AS2250" s="3" t="s">
        <v>64</v>
      </c>
      <c r="AT2250" s="3" t="s">
        <v>64</v>
      </c>
      <c r="AV2250" s="6" t="str">
        <f>HYPERLINK("http://mcgill.on.worldcat.org/oclc/1024317913","Catalog Record")</f>
        <v>Catalog Record</v>
      </c>
      <c r="AW2250" s="6" t="str">
        <f>HYPERLINK("http://www.worldcat.org/oclc/1024317913","WorldCat Record")</f>
        <v>WorldCat Record</v>
      </c>
      <c r="AX2250" s="3" t="s">
        <v>23315</v>
      </c>
      <c r="AY2250" s="3" t="s">
        <v>23316</v>
      </c>
      <c r="AZ2250" s="3" t="s">
        <v>23317</v>
      </c>
      <c r="BA2250" s="3" t="s">
        <v>23317</v>
      </c>
      <c r="BB2250" s="3" t="s">
        <v>23318</v>
      </c>
      <c r="BC2250" s="3" t="s">
        <v>78</v>
      </c>
      <c r="BD2250" s="3" t="s">
        <v>79</v>
      </c>
      <c r="BE2250" s="3" t="s">
        <v>23319</v>
      </c>
      <c r="BF2250" s="3" t="s">
        <v>23318</v>
      </c>
      <c r="BG2250" s="3" t="s">
        <v>23320</v>
      </c>
    </row>
    <row r="2251" spans="1:59" ht="87" x14ac:dyDescent="0.35">
      <c r="A2251" s="2" t="s">
        <v>59</v>
      </c>
      <c r="B2251" s="2" t="s">
        <v>23321</v>
      </c>
      <c r="C2251" s="2" t="s">
        <v>23322</v>
      </c>
      <c r="D2251" s="2" t="s">
        <v>23323</v>
      </c>
      <c r="E2251" s="2" t="s">
        <v>23324</v>
      </c>
      <c r="G2251" s="3" t="s">
        <v>64</v>
      </c>
      <c r="I2251" s="3" t="s">
        <v>64</v>
      </c>
      <c r="J2251" s="3" t="s">
        <v>64</v>
      </c>
      <c r="K2251" s="3" t="s">
        <v>65</v>
      </c>
      <c r="M2251" s="2" t="s">
        <v>23325</v>
      </c>
      <c r="N2251" s="3" t="s">
        <v>214</v>
      </c>
      <c r="P2251" s="3" t="s">
        <v>69</v>
      </c>
      <c r="R2251" s="3" t="s">
        <v>16939</v>
      </c>
      <c r="S2251" s="4">
        <v>4</v>
      </c>
      <c r="T2251" s="4">
        <v>4</v>
      </c>
      <c r="U2251" s="5" t="s">
        <v>23326</v>
      </c>
      <c r="V2251" s="5" t="s">
        <v>23326</v>
      </c>
      <c r="W2251" s="5" t="s">
        <v>72</v>
      </c>
      <c r="X2251" s="5" t="s">
        <v>72</v>
      </c>
      <c r="Y2251" s="4">
        <v>16</v>
      </c>
      <c r="Z2251" s="4">
        <v>7</v>
      </c>
      <c r="AA2251" s="4">
        <v>9</v>
      </c>
      <c r="AB2251" s="4">
        <v>1</v>
      </c>
      <c r="AC2251" s="4">
        <v>1</v>
      </c>
      <c r="AD2251" s="4">
        <v>7</v>
      </c>
      <c r="AE2251" s="4">
        <v>16</v>
      </c>
      <c r="AF2251" s="4">
        <v>0</v>
      </c>
      <c r="AG2251" s="4">
        <v>0</v>
      </c>
      <c r="AH2251" s="4">
        <v>4</v>
      </c>
      <c r="AI2251" s="4">
        <v>13</v>
      </c>
      <c r="AJ2251" s="4">
        <v>2</v>
      </c>
      <c r="AK2251" s="4">
        <v>3</v>
      </c>
      <c r="AL2251" s="4">
        <v>1</v>
      </c>
      <c r="AM2251" s="4">
        <v>5</v>
      </c>
      <c r="AN2251" s="4">
        <v>0</v>
      </c>
      <c r="AO2251" s="4">
        <v>0</v>
      </c>
      <c r="AP2251" s="4">
        <v>5</v>
      </c>
      <c r="AQ2251" s="4">
        <v>6</v>
      </c>
      <c r="AR2251" s="3" t="s">
        <v>73</v>
      </c>
      <c r="AS2251" s="3" t="s">
        <v>64</v>
      </c>
      <c r="AT2251" s="3" t="s">
        <v>64</v>
      </c>
      <c r="AV2251" s="6" t="str">
        <f>HYPERLINK("http://mcgill.on.worldcat.org/oclc/747862678","Catalog Record")</f>
        <v>Catalog Record</v>
      </c>
      <c r="AW2251" s="6" t="str">
        <f>HYPERLINK("http://www.worldcat.org/oclc/747862678","WorldCat Record")</f>
        <v>WorldCat Record</v>
      </c>
      <c r="AX2251" s="3" t="s">
        <v>23327</v>
      </c>
      <c r="AY2251" s="3" t="s">
        <v>23328</v>
      </c>
      <c r="AZ2251" s="3" t="s">
        <v>23329</v>
      </c>
      <c r="BA2251" s="3" t="s">
        <v>23329</v>
      </c>
      <c r="BB2251" s="3" t="s">
        <v>23330</v>
      </c>
      <c r="BC2251" s="3" t="s">
        <v>23331</v>
      </c>
      <c r="BD2251" s="3" t="s">
        <v>79</v>
      </c>
      <c r="BF2251" s="3" t="s">
        <v>23330</v>
      </c>
      <c r="BG2251" s="3" t="s">
        <v>23332</v>
      </c>
    </row>
    <row r="2252" spans="1:59" ht="116" x14ac:dyDescent="0.35">
      <c r="A2252" s="2" t="s">
        <v>59</v>
      </c>
      <c r="B2252" s="2" t="s">
        <v>23321</v>
      </c>
      <c r="C2252" s="2" t="s">
        <v>23333</v>
      </c>
      <c r="D2252" s="2" t="s">
        <v>23334</v>
      </c>
      <c r="E2252" s="2" t="s">
        <v>23335</v>
      </c>
      <c r="G2252" s="3" t="s">
        <v>64</v>
      </c>
      <c r="I2252" s="3" t="s">
        <v>64</v>
      </c>
      <c r="J2252" s="3" t="s">
        <v>64</v>
      </c>
      <c r="K2252" s="3" t="s">
        <v>65</v>
      </c>
      <c r="L2252" s="2" t="s">
        <v>23336</v>
      </c>
      <c r="M2252" s="2" t="s">
        <v>23337</v>
      </c>
      <c r="N2252" s="3" t="s">
        <v>524</v>
      </c>
      <c r="P2252" s="3" t="s">
        <v>69</v>
      </c>
      <c r="R2252" s="3" t="s">
        <v>16939</v>
      </c>
      <c r="S2252" s="4">
        <v>18</v>
      </c>
      <c r="T2252" s="4">
        <v>18</v>
      </c>
      <c r="U2252" s="5" t="s">
        <v>23338</v>
      </c>
      <c r="V2252" s="5" t="s">
        <v>23338</v>
      </c>
      <c r="W2252" s="5" t="s">
        <v>72</v>
      </c>
      <c r="X2252" s="5" t="s">
        <v>72</v>
      </c>
      <c r="Y2252" s="4">
        <v>922</v>
      </c>
      <c r="Z2252" s="4">
        <v>38</v>
      </c>
      <c r="AA2252" s="4">
        <v>52</v>
      </c>
      <c r="AB2252" s="4">
        <v>5</v>
      </c>
      <c r="AC2252" s="4">
        <v>7</v>
      </c>
      <c r="AD2252" s="4">
        <v>56</v>
      </c>
      <c r="AE2252" s="4">
        <v>67</v>
      </c>
      <c r="AF2252" s="4">
        <v>1</v>
      </c>
      <c r="AG2252" s="4">
        <v>2</v>
      </c>
      <c r="AH2252" s="4">
        <v>49</v>
      </c>
      <c r="AI2252" s="4">
        <v>56</v>
      </c>
      <c r="AJ2252" s="4">
        <v>9</v>
      </c>
      <c r="AK2252" s="4">
        <v>12</v>
      </c>
      <c r="AL2252" s="4">
        <v>27</v>
      </c>
      <c r="AM2252" s="4">
        <v>31</v>
      </c>
      <c r="AN2252" s="4">
        <v>0</v>
      </c>
      <c r="AO2252" s="4">
        <v>0</v>
      </c>
      <c r="AP2252" s="4">
        <v>10</v>
      </c>
      <c r="AQ2252" s="4">
        <v>17</v>
      </c>
      <c r="AR2252" s="3" t="s">
        <v>64</v>
      </c>
      <c r="AS2252" s="3" t="s">
        <v>64</v>
      </c>
      <c r="AT2252" s="3" t="s">
        <v>64</v>
      </c>
      <c r="AV2252" s="6" t="str">
        <f>HYPERLINK("http://mcgill.on.worldcat.org/oclc/857795510","Catalog Record")</f>
        <v>Catalog Record</v>
      </c>
      <c r="AW2252" s="6" t="str">
        <f>HYPERLINK("http://www.worldcat.org/oclc/857795510","WorldCat Record")</f>
        <v>WorldCat Record</v>
      </c>
      <c r="AX2252" s="3" t="s">
        <v>23339</v>
      </c>
      <c r="AY2252" s="3" t="s">
        <v>23340</v>
      </c>
      <c r="AZ2252" s="3" t="s">
        <v>23341</v>
      </c>
      <c r="BA2252" s="3" t="s">
        <v>23341</v>
      </c>
      <c r="BB2252" s="3" t="s">
        <v>23342</v>
      </c>
      <c r="BC2252" s="3" t="s">
        <v>23331</v>
      </c>
      <c r="BD2252" s="3" t="s">
        <v>79</v>
      </c>
      <c r="BE2252" s="3" t="s">
        <v>23343</v>
      </c>
      <c r="BF2252" s="3" t="s">
        <v>23342</v>
      </c>
      <c r="BG2252" s="3" t="s">
        <v>23344</v>
      </c>
    </row>
    <row r="2253" spans="1:59" ht="87" x14ac:dyDescent="0.35">
      <c r="A2253" s="2" t="s">
        <v>59</v>
      </c>
      <c r="B2253" s="2" t="s">
        <v>23321</v>
      </c>
      <c r="C2253" s="2" t="s">
        <v>23345</v>
      </c>
      <c r="D2253" s="2" t="s">
        <v>23346</v>
      </c>
      <c r="E2253" s="2" t="s">
        <v>23347</v>
      </c>
      <c r="G2253" s="3" t="s">
        <v>64</v>
      </c>
      <c r="I2253" s="3" t="s">
        <v>64</v>
      </c>
      <c r="J2253" s="3" t="s">
        <v>64</v>
      </c>
      <c r="K2253" s="3" t="s">
        <v>65</v>
      </c>
      <c r="M2253" s="2" t="s">
        <v>23348</v>
      </c>
      <c r="N2253" s="3" t="s">
        <v>175</v>
      </c>
      <c r="O2253" s="2" t="s">
        <v>23349</v>
      </c>
      <c r="P2253" s="3" t="s">
        <v>69</v>
      </c>
      <c r="R2253" s="3" t="s">
        <v>70</v>
      </c>
      <c r="S2253" s="4">
        <v>6</v>
      </c>
      <c r="T2253" s="4">
        <v>6</v>
      </c>
      <c r="U2253" s="5" t="s">
        <v>23350</v>
      </c>
      <c r="V2253" s="5" t="s">
        <v>23350</v>
      </c>
      <c r="W2253" s="5" t="s">
        <v>72</v>
      </c>
      <c r="X2253" s="5" t="s">
        <v>72</v>
      </c>
      <c r="Y2253" s="4">
        <v>425</v>
      </c>
      <c r="Z2253" s="4">
        <v>16</v>
      </c>
      <c r="AA2253" s="4">
        <v>16</v>
      </c>
      <c r="AB2253" s="4">
        <v>1</v>
      </c>
      <c r="AC2253" s="4">
        <v>1</v>
      </c>
      <c r="AD2253" s="4">
        <v>23</v>
      </c>
      <c r="AE2253" s="4">
        <v>23</v>
      </c>
      <c r="AF2253" s="4">
        <v>0</v>
      </c>
      <c r="AG2253" s="4">
        <v>0</v>
      </c>
      <c r="AH2253" s="4">
        <v>22</v>
      </c>
      <c r="AI2253" s="4">
        <v>22</v>
      </c>
      <c r="AJ2253" s="4">
        <v>2</v>
      </c>
      <c r="AK2253" s="4">
        <v>2</v>
      </c>
      <c r="AL2253" s="4">
        <v>13</v>
      </c>
      <c r="AM2253" s="4">
        <v>13</v>
      </c>
      <c r="AN2253" s="4">
        <v>0</v>
      </c>
      <c r="AO2253" s="4">
        <v>0</v>
      </c>
      <c r="AP2253" s="4">
        <v>2</v>
      </c>
      <c r="AQ2253" s="4">
        <v>2</v>
      </c>
      <c r="AR2253" s="3" t="s">
        <v>64</v>
      </c>
      <c r="AS2253" s="3" t="s">
        <v>64</v>
      </c>
      <c r="AT2253" s="3" t="s">
        <v>64</v>
      </c>
      <c r="AV2253" s="6" t="str">
        <f>HYPERLINK("http://mcgill.on.worldcat.org/oclc/884826297","Catalog Record")</f>
        <v>Catalog Record</v>
      </c>
      <c r="AW2253" s="6" t="str">
        <f>HYPERLINK("http://www.worldcat.org/oclc/884826297","WorldCat Record")</f>
        <v>WorldCat Record</v>
      </c>
      <c r="AX2253" s="3" t="s">
        <v>23351</v>
      </c>
      <c r="AY2253" s="3" t="s">
        <v>23352</v>
      </c>
      <c r="AZ2253" s="3" t="s">
        <v>23353</v>
      </c>
      <c r="BA2253" s="3" t="s">
        <v>23353</v>
      </c>
      <c r="BB2253" s="3" t="s">
        <v>23354</v>
      </c>
      <c r="BC2253" s="3" t="s">
        <v>23331</v>
      </c>
      <c r="BD2253" s="3" t="s">
        <v>79</v>
      </c>
      <c r="BE2253" s="3" t="s">
        <v>23355</v>
      </c>
      <c r="BF2253" s="3" t="s">
        <v>23354</v>
      </c>
      <c r="BG2253" s="3" t="s">
        <v>23356</v>
      </c>
    </row>
    <row r="2254" spans="1:59" ht="87" x14ac:dyDescent="0.35">
      <c r="A2254" s="2" t="s">
        <v>59</v>
      </c>
      <c r="B2254" s="2" t="s">
        <v>23321</v>
      </c>
      <c r="C2254" s="2" t="s">
        <v>23357</v>
      </c>
      <c r="D2254" s="2" t="s">
        <v>23358</v>
      </c>
      <c r="E2254" s="2" t="s">
        <v>23359</v>
      </c>
      <c r="G2254" s="3" t="s">
        <v>64</v>
      </c>
      <c r="I2254" s="3" t="s">
        <v>64</v>
      </c>
      <c r="J2254" s="3" t="s">
        <v>64</v>
      </c>
      <c r="K2254" s="3" t="s">
        <v>65</v>
      </c>
      <c r="M2254" s="2" t="s">
        <v>23360</v>
      </c>
      <c r="N2254" s="3" t="s">
        <v>214</v>
      </c>
      <c r="P2254" s="3" t="s">
        <v>69</v>
      </c>
      <c r="R2254" s="3" t="s">
        <v>70</v>
      </c>
      <c r="S2254" s="4">
        <v>4</v>
      </c>
      <c r="T2254" s="4">
        <v>4</v>
      </c>
      <c r="U2254" s="5" t="s">
        <v>23361</v>
      </c>
      <c r="V2254" s="5" t="s">
        <v>23361</v>
      </c>
      <c r="W2254" s="5" t="s">
        <v>72</v>
      </c>
      <c r="X2254" s="5" t="s">
        <v>72</v>
      </c>
      <c r="Y2254" s="4">
        <v>4</v>
      </c>
      <c r="Z2254" s="4">
        <v>1</v>
      </c>
      <c r="AA2254" s="4">
        <v>1</v>
      </c>
      <c r="AB2254" s="4">
        <v>1</v>
      </c>
      <c r="AC2254" s="4">
        <v>1</v>
      </c>
      <c r="AD2254" s="4">
        <v>3</v>
      </c>
      <c r="AE2254" s="4">
        <v>3</v>
      </c>
      <c r="AF2254" s="4">
        <v>0</v>
      </c>
      <c r="AG2254" s="4">
        <v>0</v>
      </c>
      <c r="AH2254" s="4">
        <v>3</v>
      </c>
      <c r="AI2254" s="4">
        <v>3</v>
      </c>
      <c r="AJ2254" s="4">
        <v>0</v>
      </c>
      <c r="AK2254" s="4">
        <v>0</v>
      </c>
      <c r="AL2254" s="4">
        <v>2</v>
      </c>
      <c r="AM2254" s="4">
        <v>2</v>
      </c>
      <c r="AN2254" s="4">
        <v>0</v>
      </c>
      <c r="AO2254" s="4">
        <v>0</v>
      </c>
      <c r="AP2254" s="4">
        <v>0</v>
      </c>
      <c r="AQ2254" s="4">
        <v>0</v>
      </c>
      <c r="AR2254" s="3" t="s">
        <v>64</v>
      </c>
      <c r="AS2254" s="3" t="s">
        <v>64</v>
      </c>
      <c r="AT2254" s="3" t="s">
        <v>64</v>
      </c>
      <c r="AV2254" s="6" t="str">
        <f>HYPERLINK("http://mcgill.on.worldcat.org/oclc/696002230","Catalog Record")</f>
        <v>Catalog Record</v>
      </c>
      <c r="AW2254" s="6" t="str">
        <f>HYPERLINK("http://www.worldcat.org/oclc/696002230","WorldCat Record")</f>
        <v>WorldCat Record</v>
      </c>
      <c r="AX2254" s="3" t="s">
        <v>23362</v>
      </c>
      <c r="AY2254" s="3" t="s">
        <v>23363</v>
      </c>
      <c r="AZ2254" s="3" t="s">
        <v>23364</v>
      </c>
      <c r="BA2254" s="3" t="s">
        <v>23364</v>
      </c>
      <c r="BB2254" s="3" t="s">
        <v>23365</v>
      </c>
      <c r="BC2254" s="3" t="s">
        <v>23331</v>
      </c>
      <c r="BD2254" s="3" t="s">
        <v>79</v>
      </c>
      <c r="BF2254" s="3" t="s">
        <v>23365</v>
      </c>
      <c r="BG2254" s="3" t="s">
        <v>23366</v>
      </c>
    </row>
    <row r="2255" spans="1:59" ht="87" x14ac:dyDescent="0.35">
      <c r="A2255" s="2" t="s">
        <v>59</v>
      </c>
      <c r="B2255" s="2" t="s">
        <v>23321</v>
      </c>
      <c r="C2255" s="2" t="s">
        <v>23367</v>
      </c>
      <c r="D2255" s="2" t="s">
        <v>23368</v>
      </c>
      <c r="E2255" s="2" t="s">
        <v>23369</v>
      </c>
      <c r="G2255" s="3" t="s">
        <v>64</v>
      </c>
      <c r="I2255" s="3" t="s">
        <v>64</v>
      </c>
      <c r="J2255" s="3" t="s">
        <v>64</v>
      </c>
      <c r="K2255" s="3" t="s">
        <v>65</v>
      </c>
      <c r="M2255" s="2" t="s">
        <v>23370</v>
      </c>
      <c r="N2255" s="3" t="s">
        <v>1813</v>
      </c>
      <c r="P2255" s="3" t="s">
        <v>69</v>
      </c>
      <c r="R2255" s="3" t="s">
        <v>9228</v>
      </c>
      <c r="S2255" s="4">
        <v>0</v>
      </c>
      <c r="T2255" s="4">
        <v>0</v>
      </c>
      <c r="W2255" s="5" t="s">
        <v>72</v>
      </c>
      <c r="X2255" s="5" t="s">
        <v>72</v>
      </c>
      <c r="Y2255" s="4">
        <v>20</v>
      </c>
      <c r="Z2255" s="4">
        <v>1</v>
      </c>
      <c r="AA2255" s="4">
        <v>1</v>
      </c>
      <c r="AB2255" s="4">
        <v>1</v>
      </c>
      <c r="AC2255" s="4">
        <v>1</v>
      </c>
      <c r="AD2255" s="4">
        <v>17</v>
      </c>
      <c r="AE2255" s="4">
        <v>17</v>
      </c>
      <c r="AF2255" s="4">
        <v>0</v>
      </c>
      <c r="AG2255" s="4">
        <v>0</v>
      </c>
      <c r="AH2255" s="4">
        <v>16</v>
      </c>
      <c r="AI2255" s="4">
        <v>16</v>
      </c>
      <c r="AJ2255" s="4">
        <v>0</v>
      </c>
      <c r="AK2255" s="4">
        <v>0</v>
      </c>
      <c r="AL2255" s="4">
        <v>15</v>
      </c>
      <c r="AM2255" s="4">
        <v>15</v>
      </c>
      <c r="AN2255" s="4">
        <v>0</v>
      </c>
      <c r="AO2255" s="4">
        <v>0</v>
      </c>
      <c r="AP2255" s="4">
        <v>0</v>
      </c>
      <c r="AQ2255" s="4">
        <v>0</v>
      </c>
      <c r="AR2255" s="3" t="s">
        <v>64</v>
      </c>
      <c r="AS2255" s="3" t="s">
        <v>64</v>
      </c>
      <c r="AT2255" s="3" t="s">
        <v>64</v>
      </c>
      <c r="AV2255" s="6" t="str">
        <f>HYPERLINK("http://mcgill.on.worldcat.org/oclc/975694526","Catalog Record")</f>
        <v>Catalog Record</v>
      </c>
      <c r="AW2255" s="6" t="str">
        <f>HYPERLINK("http://www.worldcat.org/oclc/975694526","WorldCat Record")</f>
        <v>WorldCat Record</v>
      </c>
      <c r="AX2255" s="3" t="s">
        <v>23371</v>
      </c>
      <c r="AY2255" s="3" t="s">
        <v>23372</v>
      </c>
      <c r="AZ2255" s="3" t="s">
        <v>23373</v>
      </c>
      <c r="BA2255" s="3" t="s">
        <v>23373</v>
      </c>
      <c r="BB2255" s="3" t="s">
        <v>23374</v>
      </c>
      <c r="BC2255" s="3" t="s">
        <v>23331</v>
      </c>
      <c r="BD2255" s="3" t="s">
        <v>79</v>
      </c>
      <c r="BF2255" s="3" t="s">
        <v>23374</v>
      </c>
      <c r="BG2255" s="3" t="s">
        <v>23375</v>
      </c>
    </row>
    <row r="2256" spans="1:59" ht="87" x14ac:dyDescent="0.35">
      <c r="A2256" s="2" t="s">
        <v>59</v>
      </c>
      <c r="B2256" s="2" t="s">
        <v>23321</v>
      </c>
      <c r="C2256" s="2" t="s">
        <v>2609</v>
      </c>
      <c r="D2256" s="2" t="s">
        <v>23376</v>
      </c>
      <c r="E2256" s="2" t="s">
        <v>23377</v>
      </c>
      <c r="G2256" s="3" t="s">
        <v>64</v>
      </c>
      <c r="I2256" s="3" t="s">
        <v>64</v>
      </c>
      <c r="J2256" s="3" t="s">
        <v>64</v>
      </c>
      <c r="K2256" s="3" t="s">
        <v>65</v>
      </c>
      <c r="M2256" s="2" t="s">
        <v>23378</v>
      </c>
      <c r="N2256" s="3" t="s">
        <v>214</v>
      </c>
      <c r="P2256" s="3" t="s">
        <v>69</v>
      </c>
      <c r="Q2256" s="2" t="s">
        <v>23379</v>
      </c>
      <c r="R2256" s="3" t="s">
        <v>16939</v>
      </c>
      <c r="S2256" s="4">
        <v>4</v>
      </c>
      <c r="T2256" s="4">
        <v>4</v>
      </c>
      <c r="U2256" s="5" t="s">
        <v>23380</v>
      </c>
      <c r="V2256" s="5" t="s">
        <v>23380</v>
      </c>
      <c r="W2256" s="5" t="s">
        <v>72</v>
      </c>
      <c r="X2256" s="5" t="s">
        <v>72</v>
      </c>
      <c r="Y2256" s="4">
        <v>9</v>
      </c>
      <c r="Z2256" s="4">
        <v>9</v>
      </c>
      <c r="AA2256" s="4">
        <v>50</v>
      </c>
      <c r="AB2256" s="4">
        <v>1</v>
      </c>
      <c r="AC2256" s="4">
        <v>15</v>
      </c>
      <c r="AD2256" s="4">
        <v>2</v>
      </c>
      <c r="AE2256" s="4">
        <v>22</v>
      </c>
      <c r="AF2256" s="4">
        <v>0</v>
      </c>
      <c r="AG2256" s="4">
        <v>5</v>
      </c>
      <c r="AH2256" s="4">
        <v>0</v>
      </c>
      <c r="AI2256" s="4">
        <v>4</v>
      </c>
      <c r="AJ2256" s="4">
        <v>2</v>
      </c>
      <c r="AK2256" s="4">
        <v>7</v>
      </c>
      <c r="AL2256" s="4">
        <v>0</v>
      </c>
      <c r="AM2256" s="4">
        <v>0</v>
      </c>
      <c r="AN2256" s="4">
        <v>0</v>
      </c>
      <c r="AO2256" s="4">
        <v>0</v>
      </c>
      <c r="AP2256" s="4">
        <v>2</v>
      </c>
      <c r="AQ2256" s="4">
        <v>22</v>
      </c>
      <c r="AR2256" s="3" t="s">
        <v>73</v>
      </c>
      <c r="AS2256" s="3" t="s">
        <v>64</v>
      </c>
      <c r="AT2256" s="3" t="s">
        <v>64</v>
      </c>
      <c r="AV2256" s="6" t="str">
        <f>HYPERLINK("http://mcgill.on.worldcat.org/oclc/704768205","Catalog Record")</f>
        <v>Catalog Record</v>
      </c>
      <c r="AW2256" s="6" t="str">
        <f>HYPERLINK("http://www.worldcat.org/oclc/704768205","WorldCat Record")</f>
        <v>WorldCat Record</v>
      </c>
      <c r="AX2256" s="3" t="s">
        <v>23381</v>
      </c>
      <c r="AY2256" s="3" t="s">
        <v>23382</v>
      </c>
      <c r="AZ2256" s="3" t="s">
        <v>23383</v>
      </c>
      <c r="BA2256" s="3" t="s">
        <v>23383</v>
      </c>
      <c r="BB2256" s="3" t="s">
        <v>23384</v>
      </c>
      <c r="BC2256" s="3" t="s">
        <v>23331</v>
      </c>
      <c r="BD2256" s="3" t="s">
        <v>79</v>
      </c>
      <c r="BF2256" s="3" t="s">
        <v>23384</v>
      </c>
      <c r="BG2256" s="3" t="s">
        <v>23385</v>
      </c>
    </row>
    <row r="2257" spans="1:59" ht="87" x14ac:dyDescent="0.35">
      <c r="A2257" s="2" t="s">
        <v>59</v>
      </c>
      <c r="B2257" s="2" t="s">
        <v>23321</v>
      </c>
      <c r="C2257" s="2" t="s">
        <v>23386</v>
      </c>
      <c r="D2257" s="2" t="s">
        <v>23387</v>
      </c>
      <c r="E2257" s="2" t="s">
        <v>23388</v>
      </c>
      <c r="G2257" s="3" t="s">
        <v>64</v>
      </c>
      <c r="I2257" s="3" t="s">
        <v>64</v>
      </c>
      <c r="J2257" s="3" t="s">
        <v>64</v>
      </c>
      <c r="K2257" s="3" t="s">
        <v>65</v>
      </c>
      <c r="M2257" s="2" t="s">
        <v>23389</v>
      </c>
      <c r="N2257" s="3" t="s">
        <v>68</v>
      </c>
      <c r="P2257" s="3" t="s">
        <v>69</v>
      </c>
      <c r="R2257" s="3" t="s">
        <v>16939</v>
      </c>
      <c r="S2257" s="4">
        <v>8</v>
      </c>
      <c r="T2257" s="4">
        <v>8</v>
      </c>
      <c r="U2257" s="5" t="s">
        <v>23390</v>
      </c>
      <c r="V2257" s="5" t="s">
        <v>23390</v>
      </c>
      <c r="W2257" s="5" t="s">
        <v>72</v>
      </c>
      <c r="X2257" s="5" t="s">
        <v>72</v>
      </c>
      <c r="Y2257" s="4">
        <v>10</v>
      </c>
      <c r="Z2257" s="4">
        <v>1</v>
      </c>
      <c r="AA2257" s="4">
        <v>1</v>
      </c>
      <c r="AB2257" s="4">
        <v>1</v>
      </c>
      <c r="AC2257" s="4">
        <v>1</v>
      </c>
      <c r="AD2257" s="4">
        <v>4</v>
      </c>
      <c r="AE2257" s="4">
        <v>4</v>
      </c>
      <c r="AF2257" s="4">
        <v>0</v>
      </c>
      <c r="AG2257" s="4">
        <v>0</v>
      </c>
      <c r="AH2257" s="4">
        <v>4</v>
      </c>
      <c r="AI2257" s="4">
        <v>4</v>
      </c>
      <c r="AJ2257" s="4">
        <v>0</v>
      </c>
      <c r="AK2257" s="4">
        <v>0</v>
      </c>
      <c r="AL2257" s="4">
        <v>2</v>
      </c>
      <c r="AM2257" s="4">
        <v>2</v>
      </c>
      <c r="AN2257" s="4">
        <v>0</v>
      </c>
      <c r="AO2257" s="4">
        <v>0</v>
      </c>
      <c r="AP2257" s="4">
        <v>0</v>
      </c>
      <c r="AQ2257" s="4">
        <v>0</v>
      </c>
      <c r="AR2257" s="3" t="s">
        <v>64</v>
      </c>
      <c r="AS2257" s="3" t="s">
        <v>64</v>
      </c>
      <c r="AT2257" s="3" t="s">
        <v>64</v>
      </c>
      <c r="AV2257" s="6" t="str">
        <f>HYPERLINK("http://mcgill.on.worldcat.org/oclc/227192251","Catalog Record")</f>
        <v>Catalog Record</v>
      </c>
      <c r="AW2257" s="6" t="str">
        <f>HYPERLINK("http://www.worldcat.org/oclc/227192251","WorldCat Record")</f>
        <v>WorldCat Record</v>
      </c>
      <c r="AX2257" s="3" t="s">
        <v>23391</v>
      </c>
      <c r="AY2257" s="3" t="s">
        <v>23392</v>
      </c>
      <c r="AZ2257" s="3" t="s">
        <v>23393</v>
      </c>
      <c r="BA2257" s="3" t="s">
        <v>23393</v>
      </c>
      <c r="BB2257" s="3" t="s">
        <v>23394</v>
      </c>
      <c r="BC2257" s="3" t="s">
        <v>23331</v>
      </c>
      <c r="BD2257" s="3" t="s">
        <v>79</v>
      </c>
      <c r="BF2257" s="3" t="s">
        <v>23394</v>
      </c>
      <c r="BG2257" s="3" t="s">
        <v>23395</v>
      </c>
    </row>
    <row r="2258" spans="1:59" ht="116" x14ac:dyDescent="0.35">
      <c r="A2258" s="2" t="s">
        <v>59</v>
      </c>
      <c r="B2258" s="2" t="s">
        <v>23321</v>
      </c>
      <c r="C2258" s="2" t="s">
        <v>23396</v>
      </c>
      <c r="D2258" s="2" t="s">
        <v>23397</v>
      </c>
      <c r="E2258" s="2" t="s">
        <v>23398</v>
      </c>
      <c r="G2258" s="3" t="s">
        <v>64</v>
      </c>
      <c r="I2258" s="3" t="s">
        <v>64</v>
      </c>
      <c r="J2258" s="3" t="s">
        <v>64</v>
      </c>
      <c r="K2258" s="3" t="s">
        <v>65</v>
      </c>
      <c r="L2258" s="2" t="s">
        <v>23399</v>
      </c>
      <c r="M2258" s="2" t="s">
        <v>23400</v>
      </c>
      <c r="N2258" s="3" t="s">
        <v>499</v>
      </c>
      <c r="P2258" s="3" t="s">
        <v>23401</v>
      </c>
      <c r="R2258" s="3" t="s">
        <v>16939</v>
      </c>
      <c r="S2258" s="4">
        <v>28</v>
      </c>
      <c r="T2258" s="4">
        <v>28</v>
      </c>
      <c r="U2258" s="5" t="s">
        <v>23402</v>
      </c>
      <c r="V2258" s="5" t="s">
        <v>23402</v>
      </c>
      <c r="W2258" s="5" t="s">
        <v>72</v>
      </c>
      <c r="X2258" s="5" t="s">
        <v>72</v>
      </c>
      <c r="Y2258" s="4">
        <v>186</v>
      </c>
      <c r="Z2258" s="4">
        <v>6</v>
      </c>
      <c r="AA2258" s="4">
        <v>19</v>
      </c>
      <c r="AB2258" s="4">
        <v>1</v>
      </c>
      <c r="AC2258" s="4">
        <v>1</v>
      </c>
      <c r="AD2258" s="4">
        <v>53</v>
      </c>
      <c r="AE2258" s="4">
        <v>76</v>
      </c>
      <c r="AF2258" s="4">
        <v>0</v>
      </c>
      <c r="AG2258" s="4">
        <v>0</v>
      </c>
      <c r="AH2258" s="4">
        <v>49</v>
      </c>
      <c r="AI2258" s="4">
        <v>67</v>
      </c>
      <c r="AJ2258" s="4">
        <v>2</v>
      </c>
      <c r="AK2258" s="4">
        <v>6</v>
      </c>
      <c r="AL2258" s="4">
        <v>35</v>
      </c>
      <c r="AM2258" s="4">
        <v>43</v>
      </c>
      <c r="AN2258" s="4">
        <v>0</v>
      </c>
      <c r="AO2258" s="4">
        <v>0</v>
      </c>
      <c r="AP2258" s="4">
        <v>4</v>
      </c>
      <c r="AQ2258" s="4">
        <v>12</v>
      </c>
      <c r="AR2258" s="3" t="s">
        <v>64</v>
      </c>
      <c r="AS2258" s="3" t="s">
        <v>64</v>
      </c>
      <c r="AT2258" s="3" t="s">
        <v>64</v>
      </c>
      <c r="AV2258" s="6" t="str">
        <f>HYPERLINK("http://mcgill.on.worldcat.org/oclc/67537293","Catalog Record")</f>
        <v>Catalog Record</v>
      </c>
      <c r="AW2258" s="6" t="str">
        <f>HYPERLINK("http://www.worldcat.org/oclc/67537293","WorldCat Record")</f>
        <v>WorldCat Record</v>
      </c>
      <c r="AX2258" s="3" t="s">
        <v>23403</v>
      </c>
      <c r="AY2258" s="3" t="s">
        <v>23404</v>
      </c>
      <c r="AZ2258" s="3" t="s">
        <v>23405</v>
      </c>
      <c r="BA2258" s="3" t="s">
        <v>23405</v>
      </c>
      <c r="BB2258" s="3" t="s">
        <v>23406</v>
      </c>
      <c r="BC2258" s="3" t="s">
        <v>23331</v>
      </c>
      <c r="BD2258" s="3" t="s">
        <v>79</v>
      </c>
      <c r="BF2258" s="3" t="s">
        <v>23406</v>
      </c>
      <c r="BG2258" s="3" t="s">
        <v>23407</v>
      </c>
    </row>
    <row r="2259" spans="1:59" ht="87" x14ac:dyDescent="0.35">
      <c r="A2259" s="2" t="s">
        <v>59</v>
      </c>
      <c r="B2259" s="2" t="s">
        <v>23321</v>
      </c>
      <c r="C2259" s="2" t="s">
        <v>23408</v>
      </c>
      <c r="D2259" s="2" t="s">
        <v>23409</v>
      </c>
      <c r="E2259" s="2" t="s">
        <v>23410</v>
      </c>
      <c r="G2259" s="3" t="s">
        <v>64</v>
      </c>
      <c r="I2259" s="3" t="s">
        <v>64</v>
      </c>
      <c r="J2259" s="3" t="s">
        <v>64</v>
      </c>
      <c r="K2259" s="3" t="s">
        <v>65</v>
      </c>
      <c r="M2259" s="2" t="s">
        <v>23411</v>
      </c>
      <c r="N2259" s="3" t="s">
        <v>214</v>
      </c>
      <c r="P2259" s="3" t="s">
        <v>69</v>
      </c>
      <c r="Q2259" s="2" t="s">
        <v>23412</v>
      </c>
      <c r="R2259" s="3" t="s">
        <v>20939</v>
      </c>
      <c r="S2259" s="4">
        <v>7</v>
      </c>
      <c r="T2259" s="4">
        <v>7</v>
      </c>
      <c r="U2259" s="5" t="s">
        <v>23413</v>
      </c>
      <c r="V2259" s="5" t="s">
        <v>23413</v>
      </c>
      <c r="W2259" s="5" t="s">
        <v>72</v>
      </c>
      <c r="X2259" s="5" t="s">
        <v>72</v>
      </c>
      <c r="Y2259" s="4">
        <v>13</v>
      </c>
      <c r="Z2259" s="4">
        <v>9</v>
      </c>
      <c r="AA2259" s="4">
        <v>58</v>
      </c>
      <c r="AB2259" s="4">
        <v>5</v>
      </c>
      <c r="AC2259" s="4">
        <v>7</v>
      </c>
      <c r="AD2259" s="4">
        <v>2</v>
      </c>
      <c r="AE2259" s="4">
        <v>25</v>
      </c>
      <c r="AF2259" s="4">
        <v>1</v>
      </c>
      <c r="AG2259" s="4">
        <v>2</v>
      </c>
      <c r="AH2259" s="4">
        <v>1</v>
      </c>
      <c r="AI2259" s="4">
        <v>5</v>
      </c>
      <c r="AJ2259" s="4">
        <v>1</v>
      </c>
      <c r="AK2259" s="4">
        <v>12</v>
      </c>
      <c r="AL2259" s="4">
        <v>0</v>
      </c>
      <c r="AM2259" s="4">
        <v>0</v>
      </c>
      <c r="AN2259" s="4">
        <v>0</v>
      </c>
      <c r="AO2259" s="4">
        <v>0</v>
      </c>
      <c r="AP2259" s="4">
        <v>1</v>
      </c>
      <c r="AQ2259" s="4">
        <v>22</v>
      </c>
      <c r="AR2259" s="3" t="s">
        <v>64</v>
      </c>
      <c r="AS2259" s="3" t="s">
        <v>64</v>
      </c>
      <c r="AT2259" s="3" t="s">
        <v>64</v>
      </c>
      <c r="AV2259" s="6" t="str">
        <f>HYPERLINK("http://mcgill.on.worldcat.org/oclc/671655382","Catalog Record")</f>
        <v>Catalog Record</v>
      </c>
      <c r="AW2259" s="6" t="str">
        <f>HYPERLINK("http://www.worldcat.org/oclc/671655382","WorldCat Record")</f>
        <v>WorldCat Record</v>
      </c>
      <c r="AX2259" s="3" t="s">
        <v>23414</v>
      </c>
      <c r="AY2259" s="3" t="s">
        <v>23415</v>
      </c>
      <c r="AZ2259" s="3" t="s">
        <v>23416</v>
      </c>
      <c r="BA2259" s="3" t="s">
        <v>23416</v>
      </c>
      <c r="BB2259" s="3" t="s">
        <v>23417</v>
      </c>
      <c r="BC2259" s="3" t="s">
        <v>23331</v>
      </c>
      <c r="BD2259" s="3" t="s">
        <v>79</v>
      </c>
      <c r="BF2259" s="3" t="s">
        <v>23417</v>
      </c>
      <c r="BG2259" s="3" t="s">
        <v>23418</v>
      </c>
    </row>
    <row r="2260" spans="1:59" ht="87" x14ac:dyDescent="0.35">
      <c r="A2260" s="2" t="s">
        <v>59</v>
      </c>
      <c r="B2260" s="2" t="s">
        <v>23321</v>
      </c>
      <c r="C2260" s="2" t="s">
        <v>23397</v>
      </c>
      <c r="D2260" s="2" t="s">
        <v>23419</v>
      </c>
      <c r="E2260" s="2" t="s">
        <v>23420</v>
      </c>
      <c r="G2260" s="3" t="s">
        <v>64</v>
      </c>
      <c r="I2260" s="3" t="s">
        <v>64</v>
      </c>
      <c r="J2260" s="3" t="s">
        <v>64</v>
      </c>
      <c r="K2260" s="3" t="s">
        <v>65</v>
      </c>
      <c r="M2260" s="2" t="s">
        <v>23421</v>
      </c>
      <c r="N2260" s="3" t="s">
        <v>538</v>
      </c>
      <c r="O2260" s="2" t="s">
        <v>23422</v>
      </c>
      <c r="P2260" s="3" t="s">
        <v>16120</v>
      </c>
      <c r="R2260" s="3" t="s">
        <v>16939</v>
      </c>
      <c r="S2260" s="4">
        <v>21</v>
      </c>
      <c r="T2260" s="4">
        <v>21</v>
      </c>
      <c r="U2260" s="5" t="s">
        <v>23423</v>
      </c>
      <c r="V2260" s="5" t="s">
        <v>23423</v>
      </c>
      <c r="W2260" s="5" t="s">
        <v>72</v>
      </c>
      <c r="X2260" s="5" t="s">
        <v>72</v>
      </c>
      <c r="Y2260" s="4">
        <v>93</v>
      </c>
      <c r="Z2260" s="4">
        <v>8</v>
      </c>
      <c r="AA2260" s="4">
        <v>10</v>
      </c>
      <c r="AB2260" s="4">
        <v>1</v>
      </c>
      <c r="AC2260" s="4">
        <v>1</v>
      </c>
      <c r="AD2260" s="4">
        <v>39</v>
      </c>
      <c r="AE2260" s="4">
        <v>48</v>
      </c>
      <c r="AF2260" s="4">
        <v>0</v>
      </c>
      <c r="AG2260" s="4">
        <v>0</v>
      </c>
      <c r="AH2260" s="4">
        <v>36</v>
      </c>
      <c r="AI2260" s="4">
        <v>44</v>
      </c>
      <c r="AJ2260" s="4">
        <v>4</v>
      </c>
      <c r="AK2260" s="4">
        <v>5</v>
      </c>
      <c r="AL2260" s="4">
        <v>26</v>
      </c>
      <c r="AM2260" s="4">
        <v>30</v>
      </c>
      <c r="AN2260" s="4">
        <v>0</v>
      </c>
      <c r="AO2260" s="4">
        <v>0</v>
      </c>
      <c r="AP2260" s="4">
        <v>5</v>
      </c>
      <c r="AQ2260" s="4">
        <v>6</v>
      </c>
      <c r="AR2260" s="3" t="s">
        <v>64</v>
      </c>
      <c r="AS2260" s="3" t="s">
        <v>64</v>
      </c>
      <c r="AT2260" s="3" t="s">
        <v>64</v>
      </c>
      <c r="AV2260" s="6" t="str">
        <f>HYPERLINK("http://mcgill.on.worldcat.org/oclc/228136923","Catalog Record")</f>
        <v>Catalog Record</v>
      </c>
      <c r="AW2260" s="6" t="str">
        <f>HYPERLINK("http://www.worldcat.org/oclc/228136923","WorldCat Record")</f>
        <v>WorldCat Record</v>
      </c>
      <c r="AX2260" s="3" t="s">
        <v>23424</v>
      </c>
      <c r="AY2260" s="3" t="s">
        <v>23425</v>
      </c>
      <c r="AZ2260" s="3" t="s">
        <v>23426</v>
      </c>
      <c r="BA2260" s="3" t="s">
        <v>23426</v>
      </c>
      <c r="BB2260" s="3" t="s">
        <v>23427</v>
      </c>
      <c r="BC2260" s="3" t="s">
        <v>23331</v>
      </c>
      <c r="BD2260" s="3" t="s">
        <v>79</v>
      </c>
      <c r="BF2260" s="3" t="s">
        <v>23427</v>
      </c>
      <c r="BG2260" s="3" t="s">
        <v>23428</v>
      </c>
    </row>
    <row r="2261" spans="1:59" ht="87" x14ac:dyDescent="0.35">
      <c r="A2261" s="2" t="s">
        <v>59</v>
      </c>
      <c r="B2261" s="2" t="s">
        <v>23321</v>
      </c>
      <c r="C2261" s="2" t="s">
        <v>23429</v>
      </c>
      <c r="D2261" s="2" t="s">
        <v>23430</v>
      </c>
      <c r="E2261" s="2" t="s">
        <v>23431</v>
      </c>
      <c r="G2261" s="3" t="s">
        <v>64</v>
      </c>
      <c r="I2261" s="3" t="s">
        <v>64</v>
      </c>
      <c r="J2261" s="3" t="s">
        <v>64</v>
      </c>
      <c r="K2261" s="3" t="s">
        <v>65</v>
      </c>
      <c r="M2261" s="2" t="s">
        <v>23432</v>
      </c>
      <c r="N2261" s="3" t="s">
        <v>499</v>
      </c>
      <c r="P2261" s="3" t="s">
        <v>69</v>
      </c>
      <c r="Q2261" s="2" t="s">
        <v>23433</v>
      </c>
      <c r="R2261" s="3" t="s">
        <v>16939</v>
      </c>
      <c r="S2261" s="4">
        <v>13</v>
      </c>
      <c r="T2261" s="4">
        <v>13</v>
      </c>
      <c r="U2261" s="5" t="s">
        <v>10732</v>
      </c>
      <c r="V2261" s="5" t="s">
        <v>10732</v>
      </c>
      <c r="W2261" s="5" t="s">
        <v>72</v>
      </c>
      <c r="X2261" s="5" t="s">
        <v>72</v>
      </c>
      <c r="Y2261" s="4">
        <v>32</v>
      </c>
      <c r="Z2261" s="4">
        <v>2</v>
      </c>
      <c r="AA2261" s="4">
        <v>18</v>
      </c>
      <c r="AB2261" s="4">
        <v>1</v>
      </c>
      <c r="AC2261" s="4">
        <v>2</v>
      </c>
      <c r="AD2261" s="4">
        <v>5</v>
      </c>
      <c r="AE2261" s="4">
        <v>67</v>
      </c>
      <c r="AF2261" s="4">
        <v>0</v>
      </c>
      <c r="AG2261" s="4">
        <v>0</v>
      </c>
      <c r="AH2261" s="4">
        <v>4</v>
      </c>
      <c r="AI2261" s="4">
        <v>61</v>
      </c>
      <c r="AJ2261" s="4">
        <v>1</v>
      </c>
      <c r="AK2261" s="4">
        <v>6</v>
      </c>
      <c r="AL2261" s="4">
        <v>1</v>
      </c>
      <c r="AM2261" s="4">
        <v>39</v>
      </c>
      <c r="AN2261" s="4">
        <v>0</v>
      </c>
      <c r="AO2261" s="4">
        <v>0</v>
      </c>
      <c r="AP2261" s="4">
        <v>1</v>
      </c>
      <c r="AQ2261" s="4">
        <v>9</v>
      </c>
      <c r="AR2261" s="3" t="s">
        <v>64</v>
      </c>
      <c r="AS2261" s="3" t="s">
        <v>64</v>
      </c>
      <c r="AT2261" s="3" t="s">
        <v>64</v>
      </c>
      <c r="AV2261" s="6" t="str">
        <f>HYPERLINK("http://mcgill.on.worldcat.org/oclc/166486902","Catalog Record")</f>
        <v>Catalog Record</v>
      </c>
      <c r="AW2261" s="6" t="str">
        <f>HYPERLINK("http://www.worldcat.org/oclc/166486902","WorldCat Record")</f>
        <v>WorldCat Record</v>
      </c>
      <c r="AX2261" s="3" t="s">
        <v>23434</v>
      </c>
      <c r="AY2261" s="3" t="s">
        <v>23435</v>
      </c>
      <c r="AZ2261" s="3" t="s">
        <v>23436</v>
      </c>
      <c r="BA2261" s="3" t="s">
        <v>23436</v>
      </c>
      <c r="BB2261" s="3" t="s">
        <v>23437</v>
      </c>
      <c r="BC2261" s="3" t="s">
        <v>23331</v>
      </c>
      <c r="BD2261" s="3" t="s">
        <v>79</v>
      </c>
      <c r="BE2261" s="3" t="s">
        <v>23438</v>
      </c>
      <c r="BF2261" s="3" t="s">
        <v>23437</v>
      </c>
      <c r="BG2261" s="3" t="s">
        <v>23439</v>
      </c>
    </row>
    <row r="2262" spans="1:59" ht="87" x14ac:dyDescent="0.35">
      <c r="A2262" s="2" t="s">
        <v>59</v>
      </c>
      <c r="B2262" s="2" t="s">
        <v>23321</v>
      </c>
      <c r="C2262" s="2" t="s">
        <v>23440</v>
      </c>
      <c r="D2262" s="2" t="s">
        <v>23441</v>
      </c>
      <c r="E2262" s="2" t="s">
        <v>23442</v>
      </c>
      <c r="G2262" s="3" t="s">
        <v>64</v>
      </c>
      <c r="I2262" s="3" t="s">
        <v>64</v>
      </c>
      <c r="J2262" s="3" t="s">
        <v>64</v>
      </c>
      <c r="K2262" s="3" t="s">
        <v>65</v>
      </c>
      <c r="L2262" s="2" t="s">
        <v>23443</v>
      </c>
      <c r="M2262" s="2" t="s">
        <v>23444</v>
      </c>
      <c r="N2262" s="3" t="s">
        <v>68</v>
      </c>
      <c r="P2262" s="3" t="s">
        <v>69</v>
      </c>
      <c r="R2262" s="3" t="s">
        <v>16939</v>
      </c>
      <c r="S2262" s="4">
        <v>9</v>
      </c>
      <c r="T2262" s="4">
        <v>9</v>
      </c>
      <c r="U2262" s="5" t="s">
        <v>23445</v>
      </c>
      <c r="V2262" s="5" t="s">
        <v>23445</v>
      </c>
      <c r="W2262" s="5" t="s">
        <v>72</v>
      </c>
      <c r="X2262" s="5" t="s">
        <v>72</v>
      </c>
      <c r="Y2262" s="4">
        <v>1</v>
      </c>
      <c r="Z2262" s="4">
        <v>1</v>
      </c>
      <c r="AA2262" s="4">
        <v>1</v>
      </c>
      <c r="AB2262" s="4">
        <v>1</v>
      </c>
      <c r="AC2262" s="4">
        <v>1</v>
      </c>
      <c r="AD2262" s="4">
        <v>0</v>
      </c>
      <c r="AE2262" s="4">
        <v>1</v>
      </c>
      <c r="AF2262" s="4">
        <v>0</v>
      </c>
      <c r="AG2262" s="4">
        <v>0</v>
      </c>
      <c r="AH2262" s="4">
        <v>0</v>
      </c>
      <c r="AI2262" s="4">
        <v>1</v>
      </c>
      <c r="AJ2262" s="4">
        <v>0</v>
      </c>
      <c r="AK2262" s="4">
        <v>0</v>
      </c>
      <c r="AL2262" s="4">
        <v>0</v>
      </c>
      <c r="AM2262" s="4">
        <v>1</v>
      </c>
      <c r="AN2262" s="4">
        <v>0</v>
      </c>
      <c r="AO2262" s="4">
        <v>0</v>
      </c>
      <c r="AP2262" s="4">
        <v>0</v>
      </c>
      <c r="AQ2262" s="4">
        <v>0</v>
      </c>
      <c r="AR2262" s="3" t="s">
        <v>64</v>
      </c>
      <c r="AS2262" s="3" t="s">
        <v>64</v>
      </c>
      <c r="AT2262" s="3" t="s">
        <v>64</v>
      </c>
      <c r="AV2262" s="6" t="str">
        <f>HYPERLINK("http://mcgill.on.worldcat.org/oclc/427799150","Catalog Record")</f>
        <v>Catalog Record</v>
      </c>
      <c r="AW2262" s="6" t="str">
        <f>HYPERLINK("http://www.worldcat.org/oclc/427799150","WorldCat Record")</f>
        <v>WorldCat Record</v>
      </c>
      <c r="AX2262" s="3" t="s">
        <v>23446</v>
      </c>
      <c r="AY2262" s="3" t="s">
        <v>23447</v>
      </c>
      <c r="AZ2262" s="3" t="s">
        <v>23448</v>
      </c>
      <c r="BA2262" s="3" t="s">
        <v>23448</v>
      </c>
      <c r="BB2262" s="3" t="s">
        <v>23449</v>
      </c>
      <c r="BC2262" s="3" t="s">
        <v>23331</v>
      </c>
      <c r="BD2262" s="3" t="s">
        <v>79</v>
      </c>
      <c r="BF2262" s="3" t="s">
        <v>23449</v>
      </c>
      <c r="BG2262" s="3" t="s">
        <v>23450</v>
      </c>
    </row>
    <row r="2263" spans="1:59" ht="87" x14ac:dyDescent="0.35">
      <c r="A2263" s="2" t="s">
        <v>59</v>
      </c>
      <c r="B2263" s="2" t="s">
        <v>23321</v>
      </c>
      <c r="C2263" s="2" t="s">
        <v>23451</v>
      </c>
      <c r="D2263" s="2" t="s">
        <v>23452</v>
      </c>
      <c r="E2263" s="2" t="s">
        <v>23453</v>
      </c>
      <c r="G2263" s="3" t="s">
        <v>64</v>
      </c>
      <c r="I2263" s="3" t="s">
        <v>64</v>
      </c>
      <c r="J2263" s="3" t="s">
        <v>64</v>
      </c>
      <c r="K2263" s="3" t="s">
        <v>65</v>
      </c>
      <c r="L2263" s="2" t="s">
        <v>23454</v>
      </c>
      <c r="M2263" s="2" t="s">
        <v>23455</v>
      </c>
      <c r="N2263" s="3" t="s">
        <v>449</v>
      </c>
      <c r="P2263" s="3" t="s">
        <v>16120</v>
      </c>
      <c r="R2263" s="3" t="s">
        <v>16939</v>
      </c>
      <c r="S2263" s="4">
        <v>4</v>
      </c>
      <c r="T2263" s="4">
        <v>4</v>
      </c>
      <c r="U2263" s="5" t="s">
        <v>8472</v>
      </c>
      <c r="V2263" s="5" t="s">
        <v>8472</v>
      </c>
      <c r="W2263" s="5" t="s">
        <v>72</v>
      </c>
      <c r="X2263" s="5" t="s">
        <v>72</v>
      </c>
      <c r="Y2263" s="4">
        <v>6</v>
      </c>
      <c r="Z2263" s="4">
        <v>1</v>
      </c>
      <c r="AA2263" s="4">
        <v>2</v>
      </c>
      <c r="AB2263" s="4">
        <v>1</v>
      </c>
      <c r="AC2263" s="4">
        <v>1</v>
      </c>
      <c r="AD2263" s="4">
        <v>2</v>
      </c>
      <c r="AE2263" s="4">
        <v>10</v>
      </c>
      <c r="AF2263" s="4">
        <v>0</v>
      </c>
      <c r="AG2263" s="4">
        <v>0</v>
      </c>
      <c r="AH2263" s="4">
        <v>2</v>
      </c>
      <c r="AI2263" s="4">
        <v>9</v>
      </c>
      <c r="AJ2263" s="4">
        <v>0</v>
      </c>
      <c r="AK2263" s="4">
        <v>0</v>
      </c>
      <c r="AL2263" s="4">
        <v>1</v>
      </c>
      <c r="AM2263" s="4">
        <v>8</v>
      </c>
      <c r="AN2263" s="4">
        <v>0</v>
      </c>
      <c r="AO2263" s="4">
        <v>0</v>
      </c>
      <c r="AP2263" s="4">
        <v>0</v>
      </c>
      <c r="AQ2263" s="4">
        <v>0</v>
      </c>
      <c r="AR2263" s="3" t="s">
        <v>64</v>
      </c>
      <c r="AS2263" s="3" t="s">
        <v>64</v>
      </c>
      <c r="AT2263" s="3" t="s">
        <v>64</v>
      </c>
      <c r="AV2263" s="6" t="str">
        <f>HYPERLINK("http://mcgill.on.worldcat.org/oclc/261127817","Catalog Record")</f>
        <v>Catalog Record</v>
      </c>
      <c r="AW2263" s="6" t="str">
        <f>HYPERLINK("http://www.worldcat.org/oclc/261127817","WorldCat Record")</f>
        <v>WorldCat Record</v>
      </c>
      <c r="AX2263" s="3" t="s">
        <v>23456</v>
      </c>
      <c r="AY2263" s="3" t="s">
        <v>23457</v>
      </c>
      <c r="AZ2263" s="3" t="s">
        <v>23458</v>
      </c>
      <c r="BA2263" s="3" t="s">
        <v>23458</v>
      </c>
      <c r="BB2263" s="3" t="s">
        <v>23459</v>
      </c>
      <c r="BC2263" s="3" t="s">
        <v>23331</v>
      </c>
      <c r="BD2263" s="3" t="s">
        <v>79</v>
      </c>
      <c r="BF2263" s="3" t="s">
        <v>23459</v>
      </c>
      <c r="BG2263" s="3" t="s">
        <v>23460</v>
      </c>
    </row>
    <row r="2264" spans="1:59" ht="261" x14ac:dyDescent="0.35">
      <c r="A2264" s="2" t="s">
        <v>59</v>
      </c>
      <c r="B2264" s="2" t="s">
        <v>23321</v>
      </c>
      <c r="C2264" s="2" t="s">
        <v>23461</v>
      </c>
      <c r="D2264" s="2" t="s">
        <v>23462</v>
      </c>
      <c r="E2264" s="2" t="s">
        <v>23463</v>
      </c>
      <c r="G2264" s="3" t="s">
        <v>64</v>
      </c>
      <c r="I2264" s="3" t="s">
        <v>64</v>
      </c>
      <c r="J2264" s="3" t="s">
        <v>64</v>
      </c>
      <c r="K2264" s="3" t="s">
        <v>65</v>
      </c>
      <c r="L2264" s="2" t="s">
        <v>23464</v>
      </c>
      <c r="M2264" s="2" t="s">
        <v>23465</v>
      </c>
      <c r="N2264" s="3" t="s">
        <v>377</v>
      </c>
      <c r="P2264" s="3" t="s">
        <v>69</v>
      </c>
      <c r="R2264" s="3" t="s">
        <v>16939</v>
      </c>
      <c r="S2264" s="4">
        <v>10</v>
      </c>
      <c r="T2264" s="4">
        <v>10</v>
      </c>
      <c r="U2264" s="5" t="s">
        <v>23466</v>
      </c>
      <c r="V2264" s="5" t="s">
        <v>23466</v>
      </c>
      <c r="W2264" s="5" t="s">
        <v>72</v>
      </c>
      <c r="X2264" s="5" t="s">
        <v>72</v>
      </c>
      <c r="Y2264" s="4">
        <v>1293</v>
      </c>
      <c r="Z2264" s="4">
        <v>45</v>
      </c>
      <c r="AA2264" s="4">
        <v>56</v>
      </c>
      <c r="AB2264" s="4">
        <v>2</v>
      </c>
      <c r="AC2264" s="4">
        <v>4</v>
      </c>
      <c r="AD2264" s="4">
        <v>78</v>
      </c>
      <c r="AE2264" s="4">
        <v>98</v>
      </c>
      <c r="AF2264" s="4">
        <v>0</v>
      </c>
      <c r="AG2264" s="4">
        <v>0</v>
      </c>
      <c r="AH2264" s="4">
        <v>68</v>
      </c>
      <c r="AI2264" s="4">
        <v>86</v>
      </c>
      <c r="AJ2264" s="4">
        <v>9</v>
      </c>
      <c r="AK2264" s="4">
        <v>11</v>
      </c>
      <c r="AL2264" s="4">
        <v>37</v>
      </c>
      <c r="AM2264" s="4">
        <v>48</v>
      </c>
      <c r="AN2264" s="4">
        <v>0</v>
      </c>
      <c r="AO2264" s="4">
        <v>0</v>
      </c>
      <c r="AP2264" s="4">
        <v>13</v>
      </c>
      <c r="AQ2264" s="4">
        <v>17</v>
      </c>
      <c r="AR2264" s="3" t="s">
        <v>64</v>
      </c>
      <c r="AS2264" s="3" t="s">
        <v>64</v>
      </c>
      <c r="AT2264" s="3" t="s">
        <v>64</v>
      </c>
      <c r="AV2264" s="6" t="str">
        <f>HYPERLINK("http://mcgill.on.worldcat.org/oclc/809948829","Catalog Record")</f>
        <v>Catalog Record</v>
      </c>
      <c r="AW2264" s="6" t="str">
        <f>HYPERLINK("http://www.worldcat.org/oclc/809948829","WorldCat Record")</f>
        <v>WorldCat Record</v>
      </c>
      <c r="AX2264" s="3" t="s">
        <v>23467</v>
      </c>
      <c r="AY2264" s="3" t="s">
        <v>23468</v>
      </c>
      <c r="AZ2264" s="3" t="s">
        <v>23469</v>
      </c>
      <c r="BA2264" s="3" t="s">
        <v>23469</v>
      </c>
      <c r="BB2264" s="3" t="s">
        <v>23470</v>
      </c>
      <c r="BC2264" s="3" t="s">
        <v>23331</v>
      </c>
      <c r="BD2264" s="3" t="s">
        <v>79</v>
      </c>
      <c r="BE2264" s="3" t="s">
        <v>23471</v>
      </c>
      <c r="BF2264" s="3" t="s">
        <v>23470</v>
      </c>
      <c r="BG2264" s="3" t="s">
        <v>23472</v>
      </c>
    </row>
    <row r="2265" spans="1:59" ht="101.5" x14ac:dyDescent="0.35">
      <c r="A2265" s="2" t="s">
        <v>59</v>
      </c>
      <c r="B2265" s="2" t="s">
        <v>23473</v>
      </c>
      <c r="C2265" s="2" t="s">
        <v>23474</v>
      </c>
      <c r="D2265" s="2" t="s">
        <v>23475</v>
      </c>
      <c r="E2265" s="2" t="s">
        <v>23476</v>
      </c>
      <c r="G2265" s="3" t="s">
        <v>64</v>
      </c>
      <c r="I2265" s="3" t="s">
        <v>64</v>
      </c>
      <c r="J2265" s="3" t="s">
        <v>64</v>
      </c>
      <c r="K2265" s="3" t="s">
        <v>65</v>
      </c>
      <c r="L2265" s="2" t="s">
        <v>23477</v>
      </c>
      <c r="M2265" s="2" t="s">
        <v>23478</v>
      </c>
      <c r="N2265" s="3" t="s">
        <v>214</v>
      </c>
      <c r="P2265" s="3" t="s">
        <v>69</v>
      </c>
      <c r="R2265" s="3" t="s">
        <v>16939</v>
      </c>
      <c r="S2265" s="4">
        <v>0</v>
      </c>
      <c r="T2265" s="4">
        <v>0</v>
      </c>
      <c r="W2265" s="5" t="s">
        <v>72</v>
      </c>
      <c r="X2265" s="5" t="s">
        <v>72</v>
      </c>
      <c r="Y2265" s="4">
        <v>10</v>
      </c>
      <c r="Z2265" s="4">
        <v>7</v>
      </c>
      <c r="AA2265" s="4">
        <v>10</v>
      </c>
      <c r="AB2265" s="4">
        <v>1</v>
      </c>
      <c r="AC2265" s="4">
        <v>1</v>
      </c>
      <c r="AD2265" s="4">
        <v>7</v>
      </c>
      <c r="AE2265" s="4">
        <v>9</v>
      </c>
      <c r="AF2265" s="4">
        <v>0</v>
      </c>
      <c r="AG2265" s="4">
        <v>0</v>
      </c>
      <c r="AH2265" s="4">
        <v>7</v>
      </c>
      <c r="AI2265" s="4">
        <v>7</v>
      </c>
      <c r="AJ2265" s="4">
        <v>5</v>
      </c>
      <c r="AK2265" s="4">
        <v>7</v>
      </c>
      <c r="AL2265" s="4">
        <v>2</v>
      </c>
      <c r="AM2265" s="4">
        <v>2</v>
      </c>
      <c r="AN2265" s="4">
        <v>0</v>
      </c>
      <c r="AO2265" s="4">
        <v>0</v>
      </c>
      <c r="AP2265" s="4">
        <v>5</v>
      </c>
      <c r="AQ2265" s="4">
        <v>6</v>
      </c>
      <c r="AR2265" s="3" t="s">
        <v>73</v>
      </c>
      <c r="AS2265" s="3" t="s">
        <v>64</v>
      </c>
      <c r="AT2265" s="3" t="s">
        <v>64</v>
      </c>
      <c r="AV2265" s="6" t="str">
        <f>HYPERLINK("http://mcgill.on.worldcat.org/oclc/666513235","Catalog Record")</f>
        <v>Catalog Record</v>
      </c>
      <c r="AW2265" s="6" t="str">
        <f>HYPERLINK("http://www.worldcat.org/oclc/666513235","WorldCat Record")</f>
        <v>WorldCat Record</v>
      </c>
      <c r="AX2265" s="3" t="s">
        <v>23479</v>
      </c>
      <c r="AY2265" s="3" t="s">
        <v>23480</v>
      </c>
      <c r="AZ2265" s="3" t="s">
        <v>23481</v>
      </c>
      <c r="BA2265" s="3" t="s">
        <v>23481</v>
      </c>
      <c r="BB2265" s="3" t="s">
        <v>23482</v>
      </c>
      <c r="BC2265" s="3" t="s">
        <v>78</v>
      </c>
      <c r="BD2265" s="3" t="s">
        <v>79</v>
      </c>
      <c r="BF2265" s="3" t="s">
        <v>23482</v>
      </c>
      <c r="BG2265" s="3" t="s">
        <v>23483</v>
      </c>
    </row>
    <row r="2266" spans="1:59" ht="101.5" x14ac:dyDescent="0.35">
      <c r="A2266" s="2" t="s">
        <v>59</v>
      </c>
      <c r="B2266" s="2" t="s">
        <v>23473</v>
      </c>
      <c r="C2266" s="2" t="s">
        <v>23484</v>
      </c>
      <c r="D2266" s="2" t="s">
        <v>23485</v>
      </c>
      <c r="E2266" s="2" t="s">
        <v>23486</v>
      </c>
      <c r="G2266" s="3" t="s">
        <v>64</v>
      </c>
      <c r="I2266" s="3" t="s">
        <v>64</v>
      </c>
      <c r="J2266" s="3" t="s">
        <v>64</v>
      </c>
      <c r="K2266" s="3" t="s">
        <v>65</v>
      </c>
      <c r="L2266" s="2" t="s">
        <v>23477</v>
      </c>
      <c r="M2266" s="2" t="s">
        <v>23487</v>
      </c>
      <c r="N2266" s="3" t="s">
        <v>328</v>
      </c>
      <c r="P2266" s="3" t="s">
        <v>69</v>
      </c>
      <c r="Q2266" s="2" t="s">
        <v>23488</v>
      </c>
      <c r="R2266" s="3" t="s">
        <v>16939</v>
      </c>
      <c r="S2266" s="4">
        <v>0</v>
      </c>
      <c r="T2266" s="4">
        <v>0</v>
      </c>
      <c r="W2266" s="5" t="s">
        <v>72</v>
      </c>
      <c r="X2266" s="5" t="s">
        <v>72</v>
      </c>
      <c r="Y2266" s="4">
        <v>3</v>
      </c>
      <c r="Z2266" s="4">
        <v>2</v>
      </c>
      <c r="AA2266" s="4">
        <v>3</v>
      </c>
      <c r="AB2266" s="4">
        <v>1</v>
      </c>
      <c r="AC2266" s="4">
        <v>1</v>
      </c>
      <c r="AD2266" s="4">
        <v>1</v>
      </c>
      <c r="AE2266" s="4">
        <v>2</v>
      </c>
      <c r="AF2266" s="4">
        <v>0</v>
      </c>
      <c r="AG2266" s="4">
        <v>0</v>
      </c>
      <c r="AH2266" s="4">
        <v>0</v>
      </c>
      <c r="AI2266" s="4">
        <v>0</v>
      </c>
      <c r="AJ2266" s="4">
        <v>1</v>
      </c>
      <c r="AK2266" s="4">
        <v>1</v>
      </c>
      <c r="AL2266" s="4">
        <v>0</v>
      </c>
      <c r="AM2266" s="4">
        <v>0</v>
      </c>
      <c r="AN2266" s="4">
        <v>0</v>
      </c>
      <c r="AO2266" s="4">
        <v>0</v>
      </c>
      <c r="AP2266" s="4">
        <v>0</v>
      </c>
      <c r="AQ2266" s="4">
        <v>1</v>
      </c>
      <c r="AR2266" s="3" t="s">
        <v>73</v>
      </c>
      <c r="AS2266" s="3" t="s">
        <v>64</v>
      </c>
      <c r="AT2266" s="3" t="s">
        <v>64</v>
      </c>
      <c r="AV2266" s="6" t="str">
        <f>HYPERLINK("http://mcgill.on.worldcat.org/oclc/797261597","Catalog Record")</f>
        <v>Catalog Record</v>
      </c>
      <c r="AW2266" s="6" t="str">
        <f>HYPERLINK("http://www.worldcat.org/oclc/797261597","WorldCat Record")</f>
        <v>WorldCat Record</v>
      </c>
      <c r="AX2266" s="3" t="s">
        <v>23489</v>
      </c>
      <c r="AY2266" s="3" t="s">
        <v>23490</v>
      </c>
      <c r="AZ2266" s="3" t="s">
        <v>23491</v>
      </c>
      <c r="BA2266" s="3" t="s">
        <v>23491</v>
      </c>
      <c r="BB2266" s="3" t="s">
        <v>23492</v>
      </c>
      <c r="BC2266" s="3" t="s">
        <v>78</v>
      </c>
      <c r="BD2266" s="3" t="s">
        <v>79</v>
      </c>
      <c r="BF2266" s="3" t="s">
        <v>23492</v>
      </c>
      <c r="BG2266" s="3" t="s">
        <v>23493</v>
      </c>
    </row>
    <row r="2267" spans="1:59" ht="101.5" x14ac:dyDescent="0.35">
      <c r="A2267" s="2" t="s">
        <v>59</v>
      </c>
      <c r="B2267" s="2" t="s">
        <v>23473</v>
      </c>
      <c r="C2267" s="2" t="s">
        <v>23494</v>
      </c>
      <c r="D2267" s="2" t="s">
        <v>23495</v>
      </c>
      <c r="E2267" s="2" t="s">
        <v>23496</v>
      </c>
      <c r="G2267" s="3" t="s">
        <v>64</v>
      </c>
      <c r="I2267" s="3" t="s">
        <v>64</v>
      </c>
      <c r="J2267" s="3" t="s">
        <v>64</v>
      </c>
      <c r="K2267" s="3" t="s">
        <v>65</v>
      </c>
      <c r="L2267" s="2" t="s">
        <v>23477</v>
      </c>
      <c r="M2267" s="2" t="s">
        <v>23497</v>
      </c>
      <c r="N2267" s="3" t="s">
        <v>377</v>
      </c>
      <c r="P2267" s="3" t="s">
        <v>69</v>
      </c>
      <c r="R2267" s="3" t="s">
        <v>16939</v>
      </c>
      <c r="S2267" s="4">
        <v>0</v>
      </c>
      <c r="T2267" s="4">
        <v>0</v>
      </c>
      <c r="W2267" s="5" t="s">
        <v>72</v>
      </c>
      <c r="X2267" s="5" t="s">
        <v>72</v>
      </c>
      <c r="Y2267" s="4">
        <v>60</v>
      </c>
      <c r="Z2267" s="4">
        <v>53</v>
      </c>
      <c r="AA2267" s="4">
        <v>95</v>
      </c>
      <c r="AB2267" s="4">
        <v>2</v>
      </c>
      <c r="AC2267" s="4">
        <v>3</v>
      </c>
      <c r="AD2267" s="4">
        <v>31</v>
      </c>
      <c r="AE2267" s="4">
        <v>51</v>
      </c>
      <c r="AF2267" s="4">
        <v>1</v>
      </c>
      <c r="AG2267" s="4">
        <v>1</v>
      </c>
      <c r="AH2267" s="4">
        <v>12</v>
      </c>
      <c r="AI2267" s="4">
        <v>17</v>
      </c>
      <c r="AJ2267" s="4">
        <v>16</v>
      </c>
      <c r="AK2267" s="4">
        <v>22</v>
      </c>
      <c r="AL2267" s="4">
        <v>5</v>
      </c>
      <c r="AM2267" s="4">
        <v>6</v>
      </c>
      <c r="AN2267" s="4">
        <v>0</v>
      </c>
      <c r="AO2267" s="4">
        <v>0</v>
      </c>
      <c r="AP2267" s="4">
        <v>23</v>
      </c>
      <c r="AQ2267" s="4">
        <v>42</v>
      </c>
      <c r="AR2267" s="3" t="s">
        <v>73</v>
      </c>
      <c r="AS2267" s="3" t="s">
        <v>64</v>
      </c>
      <c r="AT2267" s="3" t="s">
        <v>73</v>
      </c>
      <c r="AU2267" s="6" t="str">
        <f>HYPERLINK("http://catalog.hathitrust.org/Record/102329237","HathiTrust Record")</f>
        <v>HathiTrust Record</v>
      </c>
      <c r="AV2267" s="6" t="str">
        <f>HYPERLINK("http://mcgill.on.worldcat.org/oclc/798628783","Catalog Record")</f>
        <v>Catalog Record</v>
      </c>
      <c r="AW2267" s="6" t="str">
        <f>HYPERLINK("http://www.worldcat.org/oclc/798628783","WorldCat Record")</f>
        <v>WorldCat Record</v>
      </c>
      <c r="AX2267" s="3" t="s">
        <v>23498</v>
      </c>
      <c r="AY2267" s="3" t="s">
        <v>23499</v>
      </c>
      <c r="AZ2267" s="3" t="s">
        <v>23500</v>
      </c>
      <c r="BA2267" s="3" t="s">
        <v>23500</v>
      </c>
      <c r="BB2267" s="3" t="s">
        <v>23501</v>
      </c>
      <c r="BC2267" s="3" t="s">
        <v>78</v>
      </c>
      <c r="BD2267" s="3" t="s">
        <v>79</v>
      </c>
      <c r="BE2267" s="3" t="s">
        <v>23502</v>
      </c>
      <c r="BF2267" s="3" t="s">
        <v>23501</v>
      </c>
      <c r="BG2267" s="3" t="s">
        <v>23503</v>
      </c>
    </row>
  </sheetData>
  <autoFilter ref="A1:BG2267"/>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27223C378089942809A7943C4880DE6" ma:contentTypeVersion="12" ma:contentTypeDescription="Create a new document." ma:contentTypeScope="" ma:versionID="36d975042bf97339687dfe0e10a71455">
  <xsd:schema xmlns:xsd="http://www.w3.org/2001/XMLSchema" xmlns:xs="http://www.w3.org/2001/XMLSchema" xmlns:p="http://schemas.microsoft.com/office/2006/metadata/properties" xmlns:ns3="8fa821e5-be0b-4978-8cb3-cce5e1f24c34" xmlns:ns4="8b7c810d-c9c3-4987-b0d7-7c20b69da642" targetNamespace="http://schemas.microsoft.com/office/2006/metadata/properties" ma:root="true" ma:fieldsID="358779577b353762824036ff6a96c571" ns3:_="" ns4:_="">
    <xsd:import namespace="8fa821e5-be0b-4978-8cb3-cce5e1f24c34"/>
    <xsd:import namespace="8b7c810d-c9c3-4987-b0d7-7c20b69da642"/>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4:SharedWithUsers" minOccurs="0"/>
                <xsd:element ref="ns4:SharedWithDetails" minOccurs="0"/>
                <xsd:element ref="ns4:SharingHintHash"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a821e5-be0b-4978-8cb3-cce5e1f24c34"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b7c810d-c9c3-4987-b0d7-7c20b69da642" elementFormDefault="qualified">
    <xsd:import namespace="http://schemas.microsoft.com/office/2006/documentManagement/types"/>
    <xsd:import namespace="http://schemas.microsoft.com/office/infopath/2007/PartnerControls"/>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element name="SharingHintHash" ma:index="14" nillable="true" ma:displayName="Sharing Hint Hash"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72886B2-AD1E-4E0A-BDD3-BBEF85FBCE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a821e5-be0b-4978-8cb3-cce5e1f24c34"/>
    <ds:schemaRef ds:uri="8b7c810d-c9c3-4987-b0d7-7c20b69da6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0D8A1EC-A3DA-4549-BAA6-451F1312DA50}">
  <ds:schemaRefs>
    <ds:schemaRef ds:uri="http://purl.org/dc/elements/1.1/"/>
    <ds:schemaRef ds:uri="http://schemas.microsoft.com/office/2006/metadata/properties"/>
    <ds:schemaRef ds:uri="8fa821e5-be0b-4978-8cb3-cce5e1f24c34"/>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8b7c810d-c9c3-4987-b0d7-7c20b69da642"/>
    <ds:schemaRef ds:uri="http://www.w3.org/XML/1998/namespace"/>
  </ds:schemaRefs>
</ds:datastoreItem>
</file>

<file path=customXml/itemProps3.xml><?xml version="1.0" encoding="utf-8"?>
<ds:datastoreItem xmlns:ds="http://schemas.openxmlformats.org/officeDocument/2006/customXml" ds:itemID="{37442342-1CAB-4934-9483-498E5929539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Print Books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Louis Houle</dc:creator>
  <cp:lastModifiedBy>Eamon Duffy, Mr.</cp:lastModifiedBy>
  <dcterms:created xsi:type="dcterms:W3CDTF">2020-07-22T03:44:21Z</dcterms:created>
  <dcterms:modified xsi:type="dcterms:W3CDTF">2020-12-13T20:40:55Z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0x010100627223C378089942809A7943C4880DE6</vt:lpwstr>
  </property>
</Properties>
</file>